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mc:AlternateContent>
    <mc:Choice Requires="x15">
      <x15ac:absPath xmlns:x15ac="http://schemas.microsoft.com/office/spreadsheetml/2010/11/ac" url="C:\Users\user\Desktop\audit-oracle\upload-dir\131\"/>
    </mc:Choice>
  </mc:AlternateContent>
  <bookViews>
    <workbookView activeTab="4" firstSheet="2" tabRatio="829" windowHeight="7755" windowWidth="20490" xWindow="0" yWindow="0"/>
  </bookViews>
  <sheets>
    <sheet name="amralt" r:id="rId1" sheetId="165"/>
    <sheet name="Tsalin uzuulelt" r:id="rId2" sheetId="166"/>
    <sheet name="negtgel" r:id="rId3" sheetId="167"/>
    <sheet name="niit" r:id="rId4" sheetId="168"/>
    <sheet name="ЧХ" r:id="rId5" sheetId="105"/>
    <sheet name="АБ" r:id="rId6" sheetId="138"/>
    <sheet name="А-5.2.1" r:id="rId7" sheetId="135"/>
    <sheet name="А-1.1" r:id="rId8" sheetId="107"/>
    <sheet name="А-1" r:id="rId9" sheetId="194"/>
    <sheet name="А-2" r:id="rId10" sheetId="108"/>
    <sheet name="А-3" r:id="rId11" sheetId="109"/>
    <sheet name="А-4" r:id="rId12" sheetId="110"/>
    <sheet name="А-5.1" r:id="rId13" sheetId="111"/>
    <sheet name="А-5.2" r:id="rId14" sheetId="112"/>
    <sheet name="А-5.3" r:id="rId15" sheetId="113"/>
    <sheet name="А-4АБ" r:id="rId16" sheetId="132"/>
    <sheet name="А-6.1" r:id="rId17" sheetId="116"/>
    <sheet name="А-6.2" r:id="rId18" sheetId="115"/>
    <sheet name="А-6.3" r:id="rId19" sheetId="114"/>
    <sheet name="А-7.1" r:id="rId20" sheetId="117"/>
    <sheet name="А-7.2" r:id="rId21" sheetId="118"/>
    <sheet name="А-7.3" r:id="rId22" sheetId="119"/>
    <sheet name="А-7.4" r:id="rId23" sheetId="120"/>
    <sheet name="А-7.5" r:id="rId24" sheetId="121"/>
    <sheet name="А-7.6" r:id="rId25" sheetId="122"/>
    <sheet name="А-7.7" r:id="rId26" sheetId="123"/>
    <sheet name="А-7.8" r:id="rId27" sheetId="124"/>
    <sheet name="А-7.9" r:id="rId28" sheetId="134"/>
    <sheet name="A-ЕЖ" r:id="rId29" sheetId="173"/>
    <sheet name="А-8" r:id="rId30" sheetId="126"/>
    <sheet name="А-9" r:id="rId31" sheetId="127"/>
    <sheet name="А-10" r:id="rId32" sheetId="180"/>
    <sheet name="STT" r:id="rId33" sheetId="169"/>
    <sheet name="STS" r:id="rId34" sheetId="170"/>
    <sheet name="BS" r:id="rId35" sheetId="195"/>
    <sheet name="ЧХ-А" r:id="rId36" sheetId="129"/>
    <sheet name="В-АБ1" r:id="rId37" sheetId="130"/>
    <sheet name="В-АБ2" r:id="rId38" sheetId="63"/>
    <sheet name="В-АБ3" r:id="rId39" sheetId="64"/>
    <sheet name="В-АБ4" r:id="rId40" sheetId="65"/>
    <sheet name="В-1" r:id="rId41" sheetId="139"/>
    <sheet name="В-1-1" r:id="rId42" sheetId="131"/>
    <sheet name="В-1-2" r:id="rId43" sheetId="74"/>
    <sheet name="В-1-3" r:id="rId44" sheetId="75"/>
    <sheet name="В-2" r:id="rId45" sheetId="69"/>
    <sheet name="В-2-1" r:id="rId46" sheetId="67"/>
    <sheet name="АБ-1" r:id="rId47" sheetId="48"/>
    <sheet name="АБ-3" r:id="rId48" sheetId="82"/>
    <sheet name="АБ-5" r:id="rId49" sheetId="52"/>
    <sheet name="АБ-7" r:id="rId50" sheetId="54"/>
    <sheet name="АБ-2" r:id="rId51" sheetId="49"/>
    <sheet name="АБ-4" r:id="rId52" sheetId="51"/>
    <sheet name="АБ-6" r:id="rId53" sheetId="53"/>
    <sheet name="АБ-8" r:id="rId54" sheetId="55"/>
    <sheet name="АБ-9" r:id="rId55" sheetId="56"/>
    <sheet name="АБ-10" r:id="rId56" sheetId="57"/>
    <sheet name="АБ-12" r:id="rId57" sheetId="59"/>
    <sheet name="АБ-13" r:id="rId58" sheetId="60"/>
    <sheet name="В-3-1Т" r:id="rId59" sheetId="50"/>
    <sheet name="В-3-2Т" r:id="rId60" sheetId="89"/>
    <sheet name="В-3-3Т" r:id="rId61" sheetId="85"/>
    <sheet name="В-3-4Т" r:id="rId62" sheetId="87"/>
    <sheet name="В-3-5Т" r:id="rId63" sheetId="141"/>
    <sheet name="В-3-6Т" r:id="rId64" sheetId="142"/>
    <sheet name="В-3-7Т" r:id="rId65" sheetId="143"/>
    <sheet name="В-3-8Т" r:id="rId66" sheetId="172"/>
    <sheet name="В-3-9Т" r:id="rId67" sheetId="192"/>
    <sheet name="В-3-10" r:id="rId68" sheetId="193"/>
    <sheet name="В-3-1" r:id="rId69" sheetId="73"/>
    <sheet name="В-3-2" r:id="rId70" sheetId="83"/>
    <sheet name="В-3-3" r:id="rId71" sheetId="84"/>
    <sheet name="В-3-4" r:id="rId72" sheetId="86"/>
    <sheet name="В-3-5" r:id="rId73" sheetId="88"/>
    <sheet name="В-3-6" r:id="rId74" sheetId="90"/>
    <sheet name="В-3-7" r:id="rId75" sheetId="91"/>
    <sheet name="В-3-8" r:id="rId76" sheetId="92"/>
    <sheet name="В-3-9" r:id="rId77" sheetId="93"/>
    <sheet name="АБ-14" r:id="rId78" sheetId="94"/>
    <sheet name="АБ-15" r:id="rId79" sheetId="95"/>
    <sheet name="АБ-16" r:id="rId80" sheetId="96"/>
    <sheet name="АБ-17" r:id="rId81" sheetId="97"/>
    <sheet name="АБ-18" r:id="rId82" sheetId="98"/>
    <sheet name="АБ-19" r:id="rId83" sheetId="99"/>
    <sheet name="В-4" r:id="rId84" sheetId="176"/>
    <sheet name="В-5" r:id="rId85" sheetId="191"/>
    <sheet name="В-4-1Акт" r:id="rId86" sheetId="182"/>
    <sheet name="В-4-2АШ" r:id="rId87" sheetId="183"/>
    <sheet name="ЗӨВ" r:id="rId88" sheetId="144"/>
    <sheet name="АБ-20" r:id="rId89" sheetId="177"/>
    <sheet name="АБ-21" r:id="rId90" sheetId="101"/>
    <sheet name="ЧХ-Д" r:id="rId91" sheetId="78"/>
    <sheet name="ЧХ-Б" r:id="rId92" sheetId="77"/>
    <sheet name="АТ" r:id="rId93" sheetId="148"/>
    <sheet name="АГ" r:id="rId94" sheetId="145"/>
    <sheet name="АГ-Х" r:id="rId95" sheetId="188"/>
    <sheet name="АГ-С" r:id="rId96" sheetId="189"/>
    <sheet name="АГ-Т" r:id="rId97" sheetId="190"/>
    <sheet name="СТХ" r:id="rId98" sheetId="147"/>
    <sheet name="ЧХ-Т" r:id="rId99" sheetId="103"/>
    <sheet name="ҮД-МГ" r:id="rId100" sheetId="35"/>
    <sheet name="В1-Зж-А" r:id="rId101" sheetId="184"/>
    <sheet name="В2-Аш-А" r:id="rId102" sheetId="185"/>
    <sheet name="В3-Акт-А" r:id="rId103" sheetId="186"/>
    <sheet name="В4 И" r:id="rId104" sheetId="187"/>
    <sheet name="1" r:id="rId105" sheetId="37"/>
    <sheet name="2" r:id="rId106" sheetId="178"/>
    <sheet name="3" r:id="rId107" sheetId="197"/>
    <sheet name="1.Info" r:id="rId108" sheetId="30"/>
    <sheet name="2.CT1A" r:id="rId109" sheetId="2"/>
    <sheet name="3.CT2A" r:id="rId110" sheetId="3"/>
    <sheet name="4.CT3A" r:id="rId111" sheetId="4"/>
    <sheet name="5.CT4A" r:id="rId112" sheetId="5"/>
    <sheet name="6.CTT1" r:id="rId113" sheetId="28"/>
    <sheet name="7.CTT2" r:id="rId114" sheetId="33"/>
    <sheet name="8.CTT3" r:id="rId115" sheetId="8"/>
    <sheet name="9.CTT4" r:id="rId116" sheetId="31"/>
    <sheet name="10.CTT5" r:id="rId117" sheetId="9"/>
    <sheet name="11.CTT6" r:id="rId118" sheetId="34"/>
    <sheet name="12.CTT7" r:id="rId119" sheetId="6"/>
    <sheet name="13.CTT8" r:id="rId120" sheetId="32"/>
    <sheet name="14.CTT9" r:id="rId121" sheetId="29"/>
    <sheet name="15.Journal" r:id="rId122" sheetId="13"/>
    <sheet name="16.Assets" r:id="rId123" sheetId="14"/>
    <sheet name="17.Inventory" r:id="rId124" sheetId="22"/>
    <sheet name="18.Payroll" r:id="rId125" sheetId="15"/>
    <sheet name="19.Budget" r:id="rId126" sheetId="16"/>
    <sheet name="20.TGT1" r:id="rId127" sheetId="10"/>
    <sheet name="21.TGT1A" r:id="rId128" sheetId="11"/>
    <sheet name="22.NT2" r:id="rId129" sheetId="20"/>
    <sheet name="23.TRIAL BALANCE" r:id="rId130" sheetId="26"/>
    <sheet name="24.ABWS" r:id="rId131" sheetId="24"/>
    <sheet name="25.CBWS" r:id="rId132" sheetId="25"/>
  </sheets>
  <definedNames>
    <definedName hidden="1" localSheetId="104" name="_xlnm._FilterDatabase">'1'!$A$1:$D$1229</definedName>
    <definedName hidden="1" localSheetId="121" name="_xlnm._FilterDatabase">'15.Journal'!$A$4:$W$893</definedName>
    <definedName hidden="1" localSheetId="122" name="_xlnm._FilterDatabase">'16.Assets'!$A$5:$F$5</definedName>
    <definedName hidden="1" localSheetId="123" name="_xlnm._FilterDatabase">'17.Inventory'!$A$5:$D$5</definedName>
    <definedName hidden="1" localSheetId="125" name="_xlnm._FilterDatabase">'19.Budget'!$A$5:$D$5</definedName>
    <definedName hidden="1" localSheetId="105" name="_xlnm._FilterDatabase">'2'!$A$1:$AH$1</definedName>
    <definedName hidden="1" localSheetId="130" name="_xlnm._FilterDatabase">'24.ABWS'!$A$4:$B$5</definedName>
    <definedName hidden="1" localSheetId="106" name="_xlnm._FilterDatabase">'3'!#REF!</definedName>
    <definedName hidden="1" localSheetId="2" name="_xlnm._FilterDatabase">negtgel!$A$2:$DG$2</definedName>
    <definedName hidden="1" localSheetId="47" name="_xlnm._FilterDatabase">'АБ-3'!$A$7:$H$7</definedName>
    <definedName localSheetId="4" name="bookmark0">ЧХ!$B$1</definedName>
    <definedName localSheetId="26" name="bookmark19">'А-7.8'!#REF!</definedName>
    <definedName localSheetId="27" name="bookmark19">'А-7.9'!#REF!</definedName>
    <definedName localSheetId="92" name="bookmark49">АТ!$B$40</definedName>
    <definedName name="bus_nutag">niit!$A$2:$A$25</definedName>
    <definedName localSheetId="105" name="Currency1">#REF!</definedName>
    <definedName localSheetId="106" name="Currency1">#REF!</definedName>
    <definedName localSheetId="0" name="Currency1">#REF!</definedName>
    <definedName localSheetId="28" name="Currency1">#REF!</definedName>
    <definedName localSheetId="34" name="Currency1">#REF!</definedName>
    <definedName localSheetId="1" name="Currency1">#REF!</definedName>
    <definedName localSheetId="8" name="Currency1">#REF!</definedName>
    <definedName localSheetId="96" name="Currency1">#REF!</definedName>
    <definedName localSheetId="94" name="Currency1">#REF!</definedName>
    <definedName localSheetId="67" name="Currency1">#REF!</definedName>
    <definedName localSheetId="65" name="Currency1">#REF!</definedName>
    <definedName localSheetId="66" name="Currency1">#REF!</definedName>
    <definedName localSheetId="86" name="Currency1">#REF!</definedName>
    <definedName localSheetId="84" name="Currency1">#REF!</definedName>
    <definedName name="Currency1">#REF!</definedName>
    <definedName name="huvi">negtgel!XEW$3:XEW$12000</definedName>
    <definedName name="sar">negtgel!XEV$3:XEV$12000</definedName>
    <definedName localSheetId="105" name="too">niit!#REF!</definedName>
    <definedName localSheetId="106" name="too">niit!#REF!</definedName>
    <definedName localSheetId="0" name="too">niit!#REF!</definedName>
    <definedName localSheetId="28" name="too">niit!#REF!</definedName>
    <definedName localSheetId="34" name="too">niit!#REF!</definedName>
    <definedName localSheetId="8" name="too">niit!#REF!</definedName>
    <definedName localSheetId="96" name="too">niit!#REF!</definedName>
    <definedName localSheetId="94" name="too">niit!#REF!</definedName>
    <definedName localSheetId="67" name="too">niit!#REF!</definedName>
    <definedName localSheetId="65" name="too">niit!#REF!</definedName>
    <definedName localSheetId="66" name="too">niit!#REF!</definedName>
    <definedName localSheetId="86" name="too">niit!#REF!</definedName>
    <definedName localSheetId="84" name="too">niit!#REF!</definedName>
    <definedName name="too">niit!#REF!</definedName>
    <definedName name="Бараа">niit!$B$2:$B$25</definedName>
    <definedName name="бүгд">negtgel!C$3:C$12000</definedName>
  </definedNames>
  <calcPr calcId="152511"/>
  <extLst>
    <ext uri="{140A7094-0E35-4892-8432-C4D2E57EDEB5}">
      <x15:workbookPr chartTrackingRefBase="1"/>
    </ext>
  </extLst>
</workbook>
</file>

<file path=xl/calcChain.xml><?xml version="1.0" encoding="utf-8"?>
<calcChain xmlns="http://schemas.openxmlformats.org/spreadsheetml/2006/main">
  <c i="105" l="1" r="C52"/>
  <c i="105" r="C51"/>
  <c i="105" r="C50"/>
  <c i="105" r="C49"/>
  <c i="139" l="1" r="B13"/>
  <c i="139" r="B12"/>
  <c i="110" r="B12"/>
  <c i="110" r="B13"/>
  <c i="105" l="1" r="C45"/>
  <c i="105" l="1" r="C34"/>
  <c i="105" r="D72"/>
  <c i="111" r="C15"/>
  <c i="111" r="C26"/>
  <c i="105" r="D74" s="1"/>
  <c i="111" r="C46"/>
  <c i="111" r="C61"/>
  <c i="105" r="D77" s="1"/>
  <c i="111" r="C97"/>
  <c i="111" r="C122"/>
  <c i="105" r="D82" s="1"/>
  <c i="111" r="C128"/>
  <c i="111" r="C143"/>
  <c i="105" r="D84" s="1"/>
  <c i="105" r="D83"/>
  <c i="105" r="D79"/>
  <c i="105" r="D76"/>
  <c i="105" r="D73"/>
  <c i="105" r="D101"/>
  <c i="105" r="D85"/>
  <c i="105" r="D81"/>
  <c i="105" r="D80"/>
  <c i="105" r="D99"/>
  <c i="105" r="D100"/>
  <c i="105" r="D98"/>
  <c i="105" r="D97"/>
  <c i="105" r="D96"/>
  <c i="105" r="D95"/>
  <c i="105" r="D94"/>
  <c i="105" r="D93"/>
  <c i="105" r="D92"/>
  <c i="105" r="D91"/>
  <c i="105" r="D90"/>
  <c i="105" r="D89"/>
  <c i="105" r="D88"/>
  <c i="105" r="D102" s="1"/>
  <c i="105" r="D78"/>
  <c i="105" r="D75"/>
  <c i="112" r="B37"/>
  <c i="105" r="C101"/>
  <c i="105" r="C100"/>
  <c i="105" r="C97"/>
  <c i="105" r="C98"/>
  <c i="105" r="C99"/>
  <c i="105" r="C96"/>
  <c i="105" r="C95"/>
  <c i="105" r="C94"/>
  <c i="105" r="C93"/>
  <c i="105" r="C92"/>
  <c i="105" r="C91"/>
  <c i="105" r="C90"/>
  <c i="105" r="C89"/>
  <c i="105" r="C88"/>
  <c i="105" r="C85"/>
  <c i="105" r="C84"/>
  <c i="105" r="C83"/>
  <c i="105" r="C82"/>
  <c i="105" r="C81"/>
  <c i="105" r="C80"/>
  <c i="105" r="C79"/>
  <c i="105" r="C78"/>
  <c i="105" r="C77"/>
  <c i="105" r="C76"/>
  <c i="105" r="C75"/>
  <c i="105" r="C74"/>
  <c i="105" r="C73"/>
  <c i="105" r="C72"/>
  <c i="105" l="1" r="D87"/>
  <c i="105" r="C40" s="1"/>
  <c i="105" r="D71"/>
  <c i="105" r="D86"/>
  <c i="105" r="C39" s="1"/>
  <c i="105" r="C33"/>
  <c i="83" l="1" r="A24"/>
  <c i="105" l="1" r="C48"/>
  <c i="107" l="1" r="B15"/>
  <c i="113" l="1" r="K15"/>
  <c i="113" r="K14"/>
  <c i="170" l="1" r="C273"/>
  <c i="170" r="B273"/>
  <c i="170" r="A273"/>
  <c i="170" r="D273" s="1"/>
  <c i="170" r="B272"/>
  <c i="170" r="A272"/>
  <c i="170" r="C271"/>
  <c i="170" r="E271" s="1"/>
  <c i="170" r="B271"/>
  <c i="170" r="A271"/>
  <c i="170" r="D271" s="1"/>
  <c i="170" r="C270"/>
  <c i="170" r="B270"/>
  <c i="170" r="A270"/>
  <c i="170" r="D270" s="1"/>
  <c i="170" r="C269"/>
  <c i="170" r="B269"/>
  <c i="170" r="A269"/>
  <c i="170" r="D269" s="1"/>
  <c i="170" r="C268"/>
  <c i="170" r="B268"/>
  <c i="170" r="A268"/>
  <c i="170" r="D268" s="1"/>
  <c i="170" r="C267"/>
  <c i="170" r="E267" s="1"/>
  <c i="170" r="B267"/>
  <c i="170" r="A267"/>
  <c i="170" r="D267" s="1"/>
  <c i="170" r="C266"/>
  <c i="170" r="B266"/>
  <c i="170" r="A266"/>
  <c i="170" r="D266" s="1"/>
  <c i="170" r="C265"/>
  <c i="170" r="B265"/>
  <c i="170" r="A265"/>
  <c i="170" r="D265" s="1"/>
  <c i="170" r="C264"/>
  <c i="170" r="B264"/>
  <c i="170" r="A264"/>
  <c i="170" r="D264" s="1"/>
  <c i="170" r="C263"/>
  <c i="170" r="B263"/>
  <c i="170" r="A263"/>
  <c i="170" r="D263" s="1"/>
  <c i="170" r="C262"/>
  <c i="170" r="B262"/>
  <c i="170" r="A262"/>
  <c i="170" r="D262" s="1"/>
  <c i="170" r="C261"/>
  <c i="170" r="B261"/>
  <c i="170" r="A261"/>
  <c i="170" r="D261" s="1"/>
  <c i="170" r="B260"/>
  <c i="170" r="A260"/>
  <c i="170" r="B259"/>
  <c i="170" r="A259"/>
  <c i="170" r="C258"/>
  <c i="170" r="B258"/>
  <c i="170" r="A258"/>
  <c i="170" r="D258" s="1"/>
  <c i="170" r="E258" s="1"/>
  <c i="170" r="C257"/>
  <c i="170" r="B257"/>
  <c i="170" r="A257"/>
  <c i="170" r="D257" s="1"/>
  <c i="170" r="C256"/>
  <c i="170" r="B256"/>
  <c i="170" r="A256"/>
  <c i="170" r="D256" s="1"/>
  <c i="170" r="C255"/>
  <c i="170" r="B255"/>
  <c i="170" r="A255"/>
  <c i="170" r="D255" s="1"/>
  <c i="170" r="E255" s="1"/>
  <c i="170" r="C254"/>
  <c i="170" r="B254"/>
  <c i="170" r="A254"/>
  <c i="170" r="D254" s="1"/>
  <c i="170" r="E254" s="1"/>
  <c i="170" r="B253"/>
  <c i="170" r="A253"/>
  <c i="170" r="C252"/>
  <c i="170" r="B252"/>
  <c i="170" r="A252"/>
  <c i="170" r="D252" s="1"/>
  <c i="170" r="C251"/>
  <c i="170" r="B251"/>
  <c i="170" r="A251"/>
  <c i="170" r="D251" s="1"/>
  <c i="170" r="E251" s="1"/>
  <c i="170" r="C250"/>
  <c i="170" r="E250" s="1"/>
  <c i="170" r="B250"/>
  <c i="170" r="A250"/>
  <c i="170" r="D250" s="1"/>
  <c i="170" r="C249"/>
  <c i="170" r="B249"/>
  <c i="170" r="A249"/>
  <c i="170" r="D249" s="1"/>
  <c i="170" r="B248"/>
  <c i="170" r="A248"/>
  <c i="170" r="C247"/>
  <c i="170" r="B247"/>
  <c i="170" r="A247"/>
  <c i="170" r="D247" s="1"/>
  <c i="170" r="C246"/>
  <c i="170" r="B246"/>
  <c i="170" r="A246"/>
  <c i="170" r="D246" s="1"/>
  <c i="170" r="C245"/>
  <c i="170" r="B245"/>
  <c i="170" r="A245"/>
  <c i="170" r="D245" s="1"/>
  <c i="170" r="C244"/>
  <c i="170" r="B244"/>
  <c i="170" r="A244"/>
  <c i="170" r="D244" s="1"/>
  <c i="170" r="B243"/>
  <c i="170" r="A243"/>
  <c i="170" r="C242"/>
  <c i="170" r="B242"/>
  <c i="170" r="A242"/>
  <c i="170" r="D242" s="1"/>
  <c i="170" r="E242" s="1"/>
  <c i="170" r="C241"/>
  <c i="170" r="B241"/>
  <c i="170" r="A241"/>
  <c i="170" r="D241" s="1"/>
  <c i="170" r="C240"/>
  <c i="170" r="B240"/>
  <c i="170" r="A240"/>
  <c i="170" r="D240" s="1"/>
  <c i="170" r="C239"/>
  <c i="170" r="E239" s="1"/>
  <c i="170" r="B239"/>
  <c i="170" r="A239"/>
  <c i="170" r="D239" s="1"/>
  <c i="170" r="C238"/>
  <c i="170" r="B238"/>
  <c i="170" r="A238"/>
  <c i="170" r="D238" s="1"/>
  <c i="170" r="E238" s="1"/>
  <c i="170" r="C237"/>
  <c i="170" r="B237"/>
  <c i="170" r="A237"/>
  <c i="170" r="D237" s="1"/>
  <c i="170" r="C236"/>
  <c i="170" r="B236"/>
  <c i="170" r="A236"/>
  <c i="170" r="D236" s="1"/>
  <c i="170" r="C235"/>
  <c i="170" r="B235"/>
  <c i="170" r="A235"/>
  <c i="170" r="D235" s="1"/>
  <c i="170" r="B234"/>
  <c i="170" r="A234"/>
  <c i="170" r="C233"/>
  <c i="170" r="B233"/>
  <c i="170" r="A233"/>
  <c i="170" r="D233" s="1"/>
  <c i="170" r="C232"/>
  <c i="170" r="B232"/>
  <c i="170" r="A232"/>
  <c i="170" r="D232" s="1"/>
  <c i="170" r="B231"/>
  <c i="170" r="A231"/>
  <c i="170" r="B230"/>
  <c i="170" r="A230"/>
  <c i="170" r="C229"/>
  <c i="170" r="B229"/>
  <c i="170" r="A229"/>
  <c i="170" r="D229" s="1"/>
  <c i="170" r="B228"/>
  <c i="170" r="A228"/>
  <c i="170" r="C227"/>
  <c i="170" r="B227"/>
  <c i="170" r="A227"/>
  <c i="170" r="D227" s="1"/>
  <c i="170" r="B226"/>
  <c i="170" r="A226"/>
  <c i="170" r="B225"/>
  <c i="170" r="A225"/>
  <c i="170" r="C224"/>
  <c i="170" r="B224"/>
  <c i="170" r="A224"/>
  <c i="170" r="D224" s="1"/>
  <c i="170" r="B223"/>
  <c i="170" r="A223"/>
  <c i="170" r="C222"/>
  <c i="170" r="B222"/>
  <c i="170" r="A222"/>
  <c i="170" r="D222" s="1"/>
  <c i="170" r="B221"/>
  <c i="170" r="A221"/>
  <c i="170" r="B220"/>
  <c i="170" r="A220"/>
  <c i="170" r="C219"/>
  <c i="170" r="B219"/>
  <c i="170" r="A219"/>
  <c i="170" r="C218"/>
  <c i="170" r="B218"/>
  <c i="170" r="A218"/>
  <c i="170" r="C217"/>
  <c i="170" r="E217" s="1"/>
  <c i="170" r="B217"/>
  <c i="170" r="A217"/>
  <c i="170" r="D217" s="1"/>
  <c i="170" r="C216"/>
  <c i="170" r="B216"/>
  <c i="170" r="A216"/>
  <c i="170" r="D216" s="1"/>
  <c i="170" r="B215"/>
  <c i="170" r="A215"/>
  <c i="170" r="C214"/>
  <c i="170" r="E214" s="1"/>
  <c i="170" r="B214"/>
  <c i="170" r="A214"/>
  <c i="170" r="C213"/>
  <c i="170" r="E213" s="1"/>
  <c i="170" r="B213"/>
  <c i="170" r="A213"/>
  <c i="170" r="C212"/>
  <c i="170" r="E212" s="1"/>
  <c i="170" r="B212"/>
  <c i="170" r="A212"/>
  <c i="170" r="C211"/>
  <c i="170" r="B211"/>
  <c i="170" r="A211"/>
  <c i="170" r="C210"/>
  <c i="170" r="B210"/>
  <c i="170" r="A210"/>
  <c i="170" r="C209"/>
  <c i="170" r="B209"/>
  <c i="170" r="A209"/>
  <c i="170" r="D209" s="1"/>
  <c i="170" r="C208"/>
  <c i="170" r="B208"/>
  <c i="170" r="A208"/>
  <c i="170" r="D208" s="1"/>
  <c i="170" r="C207"/>
  <c i="170" r="B207"/>
  <c i="170" r="A207"/>
  <c i="170" r="D207" s="1"/>
  <c i="170" r="E207" s="1"/>
  <c i="170" r="C206"/>
  <c i="170" r="E206" s="1"/>
  <c i="170" r="B206"/>
  <c i="170" r="A206"/>
  <c i="170" r="D206" s="1"/>
  <c i="170" r="C205"/>
  <c i="170" r="B205"/>
  <c i="170" r="A205"/>
  <c i="170" r="D205" s="1"/>
  <c i="170" r="C204"/>
  <c i="170" r="B204"/>
  <c i="170" r="A204"/>
  <c i="170" r="D204" s="1"/>
  <c i="170" r="C203"/>
  <c i="170" r="B203"/>
  <c i="170" r="A203"/>
  <c i="170" r="D203" s="1"/>
  <c i="170" r="E203" s="1"/>
  <c i="170" r="C202"/>
  <c i="170" r="B202"/>
  <c i="170" r="A202"/>
  <c i="170" r="D202" s="1"/>
  <c i="170" r="C201"/>
  <c i="170" r="B201"/>
  <c i="170" r="A201"/>
  <c i="170" r="D201" s="1"/>
  <c i="170" r="B200"/>
  <c i="170" r="A200"/>
  <c i="170" r="C199"/>
  <c i="170" r="B199"/>
  <c i="170" r="A199"/>
  <c i="170" r="D199" s="1"/>
  <c i="170" r="C198"/>
  <c i="170" r="E198" s="1"/>
  <c i="170" r="B198"/>
  <c i="170" r="A198"/>
  <c i="170" r="D198" s="1"/>
  <c i="170" r="C197"/>
  <c i="170" r="B197"/>
  <c i="170" r="A197"/>
  <c i="170" r="D197" s="1"/>
  <c i="170" r="E197" s="1"/>
  <c i="170" r="B196"/>
  <c i="170" r="A196"/>
  <c i="170" r="C195"/>
  <c i="170" r="B195"/>
  <c i="170" r="A195"/>
  <c i="170" r="D195" s="1"/>
  <c i="170" r="C194"/>
  <c i="170" r="B194"/>
  <c i="170" r="A194"/>
  <c i="170" r="D194" s="1"/>
  <c i="170" r="C193"/>
  <c i="170" r="B193"/>
  <c i="170" r="A193"/>
  <c i="170" r="D193" s="1"/>
  <c i="170" r="C192"/>
  <c i="170" r="B192"/>
  <c i="170" r="A192"/>
  <c i="170" r="D192" s="1"/>
  <c i="170" r="B191"/>
  <c i="170" r="A191"/>
  <c i="170" r="C190"/>
  <c i="170" r="B190"/>
  <c i="170" r="A190"/>
  <c i="170" r="D190" s="1"/>
  <c i="170" r="E190" s="1"/>
  <c i="170" r="C189"/>
  <c i="170" r="E189" s="1"/>
  <c i="170" r="B189"/>
  <c i="170" r="A189"/>
  <c i="170" r="D189" s="1"/>
  <c i="170" r="C188"/>
  <c i="170" r="B188"/>
  <c i="170" r="A188"/>
  <c i="170" r="D188" s="1"/>
  <c i="170" r="B187"/>
  <c i="170" r="A187"/>
  <c i="170" r="C186"/>
  <c i="170" r="E186" s="1"/>
  <c i="170" r="B186"/>
  <c i="170" r="A186"/>
  <c i="170" r="D186" s="1"/>
  <c i="170" r="C185"/>
  <c i="170" r="B185"/>
  <c i="170" r="A185"/>
  <c i="170" r="D185" s="1"/>
  <c i="170" r="C184"/>
  <c i="170" r="B184"/>
  <c i="170" r="A184"/>
  <c i="170" r="D184" s="1"/>
  <c i="170" r="C183"/>
  <c i="170" r="B183"/>
  <c i="170" r="A183"/>
  <c i="170" r="D183" s="1"/>
  <c i="170" r="E183" s="1"/>
  <c i="170" r="C182"/>
  <c i="170" r="E182" s="1"/>
  <c i="170" r="B182"/>
  <c i="170" r="A182"/>
  <c i="170" r="D182" s="1"/>
  <c i="170" r="C181"/>
  <c i="170" r="E181" s="1"/>
  <c i="170" r="B181"/>
  <c i="170" r="A181"/>
  <c i="170" r="D181" s="1"/>
  <c i="170" r="C180"/>
  <c i="170" r="B180"/>
  <c i="170" r="A180"/>
  <c i="170" r="D180" s="1"/>
  <c i="170" r="C179"/>
  <c i="170" r="B179"/>
  <c i="170" r="A179"/>
  <c i="170" r="D179" s="1"/>
  <c i="170" r="E179" s="1"/>
  <c i="170" r="C178"/>
  <c i="170" r="E178" s="1"/>
  <c i="170" r="B178"/>
  <c i="170" r="A178"/>
  <c i="170" r="D178" s="1"/>
  <c i="170" r="C177"/>
  <c i="170" r="B177"/>
  <c i="170" r="A177"/>
  <c i="170" r="D177" s="1"/>
  <c i="170" r="B176"/>
  <c i="170" r="A176"/>
  <c i="170" r="C175"/>
  <c i="170" r="B175"/>
  <c i="170" r="A175"/>
  <c i="170" r="D175" s="1"/>
  <c i="170" r="C174"/>
  <c i="170" r="B174"/>
  <c i="170" r="A174"/>
  <c i="170" r="D174" s="1"/>
  <c i="170" r="C173"/>
  <c i="170" r="B173"/>
  <c i="170" r="A173"/>
  <c i="170" r="D173" s="1"/>
  <c i="170" r="E173" s="1"/>
  <c i="170" r="C172"/>
  <c i="170" r="B172"/>
  <c i="170" r="A172"/>
  <c i="170" r="D172" s="1"/>
  <c i="170" r="C171"/>
  <c i="170" r="B171"/>
  <c i="170" r="A171"/>
  <c i="170" r="D171" s="1"/>
  <c i="170" r="B170"/>
  <c i="170" r="A170"/>
  <c i="170" r="C169"/>
  <c i="170" r="B169"/>
  <c i="170" r="A169"/>
  <c i="170" r="D169" s="1"/>
  <c i="170" r="C168"/>
  <c i="170" r="B168"/>
  <c i="170" r="A168"/>
  <c i="170" r="D168" s="1"/>
  <c i="170" r="C167"/>
  <c i="170" r="B167"/>
  <c i="170" r="A167"/>
  <c i="170" r="D167" s="1"/>
  <c i="170" r="C166"/>
  <c i="170" r="B166"/>
  <c i="170" r="A166"/>
  <c i="170" r="D166" s="1"/>
  <c i="170" r="C165"/>
  <c i="170" r="B165"/>
  <c i="170" r="A165"/>
  <c i="170" r="D165" s="1"/>
  <c i="170" r="C164"/>
  <c i="170" r="B164"/>
  <c i="170" r="A164"/>
  <c i="170" r="D164" s="1"/>
  <c i="170" r="B163"/>
  <c i="170" r="A163"/>
  <c i="170" r="C162"/>
  <c i="170" r="B162"/>
  <c i="170" r="A162"/>
  <c i="170" r="D162" s="1"/>
  <c i="170" r="E162" s="1"/>
  <c i="170" r="C161"/>
  <c i="170" r="E161" s="1"/>
  <c i="170" r="B161"/>
  <c i="170" r="A161"/>
  <c i="170" r="D161" s="1"/>
  <c i="170" r="C160"/>
  <c i="170" r="B160"/>
  <c i="170" r="A160"/>
  <c i="170" r="D160" s="1"/>
  <c i="170" r="C159"/>
  <c i="170" r="B159"/>
  <c i="170" r="A159"/>
  <c i="170" r="D159" s="1"/>
  <c i="170" r="E159" s="1"/>
  <c i="170" r="C158"/>
  <c i="170" r="B158"/>
  <c i="170" r="A158"/>
  <c i="170" r="D158" s="1"/>
  <c i="170" r="C157"/>
  <c i="170" r="E157" s="1"/>
  <c i="170" r="B157"/>
  <c i="170" r="A157"/>
  <c i="170" r="D157" s="1"/>
  <c i="170" r="B156"/>
  <c i="170" r="A156"/>
  <c i="170" r="B155"/>
  <c i="170" r="A155"/>
  <c i="170" r="B154"/>
  <c i="170" r="A154"/>
  <c i="170" r="B153"/>
  <c i="170" r="A153"/>
  <c i="170" r="C152"/>
  <c i="170" r="B152"/>
  <c i="170" r="A152"/>
  <c i="170" r="D152" s="1"/>
  <c i="170" r="C151"/>
  <c i="170" r="B151"/>
  <c i="170" r="A151"/>
  <c i="170" r="D151" s="1"/>
  <c i="170" r="E151" s="1"/>
  <c i="170" r="C150"/>
  <c i="170" r="B150"/>
  <c i="170" r="A150"/>
  <c i="170" r="D150" s="1"/>
  <c i="170" r="B149"/>
  <c i="170" r="A149"/>
  <c i="170" r="C148"/>
  <c i="170" r="B148"/>
  <c i="170" r="A148"/>
  <c i="170" r="D148" s="1"/>
  <c i="170" r="C147"/>
  <c i="170" r="B147"/>
  <c i="170" r="A147"/>
  <c i="170" r="D147" s="1"/>
  <c i="170" r="E147" s="1"/>
  <c i="170" r="C146"/>
  <c i="170" r="E146" s="1"/>
  <c i="170" r="B146"/>
  <c i="170" r="A146"/>
  <c i="170" r="D146" s="1"/>
  <c i="170" r="C145"/>
  <c i="170" r="B145"/>
  <c i="170" r="A145"/>
  <c i="170" r="D145" s="1"/>
  <c i="170" r="C144"/>
  <c i="170" r="B144"/>
  <c i="170" r="A144"/>
  <c i="170" r="D144" s="1"/>
  <c i="170" r="B143"/>
  <c i="170" r="A143"/>
  <c i="170" r="C142"/>
  <c i="170" r="B142"/>
  <c i="170" r="A142"/>
  <c i="170" r="D142" s="1"/>
  <c i="170" r="C141"/>
  <c i="170" r="B141"/>
  <c i="170" r="A141"/>
  <c i="170" r="D141" s="1"/>
  <c i="170" r="C140"/>
  <c i="170" r="B140"/>
  <c i="170" r="A140"/>
  <c i="170" r="D140" s="1"/>
  <c i="170" r="C139"/>
  <c i="170" r="B139"/>
  <c i="170" r="A139"/>
  <c i="170" r="D139" s="1"/>
  <c i="170" r="C138"/>
  <c i="170" r="B138"/>
  <c i="170" r="A138"/>
  <c i="170" r="D138" s="1"/>
  <c i="170" r="C137"/>
  <c i="170" r="B137"/>
  <c i="170" r="A137"/>
  <c i="170" r="D137" s="1"/>
  <c i="170" r="C136"/>
  <c i="170" r="B136"/>
  <c i="170" r="A136"/>
  <c i="170" r="D136" s="1"/>
  <c i="170" r="B135"/>
  <c i="170" r="A135"/>
  <c i="170" r="C134"/>
  <c i="170" r="B134"/>
  <c i="170" r="A134"/>
  <c i="170" r="D134" s="1"/>
  <c i="170" r="E134" s="1"/>
  <c i="170" r="C133"/>
  <c i="170" r="B133"/>
  <c i="170" r="A133"/>
  <c i="170" r="D133" s="1"/>
  <c i="170" r="C132"/>
  <c i="170" r="B132"/>
  <c i="170" r="A132"/>
  <c i="170" r="D132" s="1"/>
  <c i="170" r="C131"/>
  <c i="170" r="B131"/>
  <c i="170" r="A131"/>
  <c i="170" r="D131" s="1"/>
  <c i="170" r="C130"/>
  <c i="170" r="B130"/>
  <c i="170" r="A130"/>
  <c i="170" r="D130" s="1"/>
  <c i="170" r="C129"/>
  <c i="170" r="B129"/>
  <c i="170" r="A129"/>
  <c i="170" r="D129" s="1"/>
  <c i="170" r="E129" s="1"/>
  <c i="170" r="B128"/>
  <c i="170" r="A128"/>
  <c i="170" r="C127"/>
  <c i="170" r="B127"/>
  <c i="170" r="A127"/>
  <c i="170" r="D127" s="1"/>
  <c i="170" r="E127" s="1"/>
  <c i="170" r="C126"/>
  <c i="170" r="B126"/>
  <c i="170" r="A126"/>
  <c i="170" r="D126" s="1"/>
  <c i="170" r="E126" s="1"/>
  <c i="170" r="C125"/>
  <c i="170" r="E125" s="1"/>
  <c i="170" r="B125"/>
  <c i="170" r="A125"/>
  <c i="170" r="D125" s="1"/>
  <c i="170" r="C124"/>
  <c i="170" r="B124"/>
  <c i="170" r="A124"/>
  <c i="170" r="D124" s="1"/>
  <c i="170" r="C123"/>
  <c i="170" r="B123"/>
  <c i="170" r="A123"/>
  <c i="170" r="D123" s="1"/>
  <c i="170" r="C122"/>
  <c i="170" r="B122"/>
  <c i="170" r="A122"/>
  <c i="170" r="D122" s="1"/>
  <c i="170" r="C121"/>
  <c i="170" r="B121"/>
  <c i="170" r="A121"/>
  <c i="170" r="D121" s="1"/>
  <c i="170" r="C120"/>
  <c i="170" r="B120"/>
  <c i="170" r="A120"/>
  <c i="170" r="D120" s="1"/>
  <c i="170" r="C119"/>
  <c i="170" r="B119"/>
  <c i="170" r="A119"/>
  <c i="170" r="D119" s="1"/>
  <c i="170" r="B118"/>
  <c i="170" r="A118"/>
  <c i="170" r="B117"/>
  <c i="170" r="A117"/>
  <c i="170" r="C116"/>
  <c i="170" r="B116"/>
  <c i="170" r="A116"/>
  <c i="170" r="D116" s="1"/>
  <c i="170" r="C115"/>
  <c i="170" r="E115" s="1"/>
  <c i="170" r="B115"/>
  <c i="170" r="A115"/>
  <c i="170" r="D115" s="1"/>
  <c i="170" r="C114"/>
  <c i="170" r="E114" s="1"/>
  <c i="170" r="B114"/>
  <c i="170" r="A114"/>
  <c i="170" r="D114" s="1"/>
  <c i="170" r="B113"/>
  <c i="170" r="A113"/>
  <c i="170" r="C112"/>
  <c i="170" r="B112"/>
  <c i="170" r="A112"/>
  <c i="170" r="D112" s="1"/>
  <c i="170" r="C111"/>
  <c i="170" r="E111" s="1"/>
  <c i="170" r="B111"/>
  <c i="170" r="A111"/>
  <c i="170" r="D111" s="1"/>
  <c i="170" r="C110"/>
  <c i="170" r="B110"/>
  <c i="170" r="A110"/>
  <c i="170" r="D110" s="1"/>
  <c i="170" r="C109"/>
  <c i="170" r="B109"/>
  <c i="170" r="A109"/>
  <c i="170" r="D109" s="1"/>
  <c i="170" r="B108"/>
  <c i="170" r="A108"/>
  <c i="170" r="C107"/>
  <c i="170" r="B107"/>
  <c i="170" r="A107"/>
  <c i="170" r="D107" s="1"/>
  <c i="170" r="C106"/>
  <c i="170" r="B106"/>
  <c i="170" r="A106"/>
  <c i="170" r="D106" s="1"/>
  <c i="170" r="B105"/>
  <c i="170" r="A105"/>
  <c i="170" r="C104"/>
  <c i="170" r="B104"/>
  <c i="170" r="A104"/>
  <c i="170" r="D104" s="1"/>
  <c i="170" r="C103"/>
  <c i="170" r="B103"/>
  <c i="170" r="A103"/>
  <c i="170" r="D103" s="1"/>
  <c i="170" r="B102"/>
  <c i="170" r="A102"/>
  <c i="170" r="C101"/>
  <c i="170" r="E101" s="1"/>
  <c i="170" r="B101"/>
  <c i="170" r="A101"/>
  <c i="170" r="C100"/>
  <c i="170" r="B100"/>
  <c i="170" r="A100"/>
  <c i="170" r="C99"/>
  <c i="170" r="E99" s="1"/>
  <c i="170" r="B99"/>
  <c i="170" r="A99"/>
  <c i="170" r="D98"/>
  <c i="170" r="C98"/>
  <c i="170" r="B98"/>
  <c i="170" r="A98"/>
  <c i="170" r="D97"/>
  <c i="170" r="C97"/>
  <c i="170" r="B97"/>
  <c i="170" r="A97"/>
  <c i="170" r="D96"/>
  <c i="170" r="C96"/>
  <c i="170" r="B96"/>
  <c i="170" r="A96"/>
  <c i="170" r="D95"/>
  <c i="170" r="C95"/>
  <c i="170" r="B95"/>
  <c i="170" r="A95"/>
  <c i="170" r="D94"/>
  <c i="170" r="C94"/>
  <c i="170" r="E94" s="1"/>
  <c i="170" r="B94"/>
  <c i="170" r="A94"/>
  <c i="170" r="C93"/>
  <c i="170" r="E93" s="1"/>
  <c i="170" r="B93"/>
  <c i="170" r="A93"/>
  <c i="170" r="C92"/>
  <c i="170" r="B92"/>
  <c i="170" r="A92"/>
  <c i="170" r="D92" s="1"/>
  <c i="170" r="C91"/>
  <c i="170" r="B91"/>
  <c i="170" r="A91"/>
  <c i="170" r="D91" s="1"/>
  <c i="170" r="C90"/>
  <c i="170" r="E90" s="1"/>
  <c i="170" r="B90"/>
  <c i="170" r="A90"/>
  <c i="170" r="D90" s="1"/>
  <c i="170" r="C89"/>
  <c i="170" r="E89" s="1"/>
  <c i="170" r="B89"/>
  <c i="170" r="A89"/>
  <c i="170" r="D89" s="1"/>
  <c i="170" r="B88"/>
  <c i="170" r="A88"/>
  <c i="170" r="C87"/>
  <c i="170" r="B87"/>
  <c i="170" r="A87"/>
  <c i="170" r="D87" s="1"/>
  <c i="170" r="C86"/>
  <c i="170" r="E86" s="1"/>
  <c i="170" r="B86"/>
  <c i="170" r="A86"/>
  <c i="170" r="D86" s="1"/>
  <c i="170" r="C85"/>
  <c i="170" r="B85"/>
  <c i="170" r="A85"/>
  <c i="170" r="D85" s="1"/>
  <c i="170" r="E85" s="1"/>
  <c i="170" r="B84"/>
  <c i="170" r="A84"/>
  <c i="170" r="B83"/>
  <c i="170" r="A83"/>
  <c i="170" r="C82"/>
  <c i="170" r="B82"/>
  <c i="170" r="A82"/>
  <c i="170" r="D82" s="1"/>
  <c i="170" r="C81"/>
  <c i="170" r="E81" s="1"/>
  <c i="170" r="B81"/>
  <c i="170" r="A81"/>
  <c i="170" r="D81" s="1"/>
  <c i="170" r="C80"/>
  <c i="170" r="B80"/>
  <c i="170" r="A80"/>
  <c i="170" r="D80" s="1"/>
  <c i="170" r="C79"/>
  <c i="170" r="B79"/>
  <c i="170" r="A79"/>
  <c i="170" r="D79" s="1"/>
  <c i="170" r="B78"/>
  <c i="170" r="A78"/>
  <c i="170" r="C77"/>
  <c i="170" r="E77" s="1"/>
  <c i="170" r="B77"/>
  <c i="170" r="A77"/>
  <c i="170" r="D77" s="1"/>
  <c i="170" r="C76"/>
  <c i="170" r="B76"/>
  <c i="170" r="A76"/>
  <c i="170" r="D76" s="1"/>
  <c i="170" r="E76" s="1"/>
  <c i="170" r="C75"/>
  <c i="170" r="B75"/>
  <c i="170" r="A75"/>
  <c i="170" r="D75" s="1"/>
  <c i="170" r="C74"/>
  <c i="170" r="E74" s="1"/>
  <c i="170" r="B74"/>
  <c i="170" r="A74"/>
  <c i="170" r="D74" s="1"/>
  <c i="170" r="B73"/>
  <c i="170" r="A73"/>
  <c i="170" r="C72"/>
  <c i="170" r="B72"/>
  <c i="170" r="A72"/>
  <c i="170" r="D72" s="1"/>
  <c i="170" r="E72" s="1"/>
  <c i="170" r="C71"/>
  <c i="170" r="B71"/>
  <c i="170" r="A71"/>
  <c i="170" r="D71" s="1"/>
  <c i="170" r="B70"/>
  <c i="170" r="A70"/>
  <c i="170" r="C69"/>
  <c i="170" r="B69"/>
  <c i="170" r="A69"/>
  <c i="170" r="D69" s="1"/>
  <c i="170" r="C68"/>
  <c i="170" r="B68"/>
  <c i="170" r="A68"/>
  <c i="170" r="D68" s="1"/>
  <c i="170" r="C67"/>
  <c i="170" r="B67"/>
  <c i="170" r="A67"/>
  <c i="170" r="D67" s="1"/>
  <c i="170" r="C66"/>
  <c i="170" r="B66"/>
  <c i="170" r="A66"/>
  <c i="170" r="D66" s="1"/>
  <c i="170" r="C65"/>
  <c i="170" r="B65"/>
  <c i="170" r="A65"/>
  <c i="170" r="D65" s="1"/>
  <c i="170" r="C64"/>
  <c i="170" r="B64"/>
  <c i="170" r="A64"/>
  <c i="170" r="D64" s="1"/>
  <c i="170" r="C63"/>
  <c i="170" r="B63"/>
  <c i="170" r="A63"/>
  <c i="170" r="D63" s="1"/>
  <c i="170" r="C62"/>
  <c i="170" r="B62"/>
  <c i="170" r="A62"/>
  <c i="170" r="D62" s="1"/>
  <c i="170" r="C61"/>
  <c i="170" r="B61"/>
  <c i="170" r="A61"/>
  <c i="170" r="D61" s="1"/>
  <c i="170" r="E61" s="1"/>
  <c i="170" r="C60"/>
  <c i="170" r="B60"/>
  <c i="170" r="A60"/>
  <c i="170" r="D60" s="1"/>
  <c i="170" r="C59"/>
  <c i="170" r="B59"/>
  <c i="170" r="A59"/>
  <c i="170" r="D59" s="1"/>
  <c i="170" r="B58"/>
  <c i="170" r="A58"/>
  <c i="170" r="B57"/>
  <c i="170" r="A57"/>
  <c i="170" r="C56"/>
  <c i="170" r="B56"/>
  <c i="170" r="A56"/>
  <c i="170" r="D56" s="1"/>
  <c i="170" r="E56" s="1"/>
  <c i="170" r="C55"/>
  <c i="170" r="B55"/>
  <c i="170" r="A55"/>
  <c i="170" r="D55" s="1"/>
  <c i="170" r="B54"/>
  <c i="170" r="A54"/>
  <c i="170" r="C53"/>
  <c i="170" r="B53"/>
  <c i="170" r="A53"/>
  <c i="170" r="D53" s="1"/>
  <c i="170" r="B52"/>
  <c i="170" r="A52"/>
  <c i="170" r="C51"/>
  <c i="170" r="B51"/>
  <c i="170" r="A51"/>
  <c i="170" r="D51" s="1"/>
  <c i="170" r="C50"/>
  <c i="170" r="B50"/>
  <c i="170" r="A50"/>
  <c i="170" r="D50" s="1"/>
  <c i="170" r="C49"/>
  <c i="170" r="B49"/>
  <c i="170" r="A49"/>
  <c i="170" r="D49" s="1"/>
  <c i="170" r="C48"/>
  <c i="170" r="B48"/>
  <c i="170" r="A48"/>
  <c i="170" r="D48" s="1"/>
  <c i="170" r="C47"/>
  <c i="170" r="B47"/>
  <c i="170" r="A47"/>
  <c i="170" r="D47" s="1"/>
  <c i="170" r="C46"/>
  <c i="170" r="B46"/>
  <c i="170" r="A46"/>
  <c i="170" r="D46" s="1"/>
  <c i="170" r="E46" s="1"/>
  <c i="170" r="C45"/>
  <c i="170" r="B45"/>
  <c i="170" r="A45"/>
  <c i="170" r="D45" s="1"/>
  <c i="170" r="C44"/>
  <c i="170" r="B44"/>
  <c i="170" r="A44"/>
  <c i="170" r="D44" s="1"/>
  <c i="170" r="B43"/>
  <c i="170" r="A43"/>
  <c i="170" r="C42"/>
  <c i="170" r="B42"/>
  <c i="170" r="A42"/>
  <c i="170" r="D42" s="1"/>
  <c i="170" r="C41"/>
  <c i="170" r="E41" s="1"/>
  <c i="170" r="B41"/>
  <c i="170" r="A41"/>
  <c i="170" r="D41" s="1"/>
  <c i="170" r="C40"/>
  <c i="170" r="B40"/>
  <c i="170" r="A40"/>
  <c i="170" r="D40" s="1"/>
  <c i="170" r="B39"/>
  <c i="170" r="A39"/>
  <c i="170" r="C38"/>
  <c i="170" r="B38"/>
  <c i="170" r="A38"/>
  <c i="170" r="D38" s="1"/>
  <c i="170" r="C37"/>
  <c i="170" r="B37"/>
  <c i="170" r="A37"/>
  <c i="170" r="D37" s="1"/>
  <c i="170" r="C36"/>
  <c i="170" r="B36"/>
  <c i="170" r="A36"/>
  <c i="170" r="D36" s="1"/>
  <c i="170" r="C35"/>
  <c i="170" r="B35"/>
  <c i="170" r="A35"/>
  <c i="170" r="D35" s="1"/>
  <c i="170" r="B34"/>
  <c i="170" r="A34"/>
  <c i="170" r="C33"/>
  <c i="170" r="B33"/>
  <c i="170" r="A33"/>
  <c i="170" r="D33" s="1"/>
  <c i="170" r="C32"/>
  <c i="170" r="B32"/>
  <c i="170" r="A32"/>
  <c i="170" r="D32" s="1"/>
  <c i="170" r="C31"/>
  <c i="170" r="B31"/>
  <c i="170" r="A31"/>
  <c i="170" r="D31" s="1"/>
  <c i="170" r="C30"/>
  <c i="170" r="B30"/>
  <c i="170" r="A30"/>
  <c i="170" r="D30" s="1"/>
  <c i="170" r="C29"/>
  <c i="170" r="B29"/>
  <c i="170" r="A29"/>
  <c i="170" r="D29" s="1"/>
  <c i="170" r="B28"/>
  <c i="170" r="A28"/>
  <c i="170" r="C27"/>
  <c i="170" r="B27"/>
  <c i="170" r="A27"/>
  <c i="170" r="D27" s="1"/>
  <c i="170" r="B26"/>
  <c i="170" r="A26"/>
  <c i="170" r="C25"/>
  <c i="170" r="B25"/>
  <c i="170" r="A25"/>
  <c i="170" r="D25" s="1"/>
  <c i="170" r="B24"/>
  <c i="170" r="A24"/>
  <c i="170" r="C23"/>
  <c i="170" r="B23"/>
  <c i="170" r="A23"/>
  <c i="170" r="D23" s="1"/>
  <c i="170" r="B22"/>
  <c i="170" r="A22"/>
  <c i="170" r="C21"/>
  <c i="170" r="B21"/>
  <c i="170" r="A21"/>
  <c i="170" r="D21" s="1"/>
  <c i="170" r="B20"/>
  <c i="170" r="A20"/>
  <c i="170" r="C19"/>
  <c i="170" r="B19"/>
  <c i="170" r="A19"/>
  <c i="170" r="D19" s="1"/>
  <c i="170" r="C18"/>
  <c i="170" r="B18"/>
  <c i="170" r="A18"/>
  <c i="170" r="D18" s="1"/>
  <c i="170" r="C17"/>
  <c i="170" r="B17"/>
  <c i="170" r="A17"/>
  <c i="170" r="D17" s="1"/>
  <c i="170" r="C16"/>
  <c i="170" r="E16" s="1"/>
  <c i="170" r="B16"/>
  <c i="170" r="A16"/>
  <c i="170" r="D16" s="1"/>
  <c i="170" r="C15"/>
  <c i="170" r="B15"/>
  <c i="170" r="A15"/>
  <c i="170" r="D15" s="1"/>
  <c i="170" r="C14"/>
  <c i="170" r="B14"/>
  <c i="170" r="A14"/>
  <c i="170" r="D14" s="1"/>
  <c i="170" r="C13"/>
  <c i="170" r="B13"/>
  <c i="170" r="A13"/>
  <c i="170" r="D13" s="1"/>
  <c i="170" r="C12"/>
  <c i="170" r="E12" s="1"/>
  <c i="170" r="B12"/>
  <c i="170" r="A12"/>
  <c i="170" r="D12" s="1"/>
  <c i="170" r="B11"/>
  <c i="170" r="A11"/>
  <c i="170" r="B10"/>
  <c i="170" r="A10"/>
  <c i="170" r="B9"/>
  <c i="170" r="A9"/>
  <c i="170" r="B8"/>
  <c i="170" r="A8"/>
  <c i="170" r="B2"/>
  <c i="170" r="B1"/>
  <c i="170" r="E266"/>
  <c i="170" r="E263"/>
  <c i="170" r="E247"/>
  <c i="170" r="E235"/>
  <c i="170" r="E227"/>
  <c i="170" r="E219"/>
  <c i="170" r="E218"/>
  <c i="170" r="E216"/>
  <c i="170" r="E211"/>
  <c i="170" r="E210"/>
  <c i="170" r="E209"/>
  <c i="170" r="E205"/>
  <c i="170" r="E202"/>
  <c i="170" r="E201"/>
  <c i="170" r="E194"/>
  <c i="170" r="E193"/>
  <c i="170" r="E185"/>
  <c i="170" r="E177"/>
  <c i="170" r="E174"/>
  <c i="170" r="E169"/>
  <c i="170" r="E166"/>
  <c i="170" r="E165"/>
  <c i="170" r="E158"/>
  <c i="170" r="E150"/>
  <c i="170" r="E145"/>
  <c i="170" r="E142"/>
  <c i="170" r="E138"/>
  <c i="170" r="E133"/>
  <c i="170" r="E130"/>
  <c i="170" r="E100"/>
  <c i="170" r="E67"/>
  <c i="170" r="E23"/>
  <c i="170" l="1" r="E62"/>
  <c i="170" r="E110"/>
  <c i="170" r="E119"/>
  <c i="170" r="E121"/>
  <c i="170" r="E123"/>
  <c i="170" r="E137"/>
  <c i="170" r="E139"/>
  <c i="170" r="E141"/>
  <c i="170" r="E171"/>
  <c i="170" r="E175"/>
  <c i="170" r="E199"/>
  <c i="170" r="E98"/>
  <c i="170" r="E13"/>
  <c i="170" r="E17"/>
  <c i="170" r="E32"/>
  <c i="170" r="E65"/>
  <c i="170" r="E69"/>
  <c i="170" r="E82"/>
  <c i="170" r="E103"/>
  <c i="170" r="E106"/>
  <c i="170" r="E122"/>
  <c i="170" r="E131"/>
  <c i="170" r="E167"/>
  <c i="170" r="E195"/>
  <c i="170" r="E222"/>
  <c i="170" r="E246"/>
  <c i="170" r="E262"/>
  <c i="170" r="E270"/>
  <c i="170" r="E15"/>
  <c i="170" r="E37"/>
  <c i="170" r="E21"/>
  <c i="170" r="E50"/>
  <c i="170" r="E14"/>
  <c i="170" r="E18"/>
  <c i="170" r="E30"/>
  <c i="170" r="E42"/>
  <c i="170" r="E75"/>
  <c i="170" r="E91"/>
  <c i="170" r="E104"/>
  <c i="170" r="E112"/>
  <c i="170" r="E116"/>
  <c i="170" r="E120"/>
  <c i="170" r="E124"/>
  <c i="170" r="E29"/>
  <c i="170" r="E36"/>
  <c i="170" r="E40"/>
  <c i="170" r="E45"/>
  <c i="170" r="E47"/>
  <c i="170" r="E48"/>
  <c i="170" r="E49"/>
  <c i="170" r="E53"/>
  <c i="170" r="E60"/>
  <c i="170" r="E95"/>
  <c i="170" r="E97"/>
  <c i="170" r="E25"/>
  <c i="170" r="E31"/>
  <c i="170" r="E33"/>
  <c i="170" r="E38"/>
  <c i="170" r="E44"/>
  <c i="170" r="E64"/>
  <c i="170" r="E68"/>
  <c i="170" r="E80"/>
  <c i="170" r="E92"/>
  <c i="170" r="E132"/>
  <c i="170" r="E136"/>
  <c i="170" r="E140"/>
  <c i="170" r="E144"/>
  <c i="170" r="E148"/>
  <c i="170" r="E152"/>
  <c i="170" r="E160"/>
  <c i="170" r="E164"/>
  <c i="170" r="E168"/>
  <c i="170" r="E172"/>
  <c i="170" r="E180"/>
  <c i="170" r="E184"/>
  <c i="170" r="E188"/>
  <c i="170" r="E192"/>
  <c i="170" r="E204"/>
  <c i="170" r="E208"/>
  <c i="170" r="E19"/>
  <c i="170" r="E27"/>
  <c i="170" r="E35"/>
  <c i="170" r="E51"/>
  <c i="170" r="E66"/>
  <c i="170" r="E59"/>
  <c i="170" r="E55"/>
  <c i="170" r="E63"/>
  <c i="170" r="E71"/>
  <c i="170" r="E79"/>
  <c i="170" r="E87"/>
  <c i="170" r="E96"/>
  <c i="170" r="E107"/>
  <c i="170" r="E109"/>
  <c i="170" r="E224"/>
  <c i="170" r="E229"/>
  <c i="170" r="E232"/>
  <c i="170" r="E233"/>
  <c i="170" r="E236"/>
  <c i="170" r="E237"/>
  <c i="170" r="E240"/>
  <c i="170" r="E241"/>
  <c i="170" r="E244"/>
  <c i="170" r="E245"/>
  <c i="170" r="E249"/>
  <c i="170" r="E252"/>
  <c i="170" r="E256"/>
  <c i="170" r="E257"/>
  <c i="170" r="E261"/>
  <c i="170" r="E264"/>
  <c i="170" r="E265"/>
  <c i="170" r="E268"/>
  <c i="170" r="E269"/>
  <c i="170" r="E273"/>
  <c i="105" l="1" r="D16"/>
  <c i="105" r="D14"/>
  <c i="105" l="1" r="C47"/>
  <c i="194" l="1" r="F11"/>
  <c i="194" r="F12"/>
  <c i="194" r="F13"/>
  <c i="194" r="F14"/>
  <c i="194" r="F15"/>
  <c i="194" r="F16"/>
  <c i="194" r="F17"/>
  <c i="194" r="F18"/>
  <c i="194" r="F19"/>
  <c i="194" r="F20"/>
  <c i="194" r="F21"/>
  <c i="194" r="F22"/>
  <c i="194" r="F23"/>
  <c i="194" r="F24"/>
  <c i="194" r="F25"/>
  <c i="194" r="F26"/>
  <c i="194" r="F27"/>
  <c i="194" r="F28"/>
  <c i="194" r="F29"/>
  <c i="194" r="F30"/>
  <c i="194" r="F31"/>
  <c i="194" r="F32"/>
  <c i="194" r="F33"/>
  <c i="194" r="F34"/>
  <c i="194" r="F35"/>
  <c i="194" r="F36"/>
  <c i="194" r="F37"/>
  <c i="194" r="F38"/>
  <c i="194" r="F39"/>
  <c i="194" r="F40"/>
  <c i="194" r="F41"/>
  <c i="194" r="F42"/>
  <c i="194" r="F43"/>
  <c i="194" r="F44"/>
  <c i="194" r="F45"/>
  <c i="194" r="F46"/>
  <c i="194" r="F47"/>
  <c i="194" r="F48"/>
  <c i="194" r="F49"/>
  <c i="194" r="F50"/>
  <c i="194" r="F51"/>
  <c i="194" r="F52"/>
  <c i="194" r="F53"/>
  <c i="194" r="F54"/>
  <c i="194" r="F55"/>
  <c i="194" r="F56"/>
  <c i="194" r="F57"/>
  <c i="194" r="F58"/>
  <c i="194" r="F59"/>
  <c i="194" r="F60"/>
  <c i="194" r="F61"/>
  <c i="194" r="F62"/>
  <c i="194" r="F63"/>
  <c i="194" r="F64"/>
  <c i="194" r="F65"/>
  <c i="194" r="F66"/>
  <c i="194" r="F67"/>
  <c i="194" r="F68"/>
  <c i="194" r="F69"/>
  <c i="194" r="F70"/>
  <c i="194" r="F71"/>
  <c i="194" r="F72"/>
  <c i="194" r="F73"/>
  <c i="194" r="F74"/>
  <c i="194" r="F75"/>
  <c i="194" r="F76"/>
  <c i="194" r="F77"/>
  <c i="194" r="F78"/>
  <c i="194" r="F79"/>
  <c i="194" r="F80"/>
  <c i="194" r="F81"/>
  <c i="194" r="F82"/>
  <c i="194" r="F83"/>
  <c i="194" r="F84"/>
  <c i="194" r="F85"/>
  <c i="194" r="F86"/>
  <c i="194" r="F87"/>
  <c i="194" r="F88"/>
  <c i="194" r="F89"/>
  <c i="194" r="F90"/>
  <c i="194" r="F91"/>
  <c i="194" r="F92"/>
  <c i="194" r="F93"/>
  <c i="194" r="F94"/>
  <c i="194" r="F95"/>
  <c i="194" r="F96"/>
  <c i="194" r="F97"/>
  <c i="194" r="F98"/>
  <c i="194" r="F99"/>
  <c i="194" r="F100"/>
  <c i="194" r="F101"/>
  <c i="194" r="F102"/>
  <c i="194" r="F103"/>
  <c i="194" r="F104"/>
  <c i="194" r="F105"/>
  <c i="194" r="F106"/>
  <c i="194" r="F107"/>
  <c i="194" r="F108"/>
  <c i="194" r="F109"/>
  <c i="194" r="F110"/>
  <c i="194" r="F111"/>
  <c i="194" r="F112"/>
  <c i="194" r="F113"/>
  <c i="194" r="F114"/>
  <c i="194" r="F10"/>
  <c i="105" l="1" r="C46"/>
  <c i="194" r="A11"/>
  <c i="194" r="A12" s="1"/>
  <c i="194" r="A13" s="1"/>
  <c i="194" r="A14" s="1"/>
  <c i="194" r="A15" s="1"/>
  <c i="194" r="A16" s="1"/>
  <c i="194" r="A17" s="1"/>
  <c i="194" r="A18" s="1"/>
  <c i="194" r="A19" s="1"/>
  <c i="194" r="A20" s="1"/>
  <c i="194" r="A21" s="1"/>
  <c i="194" r="A22" s="1"/>
  <c i="194" r="A23" s="1"/>
  <c i="194" r="A24" s="1"/>
  <c i="194" r="A25" s="1"/>
  <c i="194" r="A26" s="1"/>
  <c i="194" r="A27" s="1"/>
  <c i="194" r="A28" s="1"/>
  <c i="194" r="A29" s="1"/>
  <c i="194" r="A30" s="1"/>
  <c i="194" r="A31" s="1"/>
  <c i="194" r="A32" s="1"/>
  <c i="194" r="A33" s="1"/>
  <c i="194" r="A34" s="1"/>
  <c i="194" r="A35" s="1"/>
  <c i="194" r="A36" s="1"/>
  <c i="194" r="A37" s="1"/>
  <c i="194" r="A38" s="1"/>
  <c i="194" r="A39" s="1"/>
  <c i="194" r="A40" s="1"/>
  <c i="194" r="A41" s="1"/>
  <c i="194" r="A42" s="1"/>
  <c i="194" r="A43" s="1"/>
  <c i="194" r="A44" s="1"/>
  <c i="194" r="A45" s="1"/>
  <c i="194" r="A46" s="1"/>
  <c i="194" r="A47" s="1"/>
  <c i="194" r="A48" s="1"/>
  <c i="194" r="A49" s="1"/>
  <c i="194" r="A50" s="1"/>
  <c i="194" r="A51" s="1"/>
  <c i="194" r="A52" s="1"/>
  <c i="113" l="1" r="M18"/>
  <c i="113" r="M17"/>
  <c i="113" r="M16"/>
  <c i="113" r="M15"/>
  <c i="113" r="M14"/>
  <c i="113" r="M13"/>
  <c i="113" r="M12"/>
  <c i="113" r="M11"/>
  <c i="113" r="N18"/>
  <c i="113" r="N17"/>
  <c i="113" r="N16"/>
  <c i="113" r="N15"/>
  <c i="113" r="N14"/>
  <c i="113" r="N13"/>
  <c i="113" r="N12"/>
  <c i="113" r="N11"/>
  <c i="113" l="1" r="K13"/>
  <c i="105" l="1" r="C36"/>
  <c i="105" r="D37"/>
  <c i="105" r="C29"/>
  <c i="105" r="C30"/>
  <c i="105" r="C31"/>
  <c i="53" l="1" r="E61"/>
  <c i="53" r="F61"/>
  <c i="53" r="H61"/>
  <c i="53" r="I61"/>
  <c i="53" r="E62"/>
  <c i="53" r="F62"/>
  <c i="53" r="H62"/>
  <c i="53" r="I62"/>
  <c i="53" r="E63"/>
  <c i="53" r="F63"/>
  <c i="53" r="H63"/>
  <c i="53" r="I63"/>
  <c i="53" r="E64"/>
  <c i="53" r="F64"/>
  <c i="53" r="H64"/>
  <c i="53" r="I64"/>
  <c i="53" r="G57"/>
  <c i="53" r="D40"/>
  <c i="53" r="D37"/>
  <c i="53" r="B57"/>
  <c i="53" r="G41"/>
  <c i="53" r="D44"/>
  <c i="53" r="D41"/>
  <c i="53" r="B41"/>
  <c i="53" r="G33"/>
  <c i="53" r="G29"/>
  <c i="53" r="G25"/>
  <c i="53" r="D36"/>
  <c i="53" r="D33"/>
  <c i="53" r="B33"/>
  <c i="53" r="D32"/>
  <c i="53" r="D29"/>
  <c i="53" r="B29"/>
  <c i="53" r="D28"/>
  <c i="53" r="D25"/>
  <c i="53" r="B25"/>
  <c i="53" r="G53"/>
  <c i="53" r="G49"/>
  <c i="53" r="G37"/>
  <c i="53" r="G45"/>
  <c i="53" r="G21"/>
  <c i="53" r="G17"/>
  <c i="53" r="G13"/>
  <c i="53" l="1" r="G9"/>
  <c i="53" r="G61" s="1"/>
  <c i="105" l="1" r="G66"/>
  <c i="105" r="G61"/>
  <c i="105" r="F58"/>
  <c i="105" r="F59"/>
  <c i="105" r="H66"/>
  <c i="105" r="H65"/>
  <c i="105" r="H64"/>
  <c i="105" r="H63"/>
  <c i="105" r="H62"/>
  <c i="105" r="H61"/>
  <c i="105" r="H60"/>
  <c i="105" r="H59"/>
  <c i="105" r="H58"/>
  <c i="105" r="I66"/>
  <c i="105" r="I65"/>
  <c i="105" r="I64"/>
  <c i="105" r="I63"/>
  <c i="105" r="I62"/>
  <c i="105" r="I61"/>
  <c i="105" r="I60"/>
  <c i="105" r="I59"/>
  <c i="105" r="I58"/>
  <c i="105" r="G65"/>
  <c i="105" r="G64"/>
  <c i="105" r="G63"/>
  <c i="105" r="G62"/>
  <c i="105" r="G60"/>
  <c i="105" r="G59"/>
  <c i="105" r="G58"/>
  <c i="105" r="L66"/>
  <c i="105" r="K66"/>
  <c i="105" r="J66"/>
  <c i="105" r="L65"/>
  <c i="105" r="K65"/>
  <c i="105" r="J65"/>
  <c i="105" r="L64"/>
  <c i="105" r="K64"/>
  <c i="105" r="J64"/>
  <c i="105" r="L63"/>
  <c i="105" r="K63"/>
  <c i="105" r="J63"/>
  <c i="105" r="L62"/>
  <c i="105" r="K62"/>
  <c i="105" r="J62"/>
  <c i="105" r="L61"/>
  <c i="105" r="K61"/>
  <c i="105" r="J61"/>
  <c i="105" r="L60"/>
  <c i="105" r="K60"/>
  <c i="105" r="J60"/>
  <c i="105" r="L59"/>
  <c i="105" r="K59"/>
  <c i="105" r="J59"/>
  <c i="105" r="L58"/>
  <c i="105" r="K58"/>
  <c i="105" r="J58"/>
  <c i="105" r="F66"/>
  <c i="105" r="F65"/>
  <c i="105" r="F64"/>
  <c i="105" r="F63"/>
  <c i="105" r="F62"/>
  <c i="105" r="F61"/>
  <c i="105" r="F60"/>
  <c i="105" r="D59"/>
  <c i="105" r="D60"/>
  <c i="105" r="D61"/>
  <c i="105" r="D62"/>
  <c i="105" r="D63"/>
  <c i="105" r="D64"/>
  <c i="105" r="D65"/>
  <c i="105" r="D58"/>
  <c i="105" l="1" r="H67"/>
  <c i="105" r="C41" s="1"/>
  <c i="105" r="F67"/>
  <c i="105" r="G67"/>
  <c i="73" l="1" r="A27"/>
  <c i="93" r="A19"/>
  <c i="93" r="A20"/>
  <c i="93" r="A21"/>
  <c i="93" r="A22"/>
  <c i="93" r="A18"/>
  <c i="92" r="A22"/>
  <c i="92" r="A19"/>
  <c i="92" r="A20"/>
  <c i="92" r="A21"/>
  <c i="92" r="A23"/>
  <c i="92" r="A24"/>
  <c i="92" r="A18"/>
  <c i="91" r="A19"/>
  <c i="91" r="A20"/>
  <c i="91" r="A21"/>
  <c i="91" r="A22"/>
  <c i="91" r="A23"/>
  <c i="91" r="A24"/>
  <c i="91" r="A25"/>
  <c i="91" r="A26"/>
  <c i="91" r="A18"/>
  <c i="90" r="A40"/>
  <c i="90" r="A32"/>
  <c i="90" r="A33"/>
  <c i="90" r="A34"/>
  <c i="90" r="A35"/>
  <c i="90" r="A36"/>
  <c i="90" r="A37"/>
  <c i="90" r="A38"/>
  <c i="90" r="A39"/>
  <c i="90" r="A31"/>
  <c i="88" r="A20"/>
  <c i="88" r="A21"/>
  <c i="88" r="A22"/>
  <c i="88" r="A23"/>
  <c i="88" r="A24"/>
  <c i="88" r="A25"/>
  <c i="88" r="A26"/>
  <c i="88" r="A27"/>
  <c i="88" r="A28"/>
  <c i="88" r="A29"/>
  <c i="86" r="A25"/>
  <c i="86" r="A26"/>
  <c i="86" r="A27"/>
  <c i="86" r="A28"/>
  <c i="86" r="A29"/>
  <c i="86" r="A30"/>
  <c i="86" r="A31"/>
  <c i="86" r="A32"/>
  <c i="86" r="A33"/>
  <c i="86" r="A34"/>
  <c i="86" r="A35"/>
  <c i="86" r="A36"/>
  <c i="86" r="A24"/>
  <c i="84" r="A24"/>
  <c i="84" r="A25"/>
  <c i="84" r="A26"/>
  <c i="84" r="A27"/>
  <c i="84" r="A28"/>
  <c i="84" r="A29"/>
  <c i="84" r="A30"/>
  <c i="84" r="A31"/>
  <c i="84" r="A32"/>
  <c i="84" r="A33"/>
  <c i="84" r="A34"/>
  <c i="84" r="A35"/>
  <c i="84" r="A23"/>
  <c i="83" r="A25"/>
  <c i="83" r="A26"/>
  <c i="83" r="A27"/>
  <c i="83" r="A28"/>
  <c i="83" r="A29"/>
  <c i="73" r="A28"/>
  <c i="73" r="A29"/>
  <c i="73" r="A30"/>
  <c i="73" r="A31"/>
  <c i="73" r="A32"/>
  <c i="73" r="A33"/>
  <c i="73" r="A34"/>
  <c i="73" r="E31"/>
  <c i="73" r="E30"/>
  <c i="105" l="1" r="C28"/>
  <c i="105" r="C32"/>
  <c i="105" r="C27"/>
  <c i="105" r="C23"/>
  <c i="105" r="C22"/>
  <c i="105" r="C21"/>
  <c i="105" r="C20"/>
  <c i="105" r="C19"/>
  <c i="194" r="B225"/>
  <c i="194" r="B222"/>
  <c i="194" r="D219"/>
  <c i="194" r="B219"/>
  <c i="194" r="D216"/>
  <c i="194" r="B216"/>
  <c i="194" r="D213"/>
  <c i="194" r="B213"/>
  <c i="113" l="1" r="K18"/>
  <c i="113" r="K17"/>
  <c i="113" r="K16"/>
  <c i="113" r="K12"/>
  <c i="113" r="K11"/>
  <c i="113" l="1" r="K19"/>
  <c i="105" r="C38" s="1"/>
  <c i="37" r="C1112"/>
  <c i="37" r="D1112" s="1"/>
  <c i="37" r="D1061"/>
  <c i="37" r="D1062"/>
  <c i="37" r="D1063"/>
  <c i="37" r="D1064"/>
  <c i="37" r="D1065"/>
  <c i="37" r="D1066"/>
  <c i="37" r="D1067"/>
  <c i="37" r="D1068"/>
  <c i="37" r="D1060"/>
  <c i="37" r="C5"/>
  <c i="37" r="D5" s="1"/>
  <c i="37" r="C6"/>
  <c i="37" r="D6" s="1"/>
  <c i="37" r="C7"/>
  <c i="37" r="D7" s="1"/>
  <c i="37" r="C8"/>
  <c i="37" r="D8" s="1"/>
  <c i="37" r="C3"/>
  <c i="37" l="1" r="D3"/>
  <c i="168" r="M16"/>
  <c i="168" r="L16"/>
  <c i="168" r="K16"/>
  <c i="168" r="J16"/>
  <c i="168" r="I16"/>
  <c i="168" r="F16"/>
  <c i="168" r="E16"/>
  <c i="168" r="D16"/>
  <c i="168" r="C16"/>
  <c i="168" r="B16"/>
  <c i="168" r="B35" s="1"/>
  <c i="168" r="M15"/>
  <c i="168" r="L15"/>
  <c i="168" r="K15"/>
  <c i="168" r="J15"/>
  <c i="168" r="I15"/>
  <c i="168" r="F15"/>
  <c i="168" r="E15"/>
  <c i="168" r="D15"/>
  <c i="168" r="C15"/>
  <c i="168" r="B15"/>
  <c i="168" r="M14"/>
  <c i="168" r="L14"/>
  <c i="168" r="K14"/>
  <c i="168" r="J14"/>
  <c i="168" r="I14"/>
  <c i="168" r="F14"/>
  <c i="168" r="E14"/>
  <c i="168" r="D14"/>
  <c i="168" r="C14"/>
  <c i="168" r="B14"/>
  <c i="168" r="B33" s="1"/>
  <c i="168" r="M13"/>
  <c i="168" r="L13"/>
  <c i="168" r="K13"/>
  <c i="168" r="J13"/>
  <c i="168" r="I13"/>
  <c i="168" r="F13"/>
  <c i="168" r="E13"/>
  <c i="168" r="D13"/>
  <c i="168" r="C13"/>
  <c i="168" r="B13"/>
  <c i="168" r="M12"/>
  <c i="168" r="L12"/>
  <c i="168" r="K12"/>
  <c i="168" r="J12"/>
  <c i="168" r="I12"/>
  <c i="168" r="F12"/>
  <c i="168" r="E12"/>
  <c i="168" r="D12"/>
  <c i="168" r="C12"/>
  <c i="168" r="B12"/>
  <c i="168" r="B31" s="1"/>
  <c i="168" r="M11"/>
  <c i="168" r="L11"/>
  <c i="168" r="K11"/>
  <c i="168" r="J11"/>
  <c i="168" r="I11"/>
  <c i="168" r="F11"/>
  <c i="168" r="E11"/>
  <c i="168" r="D11"/>
  <c i="168" r="C11"/>
  <c i="168" r="B11"/>
  <c i="168" r="M10"/>
  <c i="168" r="L10"/>
  <c i="168" r="K10"/>
  <c i="168" r="J10"/>
  <c i="168" r="I10"/>
  <c i="168" r="F10"/>
  <c i="168" r="E10"/>
  <c i="168" r="D10"/>
  <c i="168" r="C10"/>
  <c i="168" r="G10" s="1"/>
  <c i="168" r="B10"/>
  <c i="168" r="B29" s="1"/>
  <c i="168" r="M9"/>
  <c i="168" r="L9"/>
  <c i="168" r="K9"/>
  <c i="168" r="J9"/>
  <c i="168" r="I9"/>
  <c i="168" r="F9"/>
  <c i="168" r="E9"/>
  <c i="168" r="D9"/>
  <c i="168" r="C9"/>
  <c i="168" r="B9"/>
  <c i="168" r="M8"/>
  <c i="168" r="L8"/>
  <c i="168" r="K8"/>
  <c i="168" r="J8"/>
  <c i="168" r="I8"/>
  <c i="168" r="F8"/>
  <c i="168" r="E8"/>
  <c i="168" r="D8"/>
  <c i="168" r="C8"/>
  <c i="168" r="B8"/>
  <c i="168" r="B27" s="1"/>
  <c i="168" r="M7"/>
  <c i="168" r="L7"/>
  <c i="168" r="K7"/>
  <c i="168" r="J7"/>
  <c i="168" r="I7"/>
  <c i="168" r="F7"/>
  <c i="168" r="E7"/>
  <c i="168" r="D7"/>
  <c i="168" r="C7"/>
  <c i="168" r="B7"/>
  <c i="168" r="M6"/>
  <c i="168" r="L6"/>
  <c i="168" r="K6"/>
  <c i="168" r="J6"/>
  <c i="168" r="I6"/>
  <c i="168" r="F6"/>
  <c i="168" r="E6"/>
  <c i="168" r="D6"/>
  <c i="168" r="C6"/>
  <c i="168" r="B6"/>
  <c i="168" r="B25" s="1"/>
  <c i="168" r="M5"/>
  <c i="168" r="L5"/>
  <c i="168" r="K5"/>
  <c i="168" r="J5"/>
  <c i="168" r="I5"/>
  <c i="168" r="F5"/>
  <c i="168" r="E5"/>
  <c i="168" r="D5"/>
  <c i="168" r="C5"/>
  <c i="168" r="B5"/>
  <c i="168" r="B24" s="1"/>
  <c i="168" r="C2"/>
  <c i="168" r="C1"/>
  <c i="168" r="A36"/>
  <c i="168" r="A35"/>
  <c i="168" r="D35" s="1"/>
  <c i="168" r="A34"/>
  <c i="168" r="D34" s="1"/>
  <c i="168" r="A33"/>
  <c i="168" r="D33" s="1"/>
  <c i="168" r="B32"/>
  <c i="168" r="A32"/>
  <c i="168" r="D32" s="1"/>
  <c i="168" r="A31"/>
  <c i="168" r="D31" s="1"/>
  <c i="168" r="A30"/>
  <c i="168" r="D30" s="1"/>
  <c i="168" r="A29"/>
  <c i="168" r="D29" s="1"/>
  <c i="168" r="B28"/>
  <c i="168" r="A28"/>
  <c i="168" r="D28" s="1"/>
  <c i="168" r="A27"/>
  <c i="168" r="D27" s="1"/>
  <c i="168" r="A26"/>
  <c i="168" r="D26" s="1"/>
  <c i="168" r="A25"/>
  <c i="168" r="D25" s="1"/>
  <c i="168" r="A24"/>
  <c i="168" r="D24" s="1"/>
  <c i="168" r="B34"/>
  <c i="168" r="B30"/>
  <c i="168" r="B26"/>
  <c i="168" r="H4"/>
  <c i="168" r="G4"/>
  <c i="168" r="F4"/>
  <c i="168" r="E4"/>
  <c i="168" l="1" r="J17"/>
  <c i="168" r="H7"/>
  <c i="168" r="H9"/>
  <c i="168" r="H11"/>
  <c i="168" r="H13"/>
  <c i="168" r="H15"/>
  <c i="168" r="G12"/>
  <c i="168" r="G14"/>
  <c i="168" r="G15"/>
  <c i="168" r="H5"/>
  <c i="168" r="E17"/>
  <c i="168" r="G7"/>
  <c i="168" r="G8"/>
  <c i="168" r="G9"/>
  <c i="168" r="G11"/>
  <c i="168" r="G13"/>
  <c i="168" r="G16"/>
  <c i="168" r="K17"/>
  <c i="168" r="K19" s="1"/>
  <c i="168" r="D36"/>
  <c i="168" r="H8"/>
  <c i="168" r="C26"/>
  <c i="168" r="C30"/>
  <c i="168" r="C34"/>
  <c i="168" r="C27"/>
  <c i="168" r="C31"/>
  <c i="168" r="C35"/>
  <c i="168" r="C28"/>
  <c i="168" r="C32"/>
  <c i="168" r="C25"/>
  <c i="168" r="C29"/>
  <c i="168" r="C33"/>
  <c i="168" r="C24"/>
  <c i="168" r="B17"/>
  <c i="168" r="B36" s="1"/>
  <c i="168" r="F17"/>
  <c i="168" r="L17"/>
  <c i="168" r="H6"/>
  <c i="168" r="I17"/>
  <c i="168" r="I18" s="1"/>
  <c i="168" r="G6"/>
  <c i="168" r="H10"/>
  <c i="168" r="H12"/>
  <c i="168" r="H14"/>
  <c i="168" r="H16"/>
  <c i="168" r="C17"/>
  <c i="168" r="J19"/>
  <c i="168" r="J18"/>
  <c i="168" r="D17"/>
  <c i="168" r="G5"/>
  <c i="193" r="D7"/>
  <c i="193" r="D5"/>
  <c i="192" r="D7"/>
  <c i="192" r="D5"/>
  <c i="168" l="1" r="K18"/>
  <c i="168" r="C36"/>
  <c i="168" r="I19"/>
  <c i="168" r="H17"/>
  <c i="168" r="G17"/>
  <c i="105" r="C25"/>
  <c i="105" l="1" r="C18"/>
  <c i="113" l="1" r="F12"/>
  <c i="113" r="F11"/>
  <c i="112" r="C49"/>
  <c i="112" r="B46"/>
  <c i="112" r="C46"/>
  <c i="112" r="B45"/>
  <c i="112" r="C45"/>
  <c i="112" r="B39"/>
  <c i="112" r="C39"/>
  <c i="112" r="B40"/>
  <c i="112" r="C40"/>
  <c i="112" r="C41"/>
  <c i="112" r="C42"/>
  <c i="112" r="B43"/>
  <c i="112" r="C43"/>
  <c i="112" r="B44"/>
  <c i="112" r="C44"/>
  <c i="112" r="C34"/>
  <c i="112" r="C37"/>
  <c i="112" r="B38"/>
  <c i="112" r="C38"/>
  <c i="112" r="C32"/>
  <c i="112" r="C33"/>
  <c i="112" r="C23"/>
  <c i="112" r="C24"/>
  <c i="112" r="C27"/>
  <c i="112" r="C28"/>
  <c i="112" r="C31"/>
  <c i="112" r="C15"/>
  <c i="112" r="C16"/>
  <c i="112" r="C17"/>
  <c i="112" r="C18"/>
  <c i="112" r="C19"/>
  <c i="112" r="C20"/>
  <c i="112" r="C10"/>
  <c i="112" r="C11"/>
  <c i="112" r="C12"/>
  <c i="112" r="C13"/>
  <c i="112" r="C14"/>
  <c i="112" r="C9"/>
  <c i="114" l="1" r="B42"/>
  <c i="114" r="B39"/>
  <c i="83" r="A49"/>
  <c i="83" r="A46"/>
  <c i="60" r="B50"/>
  <c i="60" r="B47"/>
  <c i="59" r="B68"/>
  <c i="59" r="B65"/>
  <c i="57" r="B47"/>
  <c i="57" r="B44"/>
  <c i="56" r="B44"/>
  <c i="56" r="B41"/>
  <c i="55" r="B44"/>
  <c i="55" r="B41"/>
  <c i="53" r="D78"/>
  <c i="53" r="D75"/>
  <c i="51" r="C84"/>
  <c i="51" r="C81"/>
  <c i="49" r="B40"/>
  <c i="49" r="B37"/>
  <c i="75" r="A31"/>
  <c i="75" r="A28"/>
  <c i="74" r="A32"/>
  <c i="74" r="A29"/>
  <c i="131" r="B24"/>
  <c i="131" r="B21"/>
  <c i="139" r="A38"/>
  <c i="139" r="A35"/>
  <c i="65" r="A41"/>
  <c i="65" r="A38"/>
  <c i="64" r="A33"/>
  <c i="64" r="A30"/>
  <c i="129" r="B44"/>
  <c i="129" r="B41"/>
  <c i="180" r="A80"/>
  <c i="180" r="A77"/>
  <c i="126" r="B32"/>
  <c i="126" r="B29"/>
  <c i="134" r="A27"/>
  <c i="134" r="A24"/>
  <c i="124" r="A31"/>
  <c i="124" r="A28"/>
  <c i="123" r="A32"/>
  <c i="123" r="A29"/>
  <c i="122" r="A33"/>
  <c i="122" r="A30"/>
  <c i="121" r="A31"/>
  <c i="121" r="A28"/>
  <c i="120" r="A34"/>
  <c i="120" r="A31"/>
  <c i="119" r="A35"/>
  <c i="119" r="A32"/>
  <c i="118" r="A32"/>
  <c i="118" r="A29"/>
  <c i="117" r="A31"/>
  <c i="117" r="A28"/>
  <c i="173" r="B42"/>
  <c i="173" r="B39"/>
  <c i="115" r="B112"/>
  <c i="115" r="B109"/>
  <c i="116" r="B47"/>
  <c i="116" r="B44"/>
  <c i="113" r="B33"/>
  <c i="113" r="B30"/>
  <c i="111" r="A206"/>
  <c i="111" r="A203"/>
  <c i="112" r="A78"/>
  <c i="112" r="A75"/>
  <c i="110" r="A39"/>
  <c i="110" r="A36"/>
  <c i="108" r="A26"/>
  <c i="108" r="A23"/>
  <c i="109" r="B35"/>
  <c i="109" r="B32"/>
  <c i="135" r="A54"/>
  <c i="135" r="A48"/>
  <c i="135" r="A51"/>
  <c i="135" r="A45"/>
  <c i="113" l="1" r="D13"/>
  <c i="113" r="D14"/>
  <c i="113" r="D15"/>
  <c i="113" r="D16"/>
  <c i="113" r="D17"/>
  <c i="113" r="D18"/>
  <c i="113" r="D12"/>
  <c i="113" r="D11"/>
  <c i="113" r="D10"/>
  <c i="180" l="1" r="F64"/>
  <c i="180" r="F63"/>
  <c i="180" r="F62"/>
  <c i="180" r="F61"/>
  <c i="180" r="F60"/>
  <c i="180" r="F57"/>
  <c i="180" r="F56"/>
  <c i="180" r="F55"/>
  <c i="180" r="F54"/>
  <c i="180" r="F53"/>
  <c i="180" r="F52"/>
  <c i="180" r="F51"/>
  <c i="180" r="F50"/>
  <c i="180" r="F49"/>
  <c i="180" r="F48"/>
  <c i="180" r="F47"/>
  <c i="180" r="F46"/>
  <c i="180" r="F45"/>
  <c i="180" r="F44"/>
  <c i="180" r="F43"/>
  <c i="180" r="F41"/>
  <c i="180" r="F40"/>
  <c i="180" r="F39"/>
  <c i="180" r="F38"/>
  <c i="180" r="F37"/>
  <c i="180" r="F36"/>
  <c i="180" r="F35"/>
  <c i="180" r="F34"/>
  <c i="180" r="F33"/>
  <c i="180" r="F32"/>
  <c i="180" r="F31"/>
  <c i="144" l="1" r="C42"/>
  <c i="144" r="B38"/>
  <c i="144" r="A40"/>
  <c i="144" r="B39"/>
  <c i="144" r="B2"/>
  <c i="191" l="1" r="F16"/>
  <c i="191" r="H27"/>
  <c i="113" r="E10"/>
  <c i="191" r="B44"/>
  <c i="191" r="B45"/>
  <c i="191" r="B48"/>
  <c i="191" r="B49"/>
  <c i="191" r="B52"/>
  <c i="191" r="B53"/>
  <c i="191" r="B5"/>
  <c i="191" r="B4"/>
  <c i="191" l="1" r="F9"/>
  <c i="176" l="1" r="L9"/>
  <c i="183" r="H6" s="1"/>
  <c i="176" r="L10"/>
  <c i="176" r="L11"/>
  <c i="176" r="L12"/>
  <c i="176" r="L13"/>
  <c i="176" r="L14"/>
  <c i="176" r="L15"/>
  <c i="176" r="L16"/>
  <c i="176" r="M9"/>
  <c i="183" r="D8" s="1"/>
  <c i="176" r="M10"/>
  <c i="176" r="M11"/>
  <c i="176" r="M12"/>
  <c i="176" r="M13"/>
  <c i="176" r="M14"/>
  <c i="176" r="M15"/>
  <c i="176" r="M16"/>
  <c i="182" r="E11"/>
  <c i="176" r="M8"/>
  <c i="182" r="D10" s="1"/>
  <c i="182" r="E12"/>
  <c i="176" r="L8"/>
  <c i="182" r="G8" s="1"/>
  <c i="183" r="E9"/>
  <c i="183" r="E10"/>
  <c i="37" l="1" r="C1085"/>
  <c i="37" r="D1085" s="1"/>
  <c i="37" r="C1086"/>
  <c i="37" r="D1086" s="1"/>
  <c i="37" r="C1087"/>
  <c i="37" r="D1087" s="1"/>
  <c i="37" r="C1088"/>
  <c i="37" r="D1088" s="1"/>
  <c i="37" r="C1089"/>
  <c i="37" r="D1089" s="1"/>
  <c i="37" r="C1090"/>
  <c i="37" r="D1090" s="1"/>
  <c i="37" r="C1091"/>
  <c i="37" r="D1091" s="1"/>
  <c i="37" r="C1092"/>
  <c i="37" r="D1092" s="1"/>
  <c i="37" r="C1093"/>
  <c i="37" r="D1093" s="1"/>
  <c i="37" r="C1094"/>
  <c i="37" r="D1094" s="1"/>
  <c i="37" r="C1095"/>
  <c i="37" r="D1095" s="1"/>
  <c i="37" r="C1096"/>
  <c i="37" r="D1096" s="1"/>
  <c i="37" r="C1097"/>
  <c i="37" r="D1097" s="1"/>
  <c i="37" r="C1098"/>
  <c i="37" r="D1098" s="1"/>
  <c i="37" r="C1099"/>
  <c i="37" r="D1099" s="1"/>
  <c i="37" r="C1100"/>
  <c i="37" r="D1100" s="1"/>
  <c i="37" r="C1101"/>
  <c i="37" r="D1101" s="1"/>
  <c i="37" r="C1102"/>
  <c i="37" r="D1102" s="1"/>
  <c i="37" r="C1103"/>
  <c i="37" r="D1103" s="1"/>
  <c i="37" r="C1104"/>
  <c i="37" r="D1104" s="1"/>
  <c i="37" r="C1105"/>
  <c i="37" r="D1105" s="1"/>
  <c i="37" r="C1106"/>
  <c i="37" r="D1106" s="1"/>
  <c i="37" r="C1107"/>
  <c i="37" r="D1107" s="1"/>
  <c i="37" r="C1108"/>
  <c i="37" r="D1108" s="1"/>
  <c i="37" r="C1109"/>
  <c i="37" r="D1109" s="1"/>
  <c i="37" r="C1110"/>
  <c i="37" r="D1110" s="1"/>
  <c i="37" r="C1111"/>
  <c i="37" r="D1111" s="1"/>
  <c i="37" r="C1113"/>
  <c i="37" r="D1113" s="1"/>
  <c i="37" r="C1114"/>
  <c i="37" r="D1114" s="1"/>
  <c i="37" r="C1115"/>
  <c i="37" r="D1115" s="1"/>
  <c i="37" r="C1116"/>
  <c i="37" r="D1116" s="1"/>
  <c i="37" r="C1117"/>
  <c i="37" r="D1117" s="1"/>
  <c i="37" r="C1118"/>
  <c i="37" r="D1118" s="1"/>
  <c i="37" r="C1119"/>
  <c i="37" r="D1119" s="1"/>
  <c i="37" r="C1120"/>
  <c i="37" r="D1120" s="1"/>
  <c i="37" r="C1121"/>
  <c i="37" r="D1121" s="1"/>
  <c i="37" r="C1122"/>
  <c i="37" r="D1122" s="1"/>
  <c i="37" r="C1123"/>
  <c i="37" r="D1123" s="1"/>
  <c i="37" r="C1124"/>
  <c i="37" r="D1124" s="1"/>
  <c i="37" r="C1125"/>
  <c i="37" r="D1125" s="1"/>
  <c i="37" r="C1126"/>
  <c i="37" r="D1126" s="1"/>
  <c i="37" r="C1127"/>
  <c i="37" r="D1127" s="1"/>
  <c i="37" r="C1128"/>
  <c i="37" r="D1128" s="1"/>
  <c i="37" r="C1129"/>
  <c i="37" r="D1129" s="1"/>
  <c i="37" r="C1130"/>
  <c i="37" r="D1130" s="1"/>
  <c i="37" r="C1131"/>
  <c i="37" r="D1131" s="1"/>
  <c i="37" r="C1132"/>
  <c i="37" r="D1132" s="1"/>
  <c i="37" r="C1133"/>
  <c i="37" r="D1133" s="1"/>
  <c i="37" r="C1134"/>
  <c i="37" r="D1134" s="1"/>
  <c i="37" r="C1135"/>
  <c i="37" r="D1135" s="1"/>
  <c i="37" r="C1136"/>
  <c i="37" r="D1136" s="1"/>
  <c i="37" r="C1137"/>
  <c i="37" r="D1137" s="1"/>
  <c i="37" r="C1138"/>
  <c i="37" r="D1138" s="1"/>
  <c i="37" r="C1139"/>
  <c i="37" r="D1139" s="1"/>
  <c i="37" r="C1140"/>
  <c i="37" r="D1140" s="1"/>
  <c i="37" r="C1141"/>
  <c i="37" r="D1141" s="1"/>
  <c i="37" r="C1142"/>
  <c i="37" r="D1142" s="1"/>
  <c i="37" r="C1143"/>
  <c i="37" r="D1143" s="1"/>
  <c i="37" r="C1144"/>
  <c i="37" r="D1144" s="1"/>
  <c i="37" r="C1145"/>
  <c i="37" r="D1145" s="1"/>
  <c i="37" r="C1146"/>
  <c i="37" r="D1146" s="1"/>
  <c i="37" r="C1147"/>
  <c i="37" r="D1147" s="1"/>
  <c i="37" r="C1148"/>
  <c i="37" r="D1148" s="1"/>
  <c i="37" r="C1149"/>
  <c i="37" r="D1149" s="1"/>
  <c i="37" r="C1150"/>
  <c i="37" r="D1150" s="1"/>
  <c i="37" r="C1151"/>
  <c i="37" r="D1151" s="1"/>
  <c i="37" r="C1152"/>
  <c i="37" r="D1152" s="1"/>
  <c i="37" r="C1153"/>
  <c i="37" r="D1153" s="1"/>
  <c i="37" r="C1154"/>
  <c i="37" r="D1154" s="1"/>
  <c i="37" r="C1155"/>
  <c i="37" r="D1155" s="1"/>
  <c i="37" r="C1156"/>
  <c i="37" r="D1156" s="1"/>
  <c i="37" r="C1157"/>
  <c i="37" r="D1157" s="1"/>
  <c i="37" r="C1158"/>
  <c i="37" r="D1158" s="1"/>
  <c i="37" r="C1159"/>
  <c i="37" r="D1159" s="1"/>
  <c i="37" r="C1160"/>
  <c i="37" r="D1160" s="1"/>
  <c i="37" r="C1161"/>
  <c i="37" r="D1161" s="1"/>
  <c i="37" r="C1162"/>
  <c i="37" r="D1162" s="1"/>
  <c i="37" r="C1163"/>
  <c i="37" r="D1163" s="1"/>
  <c i="37" r="C1164"/>
  <c i="37" r="D1164" s="1"/>
  <c i="37" r="C1165"/>
  <c i="37" r="D1165" s="1"/>
  <c i="37" r="C1166"/>
  <c i="37" r="D1166" s="1"/>
  <c i="37" r="C1167"/>
  <c i="37" r="D1167" s="1"/>
  <c i="37" r="C1168"/>
  <c i="37" r="D1168" s="1"/>
  <c i="37" r="C1169"/>
  <c i="37" r="D1169" s="1"/>
  <c i="37" r="C1170"/>
  <c i="37" r="D1170" s="1"/>
  <c i="37" r="C1171"/>
  <c i="37" r="D1171" s="1"/>
  <c i="37" r="C1172"/>
  <c i="37" r="D1172" s="1"/>
  <c i="37" r="C1173"/>
  <c i="37" r="D1173" s="1"/>
  <c i="37" r="C1174"/>
  <c i="37" r="D1174" s="1"/>
  <c i="37" r="C1175"/>
  <c i="37" r="D1175" s="1"/>
  <c i="37" r="C1176"/>
  <c i="37" r="D1176" s="1"/>
  <c i="37" r="C1177"/>
  <c i="37" r="D1177" s="1"/>
  <c i="37" r="C1178"/>
  <c i="37" r="D1178" s="1"/>
  <c i="37" r="C1179"/>
  <c i="37" r="D1179" s="1"/>
  <c i="37" r="C1180"/>
  <c i="37" r="D1180" s="1"/>
  <c i="37" r="C1181"/>
  <c i="37" r="D1181" s="1"/>
  <c i="37" r="C1182"/>
  <c i="37" r="D1182" s="1"/>
  <c i="37" r="C1183"/>
  <c i="37" r="D1183" s="1"/>
  <c i="37" r="C1184"/>
  <c i="37" r="D1184" s="1"/>
  <c i="37" r="C1185"/>
  <c i="37" r="D1185" s="1"/>
  <c i="37" r="C1186"/>
  <c i="37" r="D1186" s="1"/>
  <c i="37" r="C1187"/>
  <c i="37" r="D1187" s="1"/>
  <c i="37" r="C1188"/>
  <c i="37" r="D1188" s="1"/>
  <c i="37" r="C1189"/>
  <c i="37" r="D1189" s="1"/>
  <c i="37" r="C1190"/>
  <c i="37" r="D1190" s="1"/>
  <c i="37" r="C1191"/>
  <c i="37" r="D1191" s="1"/>
  <c i="37" r="C1192"/>
  <c i="37" r="D1192" s="1"/>
  <c i="37" r="C1193"/>
  <c i="37" r="D1193" s="1"/>
  <c i="37" r="C1194"/>
  <c i="37" r="D1194" s="1"/>
  <c i="37" r="C1195"/>
  <c i="37" r="D1195" s="1"/>
  <c i="37" r="C1196"/>
  <c i="37" r="D1196" s="1"/>
  <c i="37" r="C1197"/>
  <c i="37" r="D1197" s="1"/>
  <c i="37" r="C1198"/>
  <c i="37" r="D1198" s="1"/>
  <c i="37" r="C1199"/>
  <c i="37" r="D1199" s="1"/>
  <c i="37" r="C1200"/>
  <c i="37" r="D1200" s="1"/>
  <c i="37" r="C1201"/>
  <c i="37" r="D1201" s="1"/>
  <c i="37" r="C1202"/>
  <c i="37" r="D1202" s="1"/>
  <c i="37" r="C1203"/>
  <c i="37" r="D1203" s="1"/>
  <c i="37" r="C1204"/>
  <c i="37" r="D1204" s="1"/>
  <c i="37" r="C1205"/>
  <c i="37" r="D1205" s="1"/>
  <c i="37" r="C1206"/>
  <c i="37" r="D1206" s="1"/>
  <c i="37" r="C1207"/>
  <c i="37" r="D1207" s="1"/>
  <c i="37" r="C1208"/>
  <c i="37" r="D1208" s="1"/>
  <c i="37" r="C1209"/>
  <c i="37" r="D1209" s="1"/>
  <c i="37" r="C1210"/>
  <c i="37" r="D1210" s="1"/>
  <c i="37" r="C1211"/>
  <c i="37" r="D1211" s="1"/>
  <c i="37" r="C1212"/>
  <c i="37" r="D1212" s="1"/>
  <c i="37" r="C1213"/>
  <c i="37" r="D1213" s="1"/>
  <c i="37" r="C1214"/>
  <c i="37" r="D1214" s="1"/>
  <c i="37" r="C1215"/>
  <c i="37" r="D1215" s="1"/>
  <c i="37" r="C1216"/>
  <c i="37" r="D1216" s="1"/>
  <c i="37" r="C1217"/>
  <c i="37" r="D1217" s="1"/>
  <c i="37" r="C1218"/>
  <c i="37" r="D1218" s="1"/>
  <c i="37" r="C1219"/>
  <c i="37" r="D1219" s="1"/>
  <c i="37" r="C1220"/>
  <c i="37" r="D1220" s="1"/>
  <c i="37" r="C1221"/>
  <c i="37" r="D1221" s="1"/>
  <c i="37" r="C1222"/>
  <c i="37" r="D1222" s="1"/>
  <c i="37" r="C1223"/>
  <c i="37" r="D1223" s="1"/>
  <c i="37" r="C1224"/>
  <c i="37" r="D1224" s="1"/>
  <c i="37" r="C1225"/>
  <c i="37" r="D1225" s="1"/>
  <c i="37" r="C1226"/>
  <c i="37" r="D1226" s="1"/>
  <c i="37" r="C1227"/>
  <c i="37" r="D1227" s="1"/>
  <c i="37" r="C1228"/>
  <c i="37" r="D1228" s="1"/>
  <c i="37" r="C1080"/>
  <c i="37" r="D1080" s="1"/>
  <c i="37" r="C1081"/>
  <c i="37" r="D1081" s="1"/>
  <c i="37" r="C1082"/>
  <c i="37" r="D1082" s="1"/>
  <c i="37" r="C1083"/>
  <c i="37" r="D1083" s="1"/>
  <c i="37" r="C1084"/>
  <c i="37" r="D1084" s="1"/>
  <c i="37" r="C1079"/>
  <c i="37" r="D1079" s="1"/>
  <c i="191" l="1" r="H38"/>
  <c i="191" r="H31"/>
  <c i="191" r="H36"/>
  <c i="191" r="H34"/>
  <c i="191" r="H30"/>
  <c i="191" r="H39"/>
  <c i="191" r="H37"/>
  <c i="191" r="H35"/>
  <c i="37" r="E2"/>
  <c i="37" r="E3"/>
  <c i="37" r="E4"/>
  <c i="37" r="E5"/>
  <c i="37" r="E6"/>
  <c i="37" r="E7"/>
  <c i="37" r="E8"/>
  <c i="37" r="E9"/>
  <c i="37" r="E10"/>
  <c i="37" r="E11"/>
  <c i="37" r="E12"/>
  <c i="37" r="E13"/>
  <c i="37" r="E14"/>
  <c i="37" r="E15"/>
  <c i="37" r="E16"/>
  <c i="37" r="E17"/>
  <c i="37" r="E18"/>
  <c i="37" r="E19"/>
  <c i="37" r="E20"/>
  <c i="37" r="E21"/>
  <c i="37" r="E22"/>
  <c i="37" r="E23"/>
  <c i="37" r="E24"/>
  <c i="37" r="E25"/>
  <c i="37" r="E26"/>
  <c i="37" r="E27"/>
  <c i="37" r="E28"/>
  <c i="37" r="E29"/>
  <c i="37" r="E30"/>
  <c i="37" r="E31"/>
  <c i="37" r="E32"/>
  <c i="37" r="E33"/>
  <c i="37" r="E34"/>
  <c i="37" r="E35"/>
  <c i="37" r="E36"/>
  <c i="37" r="E37"/>
  <c i="37" r="E38"/>
  <c i="37" r="E39"/>
  <c i="37" r="E40"/>
  <c i="37" r="E41"/>
  <c i="37" r="E42"/>
  <c i="37" r="E43"/>
  <c i="37" r="E44"/>
  <c i="37" r="E45"/>
  <c i="37" r="E46"/>
  <c i="37" r="E47"/>
  <c i="37" r="E48"/>
  <c i="37" r="E49"/>
  <c i="37" r="E50"/>
  <c i="37" r="E51"/>
  <c i="37" r="E52"/>
  <c i="37" r="E53"/>
  <c i="37" r="E54"/>
  <c i="37" r="E55"/>
  <c i="37" r="E56"/>
  <c i="37" r="E57"/>
  <c i="37" r="E58"/>
  <c i="37" r="E59"/>
  <c i="37" r="E60"/>
  <c i="37" r="E61"/>
  <c i="37" r="E62"/>
  <c i="37" r="E63"/>
  <c i="37" r="E64"/>
  <c i="37" r="E65"/>
  <c i="37" r="E66"/>
  <c i="37" r="E67"/>
  <c i="37" r="E68"/>
  <c i="37" r="E69"/>
  <c i="37" r="E70"/>
  <c i="37" r="E71"/>
  <c i="37" r="E72"/>
  <c i="37" r="E73"/>
  <c i="37" r="E74"/>
  <c i="37" r="E75"/>
  <c i="37" r="E76"/>
  <c i="37" r="E77"/>
  <c i="37" r="E78"/>
  <c i="37" r="E79"/>
  <c i="37" r="E80"/>
  <c i="37" r="E81"/>
  <c i="37" r="E82"/>
  <c i="37" r="E83"/>
  <c i="37" r="E84"/>
  <c i="37" r="E85"/>
  <c i="37" r="E86"/>
  <c i="37" r="E87"/>
  <c i="37" r="E88"/>
  <c i="37" r="E89"/>
  <c i="37" r="E90"/>
  <c i="37" r="E91"/>
  <c i="37" r="E92"/>
  <c i="37" r="E93"/>
  <c i="37" r="E94"/>
  <c i="37" r="E95"/>
  <c i="37" r="E96"/>
  <c i="37" r="E97"/>
  <c i="37" r="E98"/>
  <c i="37" r="E99"/>
  <c i="37" r="E100"/>
  <c i="37" r="E101"/>
  <c i="37" r="E102"/>
  <c i="37" r="E103"/>
  <c i="37" r="E104"/>
  <c i="37" r="E105"/>
  <c i="37" r="E106"/>
  <c i="37" r="E107"/>
  <c i="37" r="E108"/>
  <c i="37" r="E109"/>
  <c i="37" r="E110"/>
  <c i="37" r="E111"/>
  <c i="37" r="E112"/>
  <c i="37" r="E113"/>
  <c i="37" r="E114"/>
  <c i="37" r="E115"/>
  <c i="37" r="E116"/>
  <c i="37" r="E117"/>
  <c i="37" r="E118"/>
  <c i="37" r="E119"/>
  <c i="37" r="E120"/>
  <c i="37" r="E121"/>
  <c i="37" r="E122"/>
  <c i="37" r="E123"/>
  <c i="37" r="E124"/>
  <c i="37" r="E125"/>
  <c i="37" r="E126"/>
  <c i="37" r="E127"/>
  <c i="37" r="E128"/>
  <c i="37" r="E129"/>
  <c i="37" r="E130"/>
  <c i="37" r="E131"/>
  <c i="37" r="E132"/>
  <c i="37" r="E133"/>
  <c i="37" r="E134"/>
  <c i="37" r="E135"/>
  <c i="37" r="E136"/>
  <c i="37" r="E137"/>
  <c i="37" r="E138"/>
  <c i="37" r="E139"/>
  <c i="37" r="E140"/>
  <c i="37" r="E141"/>
  <c i="37" r="E142"/>
  <c i="37" r="E143"/>
  <c i="37" r="E144"/>
  <c i="37" r="E145"/>
  <c i="37" r="E146"/>
  <c i="37" r="E147"/>
  <c i="37" r="E148"/>
  <c i="37" r="E149"/>
  <c i="37" r="E150"/>
  <c i="37" r="E151"/>
  <c i="37" r="E152"/>
  <c i="37" r="E153"/>
  <c i="37" r="E154"/>
  <c i="37" r="E155"/>
  <c i="37" r="E156"/>
  <c i="37" r="E157"/>
  <c i="37" r="E158"/>
  <c i="37" r="E159"/>
  <c i="37" r="E160"/>
  <c i="37" r="E161"/>
  <c i="37" r="E162"/>
  <c i="37" r="E163"/>
  <c i="37" r="E164"/>
  <c i="37" r="E165"/>
  <c i="37" r="E166"/>
  <c i="37" r="E167"/>
  <c i="37" r="E168"/>
  <c i="37" r="E169"/>
  <c i="37" r="E170"/>
  <c i="37" r="E171"/>
  <c i="37" r="E172"/>
  <c i="37" r="E173"/>
  <c i="37" r="E174"/>
  <c i="37" r="E175"/>
  <c i="37" r="E176"/>
  <c i="37" r="E177"/>
  <c i="37" r="E178"/>
  <c i="37" r="E179"/>
  <c i="37" r="E180"/>
  <c i="37" r="E181"/>
  <c i="37" r="E182"/>
  <c i="37" r="E183"/>
  <c i="37" r="E184"/>
  <c i="37" r="E185"/>
  <c i="37" r="E186"/>
  <c i="37" r="E187"/>
  <c i="37" r="E188"/>
  <c i="37" r="E189"/>
  <c i="37" r="E190"/>
  <c i="37" r="E191"/>
  <c i="37" r="E192"/>
  <c i="37" r="E193"/>
  <c i="37" r="E194"/>
  <c i="37" r="E195"/>
  <c i="37" r="E196"/>
  <c i="37" r="E197"/>
  <c i="37" r="E198"/>
  <c i="37" r="E199"/>
  <c i="37" r="E200"/>
  <c i="37" r="E201"/>
  <c i="37" r="E202"/>
  <c i="37" r="E203"/>
  <c i="37" r="E204"/>
  <c i="37" r="E205"/>
  <c i="37" r="E206"/>
  <c i="37" r="E207"/>
  <c i="37" r="E208"/>
  <c i="37" r="E209"/>
  <c i="37" r="E210"/>
  <c i="37" r="E211"/>
  <c i="37" r="E212"/>
  <c i="37" r="E213"/>
  <c i="37" r="E214"/>
  <c i="37" r="E215"/>
  <c i="37" r="E216"/>
  <c i="37" r="E217"/>
  <c i="37" r="E218"/>
  <c i="37" r="E219"/>
  <c i="37" r="E220"/>
  <c i="37" r="E221"/>
  <c i="37" r="E222"/>
  <c i="37" r="E223"/>
  <c i="37" r="E224"/>
  <c i="37" r="E225"/>
  <c i="37" r="E226"/>
  <c i="37" r="E227"/>
  <c i="37" r="E228"/>
  <c i="37" r="E229"/>
  <c i="37" r="E230"/>
  <c i="37" r="E231"/>
  <c i="37" r="E232"/>
  <c i="37" r="E233"/>
  <c i="37" r="E234"/>
  <c i="37" r="E235"/>
  <c i="37" r="E236"/>
  <c i="37" r="E237"/>
  <c i="37" r="E238"/>
  <c i="37" r="E239"/>
  <c i="37" r="E240"/>
  <c i="37" r="E241"/>
  <c i="37" r="E242"/>
  <c i="37" r="E243"/>
  <c i="37" r="E244"/>
  <c i="37" r="E245"/>
  <c i="37" r="E246"/>
  <c i="37" r="E247"/>
  <c i="37" r="E248"/>
  <c i="37" r="E249"/>
  <c i="37" r="E250"/>
  <c i="37" r="E251"/>
  <c i="37" r="E252"/>
  <c i="37" r="E253"/>
  <c i="37" r="E254"/>
  <c i="37" r="E255"/>
  <c i="37" r="E256"/>
  <c i="37" r="E257"/>
  <c i="37" r="E258"/>
  <c i="37" r="E259"/>
  <c i="37" r="E260"/>
  <c i="37" r="E261"/>
  <c i="37" r="E262"/>
  <c i="37" r="E263"/>
  <c i="37" r="E264"/>
  <c i="37" r="E265"/>
  <c i="37" r="E266"/>
  <c i="37" r="E267"/>
  <c i="37" r="E268"/>
  <c i="37" r="E269"/>
  <c i="37" r="E270"/>
  <c i="37" r="E271"/>
  <c i="37" r="E272"/>
  <c i="37" r="E273"/>
  <c i="37" r="E274"/>
  <c i="37" r="E275"/>
  <c i="37" r="E276"/>
  <c i="37" r="E277"/>
  <c i="37" r="E278"/>
  <c i="37" r="E279"/>
  <c i="37" r="E280"/>
  <c i="37" r="E281"/>
  <c i="37" r="E282"/>
  <c i="37" r="E283"/>
  <c i="37" r="E284"/>
  <c i="37" r="E285"/>
  <c i="37" r="E286"/>
  <c i="37" r="E287"/>
  <c i="37" r="E288"/>
  <c i="37" r="E289"/>
  <c i="37" r="E290"/>
  <c i="37" r="E291"/>
  <c i="37" r="E292"/>
  <c i="37" r="E293"/>
  <c i="37" r="E294"/>
  <c i="37" r="E295"/>
  <c i="37" r="E296"/>
  <c i="37" r="E297"/>
  <c i="37" r="E298"/>
  <c i="37" r="E299"/>
  <c i="37" r="E300"/>
  <c i="37" r="E301"/>
  <c i="37" r="E302"/>
  <c i="37" r="E303"/>
  <c i="37" r="E304"/>
  <c i="37" r="E305"/>
  <c i="37" r="E306"/>
  <c i="37" r="E307"/>
  <c i="37" r="E308"/>
  <c i="37" r="E309"/>
  <c i="37" r="E310"/>
  <c i="37" r="E311"/>
  <c i="37" r="E312"/>
  <c i="37" r="E313"/>
  <c i="37" r="E314"/>
  <c i="37" r="E315"/>
  <c i="37" r="E316"/>
  <c i="37" r="E317"/>
  <c i="37" r="E318"/>
  <c i="37" r="E319"/>
  <c i="37" r="E320"/>
  <c i="37" r="E321"/>
  <c i="37" r="E322"/>
  <c i="37" r="E323"/>
  <c i="37" r="E324"/>
  <c i="37" r="E325"/>
  <c i="37" r="E326"/>
  <c i="37" r="E327"/>
  <c i="37" r="E328"/>
  <c i="37" r="E329"/>
  <c i="37" r="E330"/>
  <c i="37" r="E331"/>
  <c i="37" r="E332"/>
  <c i="37" r="E333"/>
  <c i="37" r="E334"/>
  <c i="37" r="E335"/>
  <c i="37" r="E336"/>
  <c i="37" r="E337"/>
  <c i="37" r="E338"/>
  <c i="37" r="E339"/>
  <c i="37" r="E340"/>
  <c i="37" r="E341"/>
  <c i="37" r="E342"/>
  <c i="37" r="E343"/>
  <c i="37" r="E344"/>
  <c i="37" r="E345"/>
  <c i="37" r="E346"/>
  <c i="37" r="E347"/>
  <c i="37" r="E348"/>
  <c i="37" r="E349"/>
  <c i="37" r="E350"/>
  <c i="37" r="E351"/>
  <c i="37" r="E352"/>
  <c i="37" r="E353"/>
  <c i="37" r="E354"/>
  <c i="37" r="E355"/>
  <c i="37" r="E356"/>
  <c i="37" r="E357"/>
  <c i="37" r="E358"/>
  <c i="37" r="E359"/>
  <c i="37" r="E360"/>
  <c i="37" r="E361"/>
  <c i="37" r="E362"/>
  <c i="37" r="E363"/>
  <c i="37" r="E364"/>
  <c i="37" r="E365"/>
  <c i="37" r="E366"/>
  <c i="37" r="E367"/>
  <c i="37" r="E368"/>
  <c i="37" r="E369"/>
  <c i="37" r="E370"/>
  <c i="37" r="E371"/>
  <c i="37" r="E372"/>
  <c i="37" r="E373"/>
  <c i="37" r="E374"/>
  <c i="37" r="E375"/>
  <c i="37" r="E376"/>
  <c i="37" r="E377"/>
  <c i="37" r="E378"/>
  <c i="37" r="E379"/>
  <c i="37" r="E380"/>
  <c i="37" r="E381"/>
  <c i="37" r="E382"/>
  <c i="37" r="E383"/>
  <c i="37" r="E384"/>
  <c i="37" r="E385"/>
  <c i="37" r="E386"/>
  <c i="37" r="E387"/>
  <c i="37" r="E388"/>
  <c i="37" r="E389"/>
  <c i="37" r="E390"/>
  <c i="37" r="E391"/>
  <c i="37" r="E392"/>
  <c i="37" r="E393"/>
  <c i="37" r="E394"/>
  <c i="37" r="E395"/>
  <c i="37" r="E396"/>
  <c i="37" r="E397"/>
  <c i="37" r="E398"/>
  <c i="37" r="E399"/>
  <c i="37" r="E400"/>
  <c i="37" r="E401"/>
  <c i="37" r="E402"/>
  <c i="37" r="E403"/>
  <c i="37" r="E404"/>
  <c i="37" r="E405"/>
  <c i="37" r="E406"/>
  <c i="37" r="E407"/>
  <c i="37" r="E408"/>
  <c i="37" r="E409"/>
  <c i="37" r="E410"/>
  <c i="37" r="E411"/>
  <c i="37" r="E412"/>
  <c i="37" r="E413"/>
  <c i="37" r="E414"/>
  <c i="37" r="E415"/>
  <c i="37" r="E416"/>
  <c i="37" r="E417"/>
  <c i="37" r="E418"/>
  <c i="37" r="E419"/>
  <c i="37" r="E420"/>
  <c i="37" r="E421"/>
  <c i="37" r="E422"/>
  <c i="37" r="E423"/>
  <c i="37" r="E424"/>
  <c i="37" r="E425"/>
  <c i="37" r="E426"/>
  <c i="37" r="E427"/>
  <c i="37" r="E428"/>
  <c i="37" r="E429"/>
  <c i="37" r="E430"/>
  <c i="37" r="E431"/>
  <c i="37" r="E432"/>
  <c i="37" r="E433"/>
  <c i="37" r="E434"/>
  <c i="37" r="E435"/>
  <c i="37" r="E436"/>
  <c i="37" r="E437"/>
  <c i="37" r="E438"/>
  <c i="37" r="E439"/>
  <c i="37" r="E440"/>
  <c i="37" r="E441"/>
  <c i="37" r="E442"/>
  <c i="37" r="E443"/>
  <c i="37" r="E444"/>
  <c i="37" r="E445"/>
  <c i="37" r="E446"/>
  <c i="37" r="E447"/>
  <c i="37" r="E448"/>
  <c i="37" r="E449"/>
  <c i="37" r="E450"/>
  <c i="37" r="E451"/>
  <c i="37" r="E452"/>
  <c i="37" r="E453"/>
  <c i="37" r="E454"/>
  <c i="37" r="E455"/>
  <c i="37" r="E456"/>
  <c i="37" r="E457"/>
  <c i="37" r="E458"/>
  <c i="37" r="E459"/>
  <c i="37" r="E460"/>
  <c i="37" r="E461"/>
  <c i="37" r="E462"/>
  <c i="37" r="E463"/>
  <c i="37" r="E464"/>
  <c i="37" r="E465"/>
  <c i="37" r="E466"/>
  <c i="37" r="E467"/>
  <c i="37" r="E468"/>
  <c i="37" r="E469"/>
  <c i="37" r="E470"/>
  <c i="37" r="E471"/>
  <c i="37" r="E472"/>
  <c i="37" r="E473"/>
  <c i="37" r="E474"/>
  <c i="37" r="E475"/>
  <c i="37" r="E476"/>
  <c i="37" r="E477"/>
  <c i="37" r="E478"/>
  <c i="37" r="E479"/>
  <c i="37" r="E480"/>
  <c i="37" r="E481"/>
  <c i="37" r="E482"/>
  <c i="37" r="E483"/>
  <c i="37" r="E484"/>
  <c i="37" r="E485"/>
  <c i="37" r="E486"/>
  <c i="37" r="E487"/>
  <c i="37" r="E488"/>
  <c i="37" r="E489"/>
  <c i="37" r="E490"/>
  <c i="37" r="E491"/>
  <c i="37" r="E492"/>
  <c i="37" r="E493"/>
  <c i="37" r="E494"/>
  <c i="37" r="E495"/>
  <c i="37" r="E496"/>
  <c i="37" r="E497"/>
  <c i="37" r="E498"/>
  <c i="37" r="E499"/>
  <c i="37" r="E500"/>
  <c i="37" r="E501"/>
  <c i="37" r="E502"/>
  <c i="37" r="E503"/>
  <c i="37" r="E504"/>
  <c i="37" r="E505"/>
  <c i="37" r="E506"/>
  <c i="37" r="E507"/>
  <c i="37" r="E508"/>
  <c i="37" r="E509"/>
  <c i="37" r="E510"/>
  <c i="37" r="E511"/>
  <c i="37" r="E512"/>
  <c i="37" r="E513"/>
  <c i="37" r="E514"/>
  <c i="37" r="E515"/>
  <c i="37" r="E516"/>
  <c i="37" r="E517"/>
  <c i="37" r="E518"/>
  <c i="37" r="E519"/>
  <c i="37" r="E520"/>
  <c i="37" r="E521"/>
  <c i="37" r="E522"/>
  <c i="37" r="E523"/>
  <c i="37" r="E524"/>
  <c i="37" r="E525"/>
  <c i="37" r="E526"/>
  <c i="37" r="E527"/>
  <c i="37" r="E528"/>
  <c i="37" r="E529"/>
  <c i="37" r="E530"/>
  <c i="37" r="E531"/>
  <c i="37" r="E532"/>
  <c i="37" r="E533"/>
  <c i="37" r="E534"/>
  <c i="37" r="E535"/>
  <c i="37" r="E536"/>
  <c i="37" r="E537"/>
  <c i="37" r="E538"/>
  <c i="37" r="E539"/>
  <c i="37" r="E540"/>
  <c i="37" r="E541"/>
  <c i="37" r="E542"/>
  <c i="37" r="E543"/>
  <c i="37" r="E544"/>
  <c i="37" r="E545"/>
  <c i="37" r="E546"/>
  <c i="37" r="E547"/>
  <c i="37" r="E548"/>
  <c i="37" r="E549"/>
  <c i="37" r="E550"/>
  <c i="37" r="E551"/>
  <c i="37" r="E552"/>
  <c i="37" r="E553"/>
  <c i="37" r="E554"/>
  <c i="37" r="E555"/>
  <c i="37" r="E556"/>
  <c i="37" r="E557"/>
  <c i="37" r="E558"/>
  <c i="37" r="E559"/>
  <c i="37" r="E560"/>
  <c i="37" r="E561"/>
  <c i="37" r="E562"/>
  <c i="37" r="E563"/>
  <c i="37" r="E564"/>
  <c i="37" r="E565"/>
  <c i="37" r="E566"/>
  <c i="37" r="E567"/>
  <c i="37" r="E568"/>
  <c i="37" r="E569"/>
  <c i="37" r="E570"/>
  <c i="37" r="E571"/>
  <c i="37" r="E572"/>
  <c i="37" r="E573"/>
  <c i="37" r="E574"/>
  <c i="37" r="E575"/>
  <c i="37" r="E576"/>
  <c i="37" r="E577"/>
  <c i="37" r="E578"/>
  <c i="37" r="E579"/>
  <c i="37" r="E580"/>
  <c i="37" r="E581"/>
  <c i="37" r="E582"/>
  <c i="37" r="E583"/>
  <c i="37" r="E584"/>
  <c i="37" r="E585"/>
  <c i="37" r="E586"/>
  <c i="37" r="E587"/>
  <c i="37" r="E588"/>
  <c i="37" r="E589"/>
  <c i="37" r="E590"/>
  <c i="37" r="E591"/>
  <c i="37" r="E592"/>
  <c i="37" r="E593"/>
  <c i="37" r="E594"/>
  <c i="37" r="E595"/>
  <c i="37" r="E596"/>
  <c i="37" r="E597"/>
  <c i="37" r="E598"/>
  <c i="37" r="E599"/>
  <c i="37" r="E600"/>
  <c i="37" r="E601"/>
  <c i="37" r="E602"/>
  <c i="37" r="E603"/>
  <c i="37" r="E604"/>
  <c i="37" r="E605"/>
  <c i="37" r="E606"/>
  <c i="37" r="E607"/>
  <c i="37" r="E608"/>
  <c i="37" r="E609"/>
  <c i="37" r="E610"/>
  <c i="37" r="E611"/>
  <c i="37" r="E612"/>
  <c i="37" r="E613"/>
  <c i="37" r="E614"/>
  <c i="37" r="E615"/>
  <c i="37" r="E616"/>
  <c i="37" r="E617"/>
  <c i="37" r="E618"/>
  <c i="37" r="E619"/>
  <c i="37" r="E620"/>
  <c i="37" r="E621"/>
  <c i="37" r="E622"/>
  <c i="37" r="E623"/>
  <c i="37" r="E624"/>
  <c i="37" r="E625"/>
  <c i="37" r="E626"/>
  <c i="37" r="E627"/>
  <c i="37" r="E628"/>
  <c i="37" r="E629"/>
  <c i="37" r="E630"/>
  <c i="37" r="E631"/>
  <c i="37" r="E632"/>
  <c i="37" r="E633"/>
  <c i="37" r="E634"/>
  <c i="37" r="E635"/>
  <c i="37" r="E636"/>
  <c i="37" r="E637"/>
  <c i="37" r="E638"/>
  <c i="37" r="E639"/>
  <c i="37" r="E640"/>
  <c i="37" r="E641"/>
  <c i="37" r="E642"/>
  <c i="37" r="E643"/>
  <c i="37" r="E644"/>
  <c i="37" r="E645"/>
  <c i="37" r="E646"/>
  <c i="37" r="E647"/>
  <c i="37" r="E648"/>
  <c i="37" r="E649"/>
  <c i="37" r="E650"/>
  <c i="37" r="E651"/>
  <c i="37" r="E652"/>
  <c i="37" r="E653"/>
  <c i="37" r="E654"/>
  <c i="37" r="E655"/>
  <c i="37" r="E656"/>
  <c i="37" r="E657"/>
  <c i="37" r="E658"/>
  <c i="37" r="E659"/>
  <c i="37" r="E660"/>
  <c i="37" r="E661"/>
  <c i="37" r="E662"/>
  <c i="37" r="E663"/>
  <c i="37" r="E664"/>
  <c i="37" r="E665"/>
  <c i="37" r="E666"/>
  <c i="37" r="E667"/>
  <c i="37" r="E668"/>
  <c i="37" r="E669"/>
  <c i="37" r="E670"/>
  <c i="37" r="E671"/>
  <c i="37" r="E672"/>
  <c i="37" r="E673"/>
  <c i="37" r="E674"/>
  <c i="37" r="E675"/>
  <c i="37" r="E676"/>
  <c i="37" r="E677"/>
  <c i="37" r="E678"/>
  <c i="37" r="E679"/>
  <c i="37" r="E680"/>
  <c i="37" r="E681"/>
  <c i="37" r="E682"/>
  <c i="37" r="E683"/>
  <c i="37" r="E684"/>
  <c i="37" r="E685"/>
  <c i="37" r="E686"/>
  <c i="37" r="E687"/>
  <c i="37" r="E688"/>
  <c i="37" r="E689"/>
  <c i="37" r="E690"/>
  <c i="37" r="E691"/>
  <c i="37" r="E692"/>
  <c i="37" r="E693"/>
  <c i="37" r="E694"/>
  <c i="37" r="E695"/>
  <c i="37" r="E696"/>
  <c i="37" r="E697"/>
  <c i="37" r="E698"/>
  <c i="37" r="E699"/>
  <c i="37" r="E700"/>
  <c i="37" r="E701"/>
  <c i="37" r="E702"/>
  <c i="37" r="E703"/>
  <c i="37" r="E704"/>
  <c i="37" r="E705"/>
  <c i="37" r="E706"/>
  <c i="37" r="E707"/>
  <c i="37" r="E708"/>
  <c i="37" r="E709"/>
  <c i="37" r="E710"/>
  <c i="37" r="E711"/>
  <c i="37" r="E712"/>
  <c i="37" r="E713"/>
  <c i="37" r="E714"/>
  <c i="37" r="E715"/>
  <c i="37" r="E716"/>
  <c i="37" r="E717"/>
  <c i="37" r="E718"/>
  <c i="37" r="E719"/>
  <c i="37" r="E720"/>
  <c i="37" r="E721"/>
  <c i="37" r="E722"/>
  <c i="37" r="E723"/>
  <c i="37" r="E724"/>
  <c i="37" r="E725"/>
  <c i="37" r="E726"/>
  <c i="37" r="E727"/>
  <c i="37" r="E728"/>
  <c i="37" r="E729"/>
  <c i="37" r="E730"/>
  <c i="37" r="E731"/>
  <c i="37" r="E732"/>
  <c i="37" r="E733"/>
  <c i="37" r="E734"/>
  <c i="37" r="E735"/>
  <c i="37" r="E736"/>
  <c i="37" r="E737"/>
  <c i="37" r="E738"/>
  <c i="37" r="E739"/>
  <c i="37" r="E740"/>
  <c i="37" r="E741"/>
  <c i="37" r="E742"/>
  <c i="37" r="E743"/>
  <c i="37" r="E744"/>
  <c i="37" r="E745"/>
  <c i="37" r="E746"/>
  <c i="37" r="E747"/>
  <c i="37" r="E748"/>
  <c i="37" r="E749"/>
  <c i="37" r="E750"/>
  <c i="37" r="E751"/>
  <c i="37" r="E752"/>
  <c i="37" r="E753"/>
  <c i="37" r="E754"/>
  <c i="37" r="E755"/>
  <c i="37" r="E756"/>
  <c i="37" r="E757"/>
  <c i="37" r="E758"/>
  <c i="37" r="E759"/>
  <c i="37" r="E760"/>
  <c i="37" r="E761"/>
  <c i="37" r="E762"/>
  <c i="37" r="E763"/>
  <c i="37" r="E764"/>
  <c i="37" r="E765"/>
  <c i="37" r="E766"/>
  <c i="37" r="E767"/>
  <c i="37" r="E768"/>
  <c i="37" r="E769"/>
  <c i="37" r="E770"/>
  <c i="37" r="E771"/>
  <c i="37" r="E772"/>
  <c i="37" r="E773"/>
  <c i="37" r="E774"/>
  <c i="37" r="E775"/>
  <c i="37" r="E776"/>
  <c i="37" r="E777"/>
  <c i="37" r="E778"/>
  <c i="37" r="E779"/>
  <c i="37" r="E780"/>
  <c i="37" r="E781"/>
  <c i="37" r="E782"/>
  <c i="37" r="E783"/>
  <c i="37" r="E784"/>
  <c i="37" r="E785"/>
  <c i="37" r="E786"/>
  <c i="37" r="E787"/>
  <c i="37" r="E788"/>
  <c i="37" r="E789"/>
  <c i="37" r="E790"/>
  <c i="37" r="E791"/>
  <c i="37" r="E792"/>
  <c i="37" r="E793"/>
  <c i="37" r="E794"/>
  <c i="37" r="E795"/>
  <c i="37" r="E796"/>
  <c i="37" r="E797"/>
  <c i="37" r="E798"/>
  <c i="37" r="E799"/>
  <c i="37" r="E800"/>
  <c i="37" r="E801"/>
  <c i="37" r="E802"/>
  <c i="37" r="E803"/>
  <c i="37" r="E804"/>
  <c i="37" r="E805"/>
  <c i="37" r="E806"/>
  <c i="37" r="E807"/>
  <c i="37" r="E808"/>
  <c i="37" r="E809"/>
  <c i="37" r="E810"/>
  <c i="37" r="E811"/>
  <c i="37" r="E812"/>
  <c i="37" r="E813"/>
  <c i="37" r="E814"/>
  <c i="37" r="E815"/>
  <c i="37" r="E816"/>
  <c i="37" r="E817"/>
  <c i="37" r="E818"/>
  <c i="37" r="E819"/>
  <c i="37" r="E820"/>
  <c i="37" r="E821"/>
  <c i="37" r="E822"/>
  <c i="37" r="E823"/>
  <c i="37" r="E824"/>
  <c i="37" r="E825"/>
  <c i="37" r="E826"/>
  <c i="37" r="E827"/>
  <c i="37" r="E828"/>
  <c i="37" r="E829"/>
  <c i="37" r="E830"/>
  <c i="37" r="E831"/>
  <c i="37" r="E832"/>
  <c i="37" r="E833"/>
  <c i="37" r="E834"/>
  <c i="37" r="E835"/>
  <c i="37" r="E836"/>
  <c i="37" r="G6"/>
  <c i="37" r="G5"/>
  <c i="191" l="1" r="H32"/>
  <c i="191" r="H33"/>
  <c i="191" r="H28"/>
  <c i="191" r="H29"/>
  <c i="132" r="D2"/>
  <c i="116" l="1" r="G11"/>
  <c i="116" r="G12"/>
  <c i="116" r="G13"/>
  <c i="116" r="G14"/>
  <c i="116" r="G16"/>
  <c i="116" r="G17"/>
  <c i="116" r="G19"/>
  <c i="116" r="G20"/>
  <c i="116" r="G21"/>
  <c i="116" r="G23"/>
  <c i="116" r="G24"/>
  <c i="116" r="G25"/>
  <c i="116" r="G26"/>
  <c i="116" r="G28"/>
  <c i="116" r="G29"/>
  <c i="116" r="G31"/>
  <c i="116" r="E11"/>
  <c i="116" r="E12"/>
  <c i="116" r="E13"/>
  <c i="116" r="E14"/>
  <c i="116" r="E16"/>
  <c i="116" r="E17"/>
  <c i="116" r="E19"/>
  <c i="116" r="E20"/>
  <c i="116" r="E21"/>
  <c i="116" r="E23"/>
  <c i="116" r="E24"/>
  <c i="116" r="E25"/>
  <c i="116" r="E26"/>
  <c i="116" r="E28"/>
  <c i="116" r="E29"/>
  <c i="116" r="E31"/>
  <c i="116" r="C11"/>
  <c i="116" r="C12"/>
  <c i="116" r="C13"/>
  <c i="116" r="C14"/>
  <c i="116" r="C16"/>
  <c i="116" r="C17"/>
  <c i="116" r="C19"/>
  <c i="116" r="C20"/>
  <c i="116" r="C21"/>
  <c i="116" r="C23"/>
  <c i="116" r="C24"/>
  <c i="116" r="C25"/>
  <c i="116" r="C26"/>
  <c i="116" r="C28"/>
  <c i="116" r="C29"/>
  <c i="116" r="C31"/>
  <c i="115" r="G13"/>
  <c i="115" r="G14"/>
  <c i="115" r="G15"/>
  <c i="115" r="G16"/>
  <c i="115" r="G17"/>
  <c i="115" r="G19"/>
  <c i="115" r="G20"/>
  <c i="115" r="G21"/>
  <c i="115" r="G22"/>
  <c i="115" r="G23"/>
  <c i="115" r="G25"/>
  <c i="115" r="G26"/>
  <c i="115" r="G27"/>
  <c i="115" r="G28"/>
  <c i="115" r="G30"/>
  <c i="115" r="G31"/>
  <c i="115" r="G32"/>
  <c i="115" r="G33"/>
  <c i="115" r="G34"/>
  <c i="115" r="G35"/>
  <c i="115" r="G36"/>
  <c i="115" r="G38"/>
  <c i="115" r="G39"/>
  <c i="115" r="G40"/>
  <c i="115" r="G42"/>
  <c i="115" r="G43"/>
  <c i="115" r="G44"/>
  <c i="115" r="G45"/>
  <c i="115" r="G47"/>
  <c i="115" r="G48"/>
  <c i="115" r="G49"/>
  <c i="115" r="G51"/>
  <c i="115" r="G52"/>
  <c i="115" r="G53"/>
  <c i="115" r="G54"/>
  <c i="115" r="G55"/>
  <c i="115" r="G56"/>
  <c i="115" r="G57"/>
  <c i="115" r="G58"/>
  <c i="115" r="G59"/>
  <c i="115" r="G61"/>
  <c i="115" r="G62"/>
  <c i="115" r="G65"/>
  <c i="115" r="G67"/>
  <c i="115" r="G70"/>
  <c i="115" r="G72"/>
  <c i="115" r="G75"/>
  <c i="115" r="G76"/>
  <c i="115" r="G78"/>
  <c i="115" r="G79"/>
  <c i="115" r="G80"/>
  <c i="115" r="G81"/>
  <c i="115" r="G82"/>
  <c i="115" r="G83"/>
  <c i="115" r="G84"/>
  <c i="115" r="G85"/>
  <c i="115" r="G88"/>
  <c i="115" r="G89"/>
  <c i="115" r="G90"/>
  <c i="115" r="G91"/>
  <c i="115" r="G92"/>
  <c i="115" r="G94"/>
  <c i="115" r="G96"/>
  <c i="115" r="G97"/>
  <c i="115" r="G98"/>
  <c i="115" r="E98"/>
  <c i="115" r="E97"/>
  <c i="115" r="E96"/>
  <c i="115" r="E94"/>
  <c i="115" r="E92"/>
  <c i="115" r="E91"/>
  <c i="115" r="E90"/>
  <c i="115" r="E89"/>
  <c i="115" r="E88"/>
  <c i="115" r="E85"/>
  <c i="115" r="E84"/>
  <c i="115" r="E83"/>
  <c i="115" r="E82"/>
  <c i="115" r="E81"/>
  <c i="115" r="E80"/>
  <c i="115" r="E79"/>
  <c i="115" r="E78"/>
  <c i="115" r="E76"/>
  <c i="115" r="E75"/>
  <c i="115" r="E72"/>
  <c i="115" r="E70"/>
  <c i="115" r="E67"/>
  <c i="115" r="E65"/>
  <c i="115" r="E62"/>
  <c i="115" r="E61"/>
  <c i="115" r="E59"/>
  <c i="115" r="E58"/>
  <c i="115" r="E57"/>
  <c i="115" r="E56"/>
  <c i="115" r="E55"/>
  <c i="115" r="E54"/>
  <c i="115" r="E53"/>
  <c i="115" r="E52"/>
  <c i="115" r="E51"/>
  <c i="115" r="E49"/>
  <c i="115" r="E48"/>
  <c i="115" r="E47"/>
  <c i="115" r="E45"/>
  <c i="115" r="E44"/>
  <c i="115" r="E43"/>
  <c i="115" r="E42"/>
  <c i="115" r="E40"/>
  <c i="115" r="E39"/>
  <c i="115" r="E38"/>
  <c i="115" r="E36"/>
  <c i="115" r="E35"/>
  <c i="115" r="E34"/>
  <c i="115" r="E33"/>
  <c i="115" r="E32"/>
  <c i="115" r="E31"/>
  <c i="115" r="E30"/>
  <c i="115" r="E28"/>
  <c i="115" r="E27"/>
  <c i="115" r="E26"/>
  <c i="115" r="E25"/>
  <c i="115" r="E23"/>
  <c i="115" r="E22"/>
  <c i="115" r="E21"/>
  <c i="115" r="E20"/>
  <c i="115" r="E19"/>
  <c i="115" r="E17"/>
  <c i="115" r="E16"/>
  <c i="115" r="E15"/>
  <c i="115" r="E14"/>
  <c i="115" r="E13"/>
  <c i="115" r="C98"/>
  <c i="115" r="C97"/>
  <c i="115" r="C96"/>
  <c i="115" r="C94"/>
  <c i="115" r="C92"/>
  <c i="115" r="C91"/>
  <c i="115" r="C90"/>
  <c i="115" r="C89"/>
  <c i="115" r="C88"/>
  <c i="115" r="C85"/>
  <c i="115" r="C84"/>
  <c i="115" r="C83"/>
  <c i="115" r="C82"/>
  <c i="115" r="C81"/>
  <c i="115" r="C80"/>
  <c i="115" r="C79"/>
  <c i="115" r="C78"/>
  <c i="115" r="C76"/>
  <c i="115" r="C75"/>
  <c i="115" r="C72"/>
  <c i="115" r="C70"/>
  <c i="115" r="C67"/>
  <c i="115" r="C65"/>
  <c i="115" r="C62"/>
  <c i="115" r="C61"/>
  <c i="115" r="C59"/>
  <c i="115" r="C58"/>
  <c i="115" r="C57"/>
  <c i="115" r="C56"/>
  <c i="115" r="C55"/>
  <c i="115" r="C54"/>
  <c i="115" r="C53"/>
  <c i="115" r="C52"/>
  <c i="115" r="C51"/>
  <c i="115" r="C49"/>
  <c i="115" r="C48"/>
  <c i="115" r="C47"/>
  <c i="115" r="C45"/>
  <c i="115" r="C44"/>
  <c i="115" r="C43"/>
  <c i="115" r="C42"/>
  <c i="115" r="C40"/>
  <c i="115" r="C39"/>
  <c i="115" r="C38"/>
  <c i="115" r="C36"/>
  <c i="115" r="C35"/>
  <c i="115" r="C34"/>
  <c i="115" r="C33"/>
  <c i="115" r="C32"/>
  <c i="115" r="C31"/>
  <c i="115" r="C30"/>
  <c i="115" r="C28"/>
  <c i="115" r="C27"/>
  <c i="115" r="C26"/>
  <c i="115" r="C25"/>
  <c i="115" r="C23"/>
  <c i="115" r="C22"/>
  <c i="115" r="C21"/>
  <c i="115" r="C20"/>
  <c i="115" r="C19"/>
  <c i="115" r="C17"/>
  <c i="115" r="C16"/>
  <c i="115" r="C15"/>
  <c i="115" r="C14"/>
  <c i="115" r="C13"/>
  <c i="182" l="1" r="B40"/>
  <c i="182" r="B36"/>
  <c i="182" r="B35"/>
  <c i="182" r="C29"/>
  <c i="182" r="A29"/>
  <c i="183" r="B33"/>
  <c i="183" r="B37" s="1"/>
  <c i="183" r="B32"/>
  <c i="183" r="C27"/>
  <c i="183" r="A27"/>
  <c i="183" r="G28"/>
  <c i="183" r="G27"/>
  <c i="183" r="F28"/>
  <c i="183" r="F27"/>
  <c i="183" r="E27"/>
  <c i="182" r="E29"/>
  <c i="176" r="C26"/>
  <c i="176" r="C22"/>
  <c i="182" l="1" r="C6"/>
  <c i="182" r="F29"/>
  <c i="182" r="G29"/>
  <c i="182" r="G30"/>
  <c i="176" r="B4"/>
  <c i="182" r="F30"/>
  <c i="182" r="E30"/>
  <c i="176" r="C18"/>
  <c i="183" r="C4"/>
  <c i="190" l="1" r="D16"/>
  <c i="190" r="B14"/>
  <c i="190" r="A6"/>
  <c i="190" r="A5"/>
  <c i="190" r="D1"/>
  <c i="189" r="D16"/>
  <c i="189" r="B14"/>
  <c i="189" r="A6"/>
  <c i="189" r="A5"/>
  <c i="189" r="D1"/>
  <c i="188" r="D16"/>
  <c i="188" r="B14"/>
  <c i="188" r="A6"/>
  <c i="188" r="A5"/>
  <c i="188" r="D1"/>
  <c i="186" r="W19"/>
  <c i="187" r="W13"/>
  <c i="187" r="Y13" s="1"/>
  <c i="187" r="V13"/>
  <c i="187" r="X13" s="1"/>
  <c i="185" r="AB15"/>
  <c i="185" r="AA15"/>
  <c i="185" r="Z15"/>
  <c i="185" r="Q15"/>
  <c i="185" r="O15"/>
  <c i="185" r="M15"/>
  <c i="185" r="L15"/>
  <c i="185" r="K15"/>
  <c i="185" r="J15"/>
  <c i="185" r="P14"/>
  <c i="185" r="P15" s="1"/>
  <c i="185" r="G11"/>
  <c i="185" r="H11" s="1"/>
  <c i="185" r="I11" s="1"/>
  <c i="185" r="J11" s="1"/>
  <c i="185" r="K11" s="1"/>
  <c i="185" r="L11" s="1"/>
  <c i="185" r="M11" s="1"/>
  <c i="185" r="N11" s="1"/>
  <c i="185" r="O11" s="1"/>
  <c i="185" r="P11" s="1"/>
  <c i="185" r="Q11" s="1"/>
  <c i="185" r="R11" s="1"/>
  <c i="185" r="S11" s="1"/>
  <c i="185" r="T11" s="1"/>
  <c i="185" r="U11" s="1"/>
  <c i="185" r="V11" s="1"/>
  <c i="185" r="W11" s="1"/>
  <c i="185" r="X11" s="1"/>
  <c i="185" r="Y11" s="1"/>
  <c i="185" r="Z11" s="1"/>
  <c i="185" r="AA11" s="1"/>
  <c i="185" r="AB11" s="1"/>
  <c i="184" r="AB18"/>
  <c i="184" r="AA18"/>
  <c i="184" r="Z18"/>
  <c i="184" r="Y18"/>
  <c i="184" r="X18"/>
  <c i="184" r="W18"/>
  <c i="184" r="V18"/>
  <c i="184" r="U18"/>
  <c i="184" r="T18"/>
  <c i="184" r="S18"/>
  <c i="184" r="R18"/>
  <c i="184" r="Q18"/>
  <c i="184" r="O18"/>
  <c i="184" r="N18"/>
  <c i="184" r="M18"/>
  <c i="184" r="L18"/>
  <c i="184" r="K18"/>
  <c i="184" r="J18"/>
  <c i="184" r="I18"/>
  <c i="184" r="H18"/>
  <c i="184" r="G18"/>
  <c i="184" r="F18"/>
  <c i="184" r="D18"/>
  <c i="184" r="E17"/>
  <c i="184" r="X10"/>
  <c i="184" r="Y10" s="1"/>
  <c i="184" r="Z10" s="1"/>
  <c i="184" r="AA10" s="1"/>
  <c i="184" r="AB10" s="1"/>
  <c i="184" r="G10"/>
  <c i="184" r="H10" s="1"/>
  <c i="184" r="I10" s="1"/>
  <c i="184" r="J10" s="1"/>
  <c i="184" r="K10" s="1"/>
  <c i="184" r="L10" s="1"/>
  <c i="184" r="M10" s="1"/>
  <c i="184" r="N10" s="1"/>
  <c i="184" r="O10" s="1"/>
  <c i="184" r="P10" s="1"/>
  <c i="184" r="Q10" s="1"/>
  <c i="184" r="R10" s="1"/>
  <c i="184" r="S10" s="1"/>
  <c i="184" l="1" r="E18"/>
  <c i="126" l="1" r="H8"/>
  <c i="126" r="G9"/>
  <c i="126" r="H9"/>
  <c i="126" r="G10"/>
  <c i="126" r="H10"/>
  <c i="126" r="G12"/>
  <c i="126" r="H12"/>
  <c i="126" r="G13"/>
  <c i="126" r="H13"/>
  <c i="126" r="G14"/>
  <c i="126" r="H14"/>
  <c i="126" r="D9"/>
  <c i="126" r="E9"/>
  <c i="126" r="F9"/>
  <c i="126" r="D10"/>
  <c i="126" r="E10"/>
  <c i="126" r="F10"/>
  <c i="126" r="D12"/>
  <c i="126" r="E12"/>
  <c i="126" r="F12"/>
  <c i="126" r="D13"/>
  <c i="126" r="E13"/>
  <c i="126" r="F13"/>
  <c i="126" r="D14"/>
  <c i="126" r="E14"/>
  <c i="126" r="F14"/>
  <c i="126" r="F8"/>
  <c i="126" r="G8"/>
  <c i="126" r="E8"/>
  <c i="113" l="1" r="F17"/>
  <c i="113" r="F16"/>
  <c i="113" r="F18"/>
  <c i="113" r="F15"/>
  <c i="113" r="F14"/>
  <c i="113" r="F13"/>
  <c i="135" r="B4"/>
  <c i="109" r="B5"/>
  <c i="111" r="B5"/>
  <c i="112" r="B5"/>
  <c i="113" r="B5"/>
  <c i="180" r="E43"/>
  <c i="180" r="D44" s="1"/>
  <c i="180" r="E44" s="1"/>
  <c i="180" r="D45" s="1"/>
  <c i="180" r="E45" s="1"/>
  <c i="180" r="D46" s="1"/>
  <c i="180" r="E46" s="1"/>
  <c i="180" r="D47" s="1"/>
  <c i="180" r="E47" s="1"/>
  <c i="180" r="D48" s="1"/>
  <c i="180" r="E48" s="1"/>
  <c i="180" r="D49" s="1"/>
  <c i="180" r="E49" s="1"/>
  <c i="180" r="D50" s="1"/>
  <c i="180" r="E50" s="1"/>
  <c i="180" r="D51" s="1"/>
  <c i="180" r="E51" s="1"/>
  <c i="180" r="D52" s="1"/>
  <c i="180" r="E52" s="1"/>
  <c i="180" r="D53" s="1"/>
  <c i="180" r="E53" s="1"/>
  <c i="180" r="D54" s="1"/>
  <c i="180" r="E54" s="1"/>
  <c i="180" r="D55" s="1"/>
  <c i="180" r="E55" s="1"/>
  <c i="180" r="D56" s="1"/>
  <c i="180" r="E56" s="1"/>
  <c i="180" r="D57" s="1"/>
  <c i="180" r="E57" s="1"/>
  <c i="180" r="D60" s="1"/>
  <c i="180" r="E60" s="1"/>
  <c i="180" r="D61" s="1"/>
  <c i="180" r="E61" s="1"/>
  <c i="180" r="D62" s="1"/>
  <c i="180" r="E62" s="1"/>
  <c i="180" r="D63" s="1"/>
  <c i="180" r="E63" s="1"/>
  <c i="180" r="D64" s="1"/>
  <c i="180" r="E64" s="1"/>
  <c i="180" r="D33"/>
  <c i="180" r="D34" s="1"/>
  <c i="180" r="D35" s="1"/>
  <c i="180" r="D36" s="1"/>
  <c i="180" r="D37" s="1"/>
  <c i="180" r="E31"/>
  <c i="180" r="E33" s="1"/>
  <c i="180" r="E34" s="1"/>
  <c i="180" r="E35" s="1"/>
  <c i="180" r="E36" s="1"/>
  <c i="180" r="E37" s="1"/>
  <c i="180" r="D38" s="1"/>
  <c i="180" r="E38" s="1"/>
  <c i="180" r="D39" s="1"/>
  <c i="180" r="E11"/>
  <c i="180" r="D13" s="1"/>
  <c i="180" r="E13" s="1"/>
  <c i="180" r="D15" s="1"/>
  <c i="180" r="E15" s="1"/>
  <c i="180" r="D17" s="1"/>
  <c i="180" r="C73"/>
  <c i="180" r="B73"/>
  <c i="180" r="C70"/>
  <c i="180" r="B70"/>
  <c i="180" r="C67"/>
  <c i="180" r="B67"/>
  <c i="180" r="F28"/>
  <c i="180" r="F27"/>
  <c i="180" r="F26"/>
  <c i="180" r="F25"/>
  <c i="180" r="F24"/>
  <c i="180" r="F23"/>
  <c i="180" r="F22"/>
  <c i="180" r="F21"/>
  <c i="180" r="F20"/>
  <c i="180" r="F19"/>
  <c i="180" r="F18"/>
  <c i="180" r="F17"/>
  <c i="180" r="F16"/>
  <c i="180" r="F15"/>
  <c i="180" r="F14"/>
  <c i="180" r="F13"/>
  <c i="180" r="F12"/>
  <c i="180" r="F11"/>
  <c i="180" r="B5"/>
  <c i="180" r="B4"/>
  <c i="63" r="C30"/>
  <c i="63" r="B30"/>
  <c i="65" r="A5"/>
  <c i="73" r="D5"/>
  <c i="48" r="B5"/>
  <c i="83" r="D4"/>
  <c i="51" r="C5"/>
  <c i="57" r="B4"/>
  <c i="56" r="B4"/>
  <c i="55" r="B4"/>
  <c i="86" r="A5"/>
  <c i="103" r="B3"/>
  <c i="77" r="B3"/>
  <c i="78" r="B3"/>
  <c i="101" r="B4"/>
  <c i="99" r="B4"/>
  <c i="105" l="1" r="D40"/>
  <c i="180" r="D40"/>
  <c i="180" r="E39"/>
  <c i="180" r="E40" s="1"/>
  <c i="180" r="D41" s="1"/>
  <c i="180" r="E41" s="1"/>
  <c i="180" r="E17"/>
  <c i="177" r="B3"/>
  <c i="98" r="B4"/>
  <c i="95" r="B4"/>
  <c i="94" r="B5"/>
  <c i="93" r="A5"/>
  <c i="93" r="D5"/>
  <c i="92" r="D5"/>
  <c i="92" r="A5"/>
  <c i="60" r="C4"/>
  <c i="59" r="C4"/>
  <c i="91" r="A5"/>
  <c i="91" r="D5"/>
  <c i="90" r="D5"/>
  <c i="90" r="A5"/>
  <c i="88" r="D5"/>
  <c i="88" r="A5"/>
  <c i="86" r="D5"/>
  <c i="54" r="B4"/>
  <c i="53" r="C4"/>
  <c i="84" r="A5"/>
  <c i="84" r="D5"/>
  <c i="52" r="B4"/>
  <c i="51" r="C4"/>
  <c i="83" r="A4"/>
  <c i="82" r="B4"/>
  <c i="48" r="B4"/>
  <c i="49" r="C4"/>
  <c i="73" r="A5"/>
  <c i="67" r="A4"/>
  <c i="69" r="B5"/>
  <c i="75" r="A3"/>
  <c i="74" r="A4"/>
  <c i="131" r="B6"/>
  <c i="139" r="A6"/>
  <c i="64" r="A4"/>
  <c i="63" r="B3"/>
  <c i="130" r="B4"/>
  <c i="129" r="B4"/>
  <c i="126" r="B4"/>
  <c i="124" r="A4"/>
  <c i="123" r="A4"/>
  <c i="180" l="1" r="D19"/>
  <c i="180" r="E19" s="1"/>
  <c i="180" r="D21" s="1"/>
  <c i="180" r="E21" s="1"/>
  <c i="122" r="A4"/>
  <c i="121" r="A4"/>
  <c i="120" r="A4"/>
  <c i="119" r="A4"/>
  <c i="118" r="A4"/>
  <c i="117" r="A4"/>
  <c i="173" r="B4"/>
  <c i="180" l="1" r="D23"/>
  <c i="180" r="E23" s="1"/>
  <c i="114" r="B4"/>
  <c i="115" r="B3"/>
  <c i="116" r="B3"/>
  <c i="113" r="B4"/>
  <c i="112" r="B4"/>
  <c i="111" r="B4"/>
  <c i="110" r="A6"/>
  <c i="108" r="B4"/>
  <c i="109" r="B4"/>
  <c i="135" r="B3"/>
  <c i="180" l="1" r="D25"/>
  <c i="180" r="E25" s="1"/>
  <c i="20" r="D103"/>
  <c i="20" r="D102" s="1"/>
  <c i="20" r="C103"/>
  <c i="20" r="C102" s="1"/>
  <c i="20" r="D98"/>
  <c i="20" r="C98"/>
  <c i="20" r="D96"/>
  <c i="20" r="C96"/>
  <c i="20" r="D89"/>
  <c i="20" r="C89"/>
  <c i="20" r="E84"/>
  <c i="20" r="D84"/>
  <c i="20" r="C84"/>
  <c i="20" r="D75"/>
  <c i="20" r="C75"/>
  <c i="20" r="D72"/>
  <c i="20" r="C72"/>
  <c i="20" r="C71" s="1"/>
  <c i="20" r="D69"/>
  <c i="20" r="C69"/>
  <c i="20" r="D67"/>
  <c i="20" r="C67"/>
  <c i="20" r="C66" s="1"/>
  <c i="20" r="D64"/>
  <c i="20" r="C64"/>
  <c i="20" r="D62"/>
  <c i="20" r="C62"/>
  <c i="20" r="C61" s="1"/>
  <c i="20" r="D58"/>
  <c i="20" r="C58"/>
  <c i="20" r="D48"/>
  <c i="20" r="C48"/>
  <c i="20" r="D44"/>
  <c i="20" r="C44"/>
  <c i="20" r="D39"/>
  <c i="20" r="C39"/>
  <c i="20" r="D35"/>
  <c i="20" r="C35"/>
  <c i="20" r="D28"/>
  <c i="20" r="C28"/>
  <c i="20" r="D23"/>
  <c i="20" r="C23"/>
  <c i="20" r="D17"/>
  <c i="20" r="C17"/>
  <c i="20" r="D11"/>
  <c i="20" r="C11"/>
  <c i="10" r="H147"/>
  <c i="10" r="G147"/>
  <c i="10" r="F147"/>
  <c i="10" r="E147"/>
  <c i="10" r="H143"/>
  <c i="10" r="G143"/>
  <c i="10" r="F143"/>
  <c i="10" r="E143"/>
  <c i="10" r="H140"/>
  <c i="10" r="G140"/>
  <c i="10" r="F140"/>
  <c i="10" r="E140"/>
  <c i="10" r="H137"/>
  <c i="10" r="G137"/>
  <c i="10" r="F137"/>
  <c i="10" r="E137"/>
  <c i="10" r="H134"/>
  <c i="10" r="G134"/>
  <c i="10" r="F134"/>
  <c i="10" r="E134"/>
  <c i="10" r="H133"/>
  <c i="10" r="G133"/>
  <c i="10" r="F133"/>
  <c i="10" r="E133"/>
  <c i="10" r="H128"/>
  <c i="10" r="G128"/>
  <c i="10" r="F128"/>
  <c i="10" r="E128"/>
  <c i="10" r="H125"/>
  <c i="10" r="G125"/>
  <c i="10" r="F125"/>
  <c i="10" r="E125"/>
  <c i="10" r="H120"/>
  <c i="116" r="G30" s="1"/>
  <c i="10" r="G120"/>
  <c i="116" r="E30" s="1"/>
  <c i="10" r="F120"/>
  <c i="116" r="C30" s="1"/>
  <c i="10" r="E120"/>
  <c i="10" r="H117"/>
  <c i="116" r="G27" s="1"/>
  <c i="10" r="G117"/>
  <c i="116" r="E27" s="1"/>
  <c i="10" r="F117"/>
  <c i="116" r="C27" s="1"/>
  <c i="10" r="E117"/>
  <c i="10" r="H112"/>
  <c i="116" r="G22" s="1"/>
  <c i="10" r="G112"/>
  <c i="116" r="E22" s="1"/>
  <c i="10" r="F112"/>
  <c i="116" r="C22" s="1"/>
  <c i="10" r="E112"/>
  <c i="10" r="H108"/>
  <c i="116" r="G18" s="1"/>
  <c i="10" r="G108"/>
  <c i="116" r="E18" s="1"/>
  <c i="10" r="F108"/>
  <c i="116" r="C18" s="1"/>
  <c i="10" r="E108"/>
  <c i="10" r="H105"/>
  <c i="116" r="G15" s="1"/>
  <c i="10" r="G105"/>
  <c i="116" r="E15" s="1"/>
  <c i="10" r="F105"/>
  <c i="116" r="C15" s="1"/>
  <c i="10" r="E105"/>
  <c i="10" r="H100"/>
  <c i="116" r="G10" s="1"/>
  <c i="10" r="G100"/>
  <c i="116" r="E10" s="1"/>
  <c i="10" r="F100"/>
  <c i="116" r="C10" s="1"/>
  <c i="10" r="E100"/>
  <c i="10" r="H99"/>
  <c i="116" r="G9" s="1"/>
  <c i="116" r="H9" s="1"/>
  <c i="10" r="G99"/>
  <c i="116" r="E9" s="1"/>
  <c i="10" r="F99"/>
  <c i="116" r="C9" s="1"/>
  <c i="10" r="E99"/>
  <c i="10" r="H95"/>
  <c i="115" r="G95" s="1"/>
  <c i="10" r="G95"/>
  <c i="115" r="E95" s="1"/>
  <c i="10" r="F95"/>
  <c i="115" r="C95" s="1"/>
  <c i="10" r="E95"/>
  <c i="10" r="H93"/>
  <c i="115" r="G93" s="1"/>
  <c i="10" r="G93"/>
  <c i="115" r="E93" s="1"/>
  <c i="10" r="F93"/>
  <c i="115" r="C93" s="1"/>
  <c i="10" r="E93"/>
  <c i="10" r="H87"/>
  <c i="115" r="G87" s="1"/>
  <c i="10" r="G87"/>
  <c i="115" r="E87" s="1"/>
  <c i="10" r="F87"/>
  <c i="115" r="C87" s="1"/>
  <c i="10" r="E87"/>
  <c i="10" r="H86"/>
  <c i="115" r="G86" s="1"/>
  <c i="10" r="E86"/>
  <c i="10" r="H77"/>
  <c i="115" r="G77" s="1"/>
  <c i="10" r="G77"/>
  <c i="115" r="E77" s="1"/>
  <c i="10" r="F77"/>
  <c i="115" r="C77" s="1"/>
  <c i="10" r="E77"/>
  <c i="10" r="H74"/>
  <c i="115" r="G74" s="1"/>
  <c i="10" r="G74"/>
  <c i="115" r="E74" s="1"/>
  <c i="10" r="F74"/>
  <c i="115" r="C74" s="1"/>
  <c i="10" r="E74"/>
  <c i="10" r="H73"/>
  <c i="115" r="G73" s="1"/>
  <c i="10" r="G73"/>
  <c i="115" r="E73" s="1"/>
  <c i="10" r="F73"/>
  <c i="10" r="E73"/>
  <c i="10" r="H71"/>
  <c i="115" r="G71" s="1"/>
  <c i="10" r="G71"/>
  <c i="115" r="E71" s="1"/>
  <c i="10" r="F71"/>
  <c i="115" r="C71" s="1"/>
  <c i="10" r="E71"/>
  <c i="10" r="H69"/>
  <c i="115" r="G69" s="1"/>
  <c i="10" r="G69"/>
  <c i="115" r="E69" s="1"/>
  <c i="10" r="F69"/>
  <c i="115" r="C69" s="1"/>
  <c i="10" r="E69"/>
  <c i="10" r="E68" s="1"/>
  <c i="10" r="H68"/>
  <c i="115" r="G68" s="1"/>
  <c i="10" r="H66"/>
  <c i="115" r="G66" s="1"/>
  <c i="10" r="G66"/>
  <c i="115" r="E66" s="1"/>
  <c i="10" r="F66"/>
  <c i="115" r="C66" s="1"/>
  <c i="10" r="E66"/>
  <c i="10" r="H64"/>
  <c i="115" r="G64" s="1"/>
  <c i="10" r="G64"/>
  <c i="115" r="E64" s="1"/>
  <c i="10" r="F64"/>
  <c i="115" r="C64" s="1"/>
  <c i="10" r="E64"/>
  <c i="10" r="E63" s="1"/>
  <c i="10" r="H63"/>
  <c i="115" r="G63" s="1"/>
  <c i="10" r="G63"/>
  <c i="115" r="E63" s="1"/>
  <c i="10" r="H60"/>
  <c i="115" r="G60" s="1"/>
  <c i="10" r="G60"/>
  <c i="115" r="E60" s="1"/>
  <c i="10" r="F60"/>
  <c i="115" r="C60" s="1"/>
  <c i="10" r="E60"/>
  <c i="10" r="H50"/>
  <c i="115" r="G50" s="1"/>
  <c i="10" r="G50"/>
  <c i="115" r="E50" s="1"/>
  <c i="10" r="F50"/>
  <c i="115" r="C50" s="1"/>
  <c i="10" r="E50"/>
  <c i="10" r="H46"/>
  <c i="115" r="G46" s="1"/>
  <c i="10" r="G46"/>
  <c i="115" r="E46" s="1"/>
  <c i="10" r="F46"/>
  <c i="115" r="C46" s="1"/>
  <c i="10" r="E46"/>
  <c i="10" r="H41"/>
  <c i="115" r="G41" s="1"/>
  <c i="10" r="G41"/>
  <c i="115" r="E41" s="1"/>
  <c i="10" r="F41"/>
  <c i="115" r="C41" s="1"/>
  <c i="10" r="E41"/>
  <c i="10" r="H37"/>
  <c i="115" r="G37" s="1"/>
  <c i="10" r="G37"/>
  <c i="115" r="E37" s="1"/>
  <c i="10" r="F37"/>
  <c i="115" r="C37" s="1"/>
  <c i="10" r="E37"/>
  <c i="10" r="H29"/>
  <c i="115" r="G29" s="1"/>
  <c i="10" r="G29"/>
  <c i="115" r="E29" s="1"/>
  <c i="10" r="F29"/>
  <c i="115" r="C29" s="1"/>
  <c i="10" r="E29"/>
  <c i="10" r="H24"/>
  <c i="115" r="G24" s="1"/>
  <c i="10" r="G24"/>
  <c i="115" r="E24" s="1"/>
  <c i="10" r="F24"/>
  <c i="115" r="C24" s="1"/>
  <c i="10" r="E24"/>
  <c i="10" r="H18"/>
  <c i="115" r="G18" s="1"/>
  <c i="10" r="G18"/>
  <c i="115" r="E18" s="1"/>
  <c i="10" r="F18"/>
  <c i="115" r="C18" s="1"/>
  <c i="10" r="E18"/>
  <c i="10" r="H12"/>
  <c i="115" r="G12" s="1"/>
  <c i="10" r="G12"/>
  <c i="115" r="E12" s="1"/>
  <c i="10" r="F12"/>
  <c i="115" r="C12" s="1"/>
  <c i="10" r="E12"/>
  <c i="10" r="H11"/>
  <c i="115" r="G11" s="1"/>
  <c i="10" r="G11"/>
  <c i="10" r="F11"/>
  <c i="115" r="C11" s="1"/>
  <c i="10" r="E11"/>
  <c i="32" r="F63"/>
  <c i="32" r="E63"/>
  <c i="32" r="D63"/>
  <c i="32" r="C63"/>
  <c i="32" r="F56"/>
  <c i="32" r="E56"/>
  <c i="32" r="D56"/>
  <c i="32" r="C56"/>
  <c i="32" r="F39"/>
  <c i="32" r="E39"/>
  <c i="32" r="D39"/>
  <c i="32" r="C39"/>
  <c i="32" r="F34"/>
  <c i="32" r="E34"/>
  <c i="32" r="D34"/>
  <c i="32" r="C34"/>
  <c i="32" r="F33"/>
  <c i="32" r="E33"/>
  <c i="32" r="D33"/>
  <c i="32" r="C33"/>
  <c i="32" r="F27"/>
  <c i="32" r="E27"/>
  <c i="32" r="D27"/>
  <c i="32" r="C27"/>
  <c i="32" r="F19"/>
  <c i="32" r="E19"/>
  <c i="32" r="D19"/>
  <c i="32" r="C19"/>
  <c i="32" r="F18"/>
  <c i="32" r="E18"/>
  <c i="32" r="D18"/>
  <c i="32" r="C18"/>
  <c i="32" r="F14"/>
  <c i="32" r="E14"/>
  <c i="32" r="D14"/>
  <c i="32" r="C14"/>
  <c i="32" r="F10"/>
  <c i="32" r="E10"/>
  <c i="32" r="E9" s="1"/>
  <c i="32" r="E8" s="1"/>
  <c i="32" r="D10"/>
  <c i="32" r="D9" s="1"/>
  <c i="32" r="D8" s="1"/>
  <c i="32" r="C10"/>
  <c i="6" r="P33"/>
  <c i="6" r="P32"/>
  <c i="6" r="O31"/>
  <c i="6" r="N31"/>
  <c i="6" r="M31"/>
  <c i="6" r="L31"/>
  <c i="6" r="K31"/>
  <c i="6" r="J31"/>
  <c i="6" r="I31"/>
  <c i="6" r="H31"/>
  <c i="6" r="G31"/>
  <c i="6" r="F31"/>
  <c i="6" r="E31"/>
  <c i="6" r="D31"/>
  <c i="6" r="C31"/>
  <c i="6" r="P30"/>
  <c i="6" r="P29"/>
  <c i="6" r="O28"/>
  <c i="6" r="N28"/>
  <c i="6" r="M28"/>
  <c i="6" r="L28"/>
  <c i="6" r="K28"/>
  <c i="6" r="J28"/>
  <c i="6" r="I28"/>
  <c i="6" r="H28"/>
  <c i="6" r="G28"/>
  <c i="6" r="F28"/>
  <c i="6" r="E28"/>
  <c i="6" r="D28"/>
  <c i="6" r="C28"/>
  <c i="6" r="P27"/>
  <c i="6" r="P26"/>
  <c i="6" r="P24"/>
  <c i="6" r="P23"/>
  <c i="6" r="P22"/>
  <c i="6" r="P21"/>
  <c i="6" r="P20"/>
  <c i="6" r="P19"/>
  <c i="6" r="O18"/>
  <c i="53" r="G59" s="1"/>
  <c i="6" r="N18"/>
  <c i="53" r="G55" s="1"/>
  <c i="6" r="M18"/>
  <c i="53" r="G51" s="1"/>
  <c i="6" r="L18"/>
  <c i="53" r="G39" s="1"/>
  <c i="6" r="K18"/>
  <c i="53" r="G47" s="1"/>
  <c i="6" r="J18"/>
  <c i="53" r="G43" s="1"/>
  <c i="6" r="I18"/>
  <c i="53" r="G35" s="1"/>
  <c i="6" r="H18"/>
  <c i="53" r="G31" s="1"/>
  <c i="6" r="G18"/>
  <c i="53" r="G27" s="1"/>
  <c i="6" r="F18"/>
  <c i="53" r="G23" s="1"/>
  <c i="6" r="E18"/>
  <c i="53" r="G19" s="1"/>
  <c i="6" r="D18"/>
  <c i="53" r="G15" s="1"/>
  <c i="6" r="C18"/>
  <c i="53" r="G11" s="1"/>
  <c i="6" r="P17"/>
  <c i="6" r="P16"/>
  <c i="6" r="P15"/>
  <c i="6" r="P14"/>
  <c i="6" r="P13"/>
  <c i="6" r="P12"/>
  <c i="6" r="O11"/>
  <c i="53" r="G58" s="1"/>
  <c i="6" r="N11"/>
  <c i="53" r="G54" s="1"/>
  <c i="6" r="M11"/>
  <c i="53" r="G50" s="1"/>
  <c i="6" r="L11"/>
  <c i="53" r="G38" s="1"/>
  <c i="6" r="K11"/>
  <c i="53" r="G46" s="1"/>
  <c i="6" r="J11"/>
  <c i="53" r="G42" s="1"/>
  <c i="6" r="I11"/>
  <c i="53" r="G34" s="1"/>
  <c i="6" r="H11"/>
  <c i="53" r="G30" s="1"/>
  <c i="6" r="G11"/>
  <c i="53" r="G26" s="1"/>
  <c i="6" r="F11"/>
  <c i="53" r="G22" s="1"/>
  <c i="6" r="E11"/>
  <c i="53" r="G18" s="1"/>
  <c i="6" r="D11"/>
  <c i="6" r="C11"/>
  <c i="6" r="P10"/>
  <c i="9" r="Q20"/>
  <c i="9" r="Q19"/>
  <c i="9" r="Q18"/>
  <c i="9" r="Q17"/>
  <c i="9" r="P16"/>
  <c i="9" r="O16"/>
  <c i="9" r="N16"/>
  <c i="9" r="M16"/>
  <c i="9" r="L16"/>
  <c i="9" r="K16"/>
  <c i="9" r="J16"/>
  <c i="9" r="I16"/>
  <c i="9" r="H16"/>
  <c i="9" r="G16"/>
  <c i="9" r="F16"/>
  <c i="9" r="E16"/>
  <c i="9" r="D16"/>
  <c i="9" r="C16"/>
  <c i="9" r="Q15"/>
  <c i="9" r="Q14"/>
  <c i="9" r="Q13"/>
  <c i="9" r="Q12"/>
  <c i="9" r="Q11"/>
  <c i="9" r="P10"/>
  <c i="9" r="O10"/>
  <c i="9" r="N10"/>
  <c i="9" r="M10"/>
  <c i="9" r="L10"/>
  <c i="9" r="K10"/>
  <c i="9" r="J10"/>
  <c i="9" r="I10"/>
  <c i="9" r="H10"/>
  <c i="9" r="G10"/>
  <c i="9" r="F10"/>
  <c i="9" r="E10"/>
  <c i="9" r="D10"/>
  <c i="9" r="C10"/>
  <c i="9" r="Q9"/>
  <c i="28" r="F22"/>
  <c i="28" r="E22"/>
  <c i="28" r="D22"/>
  <c i="28" r="C22"/>
  <c i="28" r="F15"/>
  <c i="28" r="E15"/>
  <c i="28" r="E14" s="1"/>
  <c i="28" r="D15"/>
  <c i="28" r="D14" s="1"/>
  <c i="28" r="C15"/>
  <c i="28" r="F9"/>
  <c i="28" r="E9"/>
  <c i="28" r="D9"/>
  <c i="28" r="C9"/>
  <c i="5" r="G23"/>
  <c i="5" r="G22"/>
  <c i="5" r="G21"/>
  <c i="5" r="G20"/>
  <c i="5" r="G19"/>
  <c i="5" r="G17"/>
  <c i="5" r="G14"/>
  <c i="5" r="G13"/>
  <c i="5" r="G12"/>
  <c i="5" r="G11"/>
  <c i="5" r="F10"/>
  <c i="5" r="E10"/>
  <c i="5" r="D10"/>
  <c i="5" r="C10"/>
  <c i="5" r="G9"/>
  <c i="5" r="G8"/>
  <c i="4" r="D299"/>
  <c i="4" r="C299"/>
  <c i="4" r="D295"/>
  <c i="4" r="C295"/>
  <c i="4" r="D291"/>
  <c i="4" r="C291"/>
  <c i="4" r="D284"/>
  <c i="4" r="C284"/>
  <c i="4" r="D280"/>
  <c i="170" r="D272" s="1"/>
  <c i="4" r="C280"/>
  <c i="4" r="D268"/>
  <c i="170" r="D260" s="1"/>
  <c i="4" r="C268"/>
  <c i="4" r="D257"/>
  <c i="4" r="C257"/>
  <c i="4" r="D249"/>
  <c i="170" r="D253" s="1"/>
  <c i="4" r="C249"/>
  <c i="4" r="D244"/>
  <c i="170" r="D248" s="1"/>
  <c i="4" r="C244"/>
  <c i="4" r="D239"/>
  <c i="170" r="D243" s="1"/>
  <c i="4" r="C239"/>
  <c i="4" r="D230"/>
  <c i="170" r="D234" s="1"/>
  <c i="4" r="C230"/>
  <c i="4" r="D227"/>
  <c i="170" r="D231" s="1"/>
  <c i="4" r="C227"/>
  <c i="4" r="D224"/>
  <c i="170" r="D228" s="1"/>
  <c i="4" r="C224"/>
  <c i="4" r="D222"/>
  <c i="170" r="D226" s="1"/>
  <c i="4" r="C222"/>
  <c i="4" r="D219"/>
  <c i="170" r="D223" s="1"/>
  <c i="4" r="C219"/>
  <c i="4" r="D217"/>
  <c i="170" r="D221" s="1"/>
  <c i="4" r="C217"/>
  <c i="4" r="D213"/>
  <c i="170" r="D215" s="1"/>
  <c i="4" r="C213"/>
  <c i="4" r="D199"/>
  <c i="170" r="D200" s="1"/>
  <c i="4" r="C199"/>
  <c i="4" r="D195"/>
  <c i="170" r="D196" s="1"/>
  <c i="4" r="C195"/>
  <c i="4" r="D190"/>
  <c i="170" r="D191" s="1"/>
  <c i="4" r="C190"/>
  <c i="4" r="D186"/>
  <c i="170" r="D187" s="1"/>
  <c i="4" r="C186"/>
  <c i="4" r="D175"/>
  <c i="170" r="D176" s="1"/>
  <c i="4" r="C175"/>
  <c i="4" r="D169"/>
  <c i="170" r="D170" s="1"/>
  <c i="4" r="C169"/>
  <c i="4" r="D162"/>
  <c i="170" r="D163" s="1"/>
  <c i="4" r="C162"/>
  <c i="4" r="D155"/>
  <c i="170" r="D156" s="1"/>
  <c i="4" r="C155"/>
  <c i="4" r="D148"/>
  <c i="170" r="D149" s="1"/>
  <c i="4" r="C148"/>
  <c i="4" r="D142"/>
  <c i="170" r="D143" s="1"/>
  <c i="4" r="C142"/>
  <c i="4" r="D134"/>
  <c i="170" r="D135" s="1"/>
  <c i="4" r="C134"/>
  <c i="4" r="D127"/>
  <c i="170" r="D128" s="1"/>
  <c i="4" r="C127"/>
  <c i="4" r="D117"/>
  <c i="170" r="D118" s="1"/>
  <c i="4" r="C117"/>
  <c i="4" r="D114"/>
  <c i="170" r="D113" s="1"/>
  <c i="4" r="C114"/>
  <c i="4" r="D109"/>
  <c i="170" r="D108" s="1"/>
  <c i="4" r="C109"/>
  <c i="4" r="D106"/>
  <c i="170" r="D105" s="1"/>
  <c i="4" r="C106"/>
  <c i="4" r="D103"/>
  <c i="170" r="D102" s="1"/>
  <c i="4" r="C103"/>
  <c i="4" r="D89"/>
  <c i="4" r="C89"/>
  <c i="4" r="C85" s="1"/>
  <c i="4" r="D79"/>
  <c i="170" r="D78" s="1"/>
  <c i="4" r="C79"/>
  <c i="4" r="D74"/>
  <c i="170" r="D73" s="1"/>
  <c i="4" r="C74"/>
  <c i="4" r="D71"/>
  <c i="170" r="D70" s="1"/>
  <c i="4" r="C71"/>
  <c i="4" r="D59"/>
  <c i="170" r="D58" s="1"/>
  <c i="4" r="C59"/>
  <c i="4" r="D55"/>
  <c i="170" r="D54" s="1"/>
  <c i="4" r="C55"/>
  <c i="4" r="D53"/>
  <c i="170" r="D52" s="1"/>
  <c i="4" r="C53"/>
  <c i="4" r="D44"/>
  <c i="170" r="D43" s="1"/>
  <c i="4" r="C44"/>
  <c i="4" r="D40"/>
  <c i="170" r="D39" s="1"/>
  <c i="4" r="C40"/>
  <c i="4" r="D35"/>
  <c i="170" r="D34" s="1"/>
  <c i="4" r="C35"/>
  <c i="4" r="D29"/>
  <c i="170" r="D28" s="1"/>
  <c i="4" r="C29"/>
  <c i="4" r="D27"/>
  <c i="170" r="D26" s="1"/>
  <c i="4" r="C27"/>
  <c i="4" r="D25"/>
  <c i="170" r="D24" s="1"/>
  <c i="4" r="C25"/>
  <c i="4" r="D23"/>
  <c i="170" r="D22" s="1"/>
  <c i="4" r="C23"/>
  <c i="4" r="D21"/>
  <c i="170" r="D20" s="1"/>
  <c i="4" r="C21"/>
  <c i="4" r="D12"/>
  <c i="170" r="D11" s="1"/>
  <c i="4" r="C12"/>
  <c i="10" l="1" r="F86"/>
  <c i="115" r="C86" s="1"/>
  <c i="4" r="D85"/>
  <c i="170" r="D84" s="1"/>
  <c i="170" r="D88"/>
  <c i="5" r="E16"/>
  <c i="20" r="D61"/>
  <c i="20" r="D66"/>
  <c i="5" r="D15"/>
  <c i="5" r="D18" s="1"/>
  <c i="5" r="D16"/>
  <c i="5" r="F15"/>
  <c i="5" r="F18" s="1"/>
  <c i="5" r="F24" s="1"/>
  <c i="5" r="F16"/>
  <c i="10" r="E10"/>
  <c i="10" r="E9" s="1"/>
  <c i="5" r="C15"/>
  <c i="5" r="C18" s="1"/>
  <c i="5" r="C16"/>
  <c i="9" r="D21"/>
  <c i="9" r="H21"/>
  <c i="10" r="G68"/>
  <c i="115" r="E68" s="1"/>
  <c i="10" r="G86"/>
  <c i="115" r="E86" s="1"/>
  <c i="28" r="E8"/>
  <c i="53" r="G63"/>
  <c i="53" r="G14"/>
  <c i="53" r="G10"/>
  <c i="4" r="D11"/>
  <c i="170" r="D10" s="1"/>
  <c i="4" r="D84"/>
  <c i="170" r="D83" s="1"/>
  <c i="4" r="D154"/>
  <c i="170" r="D155" s="1"/>
  <c i="4" r="C221"/>
  <c i="4" r="C226"/>
  <c i="4" r="C267"/>
  <c i="4" r="C305"/>
  <c i="4" r="C58"/>
  <c i="9" r="L21"/>
  <c i="9" r="P21"/>
  <c i="6" r="F25"/>
  <c i="6" r="J25"/>
  <c i="6" r="J35" s="1"/>
  <c i="6" r="N25"/>
  <c i="6" r="F34"/>
  <c i="20" r="D88"/>
  <c i="5" r="E15"/>
  <c i="4" r="D116"/>
  <c i="170" r="D117" s="1"/>
  <c i="4" r="C84"/>
  <c i="4" r="D221"/>
  <c i="170" r="D225" s="1"/>
  <c i="4" r="D226"/>
  <c i="170" r="D230" s="1"/>
  <c i="28" r="D8"/>
  <c i="6" r="D25"/>
  <c i="6" r="H25"/>
  <c i="6" r="L25"/>
  <c i="6" r="D34"/>
  <c i="6" r="H34"/>
  <c i="6" r="L34"/>
  <c i="4" r="D58"/>
  <c i="170" r="D57" s="1"/>
  <c i="32" r="C9"/>
  <c i="32" r="C8" s="1"/>
  <c i="6" r="J34"/>
  <c i="6" r="N34"/>
  <c i="20" r="C10"/>
  <c i="10" r="F63"/>
  <c i="115" r="C63" s="1"/>
  <c i="10" r="F68"/>
  <c i="115" r="C68" s="1"/>
  <c i="115" r="C73"/>
  <c i="116" r="I9"/>
  <c i="116" r="D9"/>
  <c i="116" r="D10"/>
  <c i="9" r="E21"/>
  <c i="9" r="I21"/>
  <c i="9" r="M21"/>
  <c i="6" r="G25"/>
  <c i="6" r="K25"/>
  <c i="6" r="O25"/>
  <c i="6" r="G34"/>
  <c i="6" r="K34"/>
  <c i="6" r="O34"/>
  <c i="115" r="E11"/>
  <c i="116" r="F9"/>
  <c i="116" r="L9" s="1"/>
  <c i="116" r="K9"/>
  <c i="116" r="F10"/>
  <c i="4" r="C11"/>
  <c i="4" r="C10" s="1"/>
  <c i="10" r="H10"/>
  <c i="32" r="F9"/>
  <c i="4" r="D216"/>
  <c i="170" r="D220" s="1"/>
  <c i="37" r="G4"/>
  <c i="28" r="C14"/>
  <c i="9" r="C21"/>
  <c i="9" r="G21"/>
  <c i="9" r="K21"/>
  <c i="9" r="O21"/>
  <c i="20" r="C88"/>
  <c i="180" r="D27"/>
  <c i="180" r="E27" s="1"/>
  <c i="4" r="C216"/>
  <c i="4" r="D267"/>
  <c i="170" r="D259" s="1"/>
  <c i="4" r="D305"/>
  <c i="9" r="F21"/>
  <c i="9" r="J21"/>
  <c i="9" r="N21"/>
  <c i="9" r="Q16"/>
  <c i="6" r="E25"/>
  <c i="6" r="I25"/>
  <c i="6" r="M25"/>
  <c i="6" r="E34"/>
  <c i="6" r="I34"/>
  <c i="6" r="M34"/>
  <c i="20" r="D10"/>
  <c i="28" r="F14"/>
  <c i="4" r="C154"/>
  <c i="6" r="P18"/>
  <c i="6" r="P31"/>
  <c i="20" r="D71"/>
  <c i="4" r="D10"/>
  <c i="170" r="D9" s="1"/>
  <c i="4" r="C116"/>
  <c i="6" r="P11"/>
  <c i="6" r="P28"/>
  <c i="20" r="C9"/>
  <c i="6" r="C25"/>
  <c i="6" r="C34"/>
  <c i="9" r="Q10"/>
  <c i="5" r="E18"/>
  <c i="5" r="E24" s="1"/>
  <c i="5" r="G10"/>
  <c i="20" l="1" r="C8"/>
  <c i="10" r="G10"/>
  <c i="6" r="L35"/>
  <c i="53" r="G62"/>
  <c i="53" r="G60"/>
  <c i="5" r="G15"/>
  <c i="53" r="G48"/>
  <c i="53" r="G32"/>
  <c i="4" r="D153"/>
  <c i="53" r="G24"/>
  <c i="53" r="G52"/>
  <c i="6" r="D35"/>
  <c i="53" r="G28"/>
  <c i="53" r="G16"/>
  <c i="53" r="G12"/>
  <c i="53" r="G36"/>
  <c i="53" r="G56"/>
  <c i="53" r="G20"/>
  <c i="53" r="G40"/>
  <c i="53" r="G44"/>
  <c i="5" r="G16"/>
  <c i="6" r="F35"/>
  <c i="6" r="H35"/>
  <c i="4" r="D266"/>
  <c i="4" r="D9"/>
  <c i="170" r="D8" s="1"/>
  <c i="4" r="C153"/>
  <c i="4" r="C9"/>
  <c i="4" r="C266"/>
  <c i="5" r="D24"/>
  <c i="116" r="J9"/>
  <c i="6" r="N35"/>
  <c i="6" r="M35"/>
  <c i="6" r="K35"/>
  <c i="28" r="C8"/>
  <c i="10" r="G9"/>
  <c i="115" r="E9" s="1"/>
  <c i="115" r="E10"/>
  <c i="6" r="G35"/>
  <c i="10" r="F10"/>
  <c i="6" r="E35"/>
  <c i="9" r="Q21"/>
  <c i="32" r="F8"/>
  <c i="20" r="D9"/>
  <c i="20" r="D8" s="1"/>
  <c i="10" r="H9"/>
  <c i="115" r="G9" s="1"/>
  <c i="115" r="G10"/>
  <c i="6" r="O35"/>
  <c i="28" r="F8"/>
  <c i="6" r="P34"/>
  <c i="6" r="I35"/>
  <c i="6" r="C35"/>
  <c i="6" r="P25"/>
  <c i="5" r="G18"/>
  <c i="5" r="C24"/>
  <c i="4" l="1" r="D152"/>
  <c i="170" r="D153" s="1"/>
  <c i="170" r="D154"/>
  <c i="53" r="G64"/>
  <c i="110" r="B15"/>
  <c i="139" r="B15"/>
  <c i="4" r="D255"/>
  <c i="139" r="B14"/>
  <c i="110" r="B14"/>
  <c i="4" r="C152"/>
  <c i="4" r="C255" s="1"/>
  <c i="4" r="C282"/>
  <c i="4" r="D282"/>
  <c i="5" r="G24"/>
  <c i="6" r="P35"/>
  <c i="10" r="F9"/>
  <c i="115" r="C9" s="1"/>
  <c i="115" r="C10"/>
  <c i="2" r="D209"/>
  <c i="4" l="1" r="C306"/>
  <c i="4" r="D306"/>
  <c i="176" r="A31"/>
  <c i="176" r="A28"/>
  <c i="176" r="B25"/>
  <c i="176" r="B21"/>
  <c i="177" r="H22"/>
  <c i="177" r="G21"/>
  <c i="177" r="C31"/>
  <c i="177" r="C28"/>
  <c i="177" r="D25"/>
  <c i="177" r="D21"/>
  <c i="177" r="D17"/>
  <c i="177" r="H18"/>
  <c i="177" r="G17"/>
  <c i="177" r="B4"/>
  <c i="176" r="B5"/>
  <c i="176" l="1" r="B17"/>
  <c i="82" r="B5"/>
  <c i="37" l="1" r="J4"/>
  <c i="37" r="J5"/>
  <c i="37" r="J6"/>
  <c i="37" r="J7"/>
  <c i="37" r="J8"/>
  <c i="37" r="J9"/>
  <c i="37" r="J10"/>
  <c i="37" r="J11"/>
  <c i="37" r="J12"/>
  <c i="37" r="J13"/>
  <c i="37" r="J14"/>
  <c i="37" r="J15"/>
  <c i="37" r="J16"/>
  <c i="37" r="J17"/>
  <c i="37" r="J18"/>
  <c i="37" r="J19"/>
  <c i="37" r="J20"/>
  <c i="37" r="J21"/>
  <c i="37" r="J22"/>
  <c i="37" r="J23"/>
  <c i="37" r="J2"/>
  <c i="37" r="J3"/>
  <c i="37" r="C1059"/>
  <c i="37" r="D1059" s="1"/>
  <c i="37" r="C1058"/>
  <c i="37" r="D1058" s="1"/>
  <c i="37" r="C1057"/>
  <c i="37" r="D1057" s="1"/>
  <c i="37" r="C1056"/>
  <c i="37" r="D1056" s="1"/>
  <c i="37" r="C1055"/>
  <c i="37" r="D1055" s="1"/>
  <c i="37" r="C1054"/>
  <c i="37" r="D1054" s="1"/>
  <c i="37" r="C1053"/>
  <c i="37" r="D1053" s="1"/>
  <c i="37" r="C1052"/>
  <c i="37" r="D1052" s="1"/>
  <c i="37" r="C1051"/>
  <c i="37" r="D1051" s="1"/>
  <c i="37" r="C1050"/>
  <c i="37" r="D1050" s="1"/>
  <c i="37" r="C1049"/>
  <c i="37" r="D1049" s="1"/>
  <c i="37" r="C1048"/>
  <c i="37" r="D1048" s="1"/>
  <c i="37" r="C1047"/>
  <c i="37" r="D1047" s="1"/>
  <c i="37" r="C1046"/>
  <c i="37" r="D1046" s="1"/>
  <c i="37" r="C1045"/>
  <c i="37" r="D1045" s="1"/>
  <c i="37" r="C1044"/>
  <c i="37" r="D1044" s="1"/>
  <c i="37" r="C1043"/>
  <c i="37" r="D1043" s="1"/>
  <c i="37" r="C1042"/>
  <c i="37" r="D1042" s="1"/>
  <c i="37" r="C1041"/>
  <c i="37" r="D1041" s="1"/>
  <c i="37" r="C1040"/>
  <c i="37" r="D1040" s="1"/>
  <c i="37" r="C1039"/>
  <c i="37" r="D1039" s="1"/>
  <c i="37" r="C1038"/>
  <c i="37" r="D1038" s="1"/>
  <c i="37" r="C1037"/>
  <c i="37" r="D1037" s="1"/>
  <c i="37" r="C1036"/>
  <c i="37" r="D1036" s="1"/>
  <c i="37" r="C1035"/>
  <c i="37" r="D1035" s="1"/>
  <c i="37" r="C1034"/>
  <c i="37" r="D1034" s="1"/>
  <c i="37" r="C1033"/>
  <c i="37" r="D1033" s="1"/>
  <c i="37" r="C1032"/>
  <c i="37" r="D1032" s="1"/>
  <c i="37" r="C1031"/>
  <c i="37" r="D1031" s="1"/>
  <c i="37" r="C1030"/>
  <c i="37" r="D1030" s="1"/>
  <c i="37" r="C1029"/>
  <c i="37" r="D1029" s="1"/>
  <c i="37" r="C1028"/>
  <c i="37" r="D1028" s="1"/>
  <c i="37" r="C1027"/>
  <c i="37" r="D1027" s="1"/>
  <c i="37" r="C1026"/>
  <c i="37" r="D1026" s="1"/>
  <c i="37" r="C1025"/>
  <c i="37" r="D1025" s="1"/>
  <c i="37" r="C1024"/>
  <c i="37" r="D1024" s="1"/>
  <c i="37" r="C1023"/>
  <c i="37" r="D1023" s="1"/>
  <c i="37" r="C1022"/>
  <c i="37" r="D1022" s="1"/>
  <c i="37" r="C1021"/>
  <c i="37" r="D1021" s="1"/>
  <c i="37" r="C1020"/>
  <c i="37" r="D1020" s="1"/>
  <c i="37" r="C1019"/>
  <c i="37" r="D1019" s="1"/>
  <c i="37" r="C1018"/>
  <c i="37" r="D1018" s="1"/>
  <c i="37" r="C1017"/>
  <c i="37" r="D1017" s="1"/>
  <c i="37" r="C1016"/>
  <c i="37" r="D1016" s="1"/>
  <c i="37" r="C1015"/>
  <c i="37" r="D1015" s="1"/>
  <c i="37" r="C1014"/>
  <c i="37" r="D1014" s="1"/>
  <c i="37" r="C1013"/>
  <c i="37" r="D1013" s="1"/>
  <c i="37" r="C1012"/>
  <c i="37" r="D1012" s="1"/>
  <c i="37" r="C1011"/>
  <c i="37" r="D1011" s="1"/>
  <c i="37" r="C1010"/>
  <c i="37" r="D1010" s="1"/>
  <c i="37" r="C1009"/>
  <c i="37" r="D1009" s="1"/>
  <c i="37" r="C1008"/>
  <c i="37" r="D1008" s="1"/>
  <c i="37" r="C1007"/>
  <c i="37" r="D1007" s="1"/>
  <c i="37" r="C1006"/>
  <c i="37" r="D1006" s="1"/>
  <c i="37" r="C1005"/>
  <c i="37" r="D1005" s="1"/>
  <c i="37" r="C1004"/>
  <c i="37" r="D1004" s="1"/>
  <c i="37" r="C1003"/>
  <c i="37" r="D1003" s="1"/>
  <c i="37" r="C1002"/>
  <c i="37" r="D1002" s="1"/>
  <c i="37" r="C1001"/>
  <c i="37" r="D1001" s="1"/>
  <c i="37" r="C1000"/>
  <c i="37" r="D1000" s="1"/>
  <c i="37" r="C999"/>
  <c i="37" r="D999" s="1"/>
  <c i="37" r="C998"/>
  <c i="37" r="D998" s="1"/>
  <c i="37" r="C997"/>
  <c i="37" r="D997" s="1"/>
  <c i="37" r="C996"/>
  <c i="37" r="D996" s="1"/>
  <c i="37" r="C995"/>
  <c i="37" r="D995" s="1"/>
  <c i="37" r="C994"/>
  <c i="37" r="D994" s="1"/>
  <c i="37" r="C993"/>
  <c i="37" r="D993" s="1"/>
  <c i="37" r="C992"/>
  <c i="37" r="D992" s="1"/>
  <c i="37" r="C991"/>
  <c i="37" r="D991" s="1"/>
  <c i="37" r="C990"/>
  <c i="37" r="D990" s="1"/>
  <c i="37" r="C989"/>
  <c i="37" r="D989" s="1"/>
  <c i="37" r="C988"/>
  <c i="37" r="D988" s="1"/>
  <c i="37" r="C987"/>
  <c i="37" r="D987" s="1"/>
  <c i="37" r="C986"/>
  <c i="37" r="D986" s="1"/>
  <c i="37" r="C985"/>
  <c i="37" r="D985" s="1"/>
  <c i="37" r="C984"/>
  <c i="37" r="D984" s="1"/>
  <c i="37" r="C983"/>
  <c i="37" r="D983" s="1"/>
  <c i="37" r="C982"/>
  <c i="37" r="D982" s="1"/>
  <c i="37" r="C981"/>
  <c i="37" r="D981" s="1"/>
  <c i="37" r="C980"/>
  <c i="37" r="D980" s="1"/>
  <c i="37" r="C979"/>
  <c i="37" r="D979" s="1"/>
  <c i="37" r="C978"/>
  <c i="37" r="D978" s="1"/>
  <c i="37" r="C977"/>
  <c i="37" r="D977" s="1"/>
  <c i="37" r="C976"/>
  <c i="37" r="D976" s="1"/>
  <c i="37" r="C975"/>
  <c i="37" r="D975" s="1"/>
  <c i="37" r="C974"/>
  <c i="37" r="D974" s="1"/>
  <c i="37" r="C973"/>
  <c i="37" r="D973" s="1"/>
  <c i="37" r="C972"/>
  <c i="37" r="D972" s="1"/>
  <c i="37" r="C971"/>
  <c i="37" r="D971" s="1"/>
  <c i="37" r="C970"/>
  <c i="37" r="D970" s="1"/>
  <c i="37" r="C969"/>
  <c i="37" r="D969" s="1"/>
  <c i="37" r="C968"/>
  <c i="37" r="D968" s="1"/>
  <c i="37" r="C967"/>
  <c i="37" r="D967" s="1"/>
  <c i="37" r="C966"/>
  <c i="37" r="D966" s="1"/>
  <c i="37" r="C965"/>
  <c i="37" r="D965" s="1"/>
  <c i="37" r="C964"/>
  <c i="37" r="D964" s="1"/>
  <c i="37" r="C963"/>
  <c i="37" r="D963" s="1"/>
  <c i="37" r="C962"/>
  <c i="37" r="D962" s="1"/>
  <c i="37" r="C961"/>
  <c i="37" r="D961" s="1"/>
  <c i="37" r="C960"/>
  <c i="37" r="D960" s="1"/>
  <c i="37" r="C959"/>
  <c i="37" r="D959" s="1"/>
  <c i="37" r="C958"/>
  <c i="37" r="D958" s="1"/>
  <c i="37" r="C957"/>
  <c i="37" r="D957" s="1"/>
  <c i="37" r="C956"/>
  <c i="37" r="D956" s="1"/>
  <c i="37" r="C955"/>
  <c i="37" r="D955" s="1"/>
  <c i="37" r="C954"/>
  <c i="37" r="D954" s="1"/>
  <c i="37" r="C953"/>
  <c i="37" r="D953" s="1"/>
  <c i="37" r="C952"/>
  <c i="37" r="D952" s="1"/>
  <c i="37" r="C951"/>
  <c i="37" r="D951" s="1"/>
  <c i="37" r="C950"/>
  <c i="37" r="D950" s="1"/>
  <c i="37" r="C949"/>
  <c i="37" r="D949" s="1"/>
  <c i="37" r="C948"/>
  <c i="37" r="D948" s="1"/>
  <c i="37" r="C947"/>
  <c i="37" r="D947" s="1"/>
  <c i="37" r="C946"/>
  <c i="37" r="D946" s="1"/>
  <c i="37" r="C945"/>
  <c i="37" r="D945" s="1"/>
  <c i="37" r="C944"/>
  <c i="37" r="D944" s="1"/>
  <c i="37" r="C943"/>
  <c i="37" r="D943" s="1"/>
  <c i="37" r="C942"/>
  <c i="37" r="D942" s="1"/>
  <c i="37" r="C941"/>
  <c i="37" r="D941" s="1"/>
  <c i="37" r="C940"/>
  <c i="37" r="D940" s="1"/>
  <c i="37" r="C939"/>
  <c i="37" r="D939" s="1"/>
  <c i="37" r="C938"/>
  <c i="37" r="D938" s="1"/>
  <c i="37" r="C937"/>
  <c i="37" r="D937" s="1"/>
  <c i="37" r="C936"/>
  <c i="37" r="D936" s="1"/>
  <c i="37" r="C935"/>
  <c i="37" r="D935" s="1"/>
  <c i="37" r="C934"/>
  <c i="37" r="D934" s="1"/>
  <c i="37" r="C933"/>
  <c i="37" r="D933" s="1"/>
  <c i="37" r="C932"/>
  <c i="37" r="D932" s="1"/>
  <c i="37" r="C931"/>
  <c i="37" r="D931" s="1"/>
  <c i="37" r="C930"/>
  <c i="37" r="D930" s="1"/>
  <c i="37" r="C929"/>
  <c i="37" r="D929" s="1"/>
  <c i="37" r="C928"/>
  <c i="37" r="D928" s="1"/>
  <c i="37" r="C927"/>
  <c i="37" r="D927" s="1"/>
  <c i="37" r="C926"/>
  <c i="37" r="D926" s="1"/>
  <c i="37" r="C925"/>
  <c i="37" r="D925" s="1"/>
  <c i="37" r="C924"/>
  <c i="37" r="D924" s="1"/>
  <c i="37" r="C923"/>
  <c i="37" r="D923" s="1"/>
  <c i="37" r="C922"/>
  <c i="37" r="D922" s="1"/>
  <c i="37" r="C921"/>
  <c i="37" r="D921" s="1"/>
  <c i="37" r="C920"/>
  <c i="37" r="D920" s="1"/>
  <c i="37" r="C919"/>
  <c i="37" r="D919" s="1"/>
  <c i="37" r="C918"/>
  <c i="37" r="D918" s="1"/>
  <c i="37" r="C917"/>
  <c i="37" r="D917" s="1"/>
  <c i="37" r="C916"/>
  <c i="37" r="D916" s="1"/>
  <c i="37" r="C915"/>
  <c i="37" r="D915" s="1"/>
  <c i="37" r="C914"/>
  <c i="37" r="D914" s="1"/>
  <c i="37" r="C913"/>
  <c i="37" r="D913" s="1"/>
  <c i="37" r="C912"/>
  <c i="37" r="D912" s="1"/>
  <c i="37" r="C911"/>
  <c i="37" r="D911" s="1"/>
  <c i="37" r="C910"/>
  <c i="37" r="D910" s="1"/>
  <c i="37" r="C909"/>
  <c i="37" r="D909" s="1"/>
  <c i="37" r="C908"/>
  <c i="37" r="D908" s="1"/>
  <c i="37" r="C907"/>
  <c i="37" r="D907" s="1"/>
  <c i="37" r="C906"/>
  <c i="37" r="D906" s="1"/>
  <c i="37" r="C905"/>
  <c i="37" r="D905" s="1"/>
  <c i="37" r="C904"/>
  <c i="37" r="D904" s="1"/>
  <c i="37" r="C903"/>
  <c i="37" r="D903" s="1"/>
  <c i="37" r="C902"/>
  <c i="37" r="D902" s="1"/>
  <c i="37" r="C901"/>
  <c i="37" r="D901" s="1"/>
  <c i="37" r="C900"/>
  <c i="37" r="D900" s="1"/>
  <c i="37" r="C899"/>
  <c i="37" r="D899" s="1"/>
  <c i="37" r="C898"/>
  <c i="37" r="D898" s="1"/>
  <c i="37" r="C897"/>
  <c i="37" r="D897" s="1"/>
  <c i="37" r="C896"/>
  <c i="37" r="D896" s="1"/>
  <c i="37" r="C895"/>
  <c i="37" r="D895" s="1"/>
  <c i="37" r="C894"/>
  <c i="37" r="D894" s="1"/>
  <c i="37" r="C893"/>
  <c i="37" r="D893" s="1"/>
  <c i="37" r="C892"/>
  <c i="37" r="D892" s="1"/>
  <c i="37" r="C891"/>
  <c i="37" r="D891" s="1"/>
  <c i="37" r="C890"/>
  <c i="37" r="D890" s="1"/>
  <c i="37" r="C889"/>
  <c i="37" r="D889" s="1"/>
  <c i="37" r="C888"/>
  <c i="37" r="D888" s="1"/>
  <c i="37" r="C887"/>
  <c i="37" r="D887" s="1"/>
  <c i="37" r="C886"/>
  <c i="37" r="D886" s="1"/>
  <c i="37" r="C885"/>
  <c i="37" r="D885" s="1"/>
  <c i="37" r="C884"/>
  <c i="37" r="D884" s="1"/>
  <c i="37" r="C883"/>
  <c i="37" r="D883" s="1"/>
  <c i="37" r="C882"/>
  <c i="37" r="D882" s="1"/>
  <c i="37" r="C881"/>
  <c i="37" r="D881" s="1"/>
  <c i="37" r="C880"/>
  <c i="37" r="D880" s="1"/>
  <c i="37" r="C879"/>
  <c i="37" r="D879" s="1"/>
  <c i="37" r="C878"/>
  <c i="37" r="D878" s="1"/>
  <c i="37" r="C877"/>
  <c i="37" r="D877" s="1"/>
  <c i="37" r="C876"/>
  <c i="37" r="D876" s="1"/>
  <c i="37" r="C875"/>
  <c i="37" r="D875" s="1"/>
  <c i="37" r="C874"/>
  <c i="37" r="D874" s="1"/>
  <c i="37" r="C873"/>
  <c i="37" r="D873" s="1"/>
  <c i="37" r="C872"/>
  <c i="37" r="D872" s="1"/>
  <c i="37" r="C871"/>
  <c i="37" r="D871" s="1"/>
  <c i="37" r="C870"/>
  <c i="37" r="D870" s="1"/>
  <c i="37" r="C869"/>
  <c i="37" r="D869" s="1"/>
  <c i="37" r="C868"/>
  <c i="37" r="D868" s="1"/>
  <c i="37" r="C867"/>
  <c i="37" r="D867" s="1"/>
  <c i="37" r="C866"/>
  <c i="37" r="D866" s="1"/>
  <c i="37" r="C865"/>
  <c i="37" r="D865" s="1"/>
  <c i="37" r="C864"/>
  <c i="37" r="D864" s="1"/>
  <c i="37" r="C863"/>
  <c i="37" r="D863" s="1"/>
  <c i="37" r="C862"/>
  <c i="37" r="D862" s="1"/>
  <c i="37" r="C861"/>
  <c i="37" r="D861" s="1"/>
  <c i="37" r="C860"/>
  <c i="37" r="D860" s="1"/>
  <c i="37" r="C859"/>
  <c i="37" r="D859" s="1"/>
  <c i="37" r="C858"/>
  <c i="37" r="D858" s="1"/>
  <c i="37" r="C857"/>
  <c i="37" r="D857" s="1"/>
  <c i="37" r="C856"/>
  <c i="37" r="D856" s="1"/>
  <c i="37" r="C855"/>
  <c i="37" r="D855" s="1"/>
  <c i="37" r="C854"/>
  <c i="37" r="D854" s="1"/>
  <c i="37" r="C853"/>
  <c i="37" r="D853" s="1"/>
  <c i="37" r="C852"/>
  <c i="37" r="D852" s="1"/>
  <c i="37" r="C851"/>
  <c i="37" r="D851" s="1"/>
  <c i="37" r="C850"/>
  <c i="37" r="D850" s="1"/>
  <c i="37" r="C849"/>
  <c i="37" r="D849" s="1"/>
  <c i="37" r="C848"/>
  <c i="37" r="D848" s="1"/>
  <c i="37" r="C847"/>
  <c i="37" r="D847" s="1"/>
  <c i="37" r="C846"/>
  <c i="37" r="D846" s="1"/>
  <c i="37" r="C845"/>
  <c i="37" r="D845" s="1"/>
  <c i="37" r="C844"/>
  <c i="37" r="D844" s="1"/>
  <c i="37" r="C843"/>
  <c i="37" r="D843" s="1"/>
  <c i="37" r="C842"/>
  <c i="37" r="D842" s="1"/>
  <c i="37" r="C841"/>
  <c i="37" r="D841" s="1"/>
  <c i="37" r="C840"/>
  <c i="37" r="D840" s="1"/>
  <c i="37" r="C839"/>
  <c i="37" r="D839" s="1"/>
  <c i="37" r="C838"/>
  <c i="37" r="D838" s="1"/>
  <c i="37" r="C837"/>
  <c i="37" r="D837" s="1"/>
  <c i="37" r="C836"/>
  <c i="37" r="D836" s="1"/>
  <c i="37" r="C835"/>
  <c i="37" r="D835" s="1"/>
  <c i="37" r="C834"/>
  <c i="37" r="D834" s="1"/>
  <c i="37" r="C833"/>
  <c i="37" r="D833" s="1"/>
  <c i="37" r="C832"/>
  <c i="37" r="D832" s="1"/>
  <c i="37" r="C831"/>
  <c i="37" r="D831" s="1"/>
  <c i="37" r="C830"/>
  <c i="37" r="D830" s="1"/>
  <c i="37" r="C829"/>
  <c i="37" r="D829" s="1"/>
  <c i="37" r="C828"/>
  <c i="37" r="D828" s="1"/>
  <c i="37" r="C827"/>
  <c i="37" r="D827" s="1"/>
  <c i="37" r="C826"/>
  <c i="37" r="D826" s="1"/>
  <c i="37" r="C825"/>
  <c i="37" r="D825" s="1"/>
  <c i="37" r="C824"/>
  <c i="37" r="D824" s="1"/>
  <c i="37" r="C823"/>
  <c i="37" r="D823" s="1"/>
  <c i="37" r="C822"/>
  <c i="37" r="D822" s="1"/>
  <c i="37" r="C821"/>
  <c i="37" r="D821" s="1"/>
  <c i="37" r="C820"/>
  <c i="37" r="D820" s="1"/>
  <c i="37" r="C819"/>
  <c i="37" r="D819" s="1"/>
  <c i="37" r="C818"/>
  <c i="37" r="D818" s="1"/>
  <c i="37" r="C817"/>
  <c i="37" r="D817" s="1"/>
  <c i="37" r="C816"/>
  <c i="37" r="D816" s="1"/>
  <c i="37" r="C815"/>
  <c i="37" r="D815" s="1"/>
  <c i="37" r="C814"/>
  <c i="37" r="D814" s="1"/>
  <c i="37" r="C813"/>
  <c i="37" r="D813" s="1"/>
  <c i="37" r="C812"/>
  <c i="37" r="D812" s="1"/>
  <c i="37" r="C811"/>
  <c i="37" r="D811" s="1"/>
  <c i="37" r="C810"/>
  <c i="37" r="D810" s="1"/>
  <c i="37" r="C809"/>
  <c i="37" r="D809" s="1"/>
  <c i="37" r="C808"/>
  <c i="37" r="D808" s="1"/>
  <c i="37" r="C807"/>
  <c i="37" r="D807" s="1"/>
  <c i="37" r="C806"/>
  <c i="37" r="D806" s="1"/>
  <c i="37" r="C805"/>
  <c i="37" r="D805" s="1"/>
  <c i="37" r="C804"/>
  <c i="37" r="D804" s="1"/>
  <c i="37" r="C803"/>
  <c i="37" r="D803" s="1"/>
  <c i="37" r="C802"/>
  <c i="37" r="D802" s="1"/>
  <c i="37" r="C801"/>
  <c i="37" r="D801" s="1"/>
  <c i="37" r="C800"/>
  <c i="37" r="D800" s="1"/>
  <c i="37" r="C799"/>
  <c i="37" r="D799" s="1"/>
  <c i="37" r="C798"/>
  <c i="37" r="D798" s="1"/>
  <c i="37" r="C797"/>
  <c i="37" r="D797" s="1"/>
  <c i="37" r="C796"/>
  <c i="37" r="D796" s="1"/>
  <c i="37" r="C795"/>
  <c i="37" r="D795" s="1"/>
  <c i="37" r="T794"/>
  <c i="37" r="C794"/>
  <c i="37" r="B794"/>
  <c i="37" r="C793"/>
  <c i="37" r="D793" s="1"/>
  <c i="37" r="C792"/>
  <c i="37" r="D792" s="1"/>
  <c i="37" r="C791"/>
  <c i="37" r="D791" s="1"/>
  <c i="37" r="C790"/>
  <c i="37" r="D790" s="1"/>
  <c i="37" r="C789"/>
  <c i="37" r="D789" s="1"/>
  <c i="37" r="C788"/>
  <c i="37" r="D788" s="1"/>
  <c i="37" r="C787"/>
  <c i="37" r="D787" s="1"/>
  <c i="37" r="C786"/>
  <c i="37" r="D786" s="1"/>
  <c i="37" r="C785"/>
  <c i="37" r="D785" s="1"/>
  <c i="37" r="C784"/>
  <c i="37" r="D784" s="1"/>
  <c i="37" r="C783"/>
  <c i="37" r="D783" s="1"/>
  <c i="37" r="C782"/>
  <c i="37" r="D782" s="1"/>
  <c i="37" r="C781"/>
  <c i="37" r="D781" s="1"/>
  <c i="37" r="C780"/>
  <c i="37" r="D780" s="1"/>
  <c i="37" r="C779"/>
  <c i="37" r="D779" s="1"/>
  <c i="37" r="C778"/>
  <c i="37" r="D778" s="1"/>
  <c i="37" r="C777"/>
  <c i="37" r="D777" s="1"/>
  <c i="37" r="C776"/>
  <c i="37" r="D776" s="1"/>
  <c i="37" r="C775"/>
  <c i="37" r="D775" s="1"/>
  <c i="37" r="C774"/>
  <c i="37" r="D774" s="1"/>
  <c i="37" r="C773"/>
  <c i="37" r="D773" s="1"/>
  <c i="37" r="C772"/>
  <c i="37" r="D772" s="1"/>
  <c i="37" r="C771"/>
  <c i="37" r="D771" s="1"/>
  <c i="37" r="C770"/>
  <c i="37" r="D770" s="1"/>
  <c i="37" r="C769"/>
  <c i="37" r="D769" s="1"/>
  <c i="37" r="C768"/>
  <c i="37" r="D768" s="1"/>
  <c i="37" r="T767"/>
  <c i="37" r="C767"/>
  <c i="37" r="B767"/>
  <c i="37" r="C766"/>
  <c i="37" r="D766" s="1"/>
  <c i="37" r="C765"/>
  <c i="37" r="D765" s="1"/>
  <c i="37" r="C764"/>
  <c i="37" r="D764" s="1"/>
  <c i="37" r="C763"/>
  <c i="37" r="D763" s="1"/>
  <c i="37" r="C762"/>
  <c i="37" r="D762" s="1"/>
  <c i="37" r="C761"/>
  <c i="37" r="D761" s="1"/>
  <c i="37" r="C760"/>
  <c i="37" r="D760" s="1"/>
  <c i="37" r="C759"/>
  <c i="37" r="D759" s="1"/>
  <c i="37" r="C758"/>
  <c i="37" r="D758" s="1"/>
  <c i="37" r="C757"/>
  <c i="37" r="D757" s="1"/>
  <c i="37" r="C756"/>
  <c i="37" r="D756" s="1"/>
  <c i="37" r="C755"/>
  <c i="37" r="D755" s="1"/>
  <c i="37" r="C754"/>
  <c i="37" r="D754" s="1"/>
  <c i="37" r="C753"/>
  <c i="37" r="D753" s="1"/>
  <c i="37" r="C752"/>
  <c i="37" r="D752" s="1"/>
  <c i="37" r="C751"/>
  <c i="37" r="D751" s="1"/>
  <c i="37" r="C750"/>
  <c i="37" r="D750" s="1"/>
  <c i="37" r="C749"/>
  <c i="37" r="D749" s="1"/>
  <c i="37" r="C748"/>
  <c i="37" r="D748" s="1"/>
  <c i="37" r="C747"/>
  <c i="37" r="D747" s="1"/>
  <c i="37" r="C746"/>
  <c i="37" r="D746" s="1"/>
  <c i="37" r="C745"/>
  <c i="37" r="D745" s="1"/>
  <c i="37" r="C744"/>
  <c i="37" r="D744" s="1"/>
  <c i="37" r="C743"/>
  <c i="37" r="D743" s="1"/>
  <c i="37" r="C742"/>
  <c i="37" r="D742" s="1"/>
  <c i="37" r="C741"/>
  <c i="37" r="D741" s="1"/>
  <c i="37" r="C740"/>
  <c i="37" r="D740" s="1"/>
  <c i="37" r="C739"/>
  <c i="37" r="D739" s="1"/>
  <c i="37" r="C738"/>
  <c i="37" r="D738" s="1"/>
  <c i="37" r="C737"/>
  <c i="37" r="D737" s="1"/>
  <c i="37" r="C736"/>
  <c i="37" r="D736" s="1"/>
  <c i="37" r="C735"/>
  <c i="37" r="D735" s="1"/>
  <c i="37" r="C734"/>
  <c i="37" r="D734" s="1"/>
  <c i="37" r="C733"/>
  <c i="37" r="D733" s="1"/>
  <c i="37" r="C732"/>
  <c i="37" r="D732" s="1"/>
  <c i="37" r="C731"/>
  <c i="37" r="D731" s="1"/>
  <c i="37" r="C730"/>
  <c i="37" r="D730" s="1"/>
  <c i="37" r="C729"/>
  <c i="37" r="D729" s="1"/>
  <c i="37" r="C728"/>
  <c i="37" r="D728" s="1"/>
  <c i="37" r="C727"/>
  <c i="37" r="D727" s="1"/>
  <c i="37" r="C726"/>
  <c i="37" r="D726" s="1"/>
  <c i="37" r="C725"/>
  <c i="37" r="D725" s="1"/>
  <c i="37" r="C724"/>
  <c i="37" r="D724" s="1"/>
  <c i="37" r="C723"/>
  <c i="37" r="D723" s="1"/>
  <c i="37" r="C722"/>
  <c i="37" r="D722" s="1"/>
  <c i="37" r="C721"/>
  <c i="37" r="D721" s="1"/>
  <c i="37" r="C720"/>
  <c i="37" r="D720" s="1"/>
  <c i="37" r="C719"/>
  <c i="37" r="D719" s="1"/>
  <c i="37" r="C718"/>
  <c i="37" r="D718" s="1"/>
  <c i="37" r="C717"/>
  <c i="37" r="D717" s="1"/>
  <c i="37" r="C716"/>
  <c i="37" r="D716" s="1"/>
  <c i="37" r="C715"/>
  <c i="37" r="D715" s="1"/>
  <c i="37" r="C714"/>
  <c i="37" r="D714" s="1"/>
  <c i="37" r="C713"/>
  <c i="37" r="D713" s="1"/>
  <c i="37" r="C712"/>
  <c i="37" r="D712" s="1"/>
  <c i="37" r="C711"/>
  <c i="37" r="D711" s="1"/>
  <c i="37" r="C710"/>
  <c i="37" r="D710" s="1"/>
  <c i="37" r="C709"/>
  <c i="37" r="D709" s="1"/>
  <c i="37" r="C708"/>
  <c i="37" r="D708" s="1"/>
  <c i="37" r="C707"/>
  <c i="37" r="D707" s="1"/>
  <c i="37" r="C706"/>
  <c i="37" r="D706" s="1"/>
  <c i="37" r="C705"/>
  <c i="37" r="D705" s="1"/>
  <c i="37" r="C704"/>
  <c i="37" r="D704" s="1"/>
  <c i="37" r="C703"/>
  <c i="37" r="D703" s="1"/>
  <c i="37" r="C702"/>
  <c i="37" r="D702" s="1"/>
  <c i="37" r="C701"/>
  <c i="37" r="D701" s="1"/>
  <c i="37" r="C700"/>
  <c i="37" r="D700" s="1"/>
  <c i="37" r="C699"/>
  <c i="37" r="D699" s="1"/>
  <c i="37" r="C698"/>
  <c i="37" r="D698" s="1"/>
  <c i="37" r="C697"/>
  <c i="37" r="D697" s="1"/>
  <c i="37" r="C696"/>
  <c i="37" r="D696" s="1"/>
  <c i="37" r="C695"/>
  <c i="37" r="D695" s="1"/>
  <c i="37" r="C694"/>
  <c i="37" r="D694" s="1"/>
  <c i="37" r="C693"/>
  <c i="37" r="D693" s="1"/>
  <c i="37" r="C692"/>
  <c i="37" r="D692" s="1"/>
  <c i="37" r="C691"/>
  <c i="37" r="D691" s="1"/>
  <c i="37" r="C690"/>
  <c i="37" r="D690" s="1"/>
  <c i="37" r="C689"/>
  <c i="37" r="D689" s="1"/>
  <c i="37" r="C688"/>
  <c i="37" r="D688" s="1"/>
  <c i="37" r="C687"/>
  <c i="37" r="D687" s="1"/>
  <c i="37" r="C686"/>
  <c i="37" r="D686" s="1"/>
  <c i="37" r="C685"/>
  <c i="37" r="D685" s="1"/>
  <c i="37" r="C684"/>
  <c i="37" r="D684" s="1"/>
  <c i="37" r="C683"/>
  <c i="37" r="D683" s="1"/>
  <c i="37" r="C682"/>
  <c i="37" r="D682" s="1"/>
  <c i="37" r="C681"/>
  <c i="37" r="D681" s="1"/>
  <c i="37" r="C680"/>
  <c i="37" r="D680" s="1"/>
  <c i="37" r="C679"/>
  <c i="37" r="D679" s="1"/>
  <c i="37" r="C678"/>
  <c i="37" r="D678" s="1"/>
  <c i="37" r="C677"/>
  <c i="37" r="D677" s="1"/>
  <c i="37" r="C676"/>
  <c i="37" r="D676" s="1"/>
  <c i="37" r="C675"/>
  <c i="37" r="D675" s="1"/>
  <c i="37" r="C674"/>
  <c i="37" r="D674" s="1"/>
  <c i="37" r="C673"/>
  <c i="37" r="D673" s="1"/>
  <c i="37" r="C672"/>
  <c i="37" r="D672" s="1"/>
  <c i="37" r="C671"/>
  <c i="37" r="D671" s="1"/>
  <c i="37" r="C670"/>
  <c i="37" r="D670" s="1"/>
  <c i="37" r="C669"/>
  <c i="37" r="D669" s="1"/>
  <c i="37" r="C668"/>
  <c i="37" r="D668" s="1"/>
  <c i="37" r="C667"/>
  <c i="37" r="D667" s="1"/>
  <c i="37" r="C666"/>
  <c i="37" r="D666" s="1"/>
  <c i="37" r="C665"/>
  <c i="37" r="D665" s="1"/>
  <c i="37" r="C664"/>
  <c i="37" r="D664" s="1"/>
  <c i="37" r="C663"/>
  <c i="37" r="D663" s="1"/>
  <c i="37" r="C662"/>
  <c i="37" r="D662" s="1"/>
  <c i="37" r="C661"/>
  <c i="37" r="D661" s="1"/>
  <c i="37" r="C660"/>
  <c i="37" r="D660" s="1"/>
  <c i="37" r="C659"/>
  <c i="37" r="D659" s="1"/>
  <c i="37" r="C658"/>
  <c i="37" r="D658" s="1"/>
  <c i="37" r="C657"/>
  <c i="37" r="D657" s="1"/>
  <c i="37" r="C656"/>
  <c i="37" r="D656" s="1"/>
  <c i="37" r="C655"/>
  <c i="37" r="D655" s="1"/>
  <c i="37" r="C654"/>
  <c i="37" r="D654" s="1"/>
  <c i="37" r="C653"/>
  <c i="37" r="D653" s="1"/>
  <c i="37" r="C652"/>
  <c i="37" r="D652" s="1"/>
  <c i="37" r="C651"/>
  <c i="37" r="D651" s="1"/>
  <c i="37" r="C650"/>
  <c i="37" r="D650" s="1"/>
  <c i="37" r="C649"/>
  <c i="37" r="D649" s="1"/>
  <c i="37" r="C648"/>
  <c i="37" r="D648" s="1"/>
  <c i="37" r="C647"/>
  <c i="37" r="D647" s="1"/>
  <c i="37" r="C646"/>
  <c i="37" r="D646" s="1"/>
  <c i="37" r="C645"/>
  <c i="37" r="D645" s="1"/>
  <c i="37" r="C644"/>
  <c i="37" r="D644" s="1"/>
  <c i="37" r="C643"/>
  <c i="37" r="D643" s="1"/>
  <c i="37" r="C642"/>
  <c i="37" r="D642" s="1"/>
  <c i="37" r="C641"/>
  <c i="37" r="D641" s="1"/>
  <c i="37" r="C640"/>
  <c i="37" r="D640" s="1"/>
  <c i="37" r="C639"/>
  <c i="37" r="D639" s="1"/>
  <c i="37" r="C638"/>
  <c i="37" r="D638" s="1"/>
  <c i="37" r="C637"/>
  <c i="37" r="D637" s="1"/>
  <c i="37" r="C636"/>
  <c i="37" r="D636" s="1"/>
  <c i="37" r="C635"/>
  <c i="37" r="D635" s="1"/>
  <c i="37" r="C634"/>
  <c i="37" r="D634" s="1"/>
  <c i="37" r="C633"/>
  <c i="37" r="D633" s="1"/>
  <c i="37" r="C632"/>
  <c i="37" r="D632" s="1"/>
  <c i="37" r="C631"/>
  <c i="37" r="D631" s="1"/>
  <c i="37" r="C630"/>
  <c i="37" r="D630" s="1"/>
  <c i="37" r="C629"/>
  <c i="37" r="D629" s="1"/>
  <c i="37" r="C628"/>
  <c i="37" r="D628" s="1"/>
  <c i="37" r="C627"/>
  <c i="37" r="D627" s="1"/>
  <c i="37" r="C626"/>
  <c i="37" r="D626" s="1"/>
  <c i="37" r="C625"/>
  <c i="37" r="D625" s="1"/>
  <c i="37" r="C624"/>
  <c i="37" r="D624" s="1"/>
  <c i="37" r="C623"/>
  <c i="37" r="D623" s="1"/>
  <c i="37" r="C622"/>
  <c i="37" r="D622" s="1"/>
  <c i="37" r="C621"/>
  <c i="37" r="D621" s="1"/>
  <c i="37" r="C620"/>
  <c i="37" r="D620" s="1"/>
  <c i="37" r="C619"/>
  <c i="37" r="D619" s="1"/>
  <c i="37" r="C618"/>
  <c i="37" r="D618" s="1"/>
  <c i="37" r="C617"/>
  <c i="37" r="D617" s="1"/>
  <c i="37" r="C616"/>
  <c i="37" r="D616" s="1"/>
  <c i="37" r="C615"/>
  <c i="37" r="D615" s="1"/>
  <c i="37" r="C614"/>
  <c i="37" r="D614" s="1"/>
  <c i="37" r="C613"/>
  <c i="37" r="D613" s="1"/>
  <c i="37" r="C612"/>
  <c i="37" r="D612" s="1"/>
  <c i="37" r="C611"/>
  <c i="37" r="D611" s="1"/>
  <c i="37" r="C610"/>
  <c i="37" r="D610" s="1"/>
  <c i="37" r="C609"/>
  <c i="37" r="D609" s="1"/>
  <c i="37" r="C608"/>
  <c i="37" r="D608" s="1"/>
  <c i="37" r="C607"/>
  <c i="37" r="D607" s="1"/>
  <c i="37" r="C606"/>
  <c i="37" r="D606" s="1"/>
  <c i="37" r="C605"/>
  <c i="37" r="D605" s="1"/>
  <c i="37" r="C604"/>
  <c i="37" r="D604" s="1"/>
  <c i="37" r="C603"/>
  <c i="37" r="D603" s="1"/>
  <c i="37" r="C602"/>
  <c i="37" r="D602" s="1"/>
  <c i="37" r="C601"/>
  <c i="37" r="D601" s="1"/>
  <c i="37" r="C600"/>
  <c i="37" r="D600" s="1"/>
  <c i="37" r="C599"/>
  <c i="37" r="D599" s="1"/>
  <c i="37" r="C598"/>
  <c i="37" r="D598" s="1"/>
  <c i="37" r="C597"/>
  <c i="37" r="D597" s="1"/>
  <c i="37" r="C596"/>
  <c i="37" r="D596" s="1"/>
  <c i="37" r="C595"/>
  <c i="37" r="D595" s="1"/>
  <c i="37" r="C594"/>
  <c i="37" r="D594" s="1"/>
  <c i="37" r="C593"/>
  <c i="37" r="D593" s="1"/>
  <c i="37" r="C592"/>
  <c i="37" r="D592" s="1"/>
  <c i="37" r="C591"/>
  <c i="37" r="D591" s="1"/>
  <c i="37" r="C590"/>
  <c i="37" r="D590" s="1"/>
  <c i="37" r="C589"/>
  <c i="37" r="D589" s="1"/>
  <c i="37" r="C588"/>
  <c i="37" r="D588" s="1"/>
  <c i="37" r="C587"/>
  <c i="37" r="D587" s="1"/>
  <c i="37" r="C586"/>
  <c i="37" r="D586" s="1"/>
  <c i="37" r="C585"/>
  <c i="37" r="D585" s="1"/>
  <c i="37" r="C584"/>
  <c i="37" r="D584" s="1"/>
  <c i="37" r="C583"/>
  <c i="37" r="D583" s="1"/>
  <c i="37" r="C582"/>
  <c i="37" r="D582" s="1"/>
  <c i="37" r="C581"/>
  <c i="37" r="D581" s="1"/>
  <c i="37" r="C580"/>
  <c i="37" r="D580" s="1"/>
  <c i="37" r="C579"/>
  <c i="37" r="D579" s="1"/>
  <c i="37" r="C578"/>
  <c i="37" r="D578" s="1"/>
  <c i="37" r="C577"/>
  <c i="37" r="D577" s="1"/>
  <c i="37" r="C576"/>
  <c i="37" r="D576" s="1"/>
  <c i="37" r="C575"/>
  <c i="37" r="D575" s="1"/>
  <c i="37" r="C574"/>
  <c i="37" r="D574" s="1"/>
  <c i="37" r="C573"/>
  <c i="37" r="D573" s="1"/>
  <c i="37" r="C572"/>
  <c i="37" r="D572" s="1"/>
  <c i="37" r="C571"/>
  <c i="37" r="D571" s="1"/>
  <c i="37" r="C570"/>
  <c i="37" r="D570" s="1"/>
  <c i="37" r="C569"/>
  <c i="37" r="D569" s="1"/>
  <c i="37" r="C568"/>
  <c i="37" r="D568" s="1"/>
  <c i="37" r="C567"/>
  <c i="37" r="D567" s="1"/>
  <c i="37" r="C566"/>
  <c i="37" r="D566" s="1"/>
  <c i="37" r="C565"/>
  <c i="37" r="D565" s="1"/>
  <c i="37" r="C564"/>
  <c i="37" r="D564" s="1"/>
  <c i="37" r="C563"/>
  <c i="37" r="D563" s="1"/>
  <c i="37" r="C562"/>
  <c i="37" r="D562" s="1"/>
  <c i="37" r="C561"/>
  <c i="37" r="D561" s="1"/>
  <c i="37" r="C560"/>
  <c i="37" r="D560" s="1"/>
  <c i="37" r="C559"/>
  <c i="37" r="D559" s="1"/>
  <c i="37" r="C558"/>
  <c i="37" r="D558" s="1"/>
  <c i="37" r="C557"/>
  <c i="37" r="D557" s="1"/>
  <c i="37" r="C556"/>
  <c i="37" r="D556" s="1"/>
  <c i="37" r="C555"/>
  <c i="37" r="D555" s="1"/>
  <c i="37" r="C554"/>
  <c i="37" r="D554" s="1"/>
  <c i="37" r="C553"/>
  <c i="37" r="D553" s="1"/>
  <c i="37" r="C552"/>
  <c i="37" r="D552" s="1"/>
  <c i="37" r="C551"/>
  <c i="37" r="D551" s="1"/>
  <c i="37" r="C550"/>
  <c i="37" r="D550" s="1"/>
  <c i="37" r="C549"/>
  <c i="37" r="D549" s="1"/>
  <c i="37" r="C548"/>
  <c i="37" r="D548" s="1"/>
  <c i="37" r="C547"/>
  <c i="37" r="D547" s="1"/>
  <c i="37" r="C546"/>
  <c i="37" r="D546" s="1"/>
  <c i="37" r="C545"/>
  <c i="37" r="D545" s="1"/>
  <c i="37" r="C544"/>
  <c i="37" r="D544" s="1"/>
  <c i="37" r="C543"/>
  <c i="37" r="D543" s="1"/>
  <c i="37" r="C542"/>
  <c i="37" r="D542" s="1"/>
  <c i="37" r="C541"/>
  <c i="37" r="D541" s="1"/>
  <c i="37" r="C540"/>
  <c i="37" r="D540" s="1"/>
  <c i="37" r="C539"/>
  <c i="37" r="D539" s="1"/>
  <c i="37" r="C538"/>
  <c i="37" r="D538" s="1"/>
  <c i="37" r="C537"/>
  <c i="37" r="D537" s="1"/>
  <c i="37" r="C536"/>
  <c i="37" r="D536" s="1"/>
  <c i="37" r="C535"/>
  <c i="37" r="D535" s="1"/>
  <c i="37" r="C534"/>
  <c i="37" r="D534" s="1"/>
  <c i="37" r="C533"/>
  <c i="37" r="D533" s="1"/>
  <c i="37" r="C532"/>
  <c i="37" r="D532" s="1"/>
  <c i="37" r="C531"/>
  <c i="37" r="D531" s="1"/>
  <c i="37" r="C530"/>
  <c i="37" r="D530" s="1"/>
  <c i="37" r="C529"/>
  <c i="37" r="D529" s="1"/>
  <c i="37" r="C528"/>
  <c i="37" r="D528" s="1"/>
  <c i="37" r="C527"/>
  <c i="37" r="D527" s="1"/>
  <c i="37" r="C526"/>
  <c i="37" r="D526" s="1"/>
  <c i="37" r="C525"/>
  <c i="37" r="D525" s="1"/>
  <c i="37" r="C524"/>
  <c i="37" r="D524" s="1"/>
  <c i="37" r="C523"/>
  <c i="37" r="D523" s="1"/>
  <c i="37" r="C522"/>
  <c i="37" r="D522" s="1"/>
  <c i="37" r="C521"/>
  <c i="37" r="D521" s="1"/>
  <c i="37" r="C520"/>
  <c i="37" r="D520" s="1"/>
  <c i="37" r="C519"/>
  <c i="37" r="D519" s="1"/>
  <c i="37" r="C518"/>
  <c i="37" r="D518" s="1"/>
  <c i="37" r="C517"/>
  <c i="37" r="D517" s="1"/>
  <c i="37" r="C516"/>
  <c i="37" r="D516" s="1"/>
  <c i="37" r="C515"/>
  <c i="37" r="D515" s="1"/>
  <c i="37" r="C514"/>
  <c i="37" r="D514" s="1"/>
  <c i="37" r="C513"/>
  <c i="37" r="D513" s="1"/>
  <c i="37" r="C512"/>
  <c i="37" r="D512" s="1"/>
  <c i="37" r="C511"/>
  <c i="37" r="D511" s="1"/>
  <c i="37" r="C510"/>
  <c i="37" r="D510" s="1"/>
  <c i="37" r="C509"/>
  <c i="37" r="D509" s="1"/>
  <c i="37" r="C508"/>
  <c i="37" r="D508" s="1"/>
  <c i="37" r="C507"/>
  <c i="37" r="D507" s="1"/>
  <c i="37" r="C506"/>
  <c i="37" r="D506" s="1"/>
  <c i="37" r="C505"/>
  <c i="37" r="D505" s="1"/>
  <c i="37" r="C504"/>
  <c i="37" r="D504" s="1"/>
  <c i="37" r="C503"/>
  <c i="37" r="D503" s="1"/>
  <c i="37" r="C502"/>
  <c i="37" r="D502" s="1"/>
  <c i="37" r="C501"/>
  <c i="37" r="D501" s="1"/>
  <c i="37" r="C500"/>
  <c i="37" r="D500" s="1"/>
  <c i="37" r="C499"/>
  <c i="37" r="D499" s="1"/>
  <c i="37" r="C498"/>
  <c i="37" r="D498" s="1"/>
  <c i="37" r="C497"/>
  <c i="37" r="D497" s="1"/>
  <c i="37" r="C496"/>
  <c i="37" r="D496" s="1"/>
  <c i="37" r="C495"/>
  <c i="37" r="D495" s="1"/>
  <c i="37" r="C494"/>
  <c i="37" r="D494" s="1"/>
  <c i="37" r="C493"/>
  <c i="37" r="D493" s="1"/>
  <c i="37" r="C492"/>
  <c i="37" r="D492" s="1"/>
  <c i="37" r="C491"/>
  <c i="37" r="D491" s="1"/>
  <c i="37" r="C490"/>
  <c i="37" r="D490" s="1"/>
  <c i="37" r="C489"/>
  <c i="37" r="D489" s="1"/>
  <c i="37" r="C488"/>
  <c i="37" r="D488" s="1"/>
  <c i="37" r="C487"/>
  <c i="37" r="D487" s="1"/>
  <c i="37" r="C486"/>
  <c i="37" r="D486" s="1"/>
  <c i="37" r="C485"/>
  <c i="37" r="D485" s="1"/>
  <c i="37" r="C484"/>
  <c i="37" r="D484" s="1"/>
  <c i="37" r="C483"/>
  <c i="37" r="D483" s="1"/>
  <c i="37" r="C482"/>
  <c i="37" r="D482" s="1"/>
  <c i="37" r="C481"/>
  <c i="37" r="D481" s="1"/>
  <c i="37" r="C480"/>
  <c i="37" r="D480" s="1"/>
  <c i="37" r="C479"/>
  <c i="37" r="D479" s="1"/>
  <c i="37" r="C478"/>
  <c i="37" r="D478" s="1"/>
  <c i="37" r="C477"/>
  <c i="37" r="D477" s="1"/>
  <c i="37" r="C476"/>
  <c i="37" r="D476" s="1"/>
  <c i="37" r="C475"/>
  <c i="37" r="D475" s="1"/>
  <c i="37" r="C474"/>
  <c i="37" r="D474" s="1"/>
  <c i="37" r="C473"/>
  <c i="37" r="D473" s="1"/>
  <c i="37" r="C472"/>
  <c i="37" r="D472" s="1"/>
  <c i="37" r="C471"/>
  <c i="37" r="D471" s="1"/>
  <c i="37" r="C470"/>
  <c i="37" r="D470" s="1"/>
  <c i="37" r="C469"/>
  <c i="37" r="D469" s="1"/>
  <c i="37" r="C468"/>
  <c i="37" r="D468" s="1"/>
  <c i="37" r="C467"/>
  <c i="37" r="D467" s="1"/>
  <c i="37" r="C466"/>
  <c i="37" r="D466" s="1"/>
  <c i="37" r="C465"/>
  <c i="37" r="D465" s="1"/>
  <c i="37" r="C464"/>
  <c i="37" r="D464" s="1"/>
  <c i="37" r="C463"/>
  <c i="37" r="D463" s="1"/>
  <c i="37" r="C462"/>
  <c i="37" r="D462" s="1"/>
  <c i="37" r="C461"/>
  <c i="37" r="D461" s="1"/>
  <c i="37" r="C460"/>
  <c i="37" r="D460" s="1"/>
  <c i="37" r="C459"/>
  <c i="37" r="D459" s="1"/>
  <c i="37" r="C458"/>
  <c i="37" r="D458" s="1"/>
  <c i="37" r="C457"/>
  <c i="37" r="D457" s="1"/>
  <c i="37" r="C456"/>
  <c i="37" r="D456" s="1"/>
  <c i="37" r="C455"/>
  <c i="37" r="D455" s="1"/>
  <c i="37" r="C454"/>
  <c i="37" r="D454" s="1"/>
  <c i="37" r="C453"/>
  <c i="37" r="D453" s="1"/>
  <c i="37" r="C452"/>
  <c i="37" r="D452" s="1"/>
  <c i="37" r="C451"/>
  <c i="37" r="D451" s="1"/>
  <c i="37" r="C450"/>
  <c i="37" r="D450" s="1"/>
  <c i="37" r="C449"/>
  <c i="37" r="D449" s="1"/>
  <c i="37" r="C448"/>
  <c i="37" r="D448" s="1"/>
  <c i="37" r="C447"/>
  <c i="37" r="D447" s="1"/>
  <c i="37" r="C446"/>
  <c i="37" r="D446" s="1"/>
  <c i="37" r="C445"/>
  <c i="37" r="D445" s="1"/>
  <c i="37" r="C444"/>
  <c i="37" r="D444" s="1"/>
  <c i="37" r="C443"/>
  <c i="37" r="D443" s="1"/>
  <c i="37" r="C442"/>
  <c i="37" r="D442" s="1"/>
  <c i="37" r="C441"/>
  <c i="37" r="D441" s="1"/>
  <c i="37" r="C440"/>
  <c i="37" r="D440" s="1"/>
  <c i="37" r="C439"/>
  <c i="37" r="D439" s="1"/>
  <c i="37" r="C438"/>
  <c i="37" r="D438" s="1"/>
  <c i="37" r="C437"/>
  <c i="37" r="D437" s="1"/>
  <c i="37" r="C436"/>
  <c i="37" r="D436" s="1"/>
  <c i="37" r="C435"/>
  <c i="37" r="D435" s="1"/>
  <c i="37" r="C434"/>
  <c i="37" r="D434" s="1"/>
  <c i="37" r="C433"/>
  <c i="37" r="D433" s="1"/>
  <c i="37" r="C432"/>
  <c i="37" r="D432" s="1"/>
  <c i="37" r="C431"/>
  <c i="37" r="D431" s="1"/>
  <c i="37" r="C430"/>
  <c i="37" r="D430" s="1"/>
  <c i="37" r="C429"/>
  <c i="37" r="D429" s="1"/>
  <c i="37" r="C428"/>
  <c i="37" r="D428" s="1"/>
  <c i="37" r="C427"/>
  <c i="37" r="D427" s="1"/>
  <c i="37" r="C426"/>
  <c i="37" r="D426" s="1"/>
  <c i="37" r="C425"/>
  <c i="37" r="D425" s="1"/>
  <c i="37" r="C424"/>
  <c i="37" r="D424" s="1"/>
  <c i="37" r="C423"/>
  <c i="37" r="D423" s="1"/>
  <c i="37" r="C422"/>
  <c i="37" r="D422" s="1"/>
  <c i="37" r="C421"/>
  <c i="37" r="D421" s="1"/>
  <c i="37" r="C420"/>
  <c i="37" r="D420" s="1"/>
  <c i="37" r="C419"/>
  <c i="37" r="D419" s="1"/>
  <c i="37" r="C418"/>
  <c i="37" r="D418" s="1"/>
  <c i="37" r="C417"/>
  <c i="37" r="D417" s="1"/>
  <c i="37" r="C416"/>
  <c i="37" r="D416" s="1"/>
  <c i="37" r="C415"/>
  <c i="37" r="D415" s="1"/>
  <c i="37" r="C414"/>
  <c i="37" r="D414" s="1"/>
  <c i="37" r="C413"/>
  <c i="37" r="D413" s="1"/>
  <c i="37" r="C412"/>
  <c i="37" r="D412" s="1"/>
  <c i="37" r="C411"/>
  <c i="37" r="D411" s="1"/>
  <c i="37" r="C410"/>
  <c i="37" r="D410" s="1"/>
  <c i="37" r="C409"/>
  <c i="37" r="D409" s="1"/>
  <c i="37" r="C408"/>
  <c i="37" r="D408" s="1"/>
  <c i="37" r="C407"/>
  <c i="37" r="D407" s="1"/>
  <c i="37" r="C406"/>
  <c i="37" r="D406" s="1"/>
  <c i="37" r="C405"/>
  <c i="37" r="D405" s="1"/>
  <c i="37" r="C404"/>
  <c i="37" r="D404" s="1"/>
  <c i="37" r="C403"/>
  <c i="37" r="D403" s="1"/>
  <c i="37" r="C402"/>
  <c i="37" r="D402" s="1"/>
  <c i="37" r="C401"/>
  <c i="37" r="D401" s="1"/>
  <c i="37" r="C400"/>
  <c i="37" r="D400" s="1"/>
  <c i="37" r="C399"/>
  <c i="37" r="D399" s="1"/>
  <c i="37" r="C398"/>
  <c i="37" r="D398" s="1"/>
  <c i="37" r="C397"/>
  <c i="37" r="D397" s="1"/>
  <c i="37" r="C396"/>
  <c i="37" r="D396" s="1"/>
  <c i="37" r="C395"/>
  <c i="37" r="D395" s="1"/>
  <c i="37" r="C394"/>
  <c i="37" r="D394" s="1"/>
  <c i="37" r="C393"/>
  <c i="37" r="D393" s="1"/>
  <c i="37" r="C392"/>
  <c i="37" r="D392" s="1"/>
  <c i="37" r="C391"/>
  <c i="37" r="D391" s="1"/>
  <c i="37" r="C390"/>
  <c i="37" r="D390" s="1"/>
  <c i="37" r="C389"/>
  <c i="37" r="D389" s="1"/>
  <c i="37" r="C388"/>
  <c i="37" r="D388" s="1"/>
  <c i="37" r="C387"/>
  <c i="37" r="D387" s="1"/>
  <c i="37" r="C386"/>
  <c i="37" r="D386" s="1"/>
  <c i="37" r="C385"/>
  <c i="37" r="D385" s="1"/>
  <c i="37" r="C384"/>
  <c i="37" r="D384" s="1"/>
  <c i="37" r="C383"/>
  <c i="37" r="D383" s="1"/>
  <c i="37" r="C382"/>
  <c i="37" r="D382" s="1"/>
  <c i="37" r="C381"/>
  <c i="37" r="D381" s="1"/>
  <c i="37" r="C380"/>
  <c i="37" r="D380" s="1"/>
  <c i="37" r="C379"/>
  <c i="37" r="D379" s="1"/>
  <c i="37" r="C378"/>
  <c i="37" r="D378" s="1"/>
  <c i="37" r="C377"/>
  <c i="37" r="D377" s="1"/>
  <c i="37" r="C376"/>
  <c i="37" r="D376" s="1"/>
  <c i="37" r="C375"/>
  <c i="37" r="D375" s="1"/>
  <c i="37" r="C374"/>
  <c i="37" r="D374" s="1"/>
  <c i="37" r="C373"/>
  <c i="37" r="D373" s="1"/>
  <c i="37" r="C372"/>
  <c i="37" r="D372" s="1"/>
  <c i="37" r="C371"/>
  <c i="37" r="D371" s="1"/>
  <c i="37" r="C370"/>
  <c i="37" r="D370" s="1"/>
  <c i="37" r="C369"/>
  <c i="37" r="D369" s="1"/>
  <c i="37" r="C368"/>
  <c i="37" r="D368" s="1"/>
  <c i="37" r="C367"/>
  <c i="37" r="D367" s="1"/>
  <c i="37" r="C366"/>
  <c i="37" r="D366" s="1"/>
  <c i="37" r="C365"/>
  <c i="37" r="D365" s="1"/>
  <c i="37" r="C364"/>
  <c i="37" r="D364" s="1"/>
  <c i="37" r="C363"/>
  <c i="37" r="D363" s="1"/>
  <c i="37" r="C362"/>
  <c i="37" r="D362" s="1"/>
  <c i="37" r="C361"/>
  <c i="37" r="D361" s="1"/>
  <c i="37" r="C360"/>
  <c i="37" r="D360" s="1"/>
  <c i="37" r="C359"/>
  <c i="37" r="D359" s="1"/>
  <c i="37" r="C358"/>
  <c i="37" r="D358" s="1"/>
  <c i="37" r="C357"/>
  <c i="37" r="D357" s="1"/>
  <c i="37" r="C356"/>
  <c i="37" r="D356" s="1"/>
  <c i="37" r="C355"/>
  <c i="37" r="D355" s="1"/>
  <c i="37" r="C354"/>
  <c i="37" r="D354" s="1"/>
  <c i="37" r="C353"/>
  <c i="37" r="D353" s="1"/>
  <c i="37" r="C352"/>
  <c i="37" r="D352" s="1"/>
  <c i="37" r="C351"/>
  <c i="37" r="D351" s="1"/>
  <c i="37" r="C350"/>
  <c i="37" r="D350" s="1"/>
  <c i="37" r="C349"/>
  <c i="37" r="D349" s="1"/>
  <c i="37" r="C348"/>
  <c i="37" r="D348" s="1"/>
  <c i="37" r="C347"/>
  <c i="37" r="D347" s="1"/>
  <c i="37" r="C346"/>
  <c i="37" r="D346" s="1"/>
  <c i="37" r="C345"/>
  <c i="37" r="D345" s="1"/>
  <c i="37" r="C344"/>
  <c i="37" r="D344" s="1"/>
  <c i="37" r="C343"/>
  <c i="37" r="D343" s="1"/>
  <c i="37" r="C342"/>
  <c i="37" r="D342" s="1"/>
  <c i="37" r="C341"/>
  <c i="37" r="D341" s="1"/>
  <c i="37" r="C340"/>
  <c i="37" r="D340" s="1"/>
  <c i="37" r="C339"/>
  <c i="37" r="D339" s="1"/>
  <c i="37" r="C338"/>
  <c i="37" r="D338" s="1"/>
  <c i="37" r="C337"/>
  <c i="37" r="D337" s="1"/>
  <c i="37" r="C336"/>
  <c i="37" r="D336" s="1"/>
  <c i="37" r="C335"/>
  <c i="37" r="D335" s="1"/>
  <c i="37" r="C334"/>
  <c i="37" r="D334" s="1"/>
  <c i="37" r="C333"/>
  <c i="37" r="D333" s="1"/>
  <c i="37" r="C332"/>
  <c i="37" r="D332" s="1"/>
  <c i="37" r="C331"/>
  <c i="37" r="D331" s="1"/>
  <c i="37" r="C330"/>
  <c i="37" r="D330" s="1"/>
  <c i="37" r="C329"/>
  <c i="37" r="D329" s="1"/>
  <c i="37" r="C328"/>
  <c i="37" r="D328" s="1"/>
  <c i="37" r="C327"/>
  <c i="37" r="D327" s="1"/>
  <c i="37" r="C326"/>
  <c i="37" r="D326" s="1"/>
  <c i="37" r="C325"/>
  <c i="37" r="D325" s="1"/>
  <c i="37" r="C324"/>
  <c i="37" r="D324" s="1"/>
  <c i="37" r="C323"/>
  <c i="37" r="D323" s="1"/>
  <c i="37" r="C322"/>
  <c i="37" r="D322" s="1"/>
  <c i="37" r="C321"/>
  <c i="37" r="D321" s="1"/>
  <c i="37" r="C320"/>
  <c i="37" r="D320" s="1"/>
  <c i="37" r="C319"/>
  <c i="37" r="D319" s="1"/>
  <c i="37" r="C318"/>
  <c i="37" r="D318" s="1"/>
  <c i="37" r="C317"/>
  <c i="37" r="D317" s="1"/>
  <c i="37" r="C316"/>
  <c i="37" r="D316" s="1"/>
  <c i="37" r="C315"/>
  <c i="37" r="D315" s="1"/>
  <c i="37" r="C314"/>
  <c i="37" r="D314" s="1"/>
  <c i="37" r="C313"/>
  <c i="37" r="D313" s="1"/>
  <c i="37" r="C312"/>
  <c i="37" r="D312" s="1"/>
  <c i="37" r="C311"/>
  <c i="37" r="D311" s="1"/>
  <c i="37" r="C310"/>
  <c i="37" r="D310" s="1"/>
  <c i="37" r="C309"/>
  <c i="37" r="D309" s="1"/>
  <c i="37" r="C308"/>
  <c i="37" r="D308" s="1"/>
  <c i="37" r="C307"/>
  <c i="37" r="D307" s="1"/>
  <c i="37" r="C306"/>
  <c i="37" r="D306" s="1"/>
  <c i="37" r="C305"/>
  <c i="37" r="D305" s="1"/>
  <c i="37" r="C304"/>
  <c i="37" r="D304" s="1"/>
  <c i="37" r="C303"/>
  <c i="37" r="D303" s="1"/>
  <c i="37" r="C302"/>
  <c i="37" r="D302" s="1"/>
  <c i="37" r="C301"/>
  <c i="37" r="D301" s="1"/>
  <c i="37" r="C300"/>
  <c i="37" r="D300" s="1"/>
  <c i="37" r="C299"/>
  <c i="37" r="D299" s="1"/>
  <c i="37" r="C298"/>
  <c i="37" r="D298" s="1"/>
  <c i="37" r="C297"/>
  <c i="37" r="D297" s="1"/>
  <c i="37" r="C296"/>
  <c i="37" r="D296" s="1"/>
  <c i="37" r="C295"/>
  <c i="37" r="D295" s="1"/>
  <c i="37" r="C294"/>
  <c i="37" r="D294" s="1"/>
  <c i="37" r="C293"/>
  <c i="37" r="D293" s="1"/>
  <c i="37" r="C292"/>
  <c i="37" r="D292" s="1"/>
  <c i="37" r="C291"/>
  <c i="37" r="D291" s="1"/>
  <c i="37" r="C290"/>
  <c i="37" r="D290" s="1"/>
  <c i="37" r="C289"/>
  <c i="37" r="D289" s="1"/>
  <c i="37" r="C288"/>
  <c i="37" r="D288" s="1"/>
  <c i="37" r="C287"/>
  <c i="37" r="D287" s="1"/>
  <c i="37" r="C286"/>
  <c i="37" r="D286" s="1"/>
  <c i="37" r="C285"/>
  <c i="37" r="D285" s="1"/>
  <c i="37" r="C284"/>
  <c i="37" r="D284" s="1"/>
  <c i="37" r="C283"/>
  <c i="37" r="D283" s="1"/>
  <c i="37" r="C282"/>
  <c i="37" r="D282" s="1"/>
  <c i="37" r="C281"/>
  <c i="37" r="D281" s="1"/>
  <c i="37" r="C280"/>
  <c i="37" r="D280" s="1"/>
  <c i="37" r="C279"/>
  <c i="37" r="D279" s="1"/>
  <c i="37" r="C278"/>
  <c i="37" r="D278" s="1"/>
  <c i="37" r="C277"/>
  <c i="37" r="D277" s="1"/>
  <c i="37" r="C276"/>
  <c i="37" r="D276" s="1"/>
  <c i="37" r="C275"/>
  <c i="37" r="D275" s="1"/>
  <c i="37" r="C274"/>
  <c i="37" r="D274" s="1"/>
  <c i="37" r="C273"/>
  <c i="37" r="D273" s="1"/>
  <c i="37" r="C272"/>
  <c i="37" r="D272" s="1"/>
  <c i="37" r="C271"/>
  <c i="37" r="D271" s="1"/>
  <c i="37" r="C270"/>
  <c i="37" r="D270" s="1"/>
  <c i="37" r="C269"/>
  <c i="37" r="D269" s="1"/>
  <c i="37" r="C268"/>
  <c i="37" r="D268" s="1"/>
  <c i="37" r="C267"/>
  <c i="37" r="D267" s="1"/>
  <c i="37" r="C266"/>
  <c i="37" r="D266" s="1"/>
  <c i="37" r="C265"/>
  <c i="37" r="D265" s="1"/>
  <c i="37" r="C264"/>
  <c i="37" r="D264" s="1"/>
  <c i="37" r="C263"/>
  <c i="37" r="D263" s="1"/>
  <c i="37" r="C262"/>
  <c i="37" r="D262" s="1"/>
  <c i="37" r="C261"/>
  <c i="37" r="D261" s="1"/>
  <c i="37" r="C260"/>
  <c i="37" r="D260" s="1"/>
  <c i="37" r="C259"/>
  <c i="37" r="D259" s="1"/>
  <c i="37" r="C258"/>
  <c i="37" r="D258" s="1"/>
  <c i="37" r="C257"/>
  <c i="37" r="D257" s="1"/>
  <c i="37" r="C256"/>
  <c i="37" r="D256" s="1"/>
  <c i="37" r="C255"/>
  <c i="37" r="D255" s="1"/>
  <c i="37" r="C254"/>
  <c i="37" r="D254" s="1"/>
  <c i="37" r="C253"/>
  <c i="37" r="D253" s="1"/>
  <c i="37" r="C252"/>
  <c i="37" r="D252" s="1"/>
  <c i="37" r="C251"/>
  <c i="37" r="D251" s="1"/>
  <c i="37" r="C250"/>
  <c i="37" r="D250" s="1"/>
  <c i="37" r="C249"/>
  <c i="37" r="D249" s="1"/>
  <c i="37" r="C248"/>
  <c i="37" r="D248" s="1"/>
  <c i="37" r="C247"/>
  <c i="37" r="D247" s="1"/>
  <c i="37" r="C246"/>
  <c i="37" r="D246" s="1"/>
  <c i="37" r="C245"/>
  <c i="37" r="D245" s="1"/>
  <c i="37" r="C244"/>
  <c i="37" r="D244" s="1"/>
  <c i="37" r="C243"/>
  <c i="37" r="D243" s="1"/>
  <c i="37" r="C242"/>
  <c i="37" r="D242" s="1"/>
  <c i="37" r="C241"/>
  <c i="37" r="D241" s="1"/>
  <c i="37" r="C240"/>
  <c i="37" r="D240" s="1"/>
  <c i="37" r="C239"/>
  <c i="37" r="D239" s="1"/>
  <c i="37" r="C238"/>
  <c i="37" r="D238" s="1"/>
  <c i="37" r="C237"/>
  <c i="37" r="D237" s="1"/>
  <c i="37" r="C236"/>
  <c i="37" r="D236" s="1"/>
  <c i="37" r="C235"/>
  <c i="37" r="D235" s="1"/>
  <c i="37" r="C234"/>
  <c i="37" r="D234" s="1"/>
  <c i="37" r="C233"/>
  <c i="37" r="D233" s="1"/>
  <c i="37" r="C232"/>
  <c i="37" r="D232" s="1"/>
  <c i="37" r="F231"/>
  <c i="37" r="C231"/>
  <c i="37" r="D231" s="1"/>
  <c i="37" r="F230"/>
  <c i="37" r="C230"/>
  <c i="37" r="D230" s="1"/>
  <c i="37" r="F229"/>
  <c i="37" r="C229"/>
  <c i="37" r="D229" s="1"/>
  <c i="37" r="F228"/>
  <c i="37" r="C228"/>
  <c i="37" r="D228" s="1"/>
  <c i="37" r="F227"/>
  <c i="37" r="C227"/>
  <c i="37" r="D227" s="1"/>
  <c i="37" r="F226"/>
  <c i="37" r="C226"/>
  <c i="37" r="D226" s="1"/>
  <c i="37" r="F225"/>
  <c i="37" r="C225"/>
  <c i="37" r="D225" s="1"/>
  <c i="37" r="C224"/>
  <c i="37" r="D224" s="1"/>
  <c i="37" r="F223"/>
  <c i="37" r="C223"/>
  <c i="37" r="D223" s="1"/>
  <c i="37" r="F222"/>
  <c i="37" r="C222"/>
  <c i="37" r="D222" s="1"/>
  <c i="37" r="F221"/>
  <c i="37" r="C221"/>
  <c i="37" r="D221" s="1"/>
  <c i="37" r="F220"/>
  <c i="37" r="C220"/>
  <c i="37" r="D220" s="1"/>
  <c i="37" r="F219"/>
  <c i="37" r="C219"/>
  <c i="37" r="D219" s="1"/>
  <c i="37" r="F218"/>
  <c i="37" r="C218"/>
  <c i="37" r="D218" s="1"/>
  <c i="37" r="C217"/>
  <c i="37" r="D217" s="1"/>
  <c i="37" r="C216"/>
  <c i="37" r="D216" s="1"/>
  <c i="37" r="C215"/>
  <c i="37" r="D215" s="1"/>
  <c i="37" r="F214"/>
  <c i="37" r="C214"/>
  <c i="37" r="D214" s="1"/>
  <c i="37" r="F213"/>
  <c i="37" r="C213"/>
  <c i="37" r="D213" s="1"/>
  <c i="37" r="F212"/>
  <c i="37" r="C212"/>
  <c i="37" r="D212" s="1"/>
  <c i="37" r="F211"/>
  <c i="37" r="C211"/>
  <c i="37" r="D211" s="1"/>
  <c i="37" r="F210"/>
  <c i="37" r="C210"/>
  <c i="37" r="D210" s="1"/>
  <c i="37" r="F209"/>
  <c i="37" r="C209"/>
  <c i="37" r="D209" s="1"/>
  <c i="37" r="F208"/>
  <c i="37" r="C208"/>
  <c i="37" r="D208" s="1"/>
  <c i="37" r="F207"/>
  <c i="37" r="C207"/>
  <c i="37" r="D207" s="1"/>
  <c i="37" r="F206"/>
  <c i="37" r="C206"/>
  <c i="37" r="D206" s="1"/>
  <c i="37" r="F205"/>
  <c i="37" r="C205"/>
  <c i="37" r="D205" s="1"/>
  <c i="37" r="F204"/>
  <c i="37" r="C204"/>
  <c i="37" r="D204" s="1"/>
  <c i="37" r="C203"/>
  <c i="37" r="D203" s="1"/>
  <c i="37" r="F202"/>
  <c i="37" r="C202"/>
  <c i="37" r="D202" s="1"/>
  <c i="37" r="F201"/>
  <c i="37" r="C201"/>
  <c i="37" r="D201" s="1"/>
  <c i="37" r="F200"/>
  <c i="37" r="C200"/>
  <c i="37" r="D200" s="1"/>
  <c i="37" r="F199"/>
  <c i="37" r="C199"/>
  <c i="37" r="D199" s="1"/>
  <c i="37" r="F198"/>
  <c i="37" r="C198"/>
  <c i="37" r="D198" s="1"/>
  <c i="37" r="F197"/>
  <c i="37" r="C197"/>
  <c i="37" r="D197" s="1"/>
  <c i="37" r="F196"/>
  <c i="37" r="C196"/>
  <c i="37" r="D196" s="1"/>
  <c i="37" r="C195"/>
  <c i="37" r="D195" s="1"/>
  <c i="37" r="C194"/>
  <c i="37" r="D194" s="1"/>
  <c i="37" r="F193"/>
  <c i="37" r="C193"/>
  <c i="37" r="D193" s="1"/>
  <c i="37" r="F192"/>
  <c i="37" r="C192"/>
  <c i="37" r="D192" s="1"/>
  <c i="37" r="F191"/>
  <c i="37" r="C191"/>
  <c i="37" r="D191" s="1"/>
  <c i="37" r="C190"/>
  <c i="37" r="D190" s="1"/>
  <c i="37" r="F189"/>
  <c i="37" r="C189"/>
  <c i="37" r="D189" s="1"/>
  <c i="37" r="F188"/>
  <c i="37" r="C188"/>
  <c i="37" r="D188" s="1"/>
  <c i="37" r="F187"/>
  <c i="37" r="C187"/>
  <c i="37" r="D187" s="1"/>
  <c i="37" r="C186"/>
  <c i="37" r="D186" s="1"/>
  <c i="37" r="C185"/>
  <c i="37" r="D185" s="1"/>
  <c i="37" r="C184"/>
  <c i="37" r="D184" s="1"/>
  <c i="37" r="F183"/>
  <c i="37" r="C183"/>
  <c i="37" r="D183" s="1"/>
  <c i="37" r="F182"/>
  <c i="37" r="C182"/>
  <c i="37" r="D182" s="1"/>
  <c i="37" r="F181"/>
  <c i="37" r="C181"/>
  <c i="37" r="D181" s="1"/>
  <c i="37" r="F180"/>
  <c i="37" r="C180"/>
  <c i="37" r="D180" s="1"/>
  <c i="37" r="F179"/>
  <c i="37" r="C179"/>
  <c i="37" r="D179" s="1"/>
  <c i="37" r="C178"/>
  <c i="37" r="D178" s="1"/>
  <c i="37" r="F177"/>
  <c i="37" r="C177"/>
  <c i="37" r="D177" s="1"/>
  <c i="37" r="F176"/>
  <c i="37" r="C176"/>
  <c i="37" r="D176" s="1"/>
  <c i="37" r="F175"/>
  <c i="37" r="C175"/>
  <c i="37" r="D175" s="1"/>
  <c i="37" r="F174"/>
  <c i="37" r="C174"/>
  <c i="37" r="D174" s="1"/>
  <c i="37" r="F173"/>
  <c i="37" r="C173"/>
  <c i="37" r="D173" s="1"/>
  <c i="37" r="F172"/>
  <c i="37" r="C172"/>
  <c i="37" r="D172" s="1"/>
  <c i="37" r="C171"/>
  <c i="37" r="D171" s="1"/>
  <c i="37" r="F170"/>
  <c i="37" r="C170"/>
  <c i="37" r="D170" s="1"/>
  <c i="37" r="F169"/>
  <c i="37" r="C169"/>
  <c i="37" r="D169" s="1"/>
  <c i="37" r="F168"/>
  <c i="37" r="C168"/>
  <c i="37" r="D168" s="1"/>
  <c i="37" r="F167"/>
  <c i="37" r="C167"/>
  <c i="37" r="D167" s="1"/>
  <c i="37" r="F166"/>
  <c i="37" r="C166"/>
  <c i="37" r="D166" s="1"/>
  <c i="37" r="C165"/>
  <c i="37" r="D165" s="1"/>
  <c i="37" r="F164"/>
  <c i="37" r="C164"/>
  <c i="37" r="D164" s="1"/>
  <c i="37" r="F163"/>
  <c i="37" r="C163"/>
  <c i="37" r="D163" s="1"/>
  <c i="37" r="F162"/>
  <c i="37" r="C162"/>
  <c i="37" r="D162" s="1"/>
  <c i="37" r="F161"/>
  <c i="37" r="C161"/>
  <c i="37" r="D161" s="1"/>
  <c i="37" r="F160"/>
  <c i="37" r="C160"/>
  <c i="37" r="D160" s="1"/>
  <c i="37" r="C159"/>
  <c i="37" r="D159" s="1"/>
  <c i="37" r="F158"/>
  <c i="37" r="C158"/>
  <c i="37" r="D158" s="1"/>
  <c i="37" r="F157"/>
  <c i="37" r="C157"/>
  <c i="37" r="D157" s="1"/>
  <c i="37" r="F156"/>
  <c i="37" r="C156"/>
  <c i="37" r="D156" s="1"/>
  <c i="37" r="F155"/>
  <c i="37" r="C155"/>
  <c i="37" r="D155" s="1"/>
  <c i="37" r="F154"/>
  <c i="37" r="C154"/>
  <c i="37" r="D154" s="1"/>
  <c i="37" r="F153"/>
  <c i="37" r="C153"/>
  <c i="37" r="D153" s="1"/>
  <c i="37" r="F152"/>
  <c i="37" r="C152"/>
  <c i="37" r="D152" s="1"/>
  <c i="37" r="C151"/>
  <c i="37" r="D151" s="1"/>
  <c i="37" r="C150"/>
  <c i="37" r="D150" s="1"/>
  <c i="37" r="F149"/>
  <c i="37" r="C149"/>
  <c i="37" r="D149" s="1"/>
  <c i="37" r="F148"/>
  <c i="37" r="C148"/>
  <c i="37" r="D148" s="1"/>
  <c i="37" r="F147"/>
  <c i="37" r="C147"/>
  <c i="37" r="D147" s="1"/>
  <c i="37" r="C146"/>
  <c i="37" r="D146" s="1"/>
  <c i="37" r="F145"/>
  <c i="37" r="C145"/>
  <c i="37" r="D145" s="1"/>
  <c i="37" r="F144"/>
  <c i="37" r="C144"/>
  <c i="37" r="D144" s="1"/>
  <c i="37" r="F143"/>
  <c i="37" r="C143"/>
  <c i="37" r="D143" s="1"/>
  <c i="37" r="C142"/>
  <c i="37" r="D142" s="1"/>
  <c i="37" r="C141"/>
  <c i="37" r="D141" s="1"/>
  <c i="37" r="C140"/>
  <c i="37" r="D140" s="1"/>
  <c i="37" r="C139"/>
  <c i="37" r="D139" s="1"/>
  <c i="37" r="C138"/>
  <c i="37" r="D138" s="1"/>
  <c i="37" r="F137"/>
  <c i="37" r="C137"/>
  <c i="37" r="D137" s="1"/>
  <c i="37" r="F136"/>
  <c i="37" r="C136"/>
  <c i="37" r="D136" s="1"/>
  <c i="37" r="F135"/>
  <c i="37" r="C135"/>
  <c i="37" r="D135" s="1"/>
  <c i="37" r="F134"/>
  <c i="37" r="C134"/>
  <c i="37" r="D134" s="1"/>
  <c i="37" r="F133"/>
  <c i="37" r="C133"/>
  <c i="37" r="D133" s="1"/>
  <c i="37" r="C132"/>
  <c i="37" r="D132" s="1"/>
  <c i="37" r="F131"/>
  <c i="37" r="C131"/>
  <c i="37" r="D131" s="1"/>
  <c i="37" r="F130"/>
  <c i="37" r="C130"/>
  <c i="37" r="D130" s="1"/>
  <c i="37" r="F129"/>
  <c i="37" r="C129"/>
  <c i="37" r="D129" s="1"/>
  <c i="37" r="F128"/>
  <c i="37" r="C128"/>
  <c i="37" r="D128" s="1"/>
  <c i="37" r="C127"/>
  <c i="37" r="D127" s="1"/>
  <c i="37" r="F126"/>
  <c i="37" r="C126"/>
  <c i="37" r="D126" s="1"/>
  <c i="37" r="F125"/>
  <c i="37" r="C125"/>
  <c i="37" r="D125" s="1"/>
  <c i="37" r="F124"/>
  <c i="37" r="C124"/>
  <c i="37" r="D124" s="1"/>
  <c i="37" r="F123"/>
  <c i="37" r="C123"/>
  <c i="37" r="D123" s="1"/>
  <c i="37" r="F122"/>
  <c i="37" r="C122"/>
  <c i="37" r="D122" s="1"/>
  <c i="37" r="F121"/>
  <c i="37" r="C121"/>
  <c i="37" r="D121" s="1"/>
  <c i="37" r="F120"/>
  <c i="37" r="C120"/>
  <c i="37" r="D120" s="1"/>
  <c i="37" r="F119"/>
  <c i="37" r="C119"/>
  <c i="37" r="D119" s="1"/>
  <c i="37" r="F118"/>
  <c i="37" r="C118"/>
  <c i="37" r="D118" s="1"/>
  <c i="37" r="F117"/>
  <c i="37" r="C117"/>
  <c i="37" r="D117" s="1"/>
  <c i="37" r="F116"/>
  <c i="37" r="C116"/>
  <c i="37" r="D116" s="1"/>
  <c i="37" r="F115"/>
  <c i="37" r="C115"/>
  <c i="37" r="D115" s="1"/>
  <c i="37" r="F114"/>
  <c i="37" r="C114"/>
  <c i="37" r="D114" s="1"/>
  <c i="37" r="F113"/>
  <c i="37" r="C113"/>
  <c i="37" r="D113" s="1"/>
  <c i="37" r="F112"/>
  <c i="37" r="C112"/>
  <c i="37" r="D112" s="1"/>
  <c i="37" r="F111"/>
  <c i="37" r="C111"/>
  <c i="37" r="D111" s="1"/>
  <c i="37" r="F110"/>
  <c i="37" r="C110"/>
  <c i="37" r="D110" s="1"/>
  <c i="37" r="C109"/>
  <c i="37" r="D109" s="1"/>
  <c i="37" r="F108"/>
  <c i="37" r="C108"/>
  <c i="37" r="D108" s="1"/>
  <c i="37" r="C107"/>
  <c i="37" r="D107" s="1"/>
  <c i="37" r="F106"/>
  <c i="37" r="C106"/>
  <c i="37" r="D106" s="1"/>
  <c i="37" r="F105"/>
  <c i="37" r="C105"/>
  <c i="37" r="D105" s="1"/>
  <c i="37" r="F104"/>
  <c i="37" r="C104"/>
  <c i="37" r="D104" s="1"/>
  <c i="37" r="F103"/>
  <c i="37" r="C103"/>
  <c i="37" r="D103" s="1"/>
  <c i="37" r="C102"/>
  <c i="37" r="D102" s="1"/>
  <c i="37" r="F101"/>
  <c i="37" r="C101"/>
  <c i="37" r="D101" s="1"/>
  <c i="37" r="F100"/>
  <c i="37" r="C100"/>
  <c i="37" r="D100" s="1"/>
  <c i="37" r="F99"/>
  <c i="37" r="C99"/>
  <c i="37" r="D99" s="1"/>
  <c i="37" r="F98"/>
  <c i="37" r="C98"/>
  <c i="37" r="D98" s="1"/>
  <c i="37" r="F97"/>
  <c i="37" r="C97"/>
  <c i="37" r="D97" s="1"/>
  <c i="37" r="C96"/>
  <c i="37" r="D96" s="1"/>
  <c i="37" r="C95"/>
  <c i="37" r="D95" s="1"/>
  <c i="37" r="F94"/>
  <c i="37" r="C94"/>
  <c i="37" r="D94" s="1"/>
  <c i="37" r="F93"/>
  <c i="37" r="C93"/>
  <c i="37" r="D93" s="1"/>
  <c i="37" r="C92"/>
  <c i="37" r="D92" s="1"/>
  <c i="37" r="F91"/>
  <c i="37" r="C91"/>
  <c i="37" r="D91" s="1"/>
  <c i="37" r="F90"/>
  <c i="37" r="C90"/>
  <c i="37" r="D90" s="1"/>
  <c i="37" r="C89"/>
  <c i="37" r="D89" s="1"/>
  <c i="37" r="C88"/>
  <c i="37" r="D88" s="1"/>
  <c i="37" r="C87"/>
  <c i="37" r="D87" s="1"/>
  <c i="37" r="F86"/>
  <c i="37" r="C86"/>
  <c i="37" r="D86" s="1"/>
  <c i="37" r="F85"/>
  <c i="37" r="C85"/>
  <c i="37" r="D85" s="1"/>
  <c i="37" r="F84"/>
  <c i="37" r="C84"/>
  <c i="37" r="D84" s="1"/>
  <c i="37" r="F83"/>
  <c i="37" r="C83"/>
  <c i="37" r="D83" s="1"/>
  <c i="37" r="F82"/>
  <c i="37" r="C82"/>
  <c i="37" r="D82" s="1"/>
  <c i="37" r="F81"/>
  <c i="37" r="C81"/>
  <c i="37" r="D81" s="1"/>
  <c i="37" r="F80"/>
  <c i="37" r="C80"/>
  <c i="37" r="D80" s="1"/>
  <c i="37" r="F79"/>
  <c i="37" r="C79"/>
  <c i="37" r="D79" s="1"/>
  <c i="37" r="F78"/>
  <c i="37" r="C78"/>
  <c i="37" r="D78" s="1"/>
  <c i="37" r="C77"/>
  <c i="37" r="D77" s="1"/>
  <c i="37" r="F76"/>
  <c i="37" r="C76"/>
  <c i="37" r="D76" s="1"/>
  <c i="37" r="F75"/>
  <c i="37" r="C75"/>
  <c i="37" r="D75" s="1"/>
  <c i="37" r="F74"/>
  <c i="37" r="C74"/>
  <c i="37" r="D74" s="1"/>
  <c i="37" r="F73"/>
  <c i="37" r="C73"/>
  <c i="37" r="D73" s="1"/>
  <c i="37" r="F72"/>
  <c i="37" r="C72"/>
  <c i="37" r="D72" s="1"/>
  <c i="37" r="F71"/>
  <c i="37" r="C71"/>
  <c i="37" r="D71" s="1"/>
  <c i="37" r="F70"/>
  <c i="37" r="C70"/>
  <c i="37" r="D70" s="1"/>
  <c i="37" r="F69"/>
  <c i="37" r="C69"/>
  <c i="37" r="D69" s="1"/>
  <c i="37" r="F68"/>
  <c i="37" r="C68"/>
  <c i="37" r="D68" s="1"/>
  <c i="37" r="C67"/>
  <c i="37" r="D67" s="1"/>
  <c i="37" r="F66"/>
  <c i="37" r="C66"/>
  <c i="37" r="D66" s="1"/>
  <c i="37" r="F65"/>
  <c i="37" r="C65"/>
  <c i="37" r="D65" s="1"/>
  <c i="37" r="F64"/>
  <c i="37" r="C64"/>
  <c i="37" r="D64" s="1"/>
  <c i="37" r="F63"/>
  <c i="37" r="C63"/>
  <c i="37" r="D63" s="1"/>
  <c i="37" r="C62"/>
  <c i="37" r="D62" s="1"/>
  <c i="37" r="C61"/>
  <c i="37" r="D61" s="1"/>
  <c i="37" r="F60"/>
  <c i="37" r="C60"/>
  <c i="37" r="D60" s="1"/>
  <c i="37" r="F59"/>
  <c i="37" r="C59"/>
  <c i="37" r="D59" s="1"/>
  <c i="37" r="F58"/>
  <c i="37" r="C58"/>
  <c i="37" r="D58" s="1"/>
  <c i="37" r="F57"/>
  <c i="37" r="C57"/>
  <c i="37" r="D57" s="1"/>
  <c i="37" r="C56"/>
  <c i="37" r="D56" s="1"/>
  <c i="37" r="F55"/>
  <c i="37" r="C55"/>
  <c i="37" r="D55" s="1"/>
  <c i="37" r="F54"/>
  <c i="37" r="C54"/>
  <c i="37" r="D54" s="1"/>
  <c i="37" r="F53"/>
  <c i="37" r="C53"/>
  <c i="37" r="D53" s="1"/>
  <c i="37" r="F52"/>
  <c i="37" r="C52"/>
  <c i="37" r="D52" s="1"/>
  <c i="37" r="F51"/>
  <c i="37" r="C51"/>
  <c i="37" r="D51" s="1"/>
  <c i="37" r="F50"/>
  <c i="37" r="C50"/>
  <c i="37" r="D50" s="1"/>
  <c i="37" r="C49"/>
  <c i="37" r="D49" s="1"/>
  <c i="37" r="F48"/>
  <c i="37" r="C48"/>
  <c i="37" r="D48" s="1"/>
  <c i="37" r="F47"/>
  <c i="37" r="C47"/>
  <c i="37" r="D47" s="1"/>
  <c i="37" r="F46"/>
  <c i="37" r="C46"/>
  <c i="37" r="D46" s="1"/>
  <c i="37" r="C45"/>
  <c i="37" r="D45" s="1"/>
  <c i="37" r="F44"/>
  <c i="37" r="C44"/>
  <c i="37" r="D44" s="1"/>
  <c i="37" r="F43"/>
  <c i="37" r="C43"/>
  <c i="37" r="D43" s="1"/>
  <c i="37" r="F42"/>
  <c i="37" r="C42"/>
  <c i="37" r="D42" s="1"/>
  <c i="37" r="F41"/>
  <c i="37" r="C41"/>
  <c i="37" r="D41" s="1"/>
  <c i="37" r="F40"/>
  <c i="37" r="C40"/>
  <c i="37" r="D40" s="1"/>
  <c i="37" r="C39"/>
  <c i="37" r="D39" s="1"/>
  <c i="37" r="C38"/>
  <c i="37" r="D38" s="1"/>
  <c i="37" r="F37"/>
  <c i="37" r="C37"/>
  <c i="37" r="D37" s="1"/>
  <c i="37" r="F36"/>
  <c i="37" r="C36"/>
  <c i="37" r="D36" s="1"/>
  <c i="37" r="C35"/>
  <c i="37" r="D35" s="1"/>
  <c i="37" r="F34"/>
  <c i="37" r="C34"/>
  <c i="37" r="D34" s="1"/>
  <c i="37" r="F33"/>
  <c i="37" r="C33"/>
  <c i="37" r="D33" s="1"/>
  <c i="37" r="F32"/>
  <c i="37" r="C32"/>
  <c i="37" r="D32" s="1"/>
  <c i="37" r="F31"/>
  <c i="37" r="C31"/>
  <c i="37" r="D31" s="1"/>
  <c i="37" r="F30"/>
  <c i="37" r="C30"/>
  <c i="37" r="D30" s="1"/>
  <c i="37" r="F29"/>
  <c i="37" r="C29"/>
  <c i="37" r="D29" s="1"/>
  <c i="37" r="C28"/>
  <c i="37" r="D28" s="1"/>
  <c i="37" r="F27"/>
  <c i="37" r="C27"/>
  <c i="37" r="D27" s="1"/>
  <c i="37" r="F26"/>
  <c i="37" r="C26"/>
  <c i="37" r="D26" s="1"/>
  <c i="37" r="C25"/>
  <c i="37" r="D25" s="1"/>
  <c i="37" r="C24"/>
  <c i="37" r="D24" s="1"/>
  <c i="37" r="K23"/>
  <c i="37" r="G23"/>
  <c i="37" r="F23"/>
  <c i="37" r="C23"/>
  <c i="37" r="D23" s="1"/>
  <c i="37" r="K22"/>
  <c i="37" r="G22"/>
  <c i="37" r="F22"/>
  <c i="37" r="C22"/>
  <c i="37" r="D22" s="1"/>
  <c i="37" r="K21"/>
  <c i="37" r="G21"/>
  <c i="37" r="F21"/>
  <c i="37" r="C21"/>
  <c i="37" r="D21" s="1"/>
  <c i="37" r="K20"/>
  <c i="37" r="G20"/>
  <c i="37" r="F20"/>
  <c i="37" r="C20"/>
  <c i="37" r="D20" s="1"/>
  <c i="37" r="K19"/>
  <c i="37" r="G19"/>
  <c i="37" r="F19"/>
  <c i="37" r="C19"/>
  <c i="37" r="D19" s="1"/>
  <c i="37" r="K18"/>
  <c i="37" r="G18"/>
  <c i="37" r="F18"/>
  <c i="37" r="C18"/>
  <c i="37" r="D18" s="1"/>
  <c i="37" r="C17"/>
  <c i="37" r="D17" s="1"/>
  <c i="37" r="K16"/>
  <c i="37" r="G16"/>
  <c i="37" r="F16"/>
  <c i="37" r="C16"/>
  <c i="37" r="D16" s="1"/>
  <c i="37" r="K15"/>
  <c i="37" r="G15"/>
  <c i="37" r="F15"/>
  <c i="37" r="C15"/>
  <c i="37" r="D15" s="1"/>
  <c i="37" r="K14"/>
  <c i="37" r="G14"/>
  <c i="37" r="F14"/>
  <c i="37" r="C14"/>
  <c i="37" r="D14" s="1"/>
  <c i="37" r="K13"/>
  <c i="37" r="G13"/>
  <c i="37" r="F13"/>
  <c i="37" r="C13"/>
  <c i="37" r="D13" s="1"/>
  <c i="37" r="K12"/>
  <c i="37" r="G12"/>
  <c i="37" r="F12"/>
  <c i="37" r="C12"/>
  <c i="37" r="D12" s="1"/>
  <c i="37" r="K11"/>
  <c i="37" r="G11"/>
  <c i="37" r="F11"/>
  <c i="37" r="C11"/>
  <c i="37" r="D11" s="1"/>
  <c i="37" r="C10"/>
  <c i="37" r="D10" s="1"/>
  <c i="37" r="C9"/>
  <c i="37" r="D9" s="1"/>
  <c i="37" r="K8"/>
  <c i="37" r="G8"/>
  <c i="37" r="F8"/>
  <c i="37" r="K7"/>
  <c i="37" r="G7"/>
  <c i="37" r="F7"/>
  <c i="37" r="K6"/>
  <c i="37" r="F6"/>
  <c i="37" r="K5"/>
  <c i="37" r="F5"/>
  <c i="37" r="C4"/>
  <c i="37" r="D4" s="1"/>
  <c i="37" r="C2"/>
  <c i="37" r="D2" s="1"/>
  <c i="37" r="M24"/>
  <c i="37" l="1" r="D794"/>
  <c i="37" r="D767"/>
  <c i="37" r="H13"/>
  <c i="37" r="I13" s="1"/>
  <c i="37" r="L7"/>
  <c i="37" r="M7" s="1"/>
  <c i="37" r="H19"/>
  <c i="37" r="I19" s="1"/>
  <c i="37" r="H11"/>
  <c i="37" r="I11" s="1"/>
  <c i="37" r="H14"/>
  <c i="37" r="I14" s="1"/>
  <c i="37" r="L19"/>
  <c i="37" r="M19" s="1"/>
  <c i="37" r="L23"/>
  <c i="37" r="M23" s="1"/>
  <c i="37" r="L11"/>
  <c i="37" r="M11" s="1"/>
  <c i="37" r="L15"/>
  <c i="37" r="M15" s="1"/>
  <c i="37" r="L16"/>
  <c i="37" r="M16" s="1"/>
  <c i="37" r="H7"/>
  <c i="37" r="I7" s="1"/>
  <c i="37" r="H21"/>
  <c i="37" r="I21" s="1"/>
  <c i="37" r="H15"/>
  <c i="37" r="I15" s="1"/>
  <c i="37" r="H18"/>
  <c i="37" r="I18" s="1"/>
  <c i="37" r="L18"/>
  <c i="37" r="M18" s="1"/>
  <c i="37" r="L6"/>
  <c i="37" r="M6" s="1"/>
  <c i="37" r="H20"/>
  <c i="37" r="I20" s="1"/>
  <c i="37" r="H23"/>
  <c i="37" r="I23" s="1"/>
  <c i="37" r="L5"/>
  <c i="37" r="M5" s="1"/>
  <c i="37" r="H5"/>
  <c i="37" r="I5" s="1"/>
  <c i="37" r="L22"/>
  <c i="37" r="M22" s="1"/>
  <c i="37" r="L14"/>
  <c i="37" r="M14" s="1"/>
  <c i="37" r="H6"/>
  <c i="37" r="I6" s="1"/>
  <c i="37" r="L21"/>
  <c i="37" r="M21" s="1"/>
  <c i="37" r="H22"/>
  <c i="37" r="I22" s="1"/>
  <c i="37" r="L13"/>
  <c i="37" r="M13" s="1"/>
  <c i="37" r="H8"/>
  <c i="37" r="I8" s="1"/>
  <c i="37" r="L20"/>
  <c i="37" r="M20" s="1"/>
  <c i="37" r="L12"/>
  <c i="37" r="M12" s="1"/>
  <c i="37" r="H16"/>
  <c i="37" r="I16" s="1"/>
  <c i="37" r="L8"/>
  <c i="37" r="M8" s="1"/>
  <c i="37" r="H12"/>
  <c i="37" r="I12" s="1"/>
  <c i="173" l="1" r="D37"/>
  <c i="173" r="B37"/>
  <c i="173" r="D34"/>
  <c i="173" r="B34"/>
  <c i="173" r="D31"/>
  <c i="173" r="B31"/>
  <c i="173" r="B5"/>
  <c i="172" l="1" r="D7"/>
  <c i="172" r="D5"/>
  <c i="139" l="1" r="C33"/>
  <c i="139" r="A33"/>
  <c i="139" r="C30"/>
  <c i="139" r="A30"/>
  <c i="139" r="C27"/>
  <c i="139" r="A27"/>
  <c i="139" r="J20"/>
  <c i="139" r="I18"/>
  <c i="139" r="D17"/>
  <c i="139" r="I17" s="1"/>
  <c i="139" r="D16"/>
  <c i="139" r="I16" s="1"/>
  <c i="139" r="D15"/>
  <c i="139" r="I15" s="1"/>
  <c i="139" r="D14"/>
  <c i="139" r="I14" s="1"/>
  <c i="139" r="D13"/>
  <c i="139" r="I13" s="1"/>
  <c i="139" r="D10"/>
  <c i="139" r="A7"/>
  <c i="139" r="D2"/>
  <c i="139" r="B2"/>
  <c i="110" r="BC20"/>
  <c i="110" r="BB18"/>
  <c i="143" r="D7"/>
  <c i="142" r="D7"/>
  <c i="141" r="D7"/>
  <c i="87" r="D7"/>
  <c i="85" r="D7"/>
  <c i="89" r="D7"/>
  <c i="50" r="D7"/>
  <c i="145" l="1" r="D1"/>
  <c i="143" l="1" r="D5"/>
  <c i="142" r="D5"/>
  <c i="141" r="D5"/>
  <c i="87" r="D5"/>
  <c i="85" r="D5"/>
  <c i="89" r="D5"/>
  <c i="50" r="D5"/>
  <c i="110" l="1" r="D13"/>
  <c i="110" r="BB13" s="1"/>
  <c i="110" r="D14"/>
  <c i="110" r="BB14" s="1"/>
  <c i="110" r="D15"/>
  <c i="110" r="BB15" s="1"/>
  <c i="110" r="D16"/>
  <c i="110" r="BB16" s="1"/>
  <c i="110" r="D17"/>
  <c i="110" r="BB17" s="1"/>
  <c i="169" l="1" r="I198"/>
  <c i="169" r="I197"/>
  <c i="169" r="I184"/>
  <c i="169" r="I182"/>
  <c i="169" r="E182"/>
  <c i="169" r="E181"/>
  <c i="169" r="I180"/>
  <c i="169" r="E180"/>
  <c i="169" r="E179"/>
  <c i="169" r="I178"/>
  <c i="169" r="E178"/>
  <c i="169" r="E177"/>
  <c i="169" r="I176"/>
  <c i="169" r="E176"/>
  <c i="169" r="E175"/>
  <c i="169" r="I174"/>
  <c i="169" r="E174"/>
  <c i="169" r="E173"/>
  <c i="169" r="I172"/>
  <c i="169" r="E172"/>
  <c i="169" r="E171"/>
  <c i="169" r="I170"/>
  <c i="169" r="E170"/>
  <c i="169" r="E169"/>
  <c i="169" r="I168"/>
  <c i="169" r="E168"/>
  <c i="169" r="E167"/>
  <c i="169" r="I166"/>
  <c i="169" r="E166"/>
  <c i="169" r="E165"/>
  <c i="169" r="I164"/>
  <c i="169" r="E164"/>
  <c i="169" r="E163"/>
  <c i="169" r="I162"/>
  <c i="169" r="E162"/>
  <c i="169" r="E161"/>
  <c i="169" r="I160"/>
  <c i="169" r="E160"/>
  <c i="169" r="E159"/>
  <c i="169" r="I157"/>
  <c i="169" r="E156"/>
  <c i="169" r="I155"/>
  <c i="169" r="E155"/>
  <c i="169" r="E154"/>
  <c i="169" r="I153"/>
  <c i="169" r="E153"/>
  <c i="169" r="E152"/>
  <c i="169" r="I151"/>
  <c i="169" r="E151"/>
  <c i="169" r="E150"/>
  <c i="169" r="I149"/>
  <c i="169" r="E149"/>
  <c i="169" r="E148"/>
  <c i="169" r="I147"/>
  <c i="169" r="E147"/>
  <c i="169" r="E146"/>
  <c i="169" r="I145"/>
  <c i="169" r="E145"/>
  <c i="169" r="E144"/>
  <c i="169" r="I143"/>
  <c i="169" r="E143"/>
  <c i="169" r="E142"/>
  <c i="169" r="I141"/>
  <c i="169" r="E141"/>
  <c i="169" r="E140"/>
  <c i="169" r="I139"/>
  <c i="169" r="E139"/>
  <c i="169" r="E138"/>
  <c i="169" r="I137"/>
  <c i="169" r="E137"/>
  <c i="169" r="E136"/>
  <c i="169" r="I135"/>
  <c i="169" r="E135"/>
  <c i="169" r="E134"/>
  <c i="169" r="I133"/>
  <c i="169" r="E133"/>
  <c i="169" r="E132"/>
  <c i="169" r="I131"/>
  <c i="169" r="E131"/>
  <c i="169" r="I122"/>
  <c i="169" r="E122"/>
  <c i="169" r="I121"/>
  <c i="169" r="E121"/>
  <c i="169" r="I120"/>
  <c i="169" r="E120"/>
  <c i="169" r="I119"/>
  <c i="169" r="E119"/>
  <c i="169" r="I111"/>
  <c i="169" r="E111"/>
  <c i="169" r="I110"/>
  <c i="169" r="E110"/>
  <c i="169" r="I106"/>
  <c i="169" r="I105"/>
  <c i="169" r="I104"/>
  <c i="169" r="E78"/>
  <c i="169" r="E77"/>
  <c i="169" r="I55"/>
  <c i="169" r="I54"/>
  <c i="169" r="I42"/>
  <c i="169" r="I41"/>
  <c i="169" r="I18"/>
  <c i="169" r="I17"/>
  <c i="169" r="J112"/>
  <c i="169" l="1" r="J172"/>
  <c i="169" r="J160"/>
  <c i="169" r="J176"/>
  <c i="169" r="J120"/>
  <c i="169" r="J164"/>
  <c i="169" r="J180"/>
  <c i="169" r="J166"/>
  <c i="169" r="J174"/>
  <c i="169" r="J182"/>
  <c i="169" r="J168"/>
  <c i="169" r="J110"/>
  <c i="169" r="J121"/>
  <c i="169" r="J141"/>
  <c i="169" r="J162"/>
  <c i="169" r="J170"/>
  <c i="169" r="J178"/>
  <c i="169" r="J122"/>
  <c i="169" r="J137"/>
  <c i="169" r="J145"/>
  <c i="169" r="J153"/>
  <c i="169" r="J133"/>
  <c i="169" r="J149"/>
  <c i="169" r="J111"/>
  <c i="169" r="J119"/>
  <c i="169" r="J135"/>
  <c i="169" r="J143"/>
  <c i="169" r="J151"/>
  <c i="169" r="J131"/>
  <c i="169" r="J139"/>
  <c i="169" r="J147"/>
  <c i="169" r="J155"/>
  <c i="110" l="1" r="A23"/>
  <c i="110" r="A22"/>
  <c i="110" r="A21"/>
  <c i="110" l="1" r="A7"/>
  <c i="166" l="1" r="R1"/>
  <c i="148" l="1" r="B16"/>
  <c i="148" r="A16"/>
  <c i="148" r="B12"/>
  <c i="148" r="A12"/>
  <c i="148" r="B8"/>
  <c i="148" r="A8"/>
  <c i="148" r="B195"/>
  <c i="148" r="B194"/>
  <c i="148" r="B191"/>
  <c i="148" r="B190"/>
  <c i="148" r="B188"/>
  <c i="148" r="B187"/>
  <c i="182" l="1" r="E19"/>
  <c i="145" r="D16"/>
  <c i="145" r="B14"/>
  <c i="145" r="A6"/>
  <c i="145" r="A5"/>
  <c i="144" r="B101"/>
  <c i="144" r="B100"/>
  <c i="144" r="B97"/>
  <c i="144" r="B96"/>
  <c i="144" r="B94"/>
  <c i="144" r="B93"/>
  <c i="144" r="B83"/>
  <c i="144" r="A83"/>
  <c i="144" r="B76"/>
  <c i="144" r="A76"/>
  <c i="144" r="B69"/>
  <c i="144" r="A69"/>
  <c i="144" r="B62"/>
  <c i="144" r="A62"/>
  <c i="144" r="B56"/>
  <c i="144" r="A56"/>
  <c i="144" r="B50"/>
  <c i="144" r="A50"/>
  <c i="144" r="B44"/>
  <c i="144" r="A44"/>
  <c i="144" r="C38"/>
  <c i="144" r="C69" s="1"/>
  <c i="144" r="A38"/>
  <c i="144" l="1" r="C56"/>
  <c i="144" r="C50"/>
  <c i="144" r="C76"/>
  <c i="144" r="C44"/>
  <c i="144" l="1" r="C83"/>
  <c i="144" r="C62"/>
  <c i="110" l="1" r="D10"/>
  <c i="126" l="1" r="D8"/>
  <c i="77" l="1" r="C63"/>
  <c i="77" r="B62"/>
  <c i="77" r="C60"/>
  <c i="77" r="B59"/>
  <c i="35" l="1" r="B287"/>
  <c i="35" r="B288"/>
  <c i="35" r="B277"/>
  <c i="35" r="B278"/>
  <c i="35" r="B279"/>
  <c i="35" r="B280"/>
  <c i="35" r="B281"/>
  <c i="35" r="B282"/>
  <c i="35" r="B283"/>
  <c i="35" r="B284"/>
  <c i="35" r="B269"/>
  <c i="35" r="B270"/>
  <c i="35" r="B271"/>
  <c i="35" r="B272"/>
  <c i="35" r="B273"/>
  <c i="35" r="B274"/>
  <c i="35" r="B275"/>
  <c i="35" r="B276"/>
  <c i="35" r="B6"/>
  <c i="35" r="B7"/>
  <c i="35" r="B8"/>
  <c i="35" r="B9"/>
  <c i="35" r="B10"/>
  <c i="35" r="B11"/>
  <c i="35" r="B12"/>
  <c i="35" r="B13"/>
  <c i="35" r="B14"/>
  <c i="35" r="B15"/>
  <c i="35" r="B16"/>
  <c i="35" r="B17"/>
  <c i="35" r="B18"/>
  <c i="35" r="B19"/>
  <c i="35" r="B20"/>
  <c i="35" r="B21"/>
  <c i="35" r="B22"/>
  <c i="35" r="B23"/>
  <c i="35" r="B24"/>
  <c i="35" r="B25"/>
  <c i="35" r="B26"/>
  <c i="35" r="B27"/>
  <c i="35" r="B28"/>
  <c i="35" r="B29"/>
  <c i="35" r="B30"/>
  <c i="35" r="B31"/>
  <c i="35" r="B32"/>
  <c i="35" r="B33"/>
  <c i="35" r="B34"/>
  <c i="35" r="B35"/>
  <c i="35" r="B36"/>
  <c i="35" r="B37"/>
  <c i="35" r="B38"/>
  <c i="35" r="B39"/>
  <c i="35" r="B40"/>
  <c i="35" r="B41"/>
  <c i="35" r="B42"/>
  <c i="35" r="B43"/>
  <c i="35" r="B44"/>
  <c i="35" r="B45"/>
  <c i="35" r="B46"/>
  <c i="35" r="B47"/>
  <c i="35" r="B48"/>
  <c i="35" r="B49"/>
  <c i="35" r="B50"/>
  <c i="35" r="B51"/>
  <c i="35" r="B52"/>
  <c i="35" r="B53"/>
  <c i="35" r="B54"/>
  <c i="35" r="B55"/>
  <c i="35" r="B56"/>
  <c i="35" r="B57"/>
  <c i="35" r="B58"/>
  <c i="35" r="B59"/>
  <c i="35" r="B60"/>
  <c i="35" r="B61"/>
  <c i="35" r="B62"/>
  <c i="35" r="B63"/>
  <c i="35" r="B64"/>
  <c i="35" r="B65"/>
  <c i="35" r="B66"/>
  <c i="35" r="B67"/>
  <c i="35" r="B68"/>
  <c i="35" r="B69"/>
  <c i="35" r="B70"/>
  <c i="35" r="B71"/>
  <c i="35" r="B72"/>
  <c i="35" r="B73"/>
  <c i="35" r="B74"/>
  <c i="35" r="B75"/>
  <c i="35" r="B76"/>
  <c i="35" r="B77"/>
  <c i="35" r="B78"/>
  <c i="35" r="B79"/>
  <c i="35" r="B80"/>
  <c i="35" r="B81"/>
  <c i="35" r="B82"/>
  <c i="35" r="B83"/>
  <c i="35" r="B84"/>
  <c i="35" r="B85"/>
  <c i="35" r="B86"/>
  <c i="35" r="B87"/>
  <c i="35" r="B88"/>
  <c i="35" r="B89"/>
  <c i="35" r="B90"/>
  <c i="35" r="B91"/>
  <c i="35" r="B92"/>
  <c i="35" r="B93"/>
  <c i="35" r="B94"/>
  <c i="35" r="B95"/>
  <c i="35" r="B97"/>
  <c i="35" r="B98"/>
  <c i="35" r="B99"/>
  <c i="35" r="B100"/>
  <c i="35" r="B101"/>
  <c i="35" r="B102"/>
  <c i="35" r="B103"/>
  <c i="35" r="B104"/>
  <c i="35" r="B105"/>
  <c i="35" r="B106"/>
  <c i="35" r="B107"/>
  <c i="35" r="B108"/>
  <c i="35" r="B109"/>
  <c i="35" r="B110"/>
  <c i="35" r="B111"/>
  <c i="35" r="B112"/>
  <c i="35" r="B113"/>
  <c i="35" r="B114"/>
  <c i="35" r="B115"/>
  <c i="35" r="B116"/>
  <c i="35" r="B117"/>
  <c i="35" r="B118"/>
  <c i="35" r="B119"/>
  <c i="35" r="B120"/>
  <c i="35" r="B121"/>
  <c i="35" r="B122"/>
  <c i="35" r="B123"/>
  <c i="35" r="B124"/>
  <c i="35" r="B125"/>
  <c i="35" r="B126"/>
  <c i="35" r="B127"/>
  <c i="35" r="B128"/>
  <c i="35" r="B129"/>
  <c i="35" r="B130"/>
  <c i="35" r="B131"/>
  <c i="35" r="B132"/>
  <c i="35" r="B133"/>
  <c i="35" r="B134"/>
  <c i="35" r="B135"/>
  <c i="35" r="B136"/>
  <c i="35" r="B137"/>
  <c i="35" r="B138"/>
  <c i="35" r="B139"/>
  <c i="35" r="B140"/>
  <c i="35" r="B141"/>
  <c i="35" r="B142"/>
  <c i="35" r="B143"/>
  <c i="35" r="B144"/>
  <c i="35" r="B145"/>
  <c i="35" r="B146"/>
  <c i="35" r="B147"/>
  <c i="35" r="B148"/>
  <c i="35" r="B149"/>
  <c i="35" r="B150"/>
  <c i="35" r="B151"/>
  <c i="35" r="B152"/>
  <c i="35" r="B153"/>
  <c i="35" r="B154"/>
  <c i="35" r="B155"/>
  <c i="35" r="B156"/>
  <c i="35" r="B157"/>
  <c i="35" r="B158"/>
  <c i="35" r="B159"/>
  <c i="35" r="B160"/>
  <c i="35" r="B161"/>
  <c i="35" r="B162"/>
  <c i="35" r="B163"/>
  <c i="35" r="B164"/>
  <c i="35" r="B165"/>
  <c i="35" r="B166"/>
  <c i="35" r="B167"/>
  <c i="35" r="B168"/>
  <c i="35" r="B169"/>
  <c i="35" r="B170"/>
  <c i="35" r="B171"/>
  <c i="35" r="B172"/>
  <c i="35" r="B173"/>
  <c i="35" r="B174"/>
  <c i="35" r="B175"/>
  <c i="35" r="B176"/>
  <c i="35" r="B177"/>
  <c i="35" r="B178"/>
  <c i="35" r="B179"/>
  <c i="35" r="B180"/>
  <c i="35" r="B181"/>
  <c i="35" r="B182"/>
  <c i="35" r="B183"/>
  <c i="35" r="B184"/>
  <c i="35" r="B185"/>
  <c i="35" r="B186"/>
  <c i="35" r="B187"/>
  <c i="35" r="B188"/>
  <c i="35" r="B189"/>
  <c i="35" r="B190"/>
  <c i="35" r="B191"/>
  <c i="35" r="B192"/>
  <c i="35" r="B193"/>
  <c i="35" r="B194"/>
  <c i="35" r="B195"/>
  <c i="35" r="B196"/>
  <c i="35" r="B197"/>
  <c i="35" r="B198"/>
  <c i="35" r="B199"/>
  <c i="35" r="B200"/>
  <c i="35" r="B201"/>
  <c i="35" r="B202"/>
  <c i="35" r="B203"/>
  <c i="35" r="B204"/>
  <c i="35" r="B205"/>
  <c i="35" r="B206"/>
  <c i="35" r="B207"/>
  <c i="35" r="B208"/>
  <c i="35" r="B209"/>
  <c i="35" r="B210"/>
  <c i="35" r="B211"/>
  <c i="35" r="B212"/>
  <c i="35" r="B213"/>
  <c i="35" r="B214"/>
  <c i="35" r="B215"/>
  <c i="35" r="B216"/>
  <c i="35" r="B217"/>
  <c i="35" r="B218"/>
  <c i="35" r="B219"/>
  <c i="35" r="B220"/>
  <c i="35" r="B221"/>
  <c i="35" r="B222"/>
  <c i="35" r="B223"/>
  <c i="35" r="B224"/>
  <c i="35" r="B225"/>
  <c i="35" r="B226"/>
  <c i="35" r="B227"/>
  <c i="35" r="B228"/>
  <c i="35" r="B229"/>
  <c i="35" r="B230"/>
  <c i="35" r="B231"/>
  <c i="35" r="B232"/>
  <c i="35" r="B233"/>
  <c i="35" r="B234"/>
  <c i="35" r="B235"/>
  <c i="35" r="B236"/>
  <c i="35" r="B237"/>
  <c i="35" r="B238"/>
  <c i="35" r="B239"/>
  <c i="35" r="B240"/>
  <c i="35" r="B241"/>
  <c i="35" r="B242"/>
  <c i="35" r="B243"/>
  <c i="35" r="B244"/>
  <c i="35" r="B245"/>
  <c i="35" r="B246"/>
  <c i="35" r="B247"/>
  <c i="35" r="B248"/>
  <c i="35" r="B249"/>
  <c i="35" r="B250"/>
  <c i="35" r="B251"/>
  <c i="35" r="B252"/>
  <c i="35" r="B253"/>
  <c i="35" r="B254"/>
  <c i="35" r="B255"/>
  <c i="35" r="B256"/>
  <c i="35" r="B257"/>
  <c i="35" r="B258"/>
  <c i="35" r="B259"/>
  <c i="35" r="B260"/>
  <c i="35" r="B261"/>
  <c i="35" r="B262"/>
  <c i="35" r="B263"/>
  <c i="35" r="B264"/>
  <c i="35" r="B265"/>
  <c i="35" r="B266"/>
  <c i="35" r="B267"/>
  <c i="35" r="B268"/>
  <c i="35" r="B2"/>
  <c i="35" r="B3"/>
  <c i="35" r="B4"/>
  <c i="35" r="B5"/>
  <c i="35" r="B1"/>
  <c i="57" r="D12"/>
  <c i="57" r="E12"/>
  <c i="57" r="D13"/>
  <c i="57" r="E13"/>
  <c i="57" r="D14"/>
  <c i="57" r="E14"/>
  <c i="57" r="D15"/>
  <c i="57" r="E15"/>
  <c i="57" r="D17"/>
  <c i="57" r="E17"/>
  <c i="57" r="D18"/>
  <c i="57" r="E18"/>
  <c i="57" r="D20"/>
  <c i="57" r="E20"/>
  <c i="57" r="D21"/>
  <c i="57" r="E21"/>
  <c i="57" r="D22"/>
  <c i="57" r="E22"/>
  <c i="57" r="D24"/>
  <c i="57" r="E24"/>
  <c i="57" r="D25"/>
  <c i="57" r="E25"/>
  <c i="57" r="D26"/>
  <c i="57" r="E26"/>
  <c i="57" r="D27"/>
  <c i="57" r="E27"/>
  <c i="57" r="D29"/>
  <c i="57" r="E29"/>
  <c i="57" r="D30"/>
  <c i="57" r="E30"/>
  <c i="57" r="E9"/>
  <c i="57" r="C12"/>
  <c i="57" r="C13"/>
  <c i="57" r="C14"/>
  <c i="57" r="F14" s="1"/>
  <c i="57" r="C15"/>
  <c i="57" r="C17"/>
  <c i="57" r="C18"/>
  <c i="57" r="C20"/>
  <c i="57" r="C21"/>
  <c i="57" r="C22"/>
  <c i="57" r="C24"/>
  <c i="57" r="C25"/>
  <c i="57" r="C26"/>
  <c i="57" r="C27"/>
  <c i="57" r="C29"/>
  <c i="57" r="C30"/>
  <c i="57" r="F30" s="1"/>
  <c i="57" r="C9"/>
  <c i="57" r="F9" s="1"/>
  <c i="57" r="D9"/>
  <c i="56" r="B33"/>
  <c i="56" r="A29"/>
  <c i="56" r="B29"/>
  <c i="56" r="A30"/>
  <c i="56" r="B30"/>
  <c i="56" r="A21"/>
  <c i="56" r="B21"/>
  <c i="56" r="A22"/>
  <c i="56" r="B22"/>
  <c i="56" r="A23"/>
  <c i="56" r="B23"/>
  <c i="56" r="A24"/>
  <c i="56" r="B24"/>
  <c i="56" r="A25"/>
  <c i="56" r="B25"/>
  <c i="56" r="A26"/>
  <c i="56" r="B26"/>
  <c i="56" r="A27"/>
  <c i="56" r="B27"/>
  <c i="56" r="A28"/>
  <c i="56" r="B28"/>
  <c i="56" r="A9"/>
  <c i="56" r="B9"/>
  <c i="56" r="A10"/>
  <c i="56" r="B10"/>
  <c i="56" r="A11"/>
  <c i="56" r="B11"/>
  <c i="56" r="A12"/>
  <c i="56" r="B12"/>
  <c i="56" r="A13"/>
  <c i="56" r="B13"/>
  <c i="56" r="A14"/>
  <c i="56" r="B14"/>
  <c i="56" r="A15"/>
  <c i="56" r="B15"/>
  <c i="56" r="A16"/>
  <c i="56" r="B16"/>
  <c i="56" r="A17"/>
  <c i="56" r="B17"/>
  <c i="56" r="A18"/>
  <c i="56" r="B18"/>
  <c i="56" r="A19"/>
  <c i="56" r="B19"/>
  <c i="56" r="A20"/>
  <c i="56" r="B20"/>
  <c i="55" r="B30"/>
  <c i="55" r="A30"/>
  <c i="55" r="B29"/>
  <c i="55" r="A29"/>
  <c i="55" r="B28"/>
  <c i="55" r="A28"/>
  <c i="55" r="B27"/>
  <c i="55" r="A27"/>
  <c i="55" r="B26"/>
  <c i="55" r="A26"/>
  <c i="55" r="B25"/>
  <c i="55" r="A25"/>
  <c i="55" r="B24"/>
  <c i="55" r="A24"/>
  <c i="55" r="B23"/>
  <c i="55" r="A23"/>
  <c i="55" r="B22"/>
  <c i="55" r="A22"/>
  <c i="55" r="B21"/>
  <c i="55" r="A21"/>
  <c i="55" r="B20"/>
  <c i="55" r="A20"/>
  <c i="55" r="B19"/>
  <c i="55" r="A19"/>
  <c i="55" r="B18"/>
  <c i="55" r="A18"/>
  <c i="55" r="B17"/>
  <c i="55" r="A17"/>
  <c i="55" r="B16"/>
  <c i="55" r="A16"/>
  <c i="55" r="B15"/>
  <c i="55" r="A15"/>
  <c i="55" r="B14"/>
  <c i="55" r="A14"/>
  <c i="55" r="B13"/>
  <c i="55" r="A13"/>
  <c i="55" r="B12"/>
  <c i="55" r="A12"/>
  <c i="55" r="B11"/>
  <c i="55" r="A11"/>
  <c i="55" r="B10"/>
  <c i="55" r="A10"/>
  <c i="55" r="B9"/>
  <c i="55" r="A9"/>
  <c i="60" r="J33"/>
  <c i="60" r="J34"/>
  <c i="60" r="J35"/>
  <c i="60" r="J36"/>
  <c i="60" r="D23"/>
  <c i="60" r="D22"/>
  <c i="59" r="J49"/>
  <c i="59" r="J50"/>
  <c i="59" r="J51"/>
  <c i="59" r="D39"/>
  <c i="59" r="D10"/>
  <c i="59" r="D11"/>
  <c i="59" r="D14"/>
  <c i="59" r="D15"/>
  <c i="59" r="D18"/>
  <c i="59" r="D19"/>
  <c i="59" r="D22"/>
  <c i="59" r="D23"/>
  <c i="59" r="D26"/>
  <c i="59" r="D27"/>
  <c i="59" r="D30"/>
  <c i="59" r="D31"/>
  <c i="59" r="D38"/>
  <c i="59" r="D40"/>
  <c i="59" r="D36"/>
  <c i="59" r="D32"/>
  <c i="59" r="D28"/>
  <c i="59" r="D24"/>
  <c i="59" r="D20"/>
  <c i="59" r="D16"/>
  <c i="59" r="D13"/>
  <c i="59" r="D12"/>
  <c i="59" r="J40"/>
  <c i="59" r="J36"/>
  <c i="59" r="J44"/>
  <c i="59" r="D33"/>
  <c i="59" r="D37"/>
  <c i="59" r="D17"/>
  <c i="59" r="D21"/>
  <c i="59" r="D25"/>
  <c i="59" r="D29"/>
  <c i="59" r="D9"/>
  <c i="57" l="1" r="G30"/>
  <c i="57" r="G25"/>
  <c i="57" r="G22"/>
  <c i="57" r="G20"/>
  <c i="57" r="G17"/>
  <c i="57" r="G14"/>
  <c i="57" r="G12"/>
  <c i="57" r="F26"/>
  <c i="57" r="F22"/>
  <c i="57" r="F12"/>
  <c i="57" r="G26"/>
  <c i="57" r="G21"/>
  <c i="57" r="F15"/>
  <c i="57" r="F24"/>
  <c i="57" r="F18"/>
  <c i="57" r="G29"/>
  <c i="57" r="G24"/>
  <c i="57" r="G18"/>
  <c i="57" r="G13"/>
  <c i="57" r="F27"/>
  <c i="57" r="F20"/>
  <c i="57" r="F29"/>
  <c i="57" r="F25"/>
  <c i="57" r="F21"/>
  <c i="57" r="F17"/>
  <c i="57" r="F13"/>
  <c i="57" r="G9"/>
  <c i="57" r="G27"/>
  <c i="57" r="G15"/>
  <c i="53" r="D9"/>
  <c i="53" r="D12"/>
  <c i="53" r="D13"/>
  <c i="53" r="D16"/>
  <c i="53" r="D17"/>
  <c i="53" r="D20"/>
  <c i="53" r="D21"/>
  <c i="53" r="D24"/>
  <c i="53" r="D45"/>
  <c i="53" r="D48"/>
  <c i="53" r="D49"/>
  <c i="53" r="D52"/>
  <c i="53" r="D53"/>
  <c i="53" r="D56"/>
  <c i="51" r="D60"/>
  <c i="51" r="D56"/>
  <c i="51" r="D52"/>
  <c i="51" r="D48"/>
  <c i="51" r="D44"/>
  <c i="51" r="D40"/>
  <c i="51" r="D36"/>
  <c i="51" r="D32"/>
  <c i="51" r="D28"/>
  <c i="51" r="D24"/>
  <c i="51" r="D20"/>
  <c i="51" r="D16"/>
  <c i="51" r="D12"/>
  <c i="51" r="J65"/>
  <c i="51" r="J66"/>
  <c i="51" r="J67"/>
  <c i="51" r="J68"/>
  <c i="51" r="D21"/>
  <c i="51" r="D13"/>
  <c i="51" r="D17"/>
  <c i="51" r="D25"/>
  <c i="51" r="D29"/>
  <c i="51" r="D33"/>
  <c i="51" r="D37"/>
  <c i="51" r="D41"/>
  <c i="51" r="D45"/>
  <c i="51" r="D49"/>
  <c i="51" r="D53"/>
  <c i="51" r="D57"/>
  <c i="51" r="D9"/>
  <c i="60" r="G45"/>
  <c i="60" r="D45"/>
  <c i="60" r="G42"/>
  <c i="60" r="D42"/>
  <c i="60" r="G39"/>
  <c i="60" r="D39"/>
  <c i="59" r="F63"/>
  <c i="59" r="D62"/>
  <c i="59" r="F60"/>
  <c i="59" r="D59"/>
  <c i="59" r="F57"/>
  <c i="59" r="D56"/>
  <c i="57" r="E41"/>
  <c i="57" r="C41"/>
  <c i="57" r="E38"/>
  <c i="57" r="C38"/>
  <c i="57" r="E35"/>
  <c i="57" r="C35"/>
  <c i="56" r="D39"/>
  <c i="56" r="B39"/>
  <c i="56" r="D36"/>
  <c i="56" r="B36"/>
  <c i="56" r="D33"/>
  <c i="55" r="E39"/>
  <c i="55" r="C39"/>
  <c i="55" r="E36"/>
  <c i="55" r="C36"/>
  <c i="55" r="E33"/>
  <c i="55" r="C33"/>
  <c i="53" r="F73"/>
  <c i="53" r="D73"/>
  <c i="53" r="F70"/>
  <c i="53" r="D70"/>
  <c i="53" r="F67"/>
  <c i="53" r="D67"/>
  <c i="60" r="C5"/>
  <c i="59" r="C5"/>
  <c i="57" r="B5"/>
  <c i="56" r="B5"/>
  <c i="55" r="B5"/>
  <c i="53" r="C5"/>
  <c i="51" l="1" r="J69"/>
  <c i="65" r="A6"/>
  <c i="64" r="A5"/>
  <c i="131" r="B7"/>
  <c i="130" r="B5"/>
  <c i="77" r="B4"/>
  <c i="129" r="B5"/>
  <c i="126" r="B5"/>
  <c i="124" r="A5"/>
  <c i="123" r="A5"/>
  <c i="122" r="A5"/>
  <c i="121" r="A5"/>
  <c i="120" r="A5"/>
  <c i="119" r="A5"/>
  <c i="118" r="A5"/>
  <c i="117" r="A5"/>
  <c i="114" r="B5"/>
  <c i="115" r="B4"/>
  <c i="116" r="B4"/>
  <c i="69" r="B6"/>
  <c i="67" r="A5"/>
  <c i="94" r="B6"/>
  <c i="95" r="B5"/>
  <c i="103" r="B4"/>
  <c i="101" r="B5"/>
  <c i="78" r="B4"/>
  <c i="99" r="B5"/>
  <c i="98" r="B5"/>
  <c i="103" r="B29"/>
  <c i="103" r="B26"/>
  <c i="103" r="B24"/>
  <c i="103" r="B23"/>
  <c i="103" r="B20"/>
  <c i="103" r="B19"/>
  <c i="103" r="D16"/>
  <c i="103" r="C16"/>
  <c i="78" r="B23"/>
  <c i="78" r="B22"/>
  <c i="78" r="B19"/>
  <c i="78" r="B18"/>
  <c i="101" r="B22"/>
  <c i="101" r="B21"/>
  <c i="101" r="B18"/>
  <c i="101" r="B17"/>
  <c i="101" r="B14"/>
  <c i="101" r="B13"/>
  <c i="67" r="A38"/>
  <c i="67" r="A35"/>
  <c i="67" r="B33"/>
  <c i="67" r="B32"/>
  <c i="67" r="B29"/>
  <c i="67" r="B28"/>
  <c i="67" r="B25"/>
  <c i="67" r="B24"/>
  <c i="69" r="A112"/>
  <c i="69" r="A109"/>
  <c i="69" r="B108"/>
  <c i="69" r="B107"/>
  <c i="69" r="B104"/>
  <c i="69" r="B103"/>
  <c i="69" r="B100"/>
  <c i="69" r="B99"/>
  <c i="54" r="C23"/>
  <c i="54" r="A23"/>
  <c i="54" r="C20"/>
  <c i="54" r="A20"/>
  <c i="54" r="E18"/>
  <c i="54" r="C18"/>
  <c i="54" r="E17"/>
  <c i="54" r="C17"/>
  <c i="54" r="C11"/>
  <c i="54" r="B5"/>
  <c i="52" r="C11"/>
  <c i="52" r="C18"/>
  <c i="52" r="C17"/>
  <c i="52" r="A23"/>
  <c i="52" r="A20"/>
  <c i="52" r="C23"/>
  <c i="52" r="C20"/>
  <c i="52" r="E18"/>
  <c i="52" r="E17"/>
  <c i="52" r="B5"/>
  <c i="51" r="E79"/>
  <c i="51" r="C78"/>
  <c i="51" r="E76"/>
  <c i="51" r="C75"/>
  <c i="51" r="E73"/>
  <c i="51" r="C72"/>
  <c i="48" r="E22"/>
  <c i="49" r="H35"/>
  <c i="49" r="F35"/>
  <c i="49" r="D35"/>
  <c i="49" r="B35"/>
  <c i="49" r="C5"/>
  <c i="48" r="E25"/>
  <c i="48" r="B24"/>
  <c i="48" r="E19"/>
  <c i="48" r="C19"/>
  <c i="75" r="B26"/>
  <c i="75" r="A25"/>
  <c i="75" r="B23"/>
  <c i="75" r="A22"/>
  <c i="75" r="B20"/>
  <c i="75" r="A19"/>
  <c i="74" r="B27"/>
  <c i="74" r="A26"/>
  <c i="74" r="B24"/>
  <c i="74" r="A23"/>
  <c i="74" r="B21"/>
  <c i="74" r="A20"/>
  <c i="65" r="B36"/>
  <c i="65" r="A35"/>
  <c i="65" r="B33"/>
  <c i="65" r="A32"/>
  <c i="65" r="B30"/>
  <c i="65" r="A29"/>
  <c i="64" r="B28"/>
  <c i="64" r="A27"/>
  <c i="64" r="B25"/>
  <c i="64" r="A24"/>
  <c i="64" r="B22"/>
  <c i="64" r="A21"/>
  <c i="75" r="A4"/>
  <c i="74" r="A5"/>
  <c i="65" r="B26"/>
  <c i="65" r="B11"/>
  <c i="64" l="1" r="B16"/>
  <c i="131" r="D19"/>
  <c i="131" r="B19"/>
  <c i="64" r="B17"/>
  <c i="131" r="D16"/>
  <c i="131" r="B16"/>
  <c i="131" r="D13"/>
  <c i="131" r="B13"/>
  <c i="131" r="E2"/>
  <c i="131" r="C2"/>
  <c i="63" r="B4"/>
  <c i="109" r="D29"/>
  <c i="109" r="B29"/>
  <c i="109" r="D26"/>
  <c i="109" r="B26"/>
  <c i="109" r="D23"/>
  <c i="109" r="B23"/>
  <c i="129" l="1" r="C39"/>
  <c i="129" r="B39"/>
  <c i="129" r="C36"/>
  <c i="129" r="B36"/>
  <c i="63" r="B32"/>
  <c i="126" r="B27"/>
  <c i="126" r="B26"/>
  <c i="126" r="B23"/>
  <c i="126" r="B22"/>
  <c i="126" r="B19"/>
  <c i="63" r="C32" s="1"/>
  <c i="126" r="B18"/>
  <c i="134" r="B22"/>
  <c i="134" r="A22"/>
  <c i="134" r="B19"/>
  <c i="134" r="A19"/>
  <c i="134" r="B16"/>
  <c i="134" r="A16"/>
  <c i="124" r="B26"/>
  <c i="124" r="A26"/>
  <c i="124" r="B23"/>
  <c i="124" r="A23"/>
  <c i="124" r="B19"/>
  <c i="124" r="A19"/>
  <c i="123" r="B27"/>
  <c i="123" r="A27"/>
  <c i="123" r="B25"/>
  <c i="123" r="A25"/>
  <c i="123" r="B23"/>
  <c i="123" r="A23"/>
  <c i="122" r="B28"/>
  <c i="122" r="A28"/>
  <c i="122" r="B26"/>
  <c i="122" r="A26"/>
  <c i="122" r="B24"/>
  <c i="122" r="A24"/>
  <c i="121" r="B26"/>
  <c i="121" r="A26"/>
  <c i="121" r="B24"/>
  <c i="121" r="A24"/>
  <c i="121" r="B22"/>
  <c i="121" r="A22"/>
  <c i="120" r="B29"/>
  <c i="120" r="A29"/>
  <c i="120" r="B27"/>
  <c i="120" r="A27"/>
  <c i="120" r="B25"/>
  <c i="120" r="A25"/>
  <c i="119" r="B30"/>
  <c i="119" r="A30"/>
  <c i="119" r="B27"/>
  <c i="119" r="A27"/>
  <c i="119" r="B25"/>
  <c i="119" r="A25"/>
  <c i="118" r="B27"/>
  <c i="118" r="A27"/>
  <c i="118" r="B23"/>
  <c i="118" r="A23"/>
  <c i="118" r="B19"/>
  <c i="118" r="A19"/>
  <c i="117" r="B26"/>
  <c i="117" r="A26"/>
  <c i="117" r="B23"/>
  <c i="117" r="A23"/>
  <c i="117" r="B20"/>
  <c i="117" r="A20"/>
  <c i="116" r="A31"/>
  <c i="116" r="B31"/>
  <c i="116" r="A27"/>
  <c i="116" r="B27"/>
  <c i="116" r="A28"/>
  <c i="116" r="B28"/>
  <c i="116" r="A29"/>
  <c i="116" r="B29"/>
  <c i="116" r="A30"/>
  <c i="116" r="B30"/>
  <c i="116" r="A19"/>
  <c i="116" r="B19"/>
  <c i="116" r="A20"/>
  <c i="116" r="B20"/>
  <c i="116" r="A21"/>
  <c i="116" r="B21"/>
  <c i="116" r="A22"/>
  <c i="116" r="B22"/>
  <c i="116" r="A23"/>
  <c i="116" r="B23"/>
  <c i="116" r="A24"/>
  <c i="116" r="B24"/>
  <c i="116" r="A25"/>
  <c i="116" r="B25"/>
  <c i="116" r="A26"/>
  <c i="116" r="B26"/>
  <c i="116" r="A10"/>
  <c i="116" r="B10"/>
  <c i="116" r="A11"/>
  <c i="116" r="B11"/>
  <c i="116" r="A12"/>
  <c i="116" r="B12"/>
  <c i="116" r="A13"/>
  <c i="116" r="B13"/>
  <c i="116" r="A14"/>
  <c i="116" r="B14"/>
  <c i="116" r="A15"/>
  <c i="116" r="B15"/>
  <c i="116" r="A16"/>
  <c i="116" r="B16"/>
  <c i="116" r="A17"/>
  <c i="116" r="B17"/>
  <c i="116" r="A18"/>
  <c i="116" r="B18"/>
  <c i="116" r="B9"/>
  <c i="116" l="1" r="K30"/>
  <c i="116" r="I22"/>
  <c i="116" r="K26"/>
  <c i="116" r="I13"/>
  <c i="116" r="K17"/>
  <c i="116" r="I29"/>
  <c i="116" r="K21"/>
  <c i="116" r="I25"/>
  <c i="116" r="K12"/>
  <c i="116" r="I20"/>
  <c i="116" r="K24"/>
  <c i="116" r="K15"/>
  <c i="116" r="I27"/>
  <c i="116" r="I14"/>
  <c i="116" r="K18"/>
  <c i="116" r="I30"/>
  <c i="116" r="K22"/>
  <c i="116" r="I26"/>
  <c i="116" r="K13"/>
  <c i="116" r="I17"/>
  <c i="116" r="K29"/>
  <c i="116" r="I21"/>
  <c i="116" r="K25"/>
  <c i="116" r="I12"/>
  <c i="116" r="K20"/>
  <c i="116" r="I24"/>
  <c i="116" r="I15"/>
  <c i="116" r="K27"/>
  <c i="116" r="K14"/>
  <c i="116" r="I18"/>
  <c i="116" l="1" r="A9"/>
  <c i="115" r="D107"/>
  <c i="115" r="B107"/>
  <c i="115" r="D104"/>
  <c i="115" r="B104"/>
  <c i="115" r="D101"/>
  <c i="115" r="B101"/>
  <c i="115" r="B98"/>
  <c i="115" r="A98"/>
  <c i="115" r="B97"/>
  <c i="115" r="A97"/>
  <c i="115" r="B96"/>
  <c i="115" r="A96"/>
  <c i="115" r="B95"/>
  <c i="115" r="A95"/>
  <c i="115" r="B94"/>
  <c i="115" r="A94"/>
  <c i="115" r="B93"/>
  <c i="115" r="A93"/>
  <c i="115" r="B92"/>
  <c i="115" r="A92"/>
  <c i="115" r="B91"/>
  <c i="115" r="A91"/>
  <c i="115" r="B90"/>
  <c i="115" r="A90"/>
  <c i="115" r="B89"/>
  <c i="115" r="A89"/>
  <c i="115" r="B88"/>
  <c i="115" r="A88"/>
  <c i="115" r="B87"/>
  <c i="115" r="A87"/>
  <c i="115" r="B86"/>
  <c i="115" r="A86"/>
  <c i="115" r="B85"/>
  <c i="115" r="A85"/>
  <c i="115" r="B84"/>
  <c i="115" r="A84"/>
  <c i="115" r="B83"/>
  <c i="115" r="A83"/>
  <c i="115" r="B82"/>
  <c i="115" r="A82"/>
  <c i="115" r="B81"/>
  <c i="115" r="A81"/>
  <c i="115" r="B80"/>
  <c i="115" r="A80"/>
  <c i="115" r="B79"/>
  <c i="115" r="A79"/>
  <c i="115" r="B78"/>
  <c i="115" r="A78"/>
  <c i="115" r="B77"/>
  <c i="115" r="A77"/>
  <c i="115" r="B76"/>
  <c i="115" r="A76"/>
  <c i="115" r="B75"/>
  <c i="115" r="A75"/>
  <c i="115" r="B74"/>
  <c i="115" r="A74"/>
  <c i="115" r="B73"/>
  <c i="115" r="A73"/>
  <c i="115" r="B72"/>
  <c i="115" r="A72"/>
  <c i="115" r="B71"/>
  <c i="115" r="A71"/>
  <c i="115" r="B70"/>
  <c i="115" r="A70"/>
  <c i="115" r="B69"/>
  <c i="115" r="A69"/>
  <c i="115" r="B68"/>
  <c i="115" r="A68"/>
  <c i="115" r="B67"/>
  <c i="115" r="A67"/>
  <c i="115" r="B66"/>
  <c i="115" r="A66"/>
  <c i="115" r="B65"/>
  <c i="115" r="A65"/>
  <c i="115" r="B64"/>
  <c i="115" r="A64"/>
  <c i="115" r="B63"/>
  <c i="115" r="A63"/>
  <c i="115" r="B62"/>
  <c i="115" r="A62"/>
  <c i="115" r="B61"/>
  <c i="115" r="A61"/>
  <c i="115" r="B60"/>
  <c i="115" r="A60"/>
  <c i="115" r="B59"/>
  <c i="115" r="A59"/>
  <c i="115" r="B58"/>
  <c i="115" r="A58"/>
  <c i="115" r="B57"/>
  <c i="115" r="A57"/>
  <c i="115" r="B56"/>
  <c i="115" r="A56"/>
  <c i="115" r="B55"/>
  <c i="115" r="A55"/>
  <c i="115" r="B54"/>
  <c i="115" r="A54"/>
  <c i="115" r="B53"/>
  <c i="115" r="A53"/>
  <c i="115" r="B52"/>
  <c i="115" r="A52"/>
  <c i="115" r="B51"/>
  <c i="115" r="A51"/>
  <c i="115" r="B50"/>
  <c i="115" r="A50"/>
  <c i="115" r="B49"/>
  <c i="115" r="A49"/>
  <c i="115" r="B48"/>
  <c i="115" r="A48"/>
  <c i="115" r="B47"/>
  <c i="115" r="A47"/>
  <c i="115" r="B46"/>
  <c i="115" r="A46"/>
  <c i="115" r="B45"/>
  <c i="115" r="A45"/>
  <c i="115" r="B44"/>
  <c i="115" r="A44"/>
  <c i="115" r="B43"/>
  <c i="115" r="A43"/>
  <c i="115" r="B42"/>
  <c i="115" r="A42"/>
  <c i="115" r="B41"/>
  <c i="115" r="A41"/>
  <c i="115" r="B40"/>
  <c i="115" r="A40"/>
  <c i="115" r="B39"/>
  <c i="115" r="A39"/>
  <c i="115" r="B38"/>
  <c i="115" r="A38"/>
  <c i="115" r="B37"/>
  <c i="115" r="A37"/>
  <c i="115" r="B36"/>
  <c i="115" r="A36"/>
  <c i="115" r="B35"/>
  <c i="115" r="A35"/>
  <c i="115" r="B34"/>
  <c i="115" r="A34"/>
  <c i="115" r="B33"/>
  <c i="115" r="A33"/>
  <c i="115" r="B32"/>
  <c i="115" r="A32"/>
  <c i="115" r="B31"/>
  <c i="115" r="A31"/>
  <c i="115" r="B30"/>
  <c i="115" r="A30"/>
  <c i="115" r="B29"/>
  <c i="115" r="A29"/>
  <c i="115" r="B28"/>
  <c i="115" r="A28"/>
  <c i="115" r="B27"/>
  <c i="115" r="A27"/>
  <c i="115" r="B26"/>
  <c i="115" r="A26"/>
  <c i="115" r="B25"/>
  <c i="115" r="A25"/>
  <c i="115" r="B24"/>
  <c i="115" r="A24"/>
  <c i="115" r="B23"/>
  <c i="115" r="A23"/>
  <c i="115" r="B22"/>
  <c i="115" r="A22"/>
  <c i="115" r="B21"/>
  <c i="115" r="A21"/>
  <c i="115" r="B20"/>
  <c i="115" r="A20"/>
  <c i="115" r="B19"/>
  <c i="115" r="A19"/>
  <c i="115" r="B18"/>
  <c i="115" r="A18"/>
  <c i="115" r="B17"/>
  <c i="115" r="A17"/>
  <c i="115" r="B16"/>
  <c i="115" r="A16"/>
  <c i="115" r="B15"/>
  <c i="115" r="A15"/>
  <c i="115" r="B14"/>
  <c i="115" r="A14"/>
  <c i="115" r="B13"/>
  <c i="115" r="A13"/>
  <c i="115" r="B12"/>
  <c i="115" r="A12"/>
  <c i="115" r="B11"/>
  <c i="115" r="A11"/>
  <c i="115" r="B10"/>
  <c i="115" r="A10"/>
  <c i="115" r="B9"/>
  <c i="116" r="D42"/>
  <c i="116" r="B42"/>
  <c i="116" r="D39"/>
  <c i="116" r="B39"/>
  <c i="116" r="D36"/>
  <c i="116" r="B36"/>
  <c i="114" r="D37"/>
  <c i="114" r="B37"/>
  <c i="114" r="D34"/>
  <c i="114" r="B34"/>
  <c i="114" r="D31"/>
  <c i="114" r="B31"/>
  <c i="114" r="D27"/>
  <c i="114" r="H20"/>
  <c i="114" r="H26"/>
  <c i="115" l="1" r="I30"/>
  <c i="115" r="I31"/>
  <c i="115" r="K53"/>
  <c i="115" r="I32"/>
  <c i="115" r="I53"/>
  <c i="115" r="I54"/>
  <c i="115" r="K86"/>
  <c i="115" r="K45"/>
  <c i="115" r="K30"/>
  <c i="115" r="I36"/>
  <c i="115" r="I50"/>
  <c i="115" r="K33"/>
  <c i="115" r="I45"/>
  <c i="115" r="I46"/>
  <c i="115" r="K84"/>
  <c i="115" r="I15"/>
  <c i="115" r="I16"/>
  <c i="115" r="I27"/>
  <c i="115" r="I28"/>
  <c i="115" r="K23"/>
  <c i="115" r="I33"/>
  <c i="115" r="K76"/>
  <c i="115" r="I25"/>
  <c i="115" r="K56"/>
  <c i="115" r="I41"/>
  <c i="115" r="I80"/>
  <c i="115" r="K62"/>
  <c i="115" l="1" r="I62"/>
  <c i="115" r="I92"/>
  <c i="115" r="I86"/>
  <c i="115" r="I93"/>
  <c i="115" r="I68"/>
  <c i="115" r="I21"/>
  <c i="115" r="K27"/>
  <c i="115" r="K58"/>
  <c i="115" r="I60"/>
  <c i="115" r="K15"/>
  <c i="115" r="K68"/>
  <c i="115" r="K92"/>
  <c i="115" r="K80"/>
  <c i="115" r="I98"/>
  <c i="115" r="I49"/>
  <c i="115" r="K31"/>
  <c i="115" r="I23"/>
  <c i="115" r="I84"/>
  <c i="115" r="K37"/>
  <c i="115" r="K39"/>
  <c i="115" r="I83"/>
  <c i="115" r="I58"/>
  <c i="115" r="K49"/>
  <c i="115" r="I19"/>
  <c i="115" r="K36"/>
  <c i="116" r="F30"/>
  <c i="116" r="F12"/>
  <c i="116" r="F22"/>
  <c i="116" r="F27"/>
  <c i="116" r="F26"/>
  <c i="116" r="F13"/>
  <c i="116" r="F17"/>
  <c i="116" r="F24"/>
  <c i="116" r="F18"/>
  <c i="116" r="F29"/>
  <c i="116" r="F20"/>
  <c i="116" r="F14"/>
  <c i="116" r="F21"/>
  <c i="116" r="F15"/>
  <c i="116" r="F25"/>
  <c i="116" r="D13"/>
  <c i="116" r="D17"/>
  <c i="116" r="D24"/>
  <c i="116" r="D18"/>
  <c i="116" r="D29"/>
  <c i="116" r="D12"/>
  <c i="116" r="D22"/>
  <c i="116" r="D25"/>
  <c i="116" r="D27"/>
  <c i="116" r="D30"/>
  <c i="116" r="D26"/>
  <c i="116" r="D15"/>
  <c i="116" r="D20"/>
  <c i="116" r="D14"/>
  <c i="116" r="D21"/>
  <c i="115" r="K35"/>
  <c i="116" r="H17"/>
  <c i="116" r="H13"/>
  <c i="116" r="H20"/>
  <c i="116" r="H14"/>
  <c i="116" r="H21"/>
  <c i="116" r="H24"/>
  <c i="116" r="H30"/>
  <c i="116" r="H12"/>
  <c i="116" r="H15"/>
  <c i="116" r="H25"/>
  <c i="116" r="H27"/>
  <c i="116" r="H26"/>
  <c i="116" r="H22"/>
  <c i="116" r="H18"/>
  <c i="116" r="H29"/>
  <c i="115" r="I37"/>
  <c i="115" r="I76"/>
  <c i="115" r="K50"/>
  <c i="115" r="I39"/>
  <c i="115" r="I66"/>
  <c i="115" r="K25"/>
  <c i="115" r="K21"/>
  <c i="115" r="I82"/>
  <c i="115" r="K41"/>
  <c i="115" r="I35"/>
  <c i="115" r="K32"/>
  <c i="115" r="I26"/>
  <c i="115" r="K19"/>
  <c i="115" r="K60"/>
  <c i="115" r="K34"/>
  <c i="115" r="K43"/>
  <c i="115" r="K28"/>
  <c i="115" r="K26"/>
  <c i="115" r="I55"/>
  <c i="115" r="K17"/>
  <c i="115" r="I34"/>
  <c i="115" r="I71"/>
  <c i="115" r="I43"/>
  <c i="115" r="I90"/>
  <c i="115" r="K98"/>
  <c i="115" r="K48"/>
  <c i="115" r="K44"/>
  <c i="115" r="K22"/>
  <c i="115" r="I22"/>
  <c i="115" r="K55"/>
  <c i="115" r="K90"/>
  <c i="115" r="K82"/>
  <c i="115" r="K66"/>
  <c i="115" r="K46"/>
  <c i="115" r="K40"/>
  <c i="115" r="I17"/>
  <c i="115" r="K16"/>
  <c i="115" r="K20"/>
  <c i="115" r="I56"/>
  <c i="115" r="I52"/>
  <c i="115" r="I48"/>
  <c i="115" r="I44"/>
  <c i="115" r="I40"/>
  <c i="115" r="I20"/>
  <c i="115" r="K54"/>
  <c i="115" r="K52"/>
  <c i="115" r="K97"/>
  <c i="115" r="I97"/>
  <c i="115" r="K89"/>
  <c i="115" r="I89"/>
  <c i="115" r="K81"/>
  <c i="115" r="I81"/>
  <c i="115" r="K73"/>
  <c i="115" r="I73"/>
  <c i="115" r="K57"/>
  <c i="115" r="I57"/>
  <c i="115" r="K14"/>
  <c i="115" r="K95"/>
  <c i="115" r="K79"/>
  <c i="115" r="K71"/>
  <c i="115" r="K63"/>
  <c i="115" r="I95"/>
  <c i="115" r="I63"/>
  <c i="115" r="K93"/>
  <c i="115" r="K85"/>
  <c i="115" r="K77"/>
  <c i="115" r="I85"/>
  <c i="115" r="K13"/>
  <c i="115" r="K91"/>
  <c i="115" r="K83"/>
  <c i="115" r="K59"/>
  <c i="115" r="I79"/>
  <c i="115" r="I77"/>
  <c i="115" r="I13"/>
  <c i="115" r="I91"/>
  <c i="115" r="I59"/>
  <c i="115" r="I14"/>
  <c i="116" l="1" r="J26"/>
  <c i="116" r="J13"/>
  <c i="116" r="J20"/>
  <c i="116" r="L12"/>
  <c i="116" r="J21"/>
  <c i="116" r="J27"/>
  <c i="116" r="J18"/>
  <c i="116" r="J14"/>
  <c i="116" r="J25"/>
  <c i="116" r="J17"/>
  <c i="116" r="L29"/>
  <c i="116" r="J30"/>
  <c i="116" r="J22"/>
  <c i="116" r="L15"/>
  <c i="116" r="L26"/>
  <c i="116" r="J29"/>
  <c i="116" r="L21"/>
  <c i="116" r="L18"/>
  <c i="116" r="L13"/>
  <c i="116" r="L27"/>
  <c i="116" r="L14"/>
  <c i="116" r="L24"/>
  <c i="116" r="J15"/>
  <c i="116" r="J12"/>
  <c i="116" r="J24"/>
  <c i="116" r="L25"/>
  <c i="116" r="L20"/>
  <c i="116" r="L17"/>
  <c i="116" r="L22"/>
  <c i="116" r="L30"/>
  <c i="3" l="1" r="D88"/>
  <c i="170" r="C88" s="1"/>
  <c i="170" r="E88" s="1"/>
  <c i="3" r="C88"/>
  <c i="169" l="1" r="E55"/>
  <c i="169" r="J55" s="1"/>
  <c i="3" r="C84"/>
  <c i="169" r="E54"/>
  <c i="169" r="J54" s="1"/>
  <c i="3" r="D84"/>
  <c i="170" r="C84" s="1"/>
  <c i="170" r="E84" s="1"/>
  <c i="8" r="D38"/>
  <c i="8" r="E38"/>
  <c i="8" r="F38"/>
  <c i="8" r="C38"/>
  <c i="55" l="1" r="C20"/>
  <c i="55" l="1" r="E20"/>
  <c i="55" r="G20" s="1"/>
  <c i="55" r="D20"/>
  <c i="55" r="F20" s="1"/>
  <c i="49" l="1" r="D28"/>
  <c i="49" r="D27"/>
  <c i="49" r="D26"/>
  <c i="49" r="D25"/>
  <c i="49" r="D19"/>
  <c i="49" r="D18"/>
  <c i="37" r="K17"/>
  <c i="37" r="L17" s="1"/>
  <c i="37" r="M17" s="1"/>
  <c i="37" l="1" r="G10"/>
  <c i="37" r="G17"/>
  <c i="37" r="K10"/>
  <c i="169" r="I115"/>
  <c i="37" r="K4"/>
  <c i="37" r="L4" s="1"/>
  <c i="37" r="M4" s="1"/>
  <c i="169" r="I116"/>
  <c i="49" r="I30"/>
  <c i="49" r="D23"/>
  <c i="49" r="H31"/>
  <c i="49" r="D11"/>
  <c i="49" r="H30"/>
  <c i="49" r="G31"/>
  <c i="49" r="D10"/>
  <c i="49" r="D22"/>
  <c i="37" l="1" r="G9"/>
  <c i="169" r="I117"/>
  <c i="37" r="K9"/>
  <c i="169" r="I118"/>
  <c i="37" r="G3"/>
  <c i="169" r="I113"/>
  <c i="37" r="K3"/>
  <c i="169" r="I114"/>
  <c i="49" r="D31"/>
  <c i="49" r="E31"/>
  <c i="49" r="E30"/>
  <c i="49" r="I31"/>
  <c i="49" r="F30"/>
  <c i="49" r="F31"/>
  <c i="49" r="D30"/>
  <c i="49" r="G30"/>
  <c i="73" r="E34"/>
  <c i="73" r="E33"/>
  <c i="73" r="E32"/>
  <c i="73" r="E29"/>
  <c i="73" r="E28"/>
  <c i="73" r="E27"/>
  <c i="113" l="1" r="L10"/>
  <c i="113" r="E28"/>
  <c i="113" r="B28"/>
  <c i="113" r="E25"/>
  <c i="113" r="B25"/>
  <c i="113" r="E22"/>
  <c i="113" r="B22"/>
  <c i="135" l="1" r="C48"/>
  <c i="135" r="C45"/>
  <c i="135" r="C42"/>
  <c i="135" r="A42"/>
  <c i="112" r="C73"/>
  <c i="112" r="A73"/>
  <c i="112" r="C70"/>
  <c i="112" r="A70"/>
  <c i="112" r="C67"/>
  <c i="112" r="A67"/>
  <c i="111" r="B201"/>
  <c i="111" r="A200"/>
  <c i="111" r="B197"/>
  <c i="111" r="A196"/>
  <c i="111" r="B193"/>
  <c i="111" r="A192"/>
  <c i="2" l="1" r="D230"/>
  <c i="2" r="C230"/>
  <c i="2" r="D223"/>
  <c i="2" r="C223"/>
  <c i="2" r="C209"/>
  <c i="2" r="D201"/>
  <c i="2" r="C201"/>
  <c i="2" r="D196"/>
  <c i="2" r="C196"/>
  <c i="2" r="D192"/>
  <c i="2" r="C192"/>
  <c i="2" r="D184"/>
  <c i="2" r="C184"/>
  <c i="2" r="D177"/>
  <c i="2" r="C177"/>
  <c i="2" r="D165"/>
  <c i="2" r="C165"/>
  <c i="2" r="D157"/>
  <c i="2" r="C157"/>
  <c i="2" r="D152"/>
  <c i="2" r="C152"/>
  <c i="2" r="D148"/>
  <c i="2" r="C148"/>
  <c i="2" r="D138"/>
  <c i="2" r="C138"/>
  <c i="2" r="D133"/>
  <c i="2" r="C133"/>
  <c i="2" r="D115"/>
  <c i="2" r="C115"/>
  <c i="2" r="D108"/>
  <c i="2" r="C108"/>
  <c i="2" r="D102"/>
  <c i="2" r="C102"/>
  <c i="2" r="D98"/>
  <c i="2" r="C98"/>
  <c i="2" r="D95"/>
  <c i="2" r="C95"/>
  <c i="2" r="D83"/>
  <c i="2" r="C83"/>
  <c i="2" r="D73"/>
  <c i="2" r="C73"/>
  <c i="2" r="D68"/>
  <c i="2" r="C68"/>
  <c i="2" r="D62"/>
  <c i="2" r="C62"/>
  <c i="2" r="D51"/>
  <c i="2" r="C51"/>
  <c i="2" r="D45"/>
  <c i="2" r="C45"/>
  <c i="2" r="D41"/>
  <c i="2" r="C41"/>
  <c i="2" r="D31"/>
  <c i="2" r="C31"/>
  <c i="2" r="D23"/>
  <c i="2" r="C23"/>
  <c i="2" r="D16"/>
  <c i="2" r="C16"/>
  <c i="2" r="D10"/>
  <c i="2" r="C10"/>
  <c i="53" l="1" r="D60"/>
  <c i="53" r="D64" s="1"/>
  <c i="53" r="D57"/>
  <c i="53" r="D61" s="1"/>
  <c i="191" r="D15"/>
  <c i="191" r="G15" s="1"/>
  <c i="191" r="D19"/>
  <c i="191" r="G19" s="1"/>
  <c i="37" r="L10"/>
  <c i="37" r="M10" s="1"/>
  <c i="2" r="D30"/>
  <c i="169" r="I22"/>
  <c i="114" r="C15"/>
  <c i="114" r="C19"/>
  <c i="169" r="E116"/>
  <c i="169" r="J116" s="1"/>
  <c i="132" r="C9"/>
  <c i="114" r="E15"/>
  <c i="132" r="C13"/>
  <c i="114" r="E19"/>
  <c i="2" r="D171"/>
  <c i="2" r="C30"/>
  <c i="37" r="F25"/>
  <c i="2" r="C55"/>
  <c i="37" r="F56"/>
  <c i="169" r="I13"/>
  <c i="37" r="F109"/>
  <c i="169" r="I21"/>
  <c i="37" r="F146"/>
  <c i="60" r="D21"/>
  <c i="37" r="F178"/>
  <c i="169" r="E197"/>
  <c i="169" r="J197" s="1"/>
  <c i="37" r="F203"/>
  <c i="37" r="F224"/>
  <c i="169" r="E108"/>
  <c i="169" r="E41"/>
  <c i="169" r="J41" s="1"/>
  <c i="37" r="F127"/>
  <c i="37" r="F39"/>
  <c i="37" r="F67"/>
  <c i="37" r="F96"/>
  <c i="37" r="F132"/>
  <c i="169" r="E183"/>
  <c i="37" r="F159"/>
  <c i="37" r="F190"/>
  <c i="2" r="D55"/>
  <c i="169" r="I14"/>
  <c i="169" r="E184"/>
  <c i="169" r="J184" s="1"/>
  <c i="60" r="D24"/>
  <c i="169" r="E198"/>
  <c i="169" r="J198" s="1"/>
  <c i="169" r="E109"/>
  <c i="169" r="E42"/>
  <c i="169" r="J42" s="1"/>
  <c i="37" r="F4"/>
  <c i="37" r="H4" s="1"/>
  <c i="37" r="I4" s="1"/>
  <c i="169" r="E115"/>
  <c i="169" r="J115" s="1"/>
  <c i="37" r="F17"/>
  <c i="37" r="H17" s="1"/>
  <c i="37" r="I17" s="1"/>
  <c i="37" r="F35"/>
  <c i="169" r="E125"/>
  <c i="37" r="F45"/>
  <c i="37" r="F62"/>
  <c i="169" r="I15"/>
  <c i="37" r="F77"/>
  <c i="169" r="E157"/>
  <c i="169" r="J157" s="1"/>
  <c i="169" r="E17"/>
  <c i="169" r="J17" s="1"/>
  <c i="37" r="F92"/>
  <c i="37" r="F102"/>
  <c i="37" r="F142"/>
  <c i="169" r="I27"/>
  <c i="37" r="F151"/>
  <c i="169" r="I29"/>
  <c i="2" r="C171"/>
  <c i="37" r="F171"/>
  <c i="37" r="F186"/>
  <c i="169" r="I33"/>
  <c i="37" r="F195"/>
  <c i="169" r="I35"/>
  <c i="37" r="F217"/>
  <c i="169" r="E102"/>
  <c i="169" r="I39"/>
  <c i="169" r="E126"/>
  <c i="169" r="I16"/>
  <c i="169" r="E158"/>
  <c i="169" r="E18"/>
  <c i="169" r="J18" s="1"/>
  <c i="169" r="I28"/>
  <c i="169" r="I30"/>
  <c i="169" r="I34"/>
  <c i="169" r="I36"/>
  <c i="169" r="I40"/>
  <c i="169" r="E103"/>
  <c i="37" r="F89"/>
  <c i="37" r="F10"/>
  <c i="37" r="H10" s="1"/>
  <c i="37" r="I10" s="1"/>
  <c i="2" r="C191"/>
  <c i="2" r="C101"/>
  <c i="2" r="D200"/>
  <c i="59" r="D45"/>
  <c i="51" r="D61"/>
  <c i="51" r="D64"/>
  <c i="2" r="C44"/>
  <c i="2" r="C34" s="1"/>
  <c i="2" r="D67"/>
  <c i="2" r="D156"/>
  <c i="2" r="D113"/>
  <c i="2" r="D222"/>
  <c i="2" r="D44"/>
  <c i="2" r="C67"/>
  <c i="2" r="C147"/>
  <c i="49" r="D17"/>
  <c i="2" r="C15"/>
  <c i="2" r="C200"/>
  <c i="49" r="D12"/>
  <c i="49" r="D24"/>
  <c i="2" r="D15"/>
  <c i="49" r="D20"/>
  <c i="2" r="D191"/>
  <c i="49" r="D9"/>
  <c i="49" r="D21"/>
  <c i="2" r="D101"/>
  <c i="2" r="C113"/>
  <c i="2" r="D147"/>
  <c i="2" r="C156"/>
  <c i="2" r="C222"/>
  <c i="2" l="1" r="C94"/>
  <c i="114" r="C17" s="1"/>
  <c i="191" r="D18"/>
  <c i="191" r="G18" s="1"/>
  <c i="191" r="D11"/>
  <c i="191" r="G11" s="1"/>
  <c i="2" r="D9"/>
  <c i="191" r="D14"/>
  <c i="191" r="G14" s="1"/>
  <c i="191" r="D25"/>
  <c i="191" r="G25" s="1"/>
  <c i="191" r="G24" s="1"/>
  <c i="191" r="D13"/>
  <c i="191" r="G13" s="1"/>
  <c i="169" r="E196"/>
  <c i="60" r="D20"/>
  <c i="191" r="H19"/>
  <c i="191" r="H15"/>
  <c i="169" r="E128"/>
  <c i="169" r="E16"/>
  <c i="169" r="J16" s="1"/>
  <c i="132" r="C8"/>
  <c i="105" r="E60" s="1"/>
  <c i="114" r="E14"/>
  <c i="114" r="C13"/>
  <c i="114" r="E11"/>
  <c i="132" r="C5"/>
  <c i="2" r="D94"/>
  <c i="169" r="I8" s="1"/>
  <c i="169" r="E22"/>
  <c i="169" r="J22" s="1"/>
  <c i="132" r="C12"/>
  <c i="105" r="E61" s="1"/>
  <c i="114" r="E18"/>
  <c i="114" r="C12"/>
  <c i="114" r="C18"/>
  <c i="114" r="C14"/>
  <c i="59" r="D48"/>
  <c i="114" r="E13"/>
  <c i="132" r="C7"/>
  <c i="114" r="C11"/>
  <c i="114" r="G11" s="1"/>
  <c i="114" r="C25"/>
  <c i="2" r="D221"/>
  <c i="132" r="C19"/>
  <c i="114" r="E25"/>
  <c i="169" r="I11"/>
  <c i="37" r="F216"/>
  <c i="169" r="E39"/>
  <c i="169" r="J39" s="1"/>
  <c i="169" r="I37"/>
  <c i="37" r="F28"/>
  <c i="169" r="E123"/>
  <c i="169" r="E11"/>
  <c i="37" r="F107"/>
  <c i="169" r="E21"/>
  <c i="169" r="J21" s="1"/>
  <c i="37" r="F194"/>
  <c i="169" r="E189"/>
  <c i="169" r="E35"/>
  <c i="169" r="J35" s="1"/>
  <c i="60" r="D9"/>
  <c i="37" r="F141"/>
  <c i="169" r="E27"/>
  <c i="169" r="J27" s="1"/>
  <c i="169" r="I25"/>
  <c i="37" r="F95"/>
  <c i="169" r="I19"/>
  <c i="60" r="D17"/>
  <c i="37" r="F165"/>
  <c i="169" r="E195"/>
  <c i="37" r="F49"/>
  <c i="169" r="E129"/>
  <c i="169" r="E13"/>
  <c i="169" r="J13" s="1"/>
  <c i="37" r="F61"/>
  <c i="169" r="E15"/>
  <c i="169" r="J15" s="1"/>
  <c i="60" r="D16"/>
  <c i="169" r="E194"/>
  <c i="169" r="E30"/>
  <c i="169" r="J30" s="1"/>
  <c i="60" r="D25"/>
  <c i="37" r="F185"/>
  <c i="169" r="E187"/>
  <c i="169" r="E33"/>
  <c i="169" r="J33" s="1"/>
  <c i="169" r="I31"/>
  <c i="37" r="F150"/>
  <c i="169" r="E193"/>
  <c i="169" r="E29"/>
  <c i="169" r="J29" s="1"/>
  <c i="169" r="I12"/>
  <c i="169" r="E130"/>
  <c i="169" r="E14"/>
  <c i="169" r="J14" s="1"/>
  <c i="169" r="I26"/>
  <c i="169" r="E28"/>
  <c i="169" r="J28" s="1"/>
  <c i="169" r="E188"/>
  <c i="169" r="I32"/>
  <c i="169" r="E34"/>
  <c i="169" r="J34" s="1"/>
  <c i="169" r="E19"/>
  <c i="169" r="I38"/>
  <c i="169" r="E40"/>
  <c i="169" r="J40" s="1"/>
  <c i="59" r="D41"/>
  <c i="59" r="D49" s="1"/>
  <c i="37" r="F38"/>
  <c i="169" r="E127"/>
  <c i="60" r="D32"/>
  <c i="169" r="E190"/>
  <c i="169" r="E36"/>
  <c i="169" r="J36" s="1"/>
  <c i="169" r="I20"/>
  <c i="37" r="F24"/>
  <c i="37" r="L9"/>
  <c i="37" r="M9" s="1"/>
  <c i="169" r="I10"/>
  <c i="169" r="E118"/>
  <c i="169" r="J118" s="1"/>
  <c i="2" r="C9"/>
  <c i="37" r="F9"/>
  <c i="37" r="H9" s="1"/>
  <c i="37" r="I9" s="1"/>
  <c i="169" r="E117"/>
  <c i="169" r="J117" s="1"/>
  <c i="169" r="I9"/>
  <c i="2" r="C190"/>
  <c i="60" r="D29"/>
  <c i="2" r="C221"/>
  <c i="51" r="F65"/>
  <c i="51" r="D65"/>
  <c i="51" r="H65"/>
  <c i="51" r="I65"/>
  <c i="51" r="G65"/>
  <c i="51" r="E65"/>
  <c i="2" r="D146"/>
  <c i="60" r="D12"/>
  <c i="2" r="D190"/>
  <c i="60" r="D28"/>
  <c i="114" r="G19"/>
  <c i="51" r="I68"/>
  <c i="51" r="D68"/>
  <c i="2" r="C146"/>
  <c i="60" r="D13"/>
  <c i="2" r="D34"/>
  <c i="59" r="D44"/>
  <c i="114" r="G15"/>
  <c i="49" r="E29"/>
  <c i="49" r="H32"/>
  <c i="49" r="G32"/>
  <c i="49" r="D32"/>
  <c i="49" r="E32"/>
  <c i="49" r="H29"/>
  <c i="49" r="I29"/>
  <c i="49" r="I32"/>
  <c i="49" r="D29"/>
  <c i="49" r="G29"/>
  <c i="49" r="F29"/>
  <c i="49" r="F32"/>
  <c i="2" l="1" r="C93"/>
  <c i="114" r="G13"/>
  <c i="2" r="D93"/>
  <c i="114" r="E16" s="1"/>
  <c i="110" r="B17"/>
  <c i="139" r="B17"/>
  <c i="37" r="F88"/>
  <c i="169" r="E20"/>
  <c i="169" r="I7"/>
  <c i="169" r="E107"/>
  <c i="191" r="D22"/>
  <c i="191" r="G22" s="1"/>
  <c i="191" r="D17"/>
  <c i="191" r="G17" s="1"/>
  <c i="191" r="G16" s="1"/>
  <c i="191" r="D12"/>
  <c i="191" r="G12" s="1"/>
  <c i="191" r="D23"/>
  <c i="191" r="G23" s="1"/>
  <c i="191" r="D24"/>
  <c i="2" r="C8"/>
  <c i="191" r="D10"/>
  <c i="191" r="G10" s="1"/>
  <c i="2" r="D8"/>
  <c i="169" r="J11"/>
  <c i="191" r="H14"/>
  <c i="191" r="H18"/>
  <c i="169" r="E8"/>
  <c i="169" r="J8" s="1"/>
  <c i="114" r="E12"/>
  <c i="132" r="C6"/>
  <c i="105" r="E59" s="1"/>
  <c i="114" r="E22"/>
  <c i="132" r="C16"/>
  <c i="114" r="C10"/>
  <c i="132" r="C4"/>
  <c i="105" r="E58" s="1"/>
  <c i="114" r="E10"/>
  <c i="114" r="C16"/>
  <c i="114" r="C22"/>
  <c i="114" r="E17"/>
  <c i="114" r="G17" s="1"/>
  <c i="132" r="C11"/>
  <c i="114" r="E24"/>
  <c i="132" r="C18"/>
  <c i="105" r="E63" s="1"/>
  <c i="114" r="C24"/>
  <c i="169" r="E38"/>
  <c i="169" r="J38" s="1"/>
  <c i="114" r="E23"/>
  <c i="132" r="C17"/>
  <c i="114" r="C23"/>
  <c i="169" r="J19"/>
  <c i="2" r="D145"/>
  <c i="169" r="E192"/>
  <c i="169" r="I24"/>
  <c i="169" r="E26"/>
  <c i="169" r="J26" s="1"/>
  <c i="37" r="F140"/>
  <c i="169" r="E191"/>
  <c i="169" r="E25"/>
  <c i="169" r="J25" s="1"/>
  <c i="169" r="I23"/>
  <c i="37" r="F87"/>
  <c i="169" r="E7"/>
  <c i="169" r="J7" s="1"/>
  <c i="37" r="F184"/>
  <c i="169" r="E185"/>
  <c i="169" r="E31"/>
  <c i="169" r="J31" s="1"/>
  <c i="169" r="E124"/>
  <c i="169" r="E12"/>
  <c i="169" r="J12" s="1"/>
  <c i="169" r="E186"/>
  <c i="169" r="E32"/>
  <c i="169" r="J32" s="1"/>
  <c i="37" r="F215"/>
  <c i="169" r="E106"/>
  <c i="169" r="J106" s="1"/>
  <c i="169" r="E37"/>
  <c i="169" r="J37" s="1"/>
  <c i="169" r="J20"/>
  <c i="169" r="E6"/>
  <c i="37" r="F3"/>
  <c i="37" r="H3" s="1"/>
  <c i="169" r="E113"/>
  <c i="169" r="J113" s="1"/>
  <c i="169" r="E104"/>
  <c i="169" r="J104" s="1"/>
  <c i="169" r="E9"/>
  <c i="169" r="J9" s="1"/>
  <c i="169" r="I5"/>
  <c i="37" r="L3"/>
  <c i="169" r="E10"/>
  <c i="169" r="J10" s="1"/>
  <c i="169" r="I6"/>
  <c i="169" r="E114"/>
  <c i="169" r="J114" s="1"/>
  <c i="169" r="E105"/>
  <c i="169" r="J105" s="1"/>
  <c i="59" r="H49"/>
  <c i="59" r="D52"/>
  <c i="114" r="G18"/>
  <c i="2" r="C145"/>
  <c i="60" r="D36"/>
  <c i="59" r="G49"/>
  <c i="59" r="I49"/>
  <c i="114" r="G25"/>
  <c i="114" r="G14"/>
  <c i="59" r="F49"/>
  <c i="59" r="E49"/>
  <c i="60" r="D33"/>
  <c i="110" r="C33"/>
  <c i="110" r="A33"/>
  <c i="110" r="C30"/>
  <c i="110" r="A30"/>
  <c i="110" r="C27"/>
  <c i="110" r="A27"/>
  <c i="108" r="C20"/>
  <c i="108" r="A20"/>
  <c i="108" r="C17"/>
  <c i="108" r="A17"/>
  <c i="108" r="C14"/>
  <c i="108" r="A14"/>
  <c i="132" l="1" r="C10"/>
  <c i="191" r="D16"/>
  <c i="114" r="G24"/>
  <c i="169" r="E5"/>
  <c i="191" r="G9"/>
  <c i="105" r="E42"/>
  <c i="105" r="D42"/>
  <c i="191" r="D21"/>
  <c i="191" r="G21"/>
  <c i="2" r="D144"/>
  <c i="169" r="E4" s="1"/>
  <c i="37" r="F2"/>
  <c i="114" r="C9"/>
  <c i="2" r="C144"/>
  <c i="114" r="G10"/>
  <c i="191" r="D9"/>
  <c i="132" r="C3"/>
  <c i="114" r="E9"/>
  <c i="191" r="H22"/>
  <c i="191" r="H25"/>
  <c i="169" r="E24"/>
  <c i="169" r="J24" s="1"/>
  <c i="114" r="E21"/>
  <c i="132" r="C15"/>
  <c i="105" r="E62" s="1"/>
  <c i="60" r="I33"/>
  <c i="114" r="C21"/>
  <c i="169" r="J6"/>
  <c i="37" r="I3"/>
  <c i="37" r="F139"/>
  <c i="169" r="E23"/>
  <c i="169" r="J23" s="1"/>
  <c i="169" r="J5"/>
  <c i="2" r="D238"/>
  <c i="37" r="M3"/>
  <c i="169" r="E3"/>
  <c i="60" r="H33"/>
  <c i="114" r="G23"/>
  <c i="114" r="G12"/>
  <c i="114" r="G16"/>
  <c i="60" r="E33"/>
  <c i="114" r="G22"/>
  <c i="2" r="C238"/>
  <c i="60" r="F33"/>
  <c i="60" r="G33"/>
  <c i="107" r="D55"/>
  <c i="107" r="A55"/>
  <c i="37" l="1" r="F138"/>
  <c i="110" r="B16"/>
  <c i="110" r="C16" s="1"/>
  <c i="139" r="B16"/>
  <c i="139" r="C16" s="1"/>
  <c i="114" r="E20"/>
  <c i="114" r="F9" s="1"/>
  <c i="105" r="C42"/>
  <c i="191" r="H10"/>
  <c i="191" r="D20"/>
  <c i="114" r="G9"/>
  <c i="132" r="C14"/>
  <c i="114" r="C20"/>
  <c i="114" r="D15" s="1"/>
  <c i="191" r="D26"/>
  <c i="191" r="H24"/>
  <c i="110" r="E16"/>
  <c i="139" r="E16"/>
  <c i="132" r="C20"/>
  <c i="114" r="E26"/>
  <c i="114" r="F23" s="1"/>
  <c i="114" r="C26"/>
  <c i="37" r="F232"/>
  <c i="169" r="I3"/>
  <c i="169" r="J3" s="1"/>
  <c i="169" r="I4"/>
  <c i="169" r="J4" s="1"/>
  <c i="110" r="C17"/>
  <c i="114" r="F12"/>
  <c i="114" r="F22"/>
  <c i="114" r="F11"/>
  <c i="114" r="F13"/>
  <c i="114" r="F18"/>
  <c i="114" r="F14"/>
  <c i="114" r="G21"/>
  <c i="114" r="F16"/>
  <c i="93" r="A45"/>
  <c i="93" r="A42"/>
  <c i="93" r="B40"/>
  <c i="93" r="A40"/>
  <c i="93" r="B38"/>
  <c i="93" r="A38"/>
  <c i="93" r="B36"/>
  <c i="93" r="A36"/>
  <c i="92" r="A47"/>
  <c i="92" r="A44"/>
  <c i="92" r="B42"/>
  <c i="92" r="A42"/>
  <c i="92" r="B40"/>
  <c i="92" r="A40"/>
  <c i="92" r="B38"/>
  <c i="92" r="A38"/>
  <c i="91" r="A49"/>
  <c i="91" r="A46"/>
  <c i="90" r="A63"/>
  <c i="90" r="A60"/>
  <c i="88" r="A52"/>
  <c i="88" r="A49"/>
  <c i="86" r="A59"/>
  <c i="86" r="A56"/>
  <c i="84" r="A58"/>
  <c i="84" r="A55"/>
  <c i="73" r="A59"/>
  <c i="73" r="A56"/>
  <c i="73" r="A52"/>
  <c i="110" r="B2"/>
  <c i="110" r="D2"/>
  <c i="73" r="B54"/>
  <c i="73" r="A54"/>
  <c i="73" r="B52"/>
  <c i="73" r="B50"/>
  <c i="73" r="A50"/>
  <c i="90" r="B58"/>
  <c i="90" r="A58"/>
  <c i="90" r="B56"/>
  <c i="90" r="A56"/>
  <c i="90" r="B54"/>
  <c i="90" r="A54"/>
  <c i="88" r="B47"/>
  <c i="88" r="A47"/>
  <c i="88" r="B45"/>
  <c i="88" r="A45"/>
  <c i="88" r="B43"/>
  <c i="88" r="A43"/>
  <c i="86" r="B54"/>
  <c i="86" r="A54"/>
  <c i="86" r="B52"/>
  <c i="86" r="A52"/>
  <c i="86" r="B50"/>
  <c i="86" r="A50"/>
  <c i="84" r="B53"/>
  <c i="84" r="A53"/>
  <c i="84" r="B51"/>
  <c i="84" r="A51"/>
  <c i="84" r="B49"/>
  <c i="84" r="A49"/>
  <c i="83" r="B44"/>
  <c i="83" r="A44"/>
  <c i="83" r="B42"/>
  <c i="83" r="A42"/>
  <c i="83" r="B40"/>
  <c i="83" r="A40"/>
  <c i="114" l="1" r="F10"/>
  <c i="114" r="F19"/>
  <c i="114" r="F17"/>
  <c i="114" r="F15"/>
  <c i="114" r="H15" s="1"/>
  <c i="114" r="E27"/>
  <c i="114" r="F24"/>
  <c i="114" r="D13"/>
  <c i="114" r="H13" s="1"/>
  <c i="114" r="D14"/>
  <c i="114" r="H14" s="1"/>
  <c i="114" r="D10"/>
  <c i="114" r="D17"/>
  <c i="114" r="D19"/>
  <c i="114" r="H19" s="1"/>
  <c i="114" r="G20"/>
  <c i="114" r="C27"/>
  <c i="114" r="D18"/>
  <c i="114" r="H18" s="1"/>
  <c i="114" r="D9"/>
  <c i="114" r="H9" s="1"/>
  <c i="114" r="D16"/>
  <c i="114" r="H16" s="1"/>
  <c i="114" r="D12"/>
  <c i="114" r="H12" s="1"/>
  <c i="114" r="D11"/>
  <c i="114" r="H11" s="1"/>
  <c i="114" r="F25"/>
  <c i="114" r="F21"/>
  <c i="132" r="D33"/>
  <c i="132" r="D17"/>
  <c i="132" r="D14"/>
  <c i="132" r="D7"/>
  <c i="132" r="F7" s="1"/>
  <c i="132" r="D11"/>
  <c i="132" r="F11" s="1"/>
  <c i="132" r="D13"/>
  <c i="132" r="E13" s="1"/>
  <c i="132" r="G13" s="1"/>
  <c i="132" r="D16"/>
  <c i="132" r="F16" s="1"/>
  <c i="132" r="D10"/>
  <c i="132" r="F10" s="1"/>
  <c i="132" r="D18"/>
  <c i="132" r="F18" s="1"/>
  <c i="132" r="D4"/>
  <c i="132" r="F4" s="1"/>
  <c i="132" r="D8"/>
  <c i="132" r="F8" s="1"/>
  <c i="132" r="D12"/>
  <c i="132" r="E12" s="1"/>
  <c i="132" r="D6"/>
  <c i="132" r="F6" s="1"/>
  <c i="132" r="D19"/>
  <c i="132" r="F19" s="1"/>
  <c i="132" r="D5"/>
  <c i="132" r="E5" s="1"/>
  <c i="132" r="G5" s="1"/>
  <c i="132" r="D9"/>
  <c i="132" r="E9" s="1"/>
  <c i="132" r="G9" s="1"/>
  <c i="132" r="D15"/>
  <c i="132" r="E15" s="1"/>
  <c i="132" r="D3"/>
  <c i="132" r="E3" s="1"/>
  <c i="132" r="F5"/>
  <c i="132" r="E7"/>
  <c i="132" r="G7" s="1"/>
  <c i="110" r="E17"/>
  <c i="139" r="E17"/>
  <c i="139" r="C17"/>
  <c i="114" r="D21"/>
  <c i="114" r="G26"/>
  <c i="114" r="D25"/>
  <c i="114" r="D24"/>
  <c i="114" r="H24" s="1"/>
  <c i="114" r="D23"/>
  <c i="114" r="H23" s="1"/>
  <c i="114" r="D22"/>
  <c i="114" r="H22" s="1"/>
  <c i="114" r="H10"/>
  <c i="114" l="1" r="H17"/>
  <c i="132" r="E6"/>
  <c i="113" r="E12" s="1"/>
  <c i="113" r="L12" s="1"/>
  <c i="114" r="H25"/>
  <c i="132" r="G12"/>
  <c i="113" r="E14"/>
  <c i="113" r="L14" s="1"/>
  <c i="132" r="G15"/>
  <c i="113" r="E15"/>
  <c i="113" r="L15" s="1"/>
  <c i="114" r="H21"/>
  <c i="132" r="E16"/>
  <c i="132" r="G16" s="1"/>
  <c i="132" r="E11"/>
  <c i="132" r="G11" s="1"/>
  <c i="132" r="F15"/>
  <c i="113" r="J15" s="1"/>
  <c i="132" r="F12"/>
  <c i="113" r="J14" s="1"/>
  <c i="132" r="E8"/>
  <c i="132" r="E10"/>
  <c i="132" r="G10" s="1"/>
  <c i="132" r="E4"/>
  <c i="132" r="F3"/>
  <c i="132" r="E18"/>
  <c i="132" r="F17"/>
  <c i="132" r="E17"/>
  <c i="132" r="G17" s="1"/>
  <c i="132" r="F13"/>
  <c i="132" r="F9"/>
  <c i="132" r="E19"/>
  <c i="132" r="G19" s="1"/>
  <c i="91" r="A42"/>
  <c i="91" r="A44"/>
  <c i="91" r="B44"/>
  <c i="91" r="B42"/>
  <c i="91" r="B40"/>
  <c i="91" r="A40"/>
  <c i="132" l="1" r="G6"/>
  <c i="113" r="J12"/>
  <c i="132" r="G4"/>
  <c i="113" r="J11"/>
  <c i="132" r="G8"/>
  <c i="113" r="E13"/>
  <c i="113" r="L13" s="1"/>
  <c i="113" r="J13"/>
  <c i="113" r="E16"/>
  <c i="113" r="L16" s="1"/>
  <c i="132" r="G18"/>
  <c i="113" r="J16"/>
  <c i="113" l="1" r="E11"/>
  <c i="113" r="L11" s="1"/>
  <c i="107" r="C23"/>
  <c i="107" r="A23"/>
  <c i="98" l="1" r="A10"/>
  <c i="98" r="A11" s="1"/>
  <c i="98" r="A12" s="1"/>
  <c i="98" r="A13" s="1"/>
  <c i="98" r="A14" s="1"/>
  <c i="69" l="1" r="C96"/>
  <c i="67" r="C15" s="1"/>
  <c i="67" r="C17" s="1"/>
  <c i="105" r="C24" s="1"/>
  <c i="67" l="1" r="C19"/>
  <c i="60" r="I36"/>
  <c i="60" r="H36"/>
  <c i="60" r="G36"/>
  <c i="60" r="F36"/>
  <c i="60" r="E36"/>
  <c i="59" r="J48"/>
  <c i="59" r="J32"/>
  <c i="59" r="J28"/>
  <c i="59" r="J24"/>
  <c i="59" r="J20"/>
  <c i="59" r="J16"/>
  <c i="59" r="I52"/>
  <c i="59" r="H52"/>
  <c i="59" r="G52"/>
  <c i="59" r="F52"/>
  <c i="59" r="E52"/>
  <c i="51" r="H68"/>
  <c i="51" r="G68"/>
  <c i="51" r="F68"/>
  <c i="51" r="E68"/>
  <c i="49" r="D16"/>
  <c i="59" l="1" r="J12"/>
  <c i="59" r="J52" s="1"/>
  <c i="24" l="1" r="D283"/>
  <c i="24" r="C283"/>
  <c i="24" r="D279"/>
  <c i="24" r="C279"/>
  <c i="24" r="D275"/>
  <c i="24" r="C275"/>
  <c i="57" l="1" r="E28"/>
  <c i="116" r="H28"/>
  <c i="57" r="D28"/>
  <c i="57" r="C28"/>
  <c i="57" l="1" r="F28"/>
  <c i="116" r="I28"/>
  <c i="116" r="D28"/>
  <c i="57" r="G28"/>
  <c i="116" r="K28"/>
  <c i="116" r="F28"/>
  <c i="116" r="L28" s="1"/>
  <c i="57" l="1" r="C31"/>
  <c i="116" r="J28"/>
  <c i="57" r="C23"/>
  <c i="57" r="C19"/>
  <c i="57" r="C16"/>
  <c i="57" r="C11"/>
  <c i="15" r="T7"/>
  <c i="15" r="T8"/>
  <c i="15" r="T9"/>
  <c i="15" r="T10"/>
  <c i="15" r="T11"/>
  <c i="15" r="T12"/>
  <c i="15" r="T6"/>
  <c i="15" r="M7"/>
  <c i="15" r="M8"/>
  <c i="15" r="M9"/>
  <c i="15" r="M10"/>
  <c i="15" r="M11"/>
  <c i="15" r="M12"/>
  <c i="15" r="M6"/>
  <c i="15" l="1" r="U8"/>
  <c i="15" r="U11"/>
  <c i="15" r="U10"/>
  <c i="116" r="D31"/>
  <c i="116" r="D23"/>
  <c i="116" r="D19"/>
  <c i="116" r="D16"/>
  <c i="116" r="D11"/>
  <c i="57" r="C10"/>
  <c i="15" r="U12"/>
  <c i="15" r="U7"/>
  <c i="15" r="U6"/>
  <c i="15" r="U9"/>
  <c i="115" l="1" r="K94"/>
  <c i="115" r="I94"/>
  <c i="57" r="D31"/>
  <c i="57" r="E31"/>
  <c i="116" r="H31"/>
  <c i="57" r="E23"/>
  <c i="116" r="H23"/>
  <c i="57" r="E19"/>
  <c i="116" r="H19"/>
  <c i="57" r="E16"/>
  <c i="116" r="H16"/>
  <c i="57" r="E11"/>
  <c i="116" r="H11"/>
  <c i="115" r="K88"/>
  <c i="115" r="I88"/>
  <c i="115" r="K78"/>
  <c i="115" r="I78"/>
  <c i="57" l="1" r="F31"/>
  <c i="57" r="G31"/>
  <c i="116" r="K31"/>
  <c i="116" r="F31"/>
  <c i="116" r="I31"/>
  <c i="57" r="F23"/>
  <c i="57" r="F19"/>
  <c i="57" r="F16"/>
  <c i="57" r="E10"/>
  <c i="116" r="H10"/>
  <c i="57" r="F11"/>
  <c i="115" r="K87"/>
  <c i="115" r="I87"/>
  <c i="115" r="D10"/>
  <c i="115" r="D9"/>
  <c i="115" r="D30"/>
  <c i="115" r="D54"/>
  <c i="115" r="D50"/>
  <c i="115" r="D62"/>
  <c i="115" r="D25"/>
  <c i="115" r="D93"/>
  <c i="115" r="D87"/>
  <c i="115" r="D79"/>
  <c i="115" r="D84"/>
  <c i="115" r="D86"/>
  <c i="115" r="D92"/>
  <c i="115" r="D70"/>
  <c i="115" r="D29"/>
  <c i="115" r="D32"/>
  <c i="115" r="D60"/>
  <c i="115" r="D31"/>
  <c i="115" r="D78"/>
  <c i="115" r="D53"/>
  <c i="115" r="D66"/>
  <c i="115" r="D58"/>
  <c i="115" r="D19"/>
  <c i="115" r="D71"/>
  <c i="115" r="D38"/>
  <c i="115" r="D55"/>
  <c i="115" r="D85"/>
  <c i="115" r="D88"/>
  <c i="115" r="D22"/>
  <c i="115" r="D63"/>
  <c i="115" r="D98"/>
  <c i="115" r="D72"/>
  <c i="115" r="D77"/>
  <c i="115" r="D15"/>
  <c i="115" r="D96"/>
  <c i="115" r="D39"/>
  <c i="115" r="D90"/>
  <c i="115" r="D83"/>
  <c i="115" r="D91"/>
  <c i="115" r="D76"/>
  <c i="115" r="D73"/>
  <c i="115" r="D17"/>
  <c i="115" r="D44"/>
  <c i="115" r="D69"/>
  <c i="115" r="D27"/>
  <c i="115" r="D81"/>
  <c i="115" r="D89"/>
  <c i="115" r="D45"/>
  <c i="115" r="D75"/>
  <c i="115" r="D20"/>
  <c i="115" r="D65"/>
  <c i="115" r="D36"/>
  <c i="115" r="D47"/>
  <c i="115" r="D80"/>
  <c i="115" r="D13"/>
  <c i="115" r="D41"/>
  <c i="115" r="D56"/>
  <c i="115" r="D82"/>
  <c i="115" r="D28"/>
  <c i="115" r="D26"/>
  <c i="115" r="D59"/>
  <c i="115" r="D34"/>
  <c i="115" r="D48"/>
  <c i="115" r="D97"/>
  <c i="115" r="D68"/>
  <c i="115" r="D42"/>
  <c i="115" r="D64"/>
  <c i="115" r="D95"/>
  <c i="115" r="D74"/>
  <c i="115" r="D51"/>
  <c i="115" r="D21"/>
  <c i="115" r="D40"/>
  <c i="115" r="D52"/>
  <c i="115" r="D49"/>
  <c i="115" r="D43"/>
  <c i="115" r="D67"/>
  <c i="115" r="D61"/>
  <c i="115" r="D24"/>
  <c i="115" r="D37"/>
  <c i="115" r="D16"/>
  <c i="115" r="D23"/>
  <c i="115" r="D57"/>
  <c i="115" r="D18"/>
  <c i="115" r="D46"/>
  <c i="115" r="D33"/>
  <c i="115" r="D94"/>
  <c i="115" r="D35"/>
  <c i="115" r="D14"/>
  <c i="115" r="D12"/>
  <c i="115" r="D11"/>
  <c i="116" l="1" r="L31"/>
  <c i="116" r="J31"/>
  <c i="57" r="F10"/>
  <c i="115" r="K29"/>
  <c i="115" r="I29"/>
  <c i="3" r="D260"/>
  <c i="170" r="C260" s="1"/>
  <c i="170" r="E260" s="1"/>
  <c i="3" r="C260"/>
  <c i="115" l="1" r="H9"/>
  <c i="115" r="H33"/>
  <c i="115" r="H71"/>
  <c i="115" r="H86"/>
  <c i="115" r="H63"/>
  <c i="115" r="H78"/>
  <c i="115" r="H68"/>
  <c i="115" r="H84"/>
  <c i="115" r="H60"/>
  <c i="115" r="H76"/>
  <c i="115" r="H92"/>
  <c i="115" r="H48"/>
  <c i="115" r="H45"/>
  <c i="115" r="H62"/>
  <c i="115" r="H53"/>
  <c i="115" r="H94"/>
  <c i="115" r="H87"/>
  <c i="115" r="H79"/>
  <c i="115" r="H69"/>
  <c i="115" r="H85"/>
  <c i="115" r="H56"/>
  <c i="115" r="H95"/>
  <c i="115" r="H18"/>
  <c i="115" r="H70"/>
  <c i="115" r="H61"/>
  <c i="115" r="H77"/>
  <c i="115" r="H93"/>
  <c i="115" r="H66"/>
  <c i="115" r="H38"/>
  <c i="115" r="H57"/>
  <c i="115" r="H30"/>
  <c i="115" r="H98"/>
  <c i="115" r="H42"/>
  <c i="115" r="H23"/>
  <c i="115" r="H54"/>
  <c i="115" r="H89"/>
  <c i="115" r="H27"/>
  <c i="115" r="H51"/>
  <c i="115" r="H58"/>
  <c i="115" r="H43"/>
  <c i="115" r="H24"/>
  <c i="115" r="H39"/>
  <c i="115" r="H22"/>
  <c i="115" r="H50"/>
  <c i="115" r="H91"/>
  <c i="115" r="H75"/>
  <c i="115" r="H15"/>
  <c i="115" r="H67"/>
  <c i="115" r="H88"/>
  <c i="115" r="H44"/>
  <c i="115" r="H13"/>
  <c i="115" r="H20"/>
  <c i="115" r="H65"/>
  <c i="115" r="H73"/>
  <c i="115" r="H59"/>
  <c i="115" r="H96"/>
  <c i="115" r="H90"/>
  <c i="115" r="H21"/>
  <c i="115" r="H34"/>
  <c i="115" r="H40"/>
  <c i="115" r="H83"/>
  <c i="115" r="H36"/>
  <c i="115" r="H46"/>
  <c i="115" r="H97"/>
  <c i="115" r="H31"/>
  <c i="115" r="H25"/>
  <c i="115" r="H26"/>
  <c i="115" r="H14"/>
  <c i="115" r="H19"/>
  <c i="115" r="H28"/>
  <c i="115" r="H82"/>
  <c i="115" r="H37"/>
  <c i="115" r="H72"/>
  <c i="115" r="H32"/>
  <c i="115" r="H35"/>
  <c i="115" r="H29"/>
  <c i="115" r="H47"/>
  <c i="115" r="H64"/>
  <c i="115" r="H80"/>
  <c i="115" r="H74"/>
  <c i="115" r="H49"/>
  <c i="115" r="H41"/>
  <c i="115" r="H16"/>
  <c i="115" r="H17"/>
  <c i="115" r="H81"/>
  <c i="115" r="H52"/>
  <c i="115" r="H55"/>
  <c i="115" r="H12"/>
  <c i="115" r="H11"/>
  <c i="115" r="H10"/>
  <c i="31" r="D15"/>
  <c i="31" r="D8" s="1"/>
  <c i="31" r="E15"/>
  <c i="31" r="E8" s="1"/>
  <c i="31" r="F15"/>
  <c i="31" r="C15"/>
  <c i="34" r="F22"/>
  <c i="34" r="E22"/>
  <c i="34" r="D22"/>
  <c i="34" r="C22"/>
  <c i="34" r="F16"/>
  <c i="34" r="E16"/>
  <c i="34" r="D16"/>
  <c i="34" r="C16"/>
  <c i="34" r="F12"/>
  <c i="34" r="E12"/>
  <c i="34" r="D12"/>
  <c i="34" r="C12"/>
  <c i="34" r="F9"/>
  <c i="34" r="E9"/>
  <c i="34" r="D9"/>
  <c i="34" r="C9"/>
  <c i="31" l="1" r="F8"/>
  <c i="34" r="F15"/>
  <c i="31" r="C8"/>
  <c i="34" r="D15"/>
  <c i="34" r="D8" s="1"/>
  <c i="34" r="C15"/>
  <c i="34" r="E15"/>
  <c i="34" r="E8" s="1"/>
  <c i="33" r="F9"/>
  <c i="33" r="E9"/>
  <c i="33" r="E8" s="1"/>
  <c i="33" r="D9"/>
  <c i="33" r="D8" s="1"/>
  <c i="33" r="C9"/>
  <c i="34" l="1" r="F8"/>
  <c i="33" r="C8"/>
  <c i="169" r="I129"/>
  <c i="169" r="J129" s="1"/>
  <c i="169" r="I130"/>
  <c i="169" r="J130" s="1"/>
  <c i="34" r="C8"/>
  <c i="33" r="F8"/>
  <c i="29" r="D10"/>
  <c i="29" r="E10"/>
  <c i="29" r="F10"/>
  <c i="29" r="D14"/>
  <c i="29" r="E14"/>
  <c i="29" r="F14"/>
  <c i="29" r="D19"/>
  <c i="29" r="E19"/>
  <c i="29" r="F19"/>
  <c i="29" r="D27"/>
  <c i="29" r="E27"/>
  <c i="29" r="F27"/>
  <c i="169" r="I167"/>
  <c i="169" r="J167" s="1"/>
  <c i="169" r="I169"/>
  <c i="169" r="J169" s="1"/>
  <c i="169" r="I173"/>
  <c i="169" r="J173" s="1"/>
  <c i="169" r="I177"/>
  <c i="169" r="J177" s="1"/>
  <c i="169" r="I179"/>
  <c i="169" r="J179" s="1"/>
  <c i="169" r="I181"/>
  <c i="169" r="J181" s="1"/>
  <c i="51" r="D15"/>
  <c i="51" r="D19"/>
  <c i="51" r="D23"/>
  <c i="51" r="D27"/>
  <c i="51" r="D31"/>
  <c i="51" r="D35"/>
  <c i="51" r="D39"/>
  <c i="51" r="D43"/>
  <c i="51" r="D47"/>
  <c i="51" r="D51"/>
  <c i="51" r="D55"/>
  <c i="51" r="D59"/>
  <c i="51" r="D63"/>
  <c i="51" r="D11"/>
  <c i="51" r="D14"/>
  <c i="51" r="D22"/>
  <c i="51" r="D30"/>
  <c i="51" r="D34"/>
  <c i="51" r="D38"/>
  <c i="51" r="D46"/>
  <c i="51" r="D54"/>
  <c i="51" r="D62"/>
  <c i="51" r="D10"/>
  <c i="8" r="D16"/>
  <c i="8" r="E16"/>
  <c i="8" r="F16"/>
  <c i="8" r="D32"/>
  <c i="8" r="E32"/>
  <c i="8" r="F32"/>
  <c i="8" r="C16"/>
  <c i="8" r="C32"/>
  <c i="8" l="1" r="C31"/>
  <c i="8" r="C8" s="1"/>
  <c i="8" r="C15"/>
  <c i="8" r="F15"/>
  <c i="169" r="I163"/>
  <c i="169" r="J163" s="1"/>
  <c i="169" r="I159"/>
  <c i="169" r="J159" s="1"/>
  <c i="169" r="I161"/>
  <c i="169" r="J161" s="1"/>
  <c i="169" r="I183"/>
  <c i="169" r="J183" s="1"/>
  <c i="169" r="I175"/>
  <c i="169" r="J175" s="1"/>
  <c i="169" r="I171"/>
  <c i="169" r="J171" s="1"/>
  <c i="169" r="I165"/>
  <c i="169" r="J165" s="1"/>
  <c i="169" r="I152"/>
  <c i="169" r="J152" s="1"/>
  <c i="51" r="D50"/>
  <c i="169" r="I144"/>
  <c i="169" r="J144" s="1"/>
  <c i="169" r="I136"/>
  <c i="169" r="J136" s="1"/>
  <c i="51" r="D18"/>
  <c i="8" r="D15"/>
  <c i="59" r="D34"/>
  <c i="56" r="C20"/>
  <c i="8" r="E15"/>
  <c i="59" r="D35"/>
  <c i="169" r="I156"/>
  <c i="169" r="J156" s="1"/>
  <c i="51" r="D58"/>
  <c i="169" r="I148"/>
  <c i="169" r="J148" s="1"/>
  <c i="51" r="D42"/>
  <c i="169" r="I140"/>
  <c i="169" r="J140" s="1"/>
  <c i="51" r="D26"/>
  <c i="51" r="D67"/>
  <c i="169" r="I146"/>
  <c i="169" r="J146" s="1"/>
  <c i="169" r="I158"/>
  <c i="169" r="J158" s="1"/>
  <c i="169" r="I142"/>
  <c i="169" r="J142" s="1"/>
  <c i="169" r="I154"/>
  <c i="169" r="J154" s="1"/>
  <c i="169" r="I138"/>
  <c i="169" r="J138" s="1"/>
  <c i="169" r="I150"/>
  <c i="169" r="J150" s="1"/>
  <c i="169" r="I134"/>
  <c i="169" r="J134" s="1"/>
  <c i="169" r="I196"/>
  <c i="169" r="J196" s="1"/>
  <c i="169" r="I194"/>
  <c i="169" r="J194" s="1"/>
  <c i="60" r="D11"/>
  <c i="29" r="F18"/>
  <c i="29" r="E18"/>
  <c i="60" r="D30" s="1"/>
  <c i="29" r="F9"/>
  <c i="60" r="D14"/>
  <c i="60" r="D15"/>
  <c i="8" r="F31"/>
  <c i="29" r="D18"/>
  <c i="60" r="D31" s="1"/>
  <c i="29" r="E9"/>
  <c i="60" r="D26" s="1"/>
  <c i="29" r="D9"/>
  <c i="60" r="D27" s="1"/>
  <c i="60" r="D18"/>
  <c i="60" r="D19"/>
  <c i="60" r="D10"/>
  <c i="169" r="I193"/>
  <c i="169" r="J193" s="1"/>
  <c i="169" r="I195"/>
  <c i="169" r="J195" s="1"/>
  <c i="169" r="I132"/>
  <c i="169" r="J132" s="1"/>
  <c i="8" r="E31"/>
  <c i="8" r="D31"/>
  <c i="3" r="D200"/>
  <c i="3" r="C200"/>
  <c i="3" r="D176"/>
  <c i="170" r="C176" s="1"/>
  <c i="170" r="E176" s="1"/>
  <c i="3" r="C176"/>
  <c i="3" r="D170"/>
  <c i="170" r="C170" s="1"/>
  <c i="170" r="E170" s="1"/>
  <c i="3" r="C170"/>
  <c i="3" r="D163"/>
  <c i="170" r="C163" s="1"/>
  <c i="170" r="E163" s="1"/>
  <c i="3" r="C163"/>
  <c i="3" r="D156"/>
  <c i="170" r="C156" s="1"/>
  <c i="170" r="E156" s="1"/>
  <c i="3" r="C156"/>
  <c i="170" l="1" r="C200"/>
  <c i="170" r="E200" s="1"/>
  <c i="168" r="N17"/>
  <c i="168" r="O17" s="1"/>
  <c i="168" r="N18"/>
  <c i="168" r="O18" s="1"/>
  <c i="191" r="H13"/>
  <c i="169" r="I190"/>
  <c i="169" r="J190" s="1"/>
  <c i="169" r="I123"/>
  <c i="169" r="J123" s="1"/>
  <c i="169" r="I126"/>
  <c i="169" r="J126" s="1"/>
  <c i="169" r="I127"/>
  <c i="169" r="J127" s="1"/>
  <c i="169" r="I188"/>
  <c i="169" r="J188" s="1"/>
  <c i="169" r="I125"/>
  <c i="169" r="J125" s="1"/>
  <c i="8" r="F8"/>
  <c i="169" r="I128"/>
  <c i="169" r="J128" s="1"/>
  <c i="169" r="I192"/>
  <c i="169" r="J192" s="1"/>
  <c i="51" r="H67"/>
  <c i="51" r="E67"/>
  <c i="60" r="D35"/>
  <c i="8" r="E8"/>
  <c i="59" r="D43"/>
  <c i="59" r="D51" s="1"/>
  <c i="56" r="F20"/>
  <c i="56" r="G20"/>
  <c i="51" r="I67"/>
  <c i="8" r="D8"/>
  <c i="59" r="D42"/>
  <c i="59" r="D50" s="1"/>
  <c i="60" r="D34"/>
  <c i="51" r="G67"/>
  <c i="51" r="D66"/>
  <c i="51" r="D69" s="1"/>
  <c i="56" r="C24"/>
  <c i="51" r="F67"/>
  <c i="29" r="F8"/>
  <c i="29" r="E8"/>
  <c i="29" r="D8"/>
  <c i="169" r="I191"/>
  <c i="169" r="J191" s="1"/>
  <c i="191" l="1" r="H11"/>
  <c i="169" r="I124"/>
  <c i="169" r="J124" s="1"/>
  <c i="169" r="I186"/>
  <c i="169" r="J186" s="1"/>
  <c i="51" r="G66"/>
  <c i="51" r="G69" s="1"/>
  <c i="51" r="I66"/>
  <c i="51" r="I69" s="1"/>
  <c i="51" r="F66"/>
  <c i="51" r="F69" s="1"/>
  <c i="51" r="H66"/>
  <c i="51" r="H69" s="1"/>
  <c i="60" r="I34"/>
  <c i="51" r="E66"/>
  <c i="51" r="E69" s="1"/>
  <c i="60" r="H35"/>
  <c i="60" r="E34"/>
  <c i="59" r="G50"/>
  <c i="59" r="G51"/>
  <c i="59" r="H51"/>
  <c i="60" r="E35"/>
  <c i="59" r="I50"/>
  <c i="59" r="I51"/>
  <c i="59" r="H50"/>
  <c i="60" r="H34"/>
  <c i="60" r="I35"/>
  <c i="56" r="F24"/>
  <c i="56" r="G24"/>
  <c i="169" r="I103"/>
  <c i="169" r="J103" s="1"/>
  <c i="169" r="I102"/>
  <c i="169" r="J102" s="1"/>
  <c i="29" r="C27"/>
  <c i="29" r="C19"/>
  <c i="29" r="C14"/>
  <c i="29" r="C10"/>
  <c i="191" l="1" r="H16"/>
  <c i="191" r="H17"/>
  <c i="59" r="F50"/>
  <c i="59" r="E50"/>
  <c i="60" r="G34"/>
  <c i="60" r="F34"/>
  <c i="60" r="G35"/>
  <c i="60" r="F35"/>
  <c i="59" r="F51"/>
  <c i="59" r="E51"/>
  <c i="29" r="C18"/>
  <c i="29" r="C9"/>
  <c i="30" r="A11"/>
  <c i="30" r="A12" s="1"/>
  <c i="30" r="A13" s="1"/>
  <c i="30" r="A14" s="1"/>
  <c i="30" r="A15" s="1"/>
  <c i="30" r="A16" s="1"/>
  <c i="30" r="A17" s="1"/>
  <c i="30" r="A18" s="1"/>
  <c i="30" r="A19" s="1"/>
  <c i="30" r="A20" s="1"/>
  <c i="30" r="A21" s="1"/>
  <c i="30" r="A22" s="1"/>
  <c i="30" r="A23" s="1"/>
  <c i="30" r="A24" s="1"/>
  <c i="30" r="A25" s="1"/>
  <c i="30" r="A26" s="1"/>
  <c i="30" r="A27" s="1"/>
  <c i="30" r="A28" s="1"/>
  <c i="30" r="A29" s="1"/>
  <c i="30" r="A30" s="1"/>
  <c i="30" r="A31" s="1"/>
  <c i="30" r="A32" s="1"/>
  <c i="30" r="A33" s="1"/>
  <c i="30" r="A34" s="1"/>
  <c i="30" r="A36" s="1"/>
  <c i="30" r="A37" s="1"/>
  <c i="30" r="A38" s="1"/>
  <c i="30" r="A39" s="1"/>
  <c i="30" r="A40" s="1"/>
  <c i="30" r="A41" s="1"/>
  <c i="30" r="A42" s="1"/>
  <c i="30" r="A43" s="1"/>
  <c i="30" r="A44" s="1"/>
  <c i="30" r="A45" s="1"/>
  <c i="30" r="A46" s="1"/>
  <c i="30" r="A47" s="1"/>
  <c i="30" r="A48" s="1"/>
  <c i="30" r="A49" s="1"/>
  <c i="30" r="A50" s="1"/>
  <c i="30" r="A51" s="1"/>
  <c i="30" r="A52" s="1"/>
  <c i="30" r="A53" s="1"/>
  <c i="169" l="1" r="I187"/>
  <c i="169" r="J187" s="1"/>
  <c i="169" r="I189"/>
  <c i="169" r="J189" s="1"/>
  <c i="29" r="C8"/>
  <c i="191" l="1" r="H12"/>
  <c i="191" r="H23"/>
  <c i="169" r="I185"/>
  <c i="169" r="J185" s="1"/>
  <c i="3" r="D282"/>
  <c i="3" r="C282"/>
  <c i="3" r="D113"/>
  <c i="170" r="C113" s="1"/>
  <c i="170" r="E113" s="1"/>
  <c i="3" r="C113"/>
  <c i="132" l="1" r="C31"/>
  <c i="191" r="D37"/>
  <c i="191" r="H21"/>
  <c i="191" r="H26"/>
  <c i="191" r="H20"/>
  <c i="191" r="H9"/>
  <c i="55" r="C24"/>
  <c i="3" r="D275"/>
  <c i="3" r="C275"/>
  <c i="191" l="1" r="D36"/>
  <c i="169" r="I48"/>
  <c i="169" r="I49"/>
  <c i="132" r="C30"/>
  <c i="3" r="D293"/>
  <c i="3" r="C293"/>
  <c i="55" r="D24"/>
  <c i="55" r="F24" s="1"/>
  <c i="55" r="E24"/>
  <c i="55" r="G24" s="1"/>
  <c i="191" l="1" r="D38"/>
  <c i="169" r="E49"/>
  <c i="169" r="J49" s="1"/>
  <c i="132" r="C32"/>
  <c i="169" r="E48"/>
  <c i="169" r="J48" s="1"/>
  <c i="115" r="K65"/>
  <c i="115" r="I65"/>
  <c i="115" r="K72"/>
  <c i="115" r="I72"/>
  <c i="115" r="K24"/>
  <c i="115" r="I24"/>
  <c i="115" r="K38"/>
  <c i="115" r="I38"/>
  <c i="115" r="K61"/>
  <c i="115" r="I61"/>
  <c i="115" r="K18"/>
  <c i="115" r="I18"/>
  <c i="115" r="K47"/>
  <c i="115" r="I47"/>
  <c i="115" r="K67"/>
  <c i="115" r="I67"/>
  <c i="57" r="D23"/>
  <c i="57" r="G23" s="1"/>
  <c i="57" r="D19"/>
  <c i="57" r="G19" s="1"/>
  <c i="57" r="D16"/>
  <c i="57" r="G16" s="1"/>
  <c i="57" r="D11"/>
  <c i="57" r="G11" s="1"/>
  <c i="115" r="K96"/>
  <c i="115" r="I96"/>
  <c i="115" r="K75"/>
  <c i="115" r="I75"/>
  <c i="115" r="K51"/>
  <c i="115" r="I51"/>
  <c i="115" r="K42"/>
  <c i="115" r="I42"/>
  <c i="115" r="K12"/>
  <c i="115" r="I12"/>
  <c i="115" l="1" r="K64"/>
  <c i="115" r="I64"/>
  <c i="115" r="K69"/>
  <c i="115" r="I69"/>
  <c i="115" r="K70"/>
  <c i="115" r="I70"/>
  <c i="116" r="K23"/>
  <c i="116" r="F23"/>
  <c i="116" r="I23"/>
  <c i="116" r="K19"/>
  <c i="116" r="F19"/>
  <c i="116" r="I19"/>
  <c i="116" r="K16"/>
  <c i="116" r="F16"/>
  <c i="116" r="I16"/>
  <c i="116" r="K11"/>
  <c i="116" r="F11"/>
  <c i="116" r="I11"/>
  <c i="57" r="D10"/>
  <c i="57" r="G10" s="1"/>
  <c i="115" r="K74"/>
  <c i="115" r="I74"/>
  <c i="115" r="K11"/>
  <c i="115" r="I11"/>
  <c i="116" l="1" r="L23"/>
  <c i="116" r="J23"/>
  <c i="116" r="L19"/>
  <c i="116" r="J19"/>
  <c i="116" r="L16"/>
  <c i="116" r="J16"/>
  <c i="116" r="K10"/>
  <c i="116" r="I10"/>
  <c i="116" r="L11"/>
  <c i="116" r="J11"/>
  <c i="116" l="1" r="L10"/>
  <c i="116" r="J10"/>
  <c i="115" r="F10"/>
  <c i="115" r="K10"/>
  <c i="115" r="I10"/>
  <c i="115" r="F22"/>
  <c i="115" r="F42"/>
  <c i="115" r="F16"/>
  <c i="115" r="F32"/>
  <c i="115" r="F50"/>
  <c i="115" r="F34"/>
  <c i="115" r="K9"/>
  <c i="115" r="F62"/>
  <c i="115" r="F88"/>
  <c i="115" r="F33"/>
  <c i="115" r="F49"/>
  <c i="115" r="F19"/>
  <c i="115" r="F37"/>
  <c i="115" r="F40"/>
  <c i="115" r="F20"/>
  <c i="115" r="F38"/>
  <c i="115" r="F36"/>
  <c i="115" r="F46"/>
  <c i="115" r="F54"/>
  <c i="115" r="F23"/>
  <c i="115" r="F31"/>
  <c i="115" r="F41"/>
  <c i="115" r="F45"/>
  <c i="115" r="F26"/>
  <c i="115" r="F30"/>
  <c i="115" r="F9"/>
  <c i="115" r="F13"/>
  <c i="115" r="F70"/>
  <c i="115" r="F18"/>
  <c i="115" r="F80"/>
  <c i="115" r="F53"/>
  <c i="115" r="F24"/>
  <c i="115" r="F28"/>
  <c i="115" r="F86"/>
  <c i="115" r="F15"/>
  <c i="115" r="F27"/>
  <c i="115" r="F94"/>
  <c i="115" r="F58"/>
  <c i="115" r="F47"/>
  <c i="115" r="F35"/>
  <c i="115" r="F92"/>
  <c i="115" r="F51"/>
  <c i="115" r="F39"/>
  <c i="115" r="F25"/>
  <c i="115" r="F44"/>
  <c i="115" r="F90"/>
  <c i="115" r="F97"/>
  <c i="115" r="F65"/>
  <c i="115" r="F66"/>
  <c i="115" r="F56"/>
  <c i="115" r="F96"/>
  <c i="115" r="F74"/>
  <c i="115" r="F68"/>
  <c i="115" r="F52"/>
  <c i="115" r="F89"/>
  <c i="115" r="F87"/>
  <c i="115" r="F77"/>
  <c i="115" r="F61"/>
  <c i="115" r="F83"/>
  <c i="115" r="F64"/>
  <c i="115" r="F82"/>
  <c i="115" r="F78"/>
  <c i="115" r="F84"/>
  <c i="115" r="F76"/>
  <c i="115" r="F21"/>
  <c i="115" r="F60"/>
  <c i="115" r="F43"/>
  <c i="115" r="F29"/>
  <c i="115" r="F73"/>
  <c i="115" r="F95"/>
  <c i="115" r="F79"/>
  <c i="115" r="F63"/>
  <c i="115" r="F85"/>
  <c i="115" r="F69"/>
  <c i="115" r="F91"/>
  <c i="115" r="F75"/>
  <c i="115" r="F59"/>
  <c i="115" r="F48"/>
  <c i="115" r="F17"/>
  <c i="115" r="F81"/>
  <c i="115" r="F55"/>
  <c i="115" r="F72"/>
  <c i="115" r="F98"/>
  <c i="115" r="F57"/>
  <c i="115" r="F14"/>
  <c i="115" r="F71"/>
  <c i="115" r="F93"/>
  <c i="115" r="F67"/>
  <c i="115" r="I9"/>
  <c i="115" r="F12"/>
  <c i="115" r="F11"/>
  <c i="169" r="I109"/>
  <c i="169" r="J109" s="1"/>
  <c i="169" r="I108"/>
  <c i="169" r="J108" s="1"/>
  <c i="169" r="I84"/>
  <c i="169" r="I87"/>
  <c i="169" r="I89"/>
  <c i="169" l="1" r="I71"/>
  <c i="169" r="I100"/>
  <c i="169" r="I92"/>
  <c i="169" r="I90"/>
  <c i="169" r="I86"/>
  <c i="169" r="I72"/>
  <c i="169" r="I91"/>
  <c i="169" r="I85"/>
  <c i="169" r="E79"/>
  <c i="169" r="I99"/>
  <c i="169" r="E83"/>
  <c i="169" r="I83"/>
  <c i="169" r="I88"/>
  <c i="169" r="E80"/>
  <c i="56" r="C15"/>
  <c i="56" r="C22"/>
  <c i="169" r="E84"/>
  <c i="169" r="J84" s="1"/>
  <c i="169" r="E81"/>
  <c i="56" r="C12"/>
  <c i="56" r="C16"/>
  <c i="56" r="C23"/>
  <c i="56" r="C29"/>
  <c i="56" r="C14"/>
  <c i="56" r="C21"/>
  <c i="56" r="C27"/>
  <c i="56" r="C13"/>
  <c i="56" r="C17"/>
  <c i="56" r="C26"/>
  <c i="56" r="C30"/>
  <c i="56" r="C28"/>
  <c i="115" r="L14"/>
  <c i="115" r="J14"/>
  <c i="115" r="L59"/>
  <c i="115" r="J59"/>
  <c i="115" r="L73"/>
  <c i="115" r="J73"/>
  <c i="115" r="L21"/>
  <c i="115" r="J21"/>
  <c i="115" r="L77"/>
  <c i="115" r="J77"/>
  <c i="115" r="L66"/>
  <c i="115" r="J66"/>
  <c i="115" r="L92"/>
  <c i="115" r="J92"/>
  <c i="115" r="L18"/>
  <c i="115" r="J18"/>
  <c i="115" r="L36"/>
  <c i="115" r="J36"/>
  <c i="115" r="L88"/>
  <c i="115" r="J88"/>
  <c i="115" r="J50"/>
  <c i="115" r="L50"/>
  <c i="115" r="L67"/>
  <c i="115" r="J67"/>
  <c i="115" r="L81"/>
  <c i="115" r="J81"/>
  <c i="115" r="L76"/>
  <c i="115" r="J76"/>
  <c i="115" r="L87"/>
  <c i="115" r="J87"/>
  <c i="115" r="L35"/>
  <c i="115" r="J35"/>
  <c i="115" r="L70"/>
  <c i="115" r="J70"/>
  <c i="115" r="L32"/>
  <c i="115" r="J32"/>
  <c i="115" r="L98"/>
  <c i="115" r="J98"/>
  <c i="115" r="L79"/>
  <c i="115" r="J79"/>
  <c i="115" r="L43"/>
  <c i="115" r="J43"/>
  <c i="115" r="L84"/>
  <c i="115" r="J84"/>
  <c i="115" r="L83"/>
  <c i="115" r="J83"/>
  <c i="115" r="L89"/>
  <c i="115" r="J89"/>
  <c i="115" r="L96"/>
  <c i="115" r="J96"/>
  <c i="115" r="L97"/>
  <c i="115" r="J97"/>
  <c i="115" r="L39"/>
  <c i="115" r="J39"/>
  <c i="115" r="L47"/>
  <c i="115" r="J47"/>
  <c i="115" r="L15"/>
  <c i="115" r="J15"/>
  <c i="115" r="L53"/>
  <c i="115" r="J53"/>
  <c i="115" r="L13"/>
  <c i="115" r="J13"/>
  <c i="115" r="L45"/>
  <c i="115" r="J45"/>
  <c i="115" r="L54"/>
  <c i="115" r="J54"/>
  <c i="115" r="L20"/>
  <c i="115" r="J20"/>
  <c i="115" r="L49"/>
  <c i="115" r="J49"/>
  <c i="115" r="L16"/>
  <c i="115" r="J16"/>
  <c i="115" r="L55"/>
  <c i="115" r="J55"/>
  <c i="115" r="L85"/>
  <c i="115" r="J85"/>
  <c i="115" r="L82"/>
  <c i="115" r="J82"/>
  <c i="115" r="L68"/>
  <c i="115" r="J68"/>
  <c i="115" r="L44"/>
  <c i="115" r="J44"/>
  <c i="115" r="L94"/>
  <c i="115" r="J94"/>
  <c i="115" r="L28"/>
  <c i="115" r="J28"/>
  <c i="115" r="L30"/>
  <c i="115" r="J30"/>
  <c i="115" r="L31"/>
  <c i="115" r="J31"/>
  <c i="115" r="L37"/>
  <c i="115" r="J37"/>
  <c i="115" r="L22"/>
  <c i="115" r="J22"/>
  <c i="115" r="L57"/>
  <c i="115" r="J57"/>
  <c i="115" r="L75"/>
  <c i="115" r="J75"/>
  <c i="115" r="L63"/>
  <c i="115" r="J63"/>
  <c i="115" r="L29"/>
  <c i="115" r="J29"/>
  <c i="115" r="L64"/>
  <c i="115" r="J64"/>
  <c i="115" r="L74"/>
  <c i="115" r="J74"/>
  <c i="115" r="L65"/>
  <c i="115" r="J65"/>
  <c i="115" r="L25"/>
  <c i="115" r="J25"/>
  <c i="115" r="L27"/>
  <c i="115" r="J27"/>
  <c i="115" r="L24"/>
  <c i="115" r="J24"/>
  <c i="115" r="L26"/>
  <c i="115" r="J26"/>
  <c i="115" r="L23"/>
  <c i="115" r="J23"/>
  <c i="115" r="L38"/>
  <c i="115" r="J38"/>
  <c i="115" r="L19"/>
  <c i="115" r="J19"/>
  <c i="115" r="L62"/>
  <c i="115" r="J62"/>
  <c i="115" r="L11"/>
  <c i="115" r="J11"/>
  <c i="115" r="L93"/>
  <c i="115" r="J93"/>
  <c i="115" r="L17"/>
  <c i="115" r="J17"/>
  <c i="115" r="L91"/>
  <c i="115" r="J91"/>
  <c i="115" r="L12"/>
  <c i="115" r="J12"/>
  <c i="115" r="L71"/>
  <c i="115" r="J71"/>
  <c i="115" r="L72"/>
  <c i="115" r="J72"/>
  <c i="115" r="L48"/>
  <c i="115" r="J48"/>
  <c i="115" r="L69"/>
  <c i="115" r="J69"/>
  <c i="115" r="L95"/>
  <c i="115" r="J95"/>
  <c i="115" r="L60"/>
  <c i="115" r="J60"/>
  <c i="115" r="L78"/>
  <c i="115" r="J78"/>
  <c i="115" r="L61"/>
  <c i="115" r="J61"/>
  <c i="115" r="L52"/>
  <c i="115" r="J52"/>
  <c i="115" r="L56"/>
  <c i="115" r="J56"/>
  <c i="115" r="L90"/>
  <c i="115" r="J90"/>
  <c i="115" r="L51"/>
  <c i="115" r="J51"/>
  <c i="115" r="L58"/>
  <c i="115" r="J58"/>
  <c i="115" r="L86"/>
  <c i="115" r="J86"/>
  <c i="115" r="L80"/>
  <c i="115" r="J80"/>
  <c i="115" r="L9"/>
  <c i="115" r="J9"/>
  <c i="115" r="L41"/>
  <c i="115" r="J41"/>
  <c i="115" r="L46"/>
  <c i="115" r="J46"/>
  <c i="115" r="J40"/>
  <c i="115" r="L40"/>
  <c i="115" r="L33"/>
  <c i="115" r="J33"/>
  <c i="115" r="L34"/>
  <c i="115" r="J34"/>
  <c i="115" r="L42"/>
  <c i="115" r="J42"/>
  <c i="115" r="L10"/>
  <c i="115" r="J10"/>
  <c i="169" r="E85"/>
  <c i="169" r="E87"/>
  <c i="169" r="J87" s="1"/>
  <c i="169" r="E82"/>
  <c i="169" r="E89"/>
  <c i="169" r="J89" s="1"/>
  <c i="169" r="I98"/>
  <c i="169" r="I97"/>
  <c i="169" l="1" r="E100"/>
  <c i="169" r="J100" s="1"/>
  <c i="169" r="I94"/>
  <c i="169" r="E92"/>
  <c i="169" r="J92" s="1"/>
  <c i="169" r="E88"/>
  <c i="169" r="J88" s="1"/>
  <c i="169" r="E99"/>
  <c i="169" r="J99" s="1"/>
  <c i="169" r="I79"/>
  <c i="169" r="J79" s="1"/>
  <c i="169" r="E71"/>
  <c i="169" r="J71" s="1"/>
  <c i="169" r="E86"/>
  <c i="169" r="J86" s="1"/>
  <c i="169" r="E90"/>
  <c i="169" r="J90" s="1"/>
  <c i="169" r="E72"/>
  <c i="169" r="J72" s="1"/>
  <c i="169" r="E91"/>
  <c i="169" r="J91" s="1"/>
  <c i="169" r="I93"/>
  <c i="169" r="J85"/>
  <c i="169" r="J83"/>
  <c i="169" r="I80"/>
  <c i="169" r="J80" s="1"/>
  <c i="56" r="F15"/>
  <c i="56" r="G15"/>
  <c i="56" r="C11"/>
  <c i="56" r="C19"/>
  <c i="56" r="F30"/>
  <c i="56" r="G30"/>
  <c i="56" r="F17"/>
  <c i="56" r="G17"/>
  <c i="56" r="F27"/>
  <c i="56" r="G27"/>
  <c i="56" r="F13"/>
  <c i="56" r="G13"/>
  <c i="56" r="C18"/>
  <c i="56" r="F14"/>
  <c i="56" r="G14"/>
  <c i="56" r="F23"/>
  <c i="56" r="G23"/>
  <c i="56" r="F12"/>
  <c i="56" r="G12"/>
  <c i="56" r="F26"/>
  <c i="56" r="G26"/>
  <c i="56" r="F21"/>
  <c i="56" r="G21"/>
  <c i="56" r="F29"/>
  <c i="56" r="G29"/>
  <c i="56" r="F16"/>
  <c i="56" r="G16"/>
  <c i="56" r="F22"/>
  <c i="56" r="G22"/>
  <c i="56" r="F28"/>
  <c i="56" r="G28"/>
  <c i="56" r="C25"/>
  <c i="169" r="E93"/>
  <c i="3" r="D272"/>
  <c i="170" r="C272" s="1"/>
  <c i="170" r="E272" s="1"/>
  <c i="3" r="D253"/>
  <c i="170" r="C253" s="1"/>
  <c i="170" r="E253" s="1"/>
  <c i="3" r="D248"/>
  <c i="170" r="C248" s="1"/>
  <c i="170" r="E248" s="1"/>
  <c i="3" r="D243"/>
  <c i="170" r="C243" s="1"/>
  <c i="170" r="E243" s="1"/>
  <c i="3" r="D234"/>
  <c i="3" r="D231"/>
  <c i="170" r="C231" s="1"/>
  <c i="170" r="E231" s="1"/>
  <c i="3" r="D228"/>
  <c i="170" r="C228" s="1"/>
  <c i="170" r="E228" s="1"/>
  <c i="3" r="D226"/>
  <c i="170" r="C226" s="1"/>
  <c i="170" r="E226" s="1"/>
  <c i="3" r="D223"/>
  <c i="3" r="D221"/>
  <c i="170" r="C221" s="1"/>
  <c i="170" r="E221" s="1"/>
  <c i="3" r="D215"/>
  <c i="170" r="C215" s="1"/>
  <c i="170" r="E215" s="1"/>
  <c i="3" r="D196"/>
  <c i="170" r="C196" s="1"/>
  <c i="170" r="E196" s="1"/>
  <c i="3" r="D191"/>
  <c i="3" r="D187"/>
  <c i="170" r="C187" s="1"/>
  <c i="170" r="E187" s="1"/>
  <c i="3" r="D149"/>
  <c i="170" r="C149" s="1"/>
  <c i="170" r="E149" s="1"/>
  <c i="3" r="D143"/>
  <c i="170" r="C143" s="1"/>
  <c i="170" r="E143" s="1"/>
  <c i="3" r="D135"/>
  <c i="170" r="C135" s="1"/>
  <c i="170" r="E135" s="1"/>
  <c i="3" r="D128"/>
  <c i="170" r="C128" s="1"/>
  <c i="170" r="E128" s="1"/>
  <c i="3" r="D118"/>
  <c i="3" r="D108"/>
  <c i="170" r="C108" s="1"/>
  <c i="170" r="E108" s="1"/>
  <c i="3" r="D105"/>
  <c i="170" r="C105" s="1"/>
  <c i="170" r="E105" s="1"/>
  <c i="3" r="D102"/>
  <c i="170" r="C102" s="1"/>
  <c i="170" r="E102" s="1"/>
  <c i="3" r="D78"/>
  <c i="170" r="C78" s="1"/>
  <c i="170" r="E78" s="1"/>
  <c i="3" r="D73"/>
  <c i="170" r="C73" s="1"/>
  <c i="170" r="E73" s="1"/>
  <c i="3" r="D70"/>
  <c i="170" r="C70" s="1"/>
  <c i="170" r="E70" s="1"/>
  <c i="3" r="D58"/>
  <c i="3" r="D54"/>
  <c i="170" r="C54" s="1"/>
  <c i="170" r="E54" s="1"/>
  <c i="3" r="D52"/>
  <c i="170" r="C52" s="1"/>
  <c i="170" r="E52" s="1"/>
  <c i="3" r="D43"/>
  <c i="170" r="C43" s="1"/>
  <c i="170" r="E43" s="1"/>
  <c i="3" r="D39"/>
  <c i="170" r="C39" s="1"/>
  <c i="170" r="E39" s="1"/>
  <c i="3" r="D34"/>
  <c i="170" r="C34" s="1"/>
  <c i="170" r="E34" s="1"/>
  <c i="3" r="D28"/>
  <c i="170" r="C28" s="1"/>
  <c i="170" r="E28" s="1"/>
  <c i="3" r="D26"/>
  <c i="3" r="D24"/>
  <c i="3" r="D22"/>
  <c i="170" r="C22" s="1"/>
  <c i="170" r="E22" s="1"/>
  <c i="3" r="D20"/>
  <c i="170" r="C20" s="1"/>
  <c i="170" r="E20" s="1"/>
  <c i="3" r="D11"/>
  <c i="3" r="C272"/>
  <c i="3" r="C253"/>
  <c i="3" r="C248"/>
  <c i="3" r="C243"/>
  <c i="3" r="C234"/>
  <c i="3" r="C231"/>
  <c i="3" r="C228"/>
  <c i="3" r="C226"/>
  <c i="3" r="C223"/>
  <c i="3" r="C221"/>
  <c i="3" r="C215"/>
  <c i="3" r="C196"/>
  <c i="3" r="C191"/>
  <c i="3" r="C187"/>
  <c i="3" r="C149"/>
  <c i="3" r="C143"/>
  <c i="3" r="C135"/>
  <c i="3" r="C128"/>
  <c i="3" r="C118"/>
  <c i="3" r="C108"/>
  <c i="3" r="C105"/>
  <c i="3" r="C102"/>
  <c i="170" l="1" r="C11"/>
  <c i="170" r="E11" s="1"/>
  <c i="170" r="C223"/>
  <c i="170" r="E223" s="1"/>
  <c i="170" r="C24"/>
  <c i="170" r="E24" s="1"/>
  <c i="170" r="C58"/>
  <c i="170" r="E58" s="1"/>
  <c i="170" r="C191"/>
  <c i="170" r="E191" s="1"/>
  <c i="169" r="I56"/>
  <c i="170" r="C26"/>
  <c i="170" r="E26" s="1"/>
  <c i="170" r="C234"/>
  <c i="170" r="E234" s="1"/>
  <c i="169" r="I57"/>
  <c i="170" r="C118"/>
  <c i="170" r="E118" s="1"/>
  <c i="169" r="I62"/>
  <c i="169" r="I66"/>
  <c i="169" r="I64"/>
  <c i="169" r="J93"/>
  <c i="169" r="I52"/>
  <c i="169" r="I68"/>
  <c i="169" r="I60"/>
  <c i="169" r="I53"/>
  <c i="169" r="I61"/>
  <c i="169" r="I65"/>
  <c i="169" r="I69"/>
  <c i="169" r="I63"/>
  <c i="169" r="I96"/>
  <c i="169" r="E98"/>
  <c i="169" r="J98" s="1"/>
  <c i="169" r="E97"/>
  <c i="169" r="J97" s="1"/>
  <c i="169" r="I95"/>
  <c i="169" r="I81"/>
  <c i="169" r="J81" s="1"/>
  <c i="169" r="I67"/>
  <c i="169" r="E94"/>
  <c i="169" r="J94" s="1"/>
  <c i="169" r="I82"/>
  <c i="169" r="J82" s="1"/>
  <c i="55" r="C29"/>
  <c i="55" r="C28"/>
  <c i="55" r="C14"/>
  <c i="3" r="D83"/>
  <c i="170" r="C83" s="1"/>
  <c i="170" r="E83" s="1"/>
  <c i="55" r="C21"/>
  <c i="55" r="C27"/>
  <c i="56" r="F11"/>
  <c i="56" r="G11"/>
  <c i="55" r="C30"/>
  <c i="56" r="F18"/>
  <c i="56" r="G18"/>
  <c i="55" r="C13"/>
  <c i="55" r="C17"/>
  <c i="55" r="C26"/>
  <c i="56" r="F19"/>
  <c i="56" r="G19"/>
  <c i="55" r="C12"/>
  <c i="55" r="C16"/>
  <c i="55" r="C23"/>
  <c i="55" r="C15"/>
  <c i="55" r="C22"/>
  <c i="56" r="C10"/>
  <c i="56" r="F25"/>
  <c i="56" r="G25"/>
  <c i="3" r="C83"/>
  <c i="3" r="C117"/>
  <c i="3" r="C230"/>
  <c i="3" r="D155"/>
  <c i="170" r="C155" s="1"/>
  <c i="170" r="E155" s="1"/>
  <c i="3" r="C155"/>
  <c i="3" r="C225"/>
  <c i="3" r="D220"/>
  <c i="170" r="C220" s="1"/>
  <c i="170" r="E220" s="1"/>
  <c i="3" r="C220"/>
  <c i="3" r="D57"/>
  <c i="170" r="C57" s="1"/>
  <c i="170" r="E57" s="1"/>
  <c i="3" r="C259"/>
  <c i="3" r="D259"/>
  <c i="170" r="C259" s="1"/>
  <c i="170" r="E259" s="1"/>
  <c i="3" r="D225"/>
  <c i="170" r="C225" s="1"/>
  <c i="170" r="E225" s="1"/>
  <c i="3" r="D230"/>
  <c i="170" r="C230" s="1"/>
  <c i="170" r="E230" s="1"/>
  <c i="3" r="D117"/>
  <c i="170" r="C117" s="1"/>
  <c i="170" r="E117" s="1"/>
  <c i="3" r="D10"/>
  <c i="170" r="C10" s="1"/>
  <c i="170" r="E10" s="1"/>
  <c i="3" r="C26"/>
  <c i="3" r="C24"/>
  <c i="3" r="C22"/>
  <c i="3" r="C20"/>
  <c i="3" r="C11"/>
  <c i="3" r="C28"/>
  <c i="3" r="C34"/>
  <c i="3" r="C39"/>
  <c i="3" r="C43"/>
  <c i="3" r="C52"/>
  <c i="3" r="C54"/>
  <c i="3" r="C78"/>
  <c i="3" r="C73"/>
  <c i="3" r="C70"/>
  <c i="3" r="C58"/>
  <c i="169" l="1" r="E68"/>
  <c i="169" r="J68" s="1"/>
  <c i="191" r="D31"/>
  <c i="169" r="E66"/>
  <c i="169" r="J66" s="1"/>
  <c i="169" r="E64"/>
  <c i="169" r="J64" s="1"/>
  <c i="132" r="C28"/>
  <c i="191" r="D34"/>
  <c i="132" r="C24"/>
  <c i="191" r="D30"/>
  <c i="169" r="E57"/>
  <c i="169" r="J57" s="1"/>
  <c i="132" r="C25"/>
  <c i="169" r="E52"/>
  <c i="169" r="J52" s="1"/>
  <c i="169" r="I59"/>
  <c i="169" r="E61"/>
  <c i="169" r="J61" s="1"/>
  <c i="169" r="E53"/>
  <c i="169" r="J53" s="1"/>
  <c i="169" r="E60"/>
  <c i="169" r="J60" s="1"/>
  <c i="169" r="I58"/>
  <c i="169" r="E95"/>
  <c i="169" r="J95" s="1"/>
  <c i="169" r="E73"/>
  <c i="169" r="E74"/>
  <c i="169" r="E96"/>
  <c i="169" r="J96" s="1"/>
  <c i="169" r="E67"/>
  <c i="169" r="J67" s="1"/>
  <c i="169" r="E63"/>
  <c i="169" r="J63" s="1"/>
  <c i="169" r="E65"/>
  <c i="169" r="J65" s="1"/>
  <c i="169" r="E69"/>
  <c i="169" r="J69" s="1"/>
  <c i="169" r="E62"/>
  <c i="169" r="J62" s="1"/>
  <c i="169" r="E56"/>
  <c i="169" r="J56" s="1"/>
  <c i="55" r="E16"/>
  <c i="55" r="G16" s="1"/>
  <c i="55" r="D16"/>
  <c i="55" r="F16" s="1"/>
  <c i="55" r="E17"/>
  <c i="55" r="G17" s="1"/>
  <c i="55" r="D17"/>
  <c i="55" r="F17" s="1"/>
  <c i="55" r="C11"/>
  <c i="56" r="F10"/>
  <c i="56" r="G10"/>
  <c i="55" r="D22"/>
  <c i="55" r="F22" s="1"/>
  <c i="55" r="E22"/>
  <c i="55" r="G22" s="1"/>
  <c i="55" r="E23"/>
  <c i="55" r="G23" s="1"/>
  <c i="55" r="D23"/>
  <c i="55" r="F23" s="1"/>
  <c i="55" r="E21"/>
  <c i="55" r="G21" s="1"/>
  <c i="55" r="D21"/>
  <c i="55" r="F21" s="1"/>
  <c i="55" r="E29"/>
  <c i="55" r="G29" s="1"/>
  <c i="55" r="D29"/>
  <c i="55" r="F29" s="1"/>
  <c i="55" r="C18"/>
  <c i="55" r="E15"/>
  <c i="55" r="G15" s="1"/>
  <c i="55" r="D15"/>
  <c i="55" r="F15" s="1"/>
  <c i="55" r="E14"/>
  <c i="55" r="G14" s="1"/>
  <c i="55" r="D14"/>
  <c i="55" r="F14" s="1"/>
  <c i="55" r="E27"/>
  <c i="55" r="G27" s="1"/>
  <c i="55" r="D27"/>
  <c i="55" r="F27" s="1"/>
  <c i="55" r="C19"/>
  <c i="55" r="E28"/>
  <c i="55" r="G28" s="1"/>
  <c i="55" r="D28"/>
  <c i="55" r="F28" s="1"/>
  <c i="55" r="C25"/>
  <c i="55" r="E12"/>
  <c i="55" r="G12" s="1"/>
  <c i="55" r="D12"/>
  <c i="55" r="F12" s="1"/>
  <c i="55" r="E26"/>
  <c i="55" r="G26" s="1"/>
  <c i="55" r="D26"/>
  <c i="55" r="F26" s="1"/>
  <c i="55" r="E13"/>
  <c i="55" r="G13" s="1"/>
  <c i="55" r="D13"/>
  <c i="55" r="F13" s="1"/>
  <c i="55" r="E30"/>
  <c i="55" r="G30" s="1"/>
  <c i="55" r="D30"/>
  <c i="55" r="F30" s="1"/>
  <c i="56" r="C9"/>
  <c i="56" r="G9" s="1"/>
  <c i="3" r="D9"/>
  <c i="170" r="C9" s="1"/>
  <c i="170" r="E9" s="1"/>
  <c i="3" r="C154"/>
  <c i="3" r="D154"/>
  <c i="170" r="C154" s="1"/>
  <c i="170" r="E154" s="1"/>
  <c i="3" r="C57"/>
  <c i="3" r="C10"/>
  <c i="169" r="I107"/>
  <c i="169" r="J107" s="1"/>
  <c i="132" l="1" r="C27"/>
  <c i="191" r="D33"/>
  <c i="132" r="C23"/>
  <c i="191" r="D29"/>
  <c i="169" r="I73"/>
  <c i="169" r="J73" s="1"/>
  <c i="169" r="E75"/>
  <c i="169" r="I74"/>
  <c i="169" r="J74" s="1"/>
  <c i="169" r="E76"/>
  <c i="139" r="C14"/>
  <c i="139" r="E14"/>
  <c i="169" r="I45"/>
  <c i="169" r="E59"/>
  <c i="169" r="J59" s="1"/>
  <c i="110" r="C15"/>
  <c i="110" r="E15"/>
  <c i="110" r="C14"/>
  <c i="110" r="E14"/>
  <c i="169" r="I44"/>
  <c i="169" r="E58"/>
  <c i="169" r="J58" s="1"/>
  <c i="139" r="E15"/>
  <c i="139" r="C15"/>
  <c i="55" r="E25"/>
  <c i="55" r="G25" s="1"/>
  <c i="55" r="D25"/>
  <c i="55" r="F25" s="1"/>
  <c i="55" r="E19"/>
  <c i="55" r="G19" s="1"/>
  <c i="55" r="D19"/>
  <c i="55" r="F19" s="1"/>
  <c i="55" r="E11"/>
  <c i="55" r="G11" s="1"/>
  <c i="55" r="D11"/>
  <c i="55" r="F11" s="1"/>
  <c i="3" r="C153"/>
  <c i="55" r="E18"/>
  <c i="55" r="G18" s="1"/>
  <c i="55" r="D18"/>
  <c i="55" r="F18" s="1"/>
  <c i="56" r="F9"/>
  <c i="55" r="C10"/>
  <c i="3" r="D153"/>
  <c i="170" r="C153" s="1"/>
  <c i="170" r="E153" s="1"/>
  <c i="3" r="D8"/>
  <c i="170" r="C8" s="1"/>
  <c i="170" r="E8" s="1"/>
  <c i="3" r="C9"/>
  <c i="191" l="1" r="D32"/>
  <c i="132" r="C22"/>
  <c i="132" r="D25" s="1"/>
  <c i="191" r="D28"/>
  <c i="169" r="E45"/>
  <c i="169" r="J45" s="1"/>
  <c i="132" r="C26"/>
  <c i="169" r="E44"/>
  <c i="169" r="J44" s="1"/>
  <c i="169" r="I47"/>
  <c i="169" r="I77"/>
  <c i="169" r="J77" s="1"/>
  <c i="169" r="I75"/>
  <c i="169" r="J75" s="1"/>
  <c i="169" r="I78"/>
  <c i="169" r="J78" s="1"/>
  <c i="169" r="I76"/>
  <c i="169" r="J76" s="1"/>
  <c i="3" r="C8"/>
  <c i="55" r="C9"/>
  <c i="55" r="E10"/>
  <c i="55" r="G10" s="1"/>
  <c i="55" r="D10"/>
  <c i="55" r="F10" s="1"/>
  <c i="3" r="D274"/>
  <c i="105" l="1" r="E65"/>
  <c i="105" r="D44" s="1"/>
  <c i="105" r="E64"/>
  <c i="139" r="C12"/>
  <c i="132" r="D22"/>
  <c i="132" r="E22" s="1"/>
  <c i="132" r="D23"/>
  <c i="132" r="D30"/>
  <c i="132" r="E30" s="1"/>
  <c i="132" r="G30" s="1"/>
  <c i="132" r="D24"/>
  <c i="132" r="D29"/>
  <c i="132" r="C29"/>
  <c i="191" r="D35"/>
  <c i="132" r="D28"/>
  <c i="132" r="E28" s="1"/>
  <c i="132" r="G28" s="1"/>
  <c i="132" r="D27"/>
  <c i="132" r="F27" s="1"/>
  <c i="132" r="D31"/>
  <c i="132" r="E31" s="1"/>
  <c i="132" r="G31" s="1"/>
  <c i="132" r="D26"/>
  <c i="132" r="F26" s="1"/>
  <c i="139" r="E12"/>
  <c i="139" r="D12"/>
  <c i="139" r="D19" s="1"/>
  <c i="169" r="I46"/>
  <c i="169" r="I51"/>
  <c i="169" r="E47"/>
  <c i="169" r="J47" s="1"/>
  <c i="3" r="C274"/>
  <c i="55" r="D9"/>
  <c i="55" r="F9" s="1"/>
  <c i="55" r="E9"/>
  <c i="55" r="G9" s="1"/>
  <c i="3" r="D294"/>
  <c i="105" l="1" r="E44"/>
  <c i="105" r="C44" s="1"/>
  <c i="105" r="E67"/>
  <c i="105" r="E43"/>
  <c i="105" r="C43" s="1"/>
  <c i="105" r="D43"/>
  <c i="191" r="D39"/>
  <c i="169" r="E51"/>
  <c i="169" r="J51" s="1"/>
  <c i="132" r="C33"/>
  <c i="132" r="F31"/>
  <c i="132" r="E27"/>
  <c i="132" r="G27" s="1"/>
  <c i="169" r="I50"/>
  <c i="169" r="E46"/>
  <c i="169" r="J46" s="1"/>
  <c i="131" r="C10"/>
  <c i="139" r="I12"/>
  <c i="139" r="J19" s="1"/>
  <c i="139" r="A18" s="1"/>
  <c i="132" r="E26"/>
  <c i="3" r="C294"/>
  <c i="139" r="C13"/>
  <c i="139" r="E13"/>
  <c i="110" r="D12"/>
  <c i="110" r="E13"/>
  <c i="110" r="C13"/>
  <c i="132" r="F28"/>
  <c i="110" r="C12"/>
  <c i="110" r="E12"/>
  <c i="132" r="F22"/>
  <c i="113" r="J17" s="1"/>
  <c i="132" r="F30"/>
  <c i="132" r="E24"/>
  <c i="132" r="G24" s="1"/>
  <c i="132" r="F24"/>
  <c i="113" r="E17"/>
  <c i="113" r="L17" s="1"/>
  <c i="132" r="E25"/>
  <c i="132" r="G25" s="1"/>
  <c i="132" r="F25"/>
  <c i="132" r="F23"/>
  <c i="132" r="E23"/>
  <c i="132" r="G23" s="1"/>
  <c i="113" l="1" r="J18"/>
  <c i="113" r="E18"/>
  <c i="113" r="L18" s="1"/>
  <c i="110" r="BB12"/>
  <c i="110" r="BC19" s="1"/>
  <c i="110" r="A18" s="1"/>
  <c i="105" r="C37" s="1"/>
  <c i="110" r="D19"/>
  <c i="132" r="G26"/>
  <c i="169" r="E50"/>
  <c i="169" r="J50" s="1"/>
  <c i="132" r="F34"/>
  <c i="132" r="E34"/>
  <c i="105" l="1" r="E37"/>
  <c i="131" l="1" r="D10"/>
</calcChain>
</file>

<file path=xl/comments1.xml><?xml version="1.0" encoding="utf-8"?>
<comments xmlns="http://schemas.openxmlformats.org/spreadsheetml/2006/main">
  <authors>
    <author>Trainee</author>
  </authors>
  <commentList>
    <comment authorId="0" ref="W7"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authorId="0" ref="K8" shapeId="0">
      <text>
        <r>
          <rPr>
            <sz val="9"/>
            <color indexed="81"/>
            <rFont val="Tahoma"/>
            <family val="2"/>
          </rPr>
          <t>Хүлээн зөвшөөрсөн гэсэн хэсгийг хүлээн авсан болгож өөрчлөх, журамд тусгах</t>
        </r>
      </text>
    </comment>
    <comment authorId="0" ref="R9"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authorId="0" ref="AH7"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<sst xmlns="http://schemas.openxmlformats.org/spreadsheetml/2006/main" count="27997" uniqueCount="3884">
  <si>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</si>
  <si>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</si>
  <si>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</si>
  <si>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</si>
  <si>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</si>
  <si>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</si>
  <si>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</si>
  <si>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</si>
  <si>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</si>
  <si>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</si>
  <si>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</si>
  <si>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</si>
  <si>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</si>
  <si>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</si>
  <si>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</si>
  <si>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</si>
  <si>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</si>
  <si>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</si>
  <si>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</si>
  <si>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</si>
  <si>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</si>
  <si>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</si>
  <si>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</si>
  <si>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</si>
  <si>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</si>
  <si>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</si>
  <si>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</si>
  <si>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</si>
  <si>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</si>
  <si>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</si>
  <si>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</si>
  <si>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</si>
  <si>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</si>
  <si>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</si>
  <si>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</si>
  <si>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</si>
  <si>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</si>
  <si>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</si>
  <si>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</si>
  <si>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</si>
  <si>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</si>
  <si>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</si>
  <si>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</si>
  <si>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</si>
  <si>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</si>
  <si>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</si>
  <si>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</si>
  <si>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</si>
  <si>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</si>
  <si>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</si>
  <si>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</si>
  <si>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</si>
  <si>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</si>
  <si>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</si>
  <si>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</si>
  <si>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</si>
  <si>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</si>
  <si>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</si>
  <si>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</si>
  <si>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</si>
  <si>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</si>
  <si>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</si>
  <si>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</si>
  <si>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</si>
  <si>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</si>
  <si>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</si>
  <si>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</si>
  <si>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</si>
  <si>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</si>
  <si>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</si>
  <si>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</si>
  <si>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</si>
  <si>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</si>
  <si>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</si>
  <si>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</si>
  <si>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</si>
  <si>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</si>
  <si>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</si>
  <si>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</si>
  <si>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</si>
  <si>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</si>
  <si>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</si>
  <si>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</si>
  <si>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</si>
  <si>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</si>
  <si>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</si>
  <si>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</si>
  <si>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</si>
  <si>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</si>
  <si>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</si>
  <si>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</si>
  <si>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</si>
  <si>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</si>
  <si>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</si>
  <si>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</si>
  <si>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</si>
  <si>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</si>
  <si>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</si>
  <si>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</si>
  <si>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</si>
  <si>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</si>
  <si>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</si>
  <si>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</si>
  <si>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</si>
  <si>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</si>
  <si>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</si>
  <si>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</si>
  <si>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</si>
  <si>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</si>
  <si>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</si>
  <si>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</si>
  <si>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</si>
  <si>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</si>
  <si>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</si>
  <si>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</si>
  <si>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</si>
  <si>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</si>
  <si>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</si>
  <si>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</si>
  <si>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</si>
  <si>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</si>
  <si>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</si>
  <si>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</si>
  <si>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</si>
  <si>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</si>
  <si>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</si>
  <si>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</si>
  <si>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</si>
  <si>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</si>
  <si>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</si>
  <si>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</si>
  <si>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</si>
  <si>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</si>
  <si>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</si>
  <si>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</si>
  <si>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</si>
  <si>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</si>
  <si>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</si>
  <si>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</si>
  <si>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</si>
  <si>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</si>
  <si>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</si>
  <si>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</si>
  <si>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</si>
  <si>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</si>
  <si>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</si>
  <si>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</si>
  <si>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</si>
  <si>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</si>
  <si>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</si>
  <si>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</si>
  <si>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</si>
  <si>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</si>
  <si>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</si>
  <si>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</si>
  <si>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</si>
  <si>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</si>
  <si>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</si>
  <si>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</si>
  <si>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</si>
  <si>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</si>
  <si>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</si>
  <si>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</si>
  <si>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</si>
  <si>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</si>
  <si>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</si>
  <si>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</si>
  <si>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</si>
  <si>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</si>
  <si>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</si>
  <si>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</si>
  <si>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</si>
  <si>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</si>
  <si>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</si>
  <si>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</si>
  <si>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</si>
  <si>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</si>
  <si>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</si>
  <si>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</si>
  <si>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</si>
  <si>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</si>
  <si>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</si>
  <si>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</si>
  <si>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</si>
  <si>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</si>
  <si>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</si>
  <si>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</si>
  <si>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</si>
  <si>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</si>
  <si>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</si>
  <si>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</si>
  <si>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</si>
  <si>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</si>
  <si>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</si>
  <si>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</si>
  <si>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</si>
  <si>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</si>
  <si>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</si>
  <si>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</si>
  <si>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</si>
  <si>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</si>
  <si>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</si>
  <si>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</si>
  <si>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</si>
  <si>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</si>
  <si>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</si>
  <si>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</si>
  <si>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</si>
  <si>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</si>
  <si>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</si>
  <si>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</si>
  <si>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</si>
  <si>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</si>
  <si>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</si>
  <si>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</si>
  <si>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</si>
  <si>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</si>
  <si>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</si>
  <si>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</si>
  <si>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</si>
  <si>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</si>
  <si>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</si>
  <si>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</si>
  <si>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</si>
  <si>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</si>
  <si>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</si>
  <si>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</si>
  <si>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</si>
  <si>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</si>
  <si>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</si>
  <si>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</si>
  <si>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</si>
  <si>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</si>
  <si>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</si>
  <si>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</si>
  <si>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</si>
  <si>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</si>
  <si>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</si>
  <si>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</si>
  <si>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</si>
  <si>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</si>
  <si>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</si>
  <si>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</si>
  <si>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</si>
  <si>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</si>
  <si>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</si>
  <si>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</si>
  <si>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</si>
  <si>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</si>
  <si>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</si>
  <si>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</si>
  <si>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</si>
  <si>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</si>
  <si>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</si>
  <si>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</si>
  <si>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</si>
  <si>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</si>
  <si>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</si>
  <si>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</si>
  <si>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</si>
  <si>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</si>
  <si>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</si>
  <si>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</si>
  <si>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</si>
  <si>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</si>
  <si>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</si>
  <si>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</si>
  <si>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</si>
  <si>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</si>
  <si>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</si>
  <si>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</si>
  <si>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</si>
  <si>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</si>
  <si>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</si>
  <si>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</si>
  <si>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</si>
  <si>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</si>
  <si>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</si>
  <si>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</si>
  <si>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</si>
  <si>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</si>
  <si>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</si>
  <si>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</si>
  <si>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</si>
  <si>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</si>
  <si>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</si>
  <si>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</si>
  <si>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</si>
  <si>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</si>
  <si>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</si>
  <si>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</si>
  <si>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</si>
  <si>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</si>
  <si>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</si>
  <si>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</si>
  <si>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</si>
  <si>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</si>
  <si>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</si>
  <si>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</si>
  <si>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</si>
  <si>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</si>
  <si>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</si>
  <si>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</si>
  <si>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</si>
  <si>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</si>
  <si>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</si>
  <si>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</si>
  <si>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</si>
  <si>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</si>
  <si>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</si>
  <si>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</si>
  <si>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</si>
  <si>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</si>
  <si>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</si>
  <si>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</si>
  <si>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</si>
  <si>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</si>
  <si>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</si>
  <si>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</si>
  <si>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</si>
  <si>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</si>
  <si>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</si>
  <si>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</si>
  <si>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</si>
  <si>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</si>
  <si>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</si>
  <si>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</si>
  <si>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</si>
  <si>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</si>
  <si>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</si>
  <si>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</si>
  <si>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</si>
  <si>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</si>
  <si>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</si>
  <si>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</si>
  <si>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</si>
  <si>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</si>
  <si>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</si>
  <si>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</si>
  <si>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</si>
  <si>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</si>
  <si>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</si>
  <si>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</si>
  <si>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</si>
  <si>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</si>
  <si>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</si>
  <si>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</si>
  <si>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</si>
  <si>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</si>
  <si>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</si>
  <si>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</si>
  <si>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</si>
  <si>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</si>
  <si>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</si>
  <si>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</si>
  <si>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</si>
  <si>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</si>
  <si>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</si>
  <si>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</si>
  <si>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</si>
  <si>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</si>
  <si>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</si>
  <si>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</si>
  <si>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</si>
  <si>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</si>
  <si>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</si>
  <si>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</si>
  <si>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</si>
  <si>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</si>
  <si>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</si>
  <si>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</si>
  <si>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</si>
  <si>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</si>
  <si>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</si>
  <si>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</si>
  <si>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</si>
  <si>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</si>
  <si>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</si>
  <si>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</si>
  <si>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</si>
  <si>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</si>
  <si>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</si>
  <si>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</si>
  <si>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</si>
  <si>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</si>
  <si>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</si>
  <si>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</si>
  <si>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</si>
  <si>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</si>
  <si>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</si>
  <si>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</si>
  <si>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</si>
  <si>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</si>
  <si>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</si>
  <si>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</si>
  <si>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</si>
  <si>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</si>
  <si>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</si>
  <si>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</si>
  <si>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</si>
  <si>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</si>
  <si>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</si>
  <si>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</si>
  <si>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</si>
  <si>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</si>
  <si>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</si>
  <si>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</si>
  <si>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</si>
  <si>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</si>
  <si>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</si>
  <si>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</si>
  <si>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</si>
  <si>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</si>
  <si>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</si>
  <si>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</si>
  <si>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</si>
  <si>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</si>
  <si>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</si>
  <si>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</si>
  <si>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</si>
  <si>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</si>
  <si>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</si>
  <si>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</si>
  <si>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</si>
  <si>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</si>
  <si>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</si>
  <si>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</si>
  <si>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</si>
  <si>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</si>
  <si>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</si>
  <si>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</si>
  <si>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</si>
  <si>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</si>
  <si>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</si>
  <si>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</si>
  <si>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</si>
  <si>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</si>
  <si>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</si>
  <si>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</si>
  <si>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</si>
  <si>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</si>
  <si>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</si>
  <si>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</si>
  <si>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</si>
  <si>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</si>
  <si>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</si>
  <si>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</si>
  <si>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</si>
  <si>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</si>
  <si>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</si>
  <si>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</si>
  <si>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</si>
  <si>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</si>
  <si>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</si>
  <si>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</si>
  <si>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</si>
  <si>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</si>
  <si>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</si>
  <si>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</si>
  <si>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</si>
  <si>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</si>
  <si>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</si>
  <si>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</si>
  <si>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</si>
  <si>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</si>
  <si>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</si>
  <si>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</si>
  <si>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</si>
  <si>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</si>
  <si>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</si>
  <si>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</si>
  <si>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</si>
  <si>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</si>
  <si>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</si>
  <si>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</si>
  <si>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</si>
  <si>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</si>
  <si>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</si>
  <si>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</si>
  <si>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</si>
  <si>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</si>
  <si>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</si>
  <si>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</si>
  <si>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</si>
  <si>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</si>
  <si>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</si>
  <si>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</si>
  <si>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</si>
  <si>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</si>
  <si>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</si>
  <si>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</si>
  <si>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</si>
  <si>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</si>
  <si>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</si>
  <si>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</si>
  <si>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</si>
  <si>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</si>
  <si>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</si>
  <si>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</si>
  <si>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</si>
  <si>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</si>
  <si>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</si>
  <si>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</si>
  <si>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</si>
  <si>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</si>
  <si>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</si>
  <si>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</si>
  <si>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</si>
  <si>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</si>
  <si>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</si>
  <si>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</si>
  <si>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</si>
  <si>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</si>
  <si>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</si>
  <si>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</si>
  <si>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</si>
  <si>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</si>
  <si>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</si>
  <si>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</si>
  <si>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</si>
  <si>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</si>
  <si>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</si>
  <si>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</si>
  <si>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</si>
  <si>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</si>
  <si>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</si>
  <si>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</si>
  <si>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</si>
  <si>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</si>
  <si>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</si>
  <si>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</si>
  <si>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</si>
  <si>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</si>
  <si>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</si>
  <si>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</si>
  <si>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</si>
  <si>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</si>
  <si>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</si>
  <si>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</si>
  <si>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</si>
  <si>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</si>
  <si>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</si>
  <si>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</si>
  <si>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</si>
  <si>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</si>
  <si>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</si>
  <si>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</si>
  <si>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</si>
  <si>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</si>
  <si>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</si>
  <si>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</si>
  <si>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</si>
  <si>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</si>
  <si>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</si>
  <si>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</si>
  <si>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</si>
  <si>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</si>
  <si>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</si>
  <si>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</si>
  <si>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</si>
  <si>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</si>
  <si>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</si>
  <si>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</si>
  <si>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</si>
  <si>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</si>
  <si>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</si>
  <si>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</si>
  <si>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</si>
  <si>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</si>
  <si>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</si>
  <si>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</si>
  <si>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</si>
  <si>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</si>
  <si>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</si>
  <si>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</si>
  <si>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</si>
  <si>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</si>
  <si>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</si>
  <si>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</si>
  <si>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</si>
  <si>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</si>
  <si>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</si>
  <si>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</si>
  <si>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</si>
  <si>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</si>
  <si>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</si>
  <si>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</si>
  <si>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</si>
  <si>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</si>
  <si>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</si>
  <si>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</si>
  <si>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</si>
  <si>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</si>
  <si>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</si>
  <si>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</si>
  <si>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</si>
  <si>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</si>
  <si>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</si>
  <si>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</si>
  <si>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</si>
  <si>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</si>
  <si>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</si>
  <si>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</si>
  <si>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</si>
  <si>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</si>
  <si>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</si>
  <si>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</si>
  <si>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</si>
  <si>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</si>
  <si>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</si>
  <si>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</si>
  <si>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</si>
  <si>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</si>
  <si>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</si>
  <si>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</si>
  <si>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</si>
  <si>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</si>
  <si>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</si>
  <si>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</si>
  <si>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</si>
  <si>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</si>
  <si>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</si>
  <si>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</si>
  <si>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</si>
  <si>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</si>
  <si>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</si>
  <si>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</si>
  <si>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</si>
  <si>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</si>
  <si>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</si>
  <si>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</si>
  <si>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</si>
  <si>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</si>
  <si>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</si>
  <si>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</si>
  <si>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</si>
  <si>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</si>
  <si>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</si>
  <si>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</si>
  <si>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</si>
  <si>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</si>
  <si>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</si>
  <si>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</si>
  <si>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</si>
  <si>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</si>
  <si>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</si>
  <si>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</si>
  <si>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</si>
  <si>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</si>
  <si>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</si>
  <si>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</si>
  <si>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</si>
  <si>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</si>
  <si>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</si>
  <si>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</si>
  <si>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</si>
  <si>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</si>
  <si>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</si>
  <si>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</si>
  <si>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</si>
  <si>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</si>
  <si>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</si>
  <si>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</si>
  <si>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</si>
  <si>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</si>
  <si>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</si>
  <si>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</si>
  <si>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</si>
  <si>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</si>
  <si>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</si>
  <si>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</si>
  <si>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</si>
  <si>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</si>
  <si>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</si>
  <si>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</si>
  <si>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</si>
  <si>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</si>
  <si>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</si>
  <si>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</si>
  <si>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</si>
  <si>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</si>
  <si>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</si>
  <si>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</si>
  <si>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</si>
  <si>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</si>
  <si>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</si>
  <si>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</si>
  <si>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</si>
  <si>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</si>
  <si>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</si>
  <si>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</si>
  <si>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</si>
  <si>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</si>
  <si>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</si>
  <si>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</si>
  <si>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</si>
  <si>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</si>
  <si>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</si>
  <si>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</si>
  <si>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</si>
  <si>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</si>
  <si>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</si>
  <si>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</si>
  <si>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</si>
  <si>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</si>
  <si>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</si>
  <si>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</si>
  <si>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</si>
  <si>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</si>
  <si>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</si>
  <si>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</si>
  <si>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</si>
  <si>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</si>
  <si>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</si>
  <si>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</si>
  <si>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</si>
  <si>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</si>
  <si>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</si>
  <si>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</si>
  <si>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</si>
  <si>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</si>
  <si>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</si>
  <si>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</si>
  <si>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</si>
  <si>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</si>
  <si>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</si>
  <si>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</si>
  <si>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</si>
  <si>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</si>
  <si>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</si>
  <si>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</si>
  <si>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</si>
  <si>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</si>
  <si>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</si>
  <si>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</si>
  <si>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</si>
  <si>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</si>
  <si>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</si>
  <si>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</si>
  <si>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</si>
  <si>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</si>
  <si>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</si>
  <si>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</si>
  <si>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</si>
  <si>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</si>
  <si>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</si>
  <si>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</si>
  <si>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</si>
  <si>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</si>
  <si>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</si>
  <si>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</si>
  <si>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</si>
  <si>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</si>
  <si>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</si>
  <si>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</si>
  <si>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</si>
  <si>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</si>
  <si>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</si>
  <si>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</si>
  <si>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</si>
  <si>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</si>
  <si>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</si>
  <si>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</si>
  <si>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</si>
  <si>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</si>
  <si>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</si>
  <si>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</si>
  <si>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</si>
  <si>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</si>
  <si>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</si>
  <si>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</si>
  <si>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</si>
  <si>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</si>
  <si>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</si>
  <si>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</si>
  <si>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</si>
  <si>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</si>
  <si>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</si>
  <si>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</si>
  <si>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</si>
  <si>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</si>
  <si>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</si>
  <si>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</si>
  <si>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</si>
  <si>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</si>
  <si>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</si>
  <si>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</si>
  <si>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</si>
  <si>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</si>
  <si>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</si>
  <si>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</si>
  <si>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</si>
  <si>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</si>
  <si>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</si>
  <si>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</si>
  <si>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</si>
  <si>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</si>
  <si>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</si>
  <si>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</si>
  <si>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</si>
  <si>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</si>
  <si>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</si>
  <si>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</si>
  <si>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</si>
  <si>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</si>
  <si>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</si>
  <si>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</si>
  <si>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</si>
  <si>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</si>
  <si>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</si>
  <si>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</si>
  <si>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</si>
  <si>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</si>
  <si>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</si>
  <si>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</si>
  <si>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</si>
  <si>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</si>
  <si>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</si>
  <si>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</si>
  <si>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</si>
  <si>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</si>
  <si>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</si>
  <si>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</si>
  <si>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</si>
  <si>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</si>
  <si>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</si>
  <si>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</si>
  <si>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</si>
  <si>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</si>
  <si>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</si>
  <si>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</si>
  <si>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</si>
  <si>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</si>
  <si>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</si>
  <si>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</si>
  <si>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</si>
  <si>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</si>
  <si>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</si>
  <si>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</si>
  <si>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</si>
  <si>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</si>
  <si>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</si>
  <si>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</si>
  <si>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</si>
  <si>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</si>
  <si>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</si>
  <si>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</si>
  <si>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</si>
  <si>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</si>
  <si>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</si>
  <si>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</si>
  <si>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</si>
  <si>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</si>
  <si>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</si>
  <si>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</si>
  <si>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</si>
  <si>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</si>
  <si>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</si>
  <si>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</si>
  <si>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</si>
  <si>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</si>
  <si>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</si>
  <si>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</si>
  <si>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</si>
  <si>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</si>
  <si>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</si>
  <si>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</si>
  <si>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</si>
  <si>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</si>
  <si>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</si>
  <si>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</si>
  <si>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</si>
  <si>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</si>
  <si>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</si>
  <si>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</si>
  <si>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</si>
  <si>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</si>
  <si>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</si>
  <si>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</si>
  <si>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</si>
  <si>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</si>
  <si>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</si>
  <si>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</si>
  <si>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</si>
  <si>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</si>
  <si>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</si>
  <si>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</si>
  <si>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</si>
  <si>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</si>
  <si>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</si>
  <si>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</si>
  <si>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</si>
  <si>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</si>
  <si>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</si>
  <si>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</si>
  <si>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</si>
  <si>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</si>
  <si>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</si>
  <si>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</si>
  <si>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</si>
  <si>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</si>
  <si>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</si>
  <si>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</si>
  <si>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</si>
  <si>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</si>
  <si>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</si>
  <si>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</si>
  <si>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</si>
  <si>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</si>
  <si>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</si>
  <si>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</si>
  <si>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</si>
  <si>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</si>
  <si>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</si>
  <si>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</si>
  <si>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</si>
  <si>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</si>
  <si>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</si>
  <si>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</si>
  <si>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</si>
  <si>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</si>
  <si>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</si>
  <si>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</si>
  <si>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</si>
  <si>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</si>
  <si>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</si>
  <si>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</si>
  <si>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</si>
  <si>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</si>
  <si>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</si>
  <si>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</si>
  <si>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</si>
  <si>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</si>
  <si>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</si>
  <si>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</si>
  <si>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</si>
  <si>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</si>
  <si>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</si>
  <si>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</si>
  <si>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</si>
  <si>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</si>
  <si>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</si>
  <si>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</si>
  <si>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</si>
  <si>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</si>
  <si>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</si>
  <si>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</si>
  <si>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</si>
  <si>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</si>
  <si>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</si>
  <si>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</si>
  <si>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</si>
  <si>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</si>
  <si>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</si>
  <si>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</si>
  <si>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</si>
  <si>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</si>
  <si>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</si>
  <si>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</si>
  <si>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</si>
  <si>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</si>
  <si>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</si>
  <si>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</si>
  <si>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</si>
  <si>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</si>
  <si>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</si>
  <si>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</si>
  <si>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</si>
  <si>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</si>
  <si>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</si>
  <si>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</si>
  <si>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</si>
  <si>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</si>
  <si>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</si>
  <si>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</si>
  <si>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</si>
  <si>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</si>
  <si>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</si>
  <si>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</si>
  <si>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</si>
  <si>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</si>
  <si>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</si>
  <si>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</si>
  <si>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</si>
  <si>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</si>
  <si>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</si>
  <si>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</si>
  <si>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</si>
  <si>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</si>
  <si>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</si>
  <si>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</si>
  <si>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</si>
  <si>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</si>
  <si>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</si>
  <si>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</si>
  <si>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</si>
  <si>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</si>
  <si>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</si>
  <si>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</si>
  <si>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</si>
  <si>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</si>
  <si>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</si>
  <si>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</si>
  <si>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</si>
  <si>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</si>
  <si>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</si>
  <si>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</si>
  <si>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</si>
  <si>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</si>
  <si>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</si>
  <si>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</si>
  <si>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</si>
  <si>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</si>
  <si>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</si>
  <si>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</si>
  <si>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</si>
  <si>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</si>
  <si>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</si>
  <si>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</si>
  <si>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</si>
  <si>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</si>
  <si>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</si>
  <si>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</si>
  <si>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</si>
  <si>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</si>
  <si>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</si>
  <si>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</si>
  <si>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</si>
  <si>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</si>
  <si>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</si>
  <si>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</si>
  <si>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</si>
  <si>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</si>
  <si>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</si>
  <si>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</si>
  <si>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</si>
  <si>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</si>
  <si>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</si>
  <si>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</si>
  <si>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</si>
  <si>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</si>
  <si>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</si>
  <si>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</si>
  <si>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</si>
  <si>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</si>
  <si>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</si>
  <si>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</si>
  <si>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</si>
  <si>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</si>
  <si>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</si>
  <si>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</si>
  <si>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</si>
  <si>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</si>
  <si>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</si>
  <si>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</si>
  <si>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</si>
  <si>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</si>
  <si>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</si>
  <si>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</si>
  <si>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</si>
  <si>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</si>
  <si>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</si>
  <si>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</si>
  <si>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</si>
  <si>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</si>
  <si>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</si>
  <si>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</si>
  <si>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</si>
  <si>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</si>
  <si>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</si>
  <si>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</si>
  <si>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</si>
  <si>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</si>
  <si>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</si>
  <si>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</si>
  <si>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</si>
  <si>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</si>
  <si>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</si>
  <si>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</si>
  <si>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</si>
  <si>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</si>
  <si>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</si>
  <si>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</si>
  <si>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</si>
  <si>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</si>
  <si>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</si>
  <si>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</si>
  <si>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</si>
  <si>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</si>
  <si>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</si>
  <si>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</si>
  <si>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</si>
  <si>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</si>
  <si>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</si>
  <si>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</si>
  <si>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</si>
  <si>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</si>
  <si>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</si>
  <si>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</si>
  <si>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</si>
  <si>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</si>
  <si>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</si>
  <si>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</si>
  <si>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</si>
  <si>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</si>
  <si>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</si>
  <si>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</si>
  <si>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</si>
  <si>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</si>
  <si>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</si>
  <si>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</si>
  <si>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</si>
  <si>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</si>
  <si>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</si>
  <si>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</si>
  <si>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</si>
  <si>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</si>
  <si>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</si>
  <si>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</si>
  <si>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</si>
  <si>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</si>
  <si>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</si>
  <si>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</si>
  <si>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</si>
  <si>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</si>
  <si>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</si>
  <si>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</si>
  <si>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</si>
  <si>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</si>
  <si>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</si>
  <si>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</si>
  <si>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</si>
  <si>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</si>
  <si>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</si>
  <si>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</si>
  <si>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</si>
  <si>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</si>
  <si>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</si>
  <si>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</si>
  <si>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</si>
  <si>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</si>
  <si>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</si>
  <si>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</si>
  <si>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</si>
  <si>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</si>
  <si>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</si>
  <si>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</si>
  <si>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</si>
  <si>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</si>
  <si>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</si>
  <si>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</si>
  <si>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</si>
  <si>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</si>
  <si>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</si>
  <si>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</si>
  <si>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</si>
  <si>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</si>
  <si>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</si>
  <si>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</si>
  <si>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</si>
  <si>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</si>
  <si>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</si>
  <si>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</si>
  <si>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</si>
  <si>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</si>
  <si>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</si>
  <si>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</si>
  <si>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</si>
  <si>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</si>
  <si>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</si>
  <si>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</si>
  <si>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</si>
  <si>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</si>
  <si>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</si>
  <si>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</si>
  <si>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</si>
  <si>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</si>
  <si>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</si>
  <si>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</si>
  <si>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</si>
  <si>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</si>
  <si>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</si>
  <si>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</si>
  <si>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</si>
  <si>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</si>
  <si>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</si>
  <si>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</si>
  <si>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</si>
  <si>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</si>
  <si>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</si>
  <si>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</si>
  <si>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</si>
  <si>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</si>
  <si>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</si>
  <si>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</si>
  <si>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</si>
  <si>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</si>
  <si>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</si>
  <si>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</si>
  <si>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</si>
  <si>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</si>
  <si>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</si>
  <si>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</si>
  <si>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</si>
  <si>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</si>
  <si>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</si>
  <si>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</si>
  <si>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</si>
  <si>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</si>
  <si>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</si>
  <si>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</si>
  <si>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</si>
  <si>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</si>
  <si>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</si>
  <si>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</si>
  <si>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</si>
  <si>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</si>
  <si>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</si>
  <si>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</si>
  <si>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</si>
  <si>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</si>
  <si>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</si>
  <si>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</si>
  <si>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</si>
  <si>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</si>
  <si>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</si>
  <si>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</si>
  <si>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</si>
  <si>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</si>
  <si>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</si>
  <si>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</si>
  <si>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</si>
  <si>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</si>
  <si>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</si>
  <si>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</si>
  <si>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</si>
  <si>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</si>
  <si>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</si>
  <si>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</si>
  <si>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</si>
  <si>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</si>
  <si>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</si>
  <si>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</si>
  <si>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</si>
  <si>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</si>
  <si>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</si>
  <si>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</si>
  <si>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</si>
  <si>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</si>
  <si>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</si>
  <si>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</si>
  <si>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</si>
  <si>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</si>
  <si>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</si>
  <si>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</si>
  <si>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</si>
  <si>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</si>
  <si>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</si>
  <si>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</si>
  <si>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</si>
  <si>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</si>
  <si>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</si>
  <si>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</si>
  <si>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</si>
  <si>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</si>
  <si>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</si>
  <si>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</si>
  <si>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</si>
  <si>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</si>
  <si>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</si>
  <si>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</si>
  <si>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</si>
  <si>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</si>
  <si>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</si>
  <si>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</si>
  <si>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</si>
  <si>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</si>
  <si>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</si>
  <si>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</si>
  <si>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</si>
  <si>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</si>
  <si>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</si>
  <si>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</si>
  <si>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</si>
  <si>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</si>
  <si>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</si>
  <si>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</si>
  <si>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</si>
  <si>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</si>
  <si>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</si>
  <si>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</si>
  <si>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</si>
  <si>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</si>
  <si>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</si>
  <si>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</si>
  <si>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</si>
  <si>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</si>
  <si>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</si>
  <si>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</si>
  <si>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</si>
  <si>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</si>
  <si>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</si>
  <si>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</si>
  <si>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</si>
  <si>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</si>
  <si>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</si>
  <si>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</si>
  <si>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</si>
  <si>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</si>
  <si>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</si>
  <si>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</si>
  <si>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</si>
  <si>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</si>
  <si>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</si>
  <si>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</si>
  <si>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</si>
  <si>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</si>
  <si>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</si>
  <si>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</si>
  <si>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</si>
  <si>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</si>
  <si>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</si>
  <si>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</si>
  <si>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</si>
  <si>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</si>
  <si>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</si>
  <si>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</si>
  <si>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</si>
  <si>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</si>
  <si>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</si>
  <si>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</si>
  <si>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</si>
  <si>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</si>
  <si>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</si>
  <si>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</si>
  <si>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</si>
  <si>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</si>
  <si>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</si>
  <si>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</si>
  <si>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</si>
  <si>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</si>
  <si>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</si>
  <si>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</si>
  <si>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</si>
  <si>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</si>
  <si>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</si>
  <si>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</si>
  <si>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</si>
  <si>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</si>
  <si>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</si>
  <si>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</si>
  <si>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</si>
  <si>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</si>
  <si>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</si>
  <si>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</si>
  <si>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</si>
  <si>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</si>
  <si>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</si>
  <si>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</si>
  <si>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</si>
  <si>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</si>
  <si>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</si>
  <si>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</si>
  <si>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</si>
  <si>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</si>
  <si>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</si>
  <si>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</si>
  <si>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</si>
  <si>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</si>
  <si>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</si>
  <si>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</si>
  <si>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</si>
  <si>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</si>
  <si>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</si>
  <si>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</si>
  <si>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</si>
  <si>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</si>
  <si>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</si>
  <si>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</si>
  <si>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</si>
  <si>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</si>
  <si>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</si>
  <si>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</si>
  <si>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</si>
  <si>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</si>
  <si>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</si>
  <si>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</si>
  <si>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</si>
  <si>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</si>
  <si>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</si>
  <si>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</si>
  <si>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</si>
  <si>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</si>
  <si>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</si>
  <si>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</si>
  <si>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</si>
  <si>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</si>
  <si>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</si>
  <si>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</si>
  <si>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</si>
  <si>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</si>
  <si>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</si>
  <si>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</si>
  <si>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</si>
  <si>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</si>
  <si>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</si>
  <si>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</si>
  <si>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</si>
  <si>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</si>
  <si>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</si>
  <si>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</si>
  <si>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</si>
  <si>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</si>
  <si>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</si>
  <si>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</si>
  <si>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</si>
  <si>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</si>
  <si>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</si>
  <si>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</si>
  <si>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</si>
  <si>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</si>
  <si>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</si>
  <si>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</si>
  <si>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</si>
  <si>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</si>
  <si>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</si>
  <si>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</si>
  <si>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</si>
  <si>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</si>
  <si>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</si>
  <si>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</si>
  <si>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</si>
  <si>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</si>
  <si>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</si>
  <si>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</si>
  <si>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</si>
  <si>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</si>
  <si>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</si>
  <si>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</si>
  <si>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</si>
  <si>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</si>
  <si>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</si>
  <si>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</si>
  <si>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</si>
  <si>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</si>
  <si>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</si>
  <si>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</si>
  <si>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</si>
  <si>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</si>
  <si>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</si>
  <si>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</si>
  <si>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</si>
  <si>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</si>
  <si>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</si>
  <si>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</si>
  <si>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</si>
  <si>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</si>
  <si>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</si>
  <si>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</si>
  <si>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</si>
  <si>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</si>
  <si>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</si>
  <si>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</si>
  <si>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</si>
  <si>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</si>
  <si>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</si>
  <si>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</si>
  <si>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</si>
  <si>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</si>
  <si>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</si>
  <si>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</si>
  <si>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</si>
  <si>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</si>
  <si>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</si>
  <si>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</si>
  <si>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</si>
  <si>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</si>
  <si>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</si>
  <si>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</si>
  <si>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</si>
  <si>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</si>
  <si>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</si>
  <si>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</si>
  <si>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</si>
  <si>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</si>
  <si>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</si>
  <si>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</si>
  <si>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</si>
  <si>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</si>
  <si>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</si>
  <si>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</si>
  <si>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</si>
  <si>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</si>
  <si>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</si>
  <si>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</si>
  <si>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</si>
  <si>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</si>
  <si>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</si>
  <si>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</si>
  <si>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</si>
  <si>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</si>
  <si>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</si>
  <si>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</si>
  <si>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</si>
  <si>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</si>
  <si>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</si>
  <si>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</si>
  <si>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</si>
  <si>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</si>
  <si>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</si>
  <si>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</si>
  <si>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</si>
  <si>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</si>
  <si>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</si>
  <si>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</si>
  <si>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</si>
  <si>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</si>
  <si>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</si>
  <si>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</si>
  <si>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</si>
  <si>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</si>
  <si>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</si>
  <si>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</si>
  <si>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</si>
  <si>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</si>
  <si>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</si>
  <si>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</si>
  <si>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</si>
  <si>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</si>
  <si>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</si>
  <si>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</si>
  <si>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</si>
  <si>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</si>
  <si>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</si>
  <si>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</si>
  <si>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</si>
  <si>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</si>
  <si>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</si>
  <si>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</si>
  <si>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</si>
  <si>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</si>
  <si>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</si>
  <si>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</si>
  <si>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</si>
  <si>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</si>
  <si>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</si>
  <si>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</si>
  <si>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</si>
  <si>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</si>
  <si>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</si>
  <si>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</si>
  <si>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</si>
  <si>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</si>
  <si>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</si>
  <si>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</si>
  <si>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</si>
  <si>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</si>
  <si>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</si>
  <si>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</si>
  <si>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</si>
  <si>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</si>
  <si>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</si>
  <si>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</si>
  <si>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</si>
  <si>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</si>
  <si>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</si>
  <si>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</si>
  <si>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</si>
  <si>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</si>
  <si>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</si>
  <si>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</si>
  <si>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</si>
  <si>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</si>
  <si>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</si>
  <si>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</si>
  <si>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</si>
  <si>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</si>
  <si>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</si>
  <si>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</si>
  <si>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</si>
  <si>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</si>
  <si>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</si>
  <si>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</si>
  <si>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</si>
  <si>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</si>
  <si>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</si>
  <si>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</si>
  <si>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</si>
  <si>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</si>
  <si>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</si>
  <si>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</si>
  <si>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</si>
  <si>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</si>
  <si>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</si>
  <si>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</si>
  <si>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</si>
  <si>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</si>
  <si>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</si>
  <si>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</si>
  <si>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</si>
  <si>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</si>
  <si>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</si>
  <si>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</si>
  <si>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</si>
  <si>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</si>
  <si>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</si>
  <si>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</si>
  <si>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</si>
  <si>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</si>
  <si>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</si>
  <si>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</si>
  <si>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</si>
  <si>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</si>
  <si>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</si>
  <si>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</si>
  <si>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</si>
  <si>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</si>
  <si>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</si>
  <si>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</si>
  <si>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</si>
  <si>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</si>
  <si>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</si>
  <si>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</si>
  <si>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</si>
  <si>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</si>
  <si>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</si>
  <si>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</si>
  <si>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</si>
  <si>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</si>
  <si>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</si>
  <si>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</si>
  <si>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</si>
  <si>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</si>
  <si>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</si>
  <si>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</si>
  <si>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</si>
  <si>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</si>
  <si>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</si>
  <si>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</si>
  <si>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</si>
  <si>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</si>
  <si>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</si>
  <si>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</si>
  <si>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</si>
  <si>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</si>
  <si>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</si>
  <si>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</si>
  <si>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</si>
  <si>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</si>
  <si>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</si>
  <si>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</si>
  <si>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</si>
  <si>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</si>
  <si>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</si>
  <si>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</si>
  <si>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</si>
  <si>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</si>
  <si>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</si>
  <si>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</si>
  <si>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</si>
  <si>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</si>
  <si>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</si>
  <si>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</si>
  <si>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</si>
  <si>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</si>
  <si>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</si>
  <si>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</si>
  <si>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</si>
  <si>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</si>
  <si>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</si>
  <si>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</si>
  <si>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</si>
  <si>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</si>
  <si>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</si>
  <si>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</si>
  <si>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</si>
  <si>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</si>
  <si>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</si>
  <si>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</si>
  <si>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</si>
  <si>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</si>
  <si>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</si>
  <si>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</si>
  <si>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</si>
  <si>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</si>
  <si>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</si>
  <si>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</si>
  <si>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</si>
  <si>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</si>
  <si>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</si>
  <si>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</si>
  <si>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</si>
  <si>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</si>
  <si>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</si>
  <si>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</si>
  <si>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</si>
  <si>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</si>
  <si>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</si>
  <si>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</si>
  <si>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</si>
  <si>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</si>
  <si>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</si>
  <si>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</si>
  <si>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</si>
  <si>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</si>
  <si>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</si>
  <si>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</si>
  <si>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</si>
  <si>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</si>
  <si>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</si>
  <si>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</si>
  <si>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</si>
  <si>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</si>
  <si>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</si>
  <si>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</si>
  <si>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</si>
  <si>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</si>
  <si>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</si>
  <si>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</si>
  <si>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</si>
  <si>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</si>
  <si>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</si>
  <si>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</si>
  <si>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</si>
  <si>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</si>
  <si>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</si>
  <si>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</si>
  <si>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</si>
  <si>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</si>
  <si>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</si>
  <si>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</si>
  <si>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</si>
  <si>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</si>
  <si>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</si>
  <si>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</si>
  <si>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</si>
  <si>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</si>
  <si>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</si>
  <si>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</si>
  <si>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</si>
  <si>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</si>
  <si>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</si>
  <si>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</si>
  <si>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</si>
  <si>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</si>
  <si>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</si>
  <si>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</si>
  <si>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</si>
  <si>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</si>
  <si>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</si>
  <si>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</si>
  <si>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</si>
  <si>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</si>
  <si>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</si>
  <si>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</si>
  <si>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</si>
  <si>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</si>
  <si>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</si>
  <si>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</si>
  <si>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</si>
  <si>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</si>
  <si>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</si>
  <si>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</si>
  <si>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</si>
  <si>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</si>
  <si>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</si>
  <si>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</si>
  <si>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</si>
  <si>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</si>
  <si>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</si>
  <si>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</si>
  <si>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</si>
  <si>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</si>
  <si>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</si>
  <si>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</si>
  <si>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</si>
  <si>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</si>
  <si>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</si>
  <si>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</si>
  <si>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</si>
  <si>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</si>
  <si>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</si>
  <si>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</si>
  <si>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</si>
  <si>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</si>
  <si>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</si>
  <si>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</si>
  <si>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</si>
  <si>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</si>
  <si>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</si>
  <si>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</si>
  <si>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</si>
  <si>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</si>
  <si>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</si>
  <si>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</si>
  <si>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</si>
  <si>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</si>
  <si>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</si>
  <si>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</si>
  <si>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</si>
  <si>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</si>
  <si>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</si>
  <si>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</si>
  <si>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</si>
  <si>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</si>
  <si>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</si>
  <si>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</si>
  <si>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</si>
  <si>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</si>
  <si>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</si>
  <si>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</si>
  <si>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</si>
  <si>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</si>
  <si>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</si>
  <si>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</si>
  <si>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</si>
  <si>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</si>
  <si>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</si>
  <si>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</si>
  <si>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</si>
  <si>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</si>
  <si>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</si>
  <si>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</si>
  <si>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</si>
  <si>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</si>
  <si>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</si>
  <si>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</si>
  <si>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</si>
  <si>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</si>
  <si>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</si>
  <si>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</si>
  <si>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</si>
  <si>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</si>
  <si>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</si>
  <si>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</si>
  <si>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</si>
  <si>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</si>
  <si>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</si>
  <si>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</si>
  <si>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</si>
  <si>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</si>
  <si>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</si>
  <si>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</si>
  <si>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</si>
  <si>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</si>
  <si>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</si>
  <si>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</si>
  <si>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</si>
  <si>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</si>
  <si>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</si>
  <si>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</si>
  <si>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</si>
  <si>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</si>
  <si>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</si>
  <si>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</si>
  <si>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</si>
  <si>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</si>
  <si>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</si>
  <si>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</si>
  <si>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</si>
  <si>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</si>
  <si>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</si>
  <si>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</si>
  <si>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</si>
  <si>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</si>
  <si>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</si>
  <si>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</si>
  <si>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</si>
  <si>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</si>
  <si>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</si>
  <si>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</si>
  <si>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</si>
  <si>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</si>
  <si>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</si>
  <si>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</si>
  <si>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</si>
  <si>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</si>
  <si>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</si>
  <si>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</si>
  <si>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</si>
  <si>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</si>
  <si>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</si>
  <si>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</si>
  <si>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</si>
  <si>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</si>
  <si>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</si>
  <si>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</si>
  <si>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</si>
  <si>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</si>
  <si>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</si>
  <si>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</si>
  <si>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</si>
  <si>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</si>
  <si>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</si>
  <si>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</si>
  <si>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</si>
  <si>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</si>
  <si>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</si>
  <si>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</si>
  <si>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</si>
  <si>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</si>
  <si>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</si>
  <si>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</si>
  <si>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</si>
  <si>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</si>
  <si>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</si>
  <si>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</si>
  <si>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</si>
  <si>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</si>
  <si>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</si>
  <si>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</si>
  <si>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</si>
  <si>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</si>
  <si>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</si>
  <si>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</si>
  <si>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</si>
  <si>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</si>
  <si>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</si>
  <si>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</si>
  <si>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</si>
  <si>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</si>
  <si>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</si>
  <si>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</si>
  <si>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</si>
  <si>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</si>
  <si>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</si>
  <si>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</si>
  <si>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</si>
  <si>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</si>
  <si>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</si>
  <si>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</si>
  <si>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</si>
  <si>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</si>
  <si>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</si>
  <si>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</si>
  <si>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</si>
  <si>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</si>
  <si>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</si>
  <si>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</si>
  <si>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</si>
  <si>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</si>
  <si>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</si>
  <si>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</si>
  <si>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</si>
  <si>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</si>
  <si>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</si>
  <si>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</si>
  <si>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</si>
  <si>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</si>
  <si>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</si>
  <si>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</si>
  <si>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</si>
  <si>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</si>
  <si>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</si>
  <si>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</si>
  <si>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</si>
  <si>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</si>
  <si>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</si>
  <si>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</si>
  <si>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</si>
  <si>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</si>
  <si>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</si>
  <si>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</si>
  <si>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</si>
  <si>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</si>
  <si>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</si>
  <si>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</si>
  <si>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</si>
  <si>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</si>
  <si>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</si>
  <si>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</si>
  <si>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</si>
  <si>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</si>
  <si>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</si>
  <si>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</si>
  <si>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</si>
  <si>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</si>
  <si>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</si>
  <si>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</si>
  <si>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</si>
  <si>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</si>
  <si>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</si>
  <si>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</si>
  <si>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</si>
  <si>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</si>
  <si>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</si>
  <si>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</si>
  <si>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</si>
  <si>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</si>
  <si>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</si>
  <si>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</si>
  <si>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</si>
  <si>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</si>
  <si>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</si>
  <si>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</si>
  <si>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</si>
  <si>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</si>
  <si>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</si>
  <si>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</si>
  <si>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</si>
  <si>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</si>
  <si>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</si>
  <si>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</si>
  <si>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</si>
  <si>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</si>
  <si>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</si>
  <si>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</si>
  <si>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</si>
  <si>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</si>
  <si>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</si>
  <si>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</si>
  <si>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</si>
  <si>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</si>
  <si>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</si>
  <si>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</si>
  <si>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</si>
  <si>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</si>
  <si>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</si>
  <si>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</si>
  <si>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</si>
  <si>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</si>
  <si>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</si>
  <si>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</si>
  <si>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</si>
  <si>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</si>
  <si>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</si>
  <si>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</si>
  <si>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</si>
  <si>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</si>
  <si>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</si>
  <si>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</si>
  <si>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</si>
  <si>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</si>
  <si>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</si>
  <si>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</si>
  <si>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</si>
  <si>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</si>
  <si>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</si>
  <si>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</si>
  <si>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</si>
  <si>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</si>
  <si>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</si>
  <si>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</si>
  <si>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</si>
  <si>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</si>
  <si>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</si>
  <si>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</si>
  <si>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</si>
  <si>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</si>
  <si>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</si>
  <si>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</si>
  <si>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</si>
  <si>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</si>
  <si>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</si>
  <si>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</si>
  <si>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</si>
  <si>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</si>
  <si>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</si>
  <si>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</si>
  <si>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</si>
  <si>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</si>
  <si>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</si>
  <si>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</si>
  <si>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</si>
  <si>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</si>
  <si>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</si>
  <si>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</si>
  <si>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</si>
  <si>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</si>
  <si>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</si>
  <si>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</si>
  <si>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</si>
  <si>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</si>
  <si>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</si>
  <si>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</si>
  <si>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</si>
  <si>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</si>
  <si>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</si>
  <si>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</si>
  <si>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</si>
  <si>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</si>
  <si>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</si>
  <si>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</si>
  <si>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</si>
  <si>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</si>
  <si>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</si>
  <si>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</si>
  <si>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</si>
  <si>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</si>
  <si>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</si>
  <si>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</si>
  <si>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</si>
  <si>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</si>
  <si>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</si>
  <si>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</si>
  <si>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</si>
  <si>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</si>
  <si>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</si>
  <si>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</si>
  <si>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</si>
  <si>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</si>
  <si>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</si>
  <si>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</si>
  <si>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</si>
  <si>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</si>
  <si>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</si>
  <si>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</si>
  <si>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</si>
  <si>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</si>
  <si>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</si>
  <si>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</si>
  <si>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</si>
  <si>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</si>
  <si>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</si>
  <si>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</si>
  <si>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</si>
  <si>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</si>
  <si>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</si>
  <si>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</si>
  <si>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</si>
  <si>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</si>
  <si>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</si>
  <si>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</si>
  <si>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</si>
  <si>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</si>
  <si>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</si>
  <si>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</si>
  <si>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</si>
  <si>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</si>
  <si>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</si>
  <si>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</si>
  <si>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</si>
  <si>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</si>
  <si>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</si>
  <si>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</si>
  <si>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</si>
  <si>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</si>
  <si>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</si>
  <si>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</si>
  <si>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</si>
  <si>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</si>
  <si>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</si>
  <si>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</si>
  <si>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</si>
  <si>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</si>
  <si>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</si>
  <si>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</si>
  <si>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</si>
  <si>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</si>
  <si>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</si>
  <si>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</si>
  <si>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</si>
  <si>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</si>
  <si>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</si>
  <si>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</si>
  <si>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</si>
  <si>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</si>
  <si>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</si>
  <si>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</si>
  <si>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</si>
  <si>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</si>
  <si>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</si>
  <si>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</si>
  <si>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</si>
  <si>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</si>
  <si>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</si>
  <si>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</si>
  <si>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</si>
  <si>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</si>
  <si>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</si>
  <si>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</si>
  <si>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</si>
  <si>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</si>
  <si>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</si>
  <si>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</si>
  <si>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</si>
  <si>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</si>
  <si>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</si>
  <si>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</si>
  <si>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</si>
  <si>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</si>
  <si>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</si>
  <si>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</si>
  <si>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</si>
  <si>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</si>
  <si>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</si>
  <si>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</si>
  <si>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</si>
  <si>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</si>
  <si>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</si>
  <si>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</si>
  <si>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</si>
  <si>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</si>
  <si>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</si>
  <si>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</si>
  <si>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</si>
  <si>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</si>
  <si>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</si>
  <si>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</si>
  <si>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</si>
  <si>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</si>
  <si>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</si>
  <si>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</si>
  <si>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</si>
  <si>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</si>
  <si>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</si>
  <si>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</si>
  <si>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</si>
  <si>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</si>
  <si>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</si>
  <si>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</si>
  <si>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</si>
  <si>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</si>
  <si>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</si>
  <si>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</si>
  <si>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</si>
  <si>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</si>
  <si>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</si>
  <si>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</si>
  <si>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</si>
  <si>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</si>
  <si>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</si>
  <si>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</si>
  <si>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</si>
  <si>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</si>
  <si>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</si>
  <si>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</si>
  <si>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</si>
  <si>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</si>
  <si>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</si>
  <si>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</si>
  <si>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</si>
  <si>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</si>
  <si>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</si>
  <si>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</si>
  <si>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</si>
  <si>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</si>
  <si>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</si>
  <si>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</si>
  <si>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</si>
  <si>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</si>
  <si>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</si>
  <si>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</si>
  <si>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</si>
  <si>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</si>
  <si>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</si>
  <si>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</si>
  <si>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</si>
  <si>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</si>
  <si>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</si>
  <si>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</si>
  <si>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</si>
  <si>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</si>
  <si>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</si>
  <si>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</si>
  <si>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</si>
  <si>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</si>
  <si>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</si>
  <si>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</si>
  <si>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</si>
  <si>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</si>
  <si>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</si>
  <si>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</si>
  <si>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</si>
  <si>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</si>
  <si>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</si>
  <si>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</si>
  <si>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</si>
  <si>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</si>
  <si>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</si>
  <si>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</si>
  <si>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</si>
  <si>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</si>
  <si>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</si>
  <si>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</si>
  <si>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</si>
  <si>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</si>
  <si>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</si>
  <si>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</si>
  <si>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</si>
  <si>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</si>
  <si>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</si>
  <si>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</si>
  <si>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</si>
  <si>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</si>
  <si>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</si>
  <si>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</si>
  <si>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</si>
  <si>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</si>
  <si>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</si>
  <si>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</si>
  <si>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</si>
  <si>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</si>
  <si>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</si>
  <si>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</si>
  <si>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</si>
  <si>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</si>
  <si>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</si>
  <si>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</si>
  <si>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</si>
  <si>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</si>
  <si>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</si>
  <si>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</si>
  <si>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</si>
  <si>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</si>
  <si>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</si>
  <si>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</si>
  <si>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</si>
  <si>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</si>
  <si>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</si>
  <si>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</si>
  <si>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</si>
  <si>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</si>
  <si>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</si>
  <si>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</si>
  <si>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</si>
  <si>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</si>
  <si>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</si>
  <si>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</si>
  <si>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</si>
  <si>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</si>
  <si>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</si>
  <si>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</si>
  <si>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</si>
  <si>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</si>
  <si>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</si>
  <si>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</si>
  <si>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</si>
  <si>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</si>
  <si>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</si>
  <si>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</si>
  <si>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</si>
  <si>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</si>
  <si>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</si>
  <si>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</si>
  <si>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</si>
  <si>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</si>
  <si>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</si>
  <si>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</si>
  <si>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</si>
  <si>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</si>
  <si>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</si>
  <si>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</si>
  <si>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</si>
  <si>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</si>
  <si>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</si>
  <si>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</si>
  <si>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</si>
  <si>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</si>
  <si>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</si>
  <si>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</si>
  <si>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</si>
  <si>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</si>
  <si>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</si>
  <si>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</si>
  <si>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</si>
  <si>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</si>
  <si>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</si>
  <si>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</si>
  <si>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</si>
  <si>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</si>
  <si>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</si>
  <si>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</si>
  <si>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</si>
  <si>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</si>
  <si>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</si>
  <si>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</si>
  <si>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</si>
  <si>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</si>
  <si>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</si>
  <si>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</si>
  <si>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</si>
  <si>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</si>
  <si>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</si>
  <si>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</si>
  <si>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</si>
  <si>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</si>
  <si>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</si>
  <si>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</si>
  <si>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</si>
  <si>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</si>
  <si>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</si>
  <si>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</si>
  <si>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</si>
  <si>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</si>
  <si>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</si>
  <si>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</si>
  <si>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</si>
  <si>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</si>
  <si>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</si>
  <si>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</si>
  <si>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</si>
  <si>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</si>
  <si>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</si>
  <si>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</si>
  <si>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</si>
  <si>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</si>
  <si>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</si>
  <si>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</si>
  <si>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</si>
  <si>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</si>
  <si>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</si>
  <si>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</si>
  <si>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</si>
  <si>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</si>
  <si>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</si>
  <si>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</si>
  <si>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</si>
  <si>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</si>
  <si>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</si>
  <si>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</si>
  <si>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</si>
  <si>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</si>
  <si>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</si>
  <si>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</si>
  <si>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</si>
  <si>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</si>
  <si>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</si>
  <si>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</si>
  <si>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</si>
  <si>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</si>
  <si>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</si>
  <si>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</si>
  <si>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</si>
  <si>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</si>
  <si>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</si>
  <si>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</si>
  <si>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</si>
  <si>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</si>
  <si>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</si>
  <si>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</si>
  <si>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</si>
  <si>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</si>
  <si>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</si>
  <si>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</si>
  <si>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</si>
  <si>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</si>
  <si>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</si>
  <si>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</si>
  <si>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</si>
  <si>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</si>
  <si>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</si>
  <si>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</si>
  <si>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</si>
  <si>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</si>
  <si>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</si>
  <si>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</si>
  <si>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</si>
  <si>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</si>
  <si>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</si>
  <si>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</si>
  <si>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</si>
  <si>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</si>
  <si>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</si>
  <si>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</si>
  <si>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</si>
  <si>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</si>
  <si>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</si>
  <si>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</si>
  <si>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</si>
  <si>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</si>
  <si>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</si>
  <si>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</si>
  <si>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</si>
  <si>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</si>
  <si>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</si>
  <si>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</si>
  <si>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</si>
  <si>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</si>
  <si>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</si>
  <si>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</si>
  <si>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</si>
  <si>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</si>
  <si>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</si>
  <si>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</si>
  <si>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</si>
  <si>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</si>
  <si>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</si>
  <si>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</si>
  <si>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</si>
  <si>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</si>
  <si>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</si>
  <si>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</si>
  <si>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</si>
  <si>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</si>
  <si>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</si>
  <si>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</si>
  <si>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</si>
  <si>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</si>
  <si>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</si>
  <si>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</si>
  <si>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</si>
  <si>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</si>
  <si>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</si>
  <si>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</si>
  <si>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</si>
  <si>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</si>
  <si>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</si>
  <si>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</si>
  <si>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</si>
  <si>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</si>
  <si>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</si>
  <si>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</si>
  <si>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</si>
  <si>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</si>
  <si>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</si>
  <si>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</si>
  <si>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</si>
  <si>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</si>
  <si>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</si>
  <si>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</si>
  <si>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</si>
  <si>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</si>
  <si>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</si>
  <si>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</si>
  <si>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</si>
  <si>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</si>
  <si>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</si>
  <si>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</si>
  <si>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</si>
  <si>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</si>
  <si>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</si>
  <si>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</si>
  <si>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</si>
  <si>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</si>
  <si>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</si>
  <si>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</si>
  <si>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</si>
  <si>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</si>
  <si>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</si>
  <si>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</si>
  <si>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</si>
  <si>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</si>
  <si>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</si>
  <si>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</si>
  <si>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</si>
  <si>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</si>
  <si>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</si>
  <si>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</si>
  <si>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</si>
  <si>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</si>
  <si>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</si>
  <si>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</si>
  <si>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</si>
  <si>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</si>
  <si>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</si>
  <si>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</si>
  <si>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</si>
  <si>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</si>
  <si>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</si>
  <si>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</si>
  <si>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</si>
  <si>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</si>
  <si>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</si>
  <si>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</si>
  <si>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</si>
  <si>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</si>
  <si>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</si>
  <si>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</si>
  <si>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</si>
  <si>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</si>
  <si>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</si>
  <si>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</si>
  <si>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</si>
  <si>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</si>
  <si>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</si>
  <si>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</si>
  <si>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</si>
  <si>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</si>
  <si>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</si>
  <si>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</si>
  <si>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</si>
  <si>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</si>
  <si>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</si>
  <si>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</si>
  <si>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</si>
  <si>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</si>
  <si>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</si>
  <si>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</si>
  <si>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</si>
  <si>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</si>
  <si>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</si>
  <si>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</si>
  <si>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</si>
  <si>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</si>
  <si>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</si>
  <si>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</si>
  <si>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</si>
  <si>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</si>
  <si>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</si>
  <si>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</si>
  <si>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</si>
  <si>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</si>
  <si>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</si>
  <si>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</si>
  <si>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</si>
  <si>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</si>
  <si>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</si>
  <si>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</si>
  <si>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</si>
  <si>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</si>
  <si>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</si>
  <si>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</si>
  <si>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</si>
  <si>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</si>
  <si>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</si>
  <si>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</si>
  <si>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</si>
  <si>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</si>
  <si>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</si>
  <si>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</si>
  <si>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</si>
  <si>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</si>
  <si>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</si>
  <si>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</si>
  <si>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</si>
  <si>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</si>
  <si>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</si>
  <si>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</si>
  <si>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</si>
  <si>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</si>
  <si>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</si>
  <si>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</si>
  <si>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</si>
  <si>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</si>
  <si>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</si>
  <si>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</si>
  <si>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</si>
  <si>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</si>
  <si>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</si>
  <si>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</si>
  <si>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</si>
  <si>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</si>
  <si>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</si>
  <si>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</si>
  <si>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</si>
  <si>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</si>
  <si>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</si>
  <si>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</si>
  <si>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</si>
  <si>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</si>
  <si>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</si>
  <si>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</si>
  <si>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</si>
  <si>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</si>
  <si>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</si>
  <si>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</si>
  <si>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</si>
  <si>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</si>
  <si>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</si>
  <si>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</si>
  <si>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</si>
  <si>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</si>
  <si>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</si>
  <si>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</si>
  <si>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</si>
  <si>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</si>
  <si>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</si>
  <si>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</si>
  <si>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</si>
  <si>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</si>
  <si>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</si>
  <si>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</si>
  <si>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</si>
  <si>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</si>
  <si>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</si>
  <si>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</si>
  <si>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</si>
  <si>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</si>
  <si>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</si>
  <si>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</si>
  <si>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</si>
  <si>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</si>
  <si>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</si>
  <si>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</si>
  <si>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</si>
  <si>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</si>
  <si>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</si>
  <si>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</si>
  <si>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</si>
  <si>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</si>
  <si>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</si>
  <si>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</si>
  <si>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</si>
  <si>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</si>
  <si>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</si>
  <si>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</si>
  <si>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</si>
  <si>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</si>
  <si>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</si>
  <si>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</si>
  <si>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</si>
  <si>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</si>
  <si>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</si>
  <si>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</si>
  <si>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</si>
  <si>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</si>
  <si>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</si>
  <si>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</si>
  <si>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</si>
  <si>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</si>
  <si>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</si>
  <si>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</si>
  <si>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</si>
  <si>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</si>
  <si>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</si>
  <si>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</si>
  <si>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</si>
  <si>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</si>
  <si>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</si>
  <si>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</si>
  <si>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</si>
  <si>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</si>
  <si>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</si>
  <si>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</si>
  <si>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</si>
  <si>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</si>
  <si>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</si>
  <si>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</si>
  <si>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</si>
  <si>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</si>
  <si>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</si>
  <si>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</si>
  <si>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</si>
  <si>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</si>
  <si>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</si>
  <si>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</si>
  <si>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</si>
  <si>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</si>
  <si>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</si>
  <si>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</si>
  <si>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</si>
  <si>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</si>
  <si>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</si>
  <si>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</si>
  <si>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</si>
  <si>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</si>
  <si>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</si>
  <si>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</si>
  <si>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</si>
  <si>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</si>
  <si>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</si>
  <si>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</si>
  <si>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</si>
  <si>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</si>
  <si>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</si>
  <si>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</si>
  <si>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</si>
  <si>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</si>
  <si>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</si>
  <si>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</si>
  <si>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</si>
  <si>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</si>
  <si>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</si>
  <si>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</si>
  <si>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</si>
  <si>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</si>
  <si>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</si>
  <si>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</si>
  <si>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</si>
  <si>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</si>
  <si>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</si>
  <si>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</si>
  <si>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</si>
  <si>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</si>
  <si>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</si>
  <si>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</si>
  <si>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</si>
  <si>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</si>
  <si>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</si>
  <si>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</si>
  <si>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</si>
  <si>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</si>
  <si>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</si>
  <si>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</si>
  <si>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</si>
  <si>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</si>
  <si>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</si>
  <si>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</si>
  <si>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</si>
  <si>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</si>
  <si>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</si>
  <si>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</si>
  <si>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</si>
  <si>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</si>
  <si>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</si>
  <si>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</si>
  <si>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</si>
  <si>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</si>
  <si>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</si>
  <si>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</si>
  <si>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</si>
  <si>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</si>
  <si>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</si>
  <si>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</si>
  <si>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</si>
  <si>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</si>
  <si>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</si>
  <si>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</si>
  <si>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</si>
  <si>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</si>
  <si>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</si>
  <si>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</si>
  <si>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</si>
  <si>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</si>
  <si>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</si>
  <si>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</si>
  <si>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</si>
  <si>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</si>
  <si>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</si>
  <si>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</si>
  <si>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</si>
  <si>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</si>
  <si>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</si>
  <si>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</si>
  <si>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</si>
  <si>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</si>
  <si>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</si>
  <si>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</si>
  <si>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</si>
  <si>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</si>
  <si>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</si>
  <si>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</si>
  <si>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</si>
  <si>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</si>
  <si>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</si>
  <si>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</si>
  <si>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</si>
  <si>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</si>
  <si>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</si>
  <si>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</si>
  <si>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</si>
  <si>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</si>
  <si>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</si>
  <si>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</si>
  <si>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</si>
  <si>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</si>
  <si>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</si>
  <si>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</si>
  <si>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</si>
  <si>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</si>
  <si>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</si>
  <si>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</si>
  <si>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</si>
  <si>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</si>
  <si>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</si>
  <si>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</si>
  <si>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</si>
  <si>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</si>
  <si>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</si>
  <si>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</si>
  <si>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</si>
  <si>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</si>
  <si>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</si>
  <si>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</si>
  <si>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</si>
  <si>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</si>
  <si>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</si>
  <si>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</si>
  <si>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</si>
  <si>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</si>
  <si>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</si>
  <si>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</si>
  <si>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</si>
  <si>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</si>
  <si>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</si>
  <si>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</si>
  <si>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</si>
  <si>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</si>
  <si>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</si>
  <si>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</si>
  <si>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</si>
  <si>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</si>
  <si>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</si>
  <si>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</si>
  <si>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</si>
  <si>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</si>
  <si>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</si>
  <si>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</si>
  <si>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</si>
  <si>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</si>
  <si>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</si>
  <si>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</si>
  <si>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</si>
  <si>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</si>
  <si>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</si>
  <si>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</si>
  <si>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</si>
  <si>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</si>
  <si>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</si>
  <si>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</si>
  <si>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</si>
  <si>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</si>
  <si>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</si>
  <si>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</si>
  <si>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</si>
  <si>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</si>
  <si>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</si>
  <si>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</si>
  <si>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</si>
  <si>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</si>
  <si>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</si>
  <si>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</si>
  <si>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</si>
  <si>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</si>
  <si>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</si>
  <si>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</si>
  <si>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</si>
  <si>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</si>
  <si>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</si>
  <si>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</si>
  <si>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</si>
  <si>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</si>
  <si>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</si>
  <si>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</si>
  <si>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</si>
  <si>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</si>
  <si>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</si>
  <si>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</si>
  <si>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</si>
  <si>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</si>
  <si>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</si>
  <si>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</si>
  <si>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</si>
  <si>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</si>
  <si>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</si>
  <si>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</si>
  <si>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</si>
  <si>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</si>
  <si>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</si>
  <si>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</si>
  <si>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</si>
  <si>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</si>
  <si>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</si>
  <si>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</si>
  <si>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</si>
  <si>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</si>
  <si>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</si>
  <si>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</si>
  <si>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</si>
  <si>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</si>
  <si>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</si>
  <si>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</si>
  <si>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</si>
  <si>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</si>
  <si>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</si>
  <si>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</si>
  <si>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</si>
  <si>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</si>
  <si>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</si>
  <si>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</si>
  <si>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</si>
  <si>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</si>
  <si>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</si>
  <si>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</si>
  <si>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</si>
  <si>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</si>
  <si>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</si>
  <si>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</si>
  <si>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</si>
  <si>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</si>
  <si>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</si>
  <si>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</si>
  <si>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</si>
  <si>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</si>
  <si>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</si>
  <si>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</si>
  <si>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</si>
  <si>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</si>
  <si>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</si>
  <si>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</si>
  <si>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</si>
  <si>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</si>
  <si>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</si>
  <si>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</si>
  <si>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</si>
  <si>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</si>
  <si>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</si>
  <si>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</si>
  <si>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</si>
  <si>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</si>
  <si>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</si>
  <si>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</si>
  <si>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</si>
  <si>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</si>
  <si>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</si>
  <si>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</si>
  <si>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</si>
  <si>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</si>
  <si>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</si>
  <si>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</si>
  <si>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</si>
  <si>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</si>
  <si>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</si>
  <si>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</si>
  <si>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</si>
  <si>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</si>
  <si>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</si>
  <si>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</si>
  <si>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</si>
  <si>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</si>
  <si>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</si>
  <si>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</si>
  <si>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</si>
  <si>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</si>
  <si>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</si>
  <si>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</si>
  <si>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</si>
  <si>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</si>
  <si>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</si>
  <si>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</si>
  <si>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</si>
  <si>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</si>
  <si>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</si>
  <si>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</si>
  <si>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</si>
  <si>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</si>
  <si>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</si>
  <si>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</si>
  <si>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</si>
  <si>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</si>
  <si>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</si>
  <si>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</si>
  <si>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</si>
  <si>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</si>
  <si>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</si>
  <si>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</si>
  <si>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</si>
  <si>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</si>
  <si>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</si>
  <si>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</si>
  <si>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</si>
  <si>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</si>
  <si>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</si>
  <si>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</si>
  <si>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</si>
  <si>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</si>
  <si>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</si>
  <si>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</si>
  <si>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</si>
  <si>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</si>
  <si>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</si>
  <si>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</si>
  <si>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</si>
  <si>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</si>
  <si>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</si>
  <si>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</si>
  <si>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</si>
  <si>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</si>
  <si>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</si>
  <si>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</si>
  <si>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</si>
  <si>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</si>
  <si>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</si>
  <si>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</si>
  <si>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</si>
  <si>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</si>
  <si>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</si>
  <si>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</si>
  <si>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</si>
  <si>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</si>
  <si>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</si>
  <si>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</si>
  <si>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</si>
  <si>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</si>
  <si>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</si>
  <si>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</si>
  <si>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</si>
  <si>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</si>
  <si>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</si>
  <si>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</si>
  <si>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</si>
  <si>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</si>
  <si>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</si>
  <si>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</si>
  <si>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</si>
  <si>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</si>
  <si>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</si>
  <si>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</si>
  <si>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</si>
  <si>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</si>
  <si>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</si>
  <si>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</si>
  <si>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</si>
  <si>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</si>
  <si>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</si>
  <si>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</si>
  <si>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</si>
  <si>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</si>
  <si>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</si>
  <si>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</si>
  <si>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</si>
  <si>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</si>
  <si>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</si>
  <si>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</si>
  <si>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</si>
  <si>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</si>
  <si>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</si>
  <si>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</si>
  <si>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</si>
  <si>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</si>
  <si>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</si>
  <si>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</si>
  <si>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</si>
  <si>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</si>
  <si>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</si>
  <si>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</si>
  <si>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</si>
  <si>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</si>
  <si>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</si>
  <si>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</si>
  <si>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</si>
  <si>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</si>
  <si>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</si>
  <si>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</si>
  <si>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</si>
  <si>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</si>
  <si>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</si>
  <si>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</si>
  <si>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</si>
  <si>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</si>
  <si>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</si>
  <si>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</si>
  <si>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</si>
  <si>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</si>
  <si>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</si>
  <si>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</si>
  <si>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</si>
  <si>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</si>
  <si>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</si>
  <si>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</si>
  <si>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</si>
  <si>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</si>
  <si>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</si>
  <si>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</si>
  <si>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</si>
  <si>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</si>
  <si>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</si>
  <si>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</si>
  <si>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</si>
  <si>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</si>
  <si>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</si>
  <si>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</si>
  <si>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</si>
  <si>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</si>
  <si>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</si>
  <si>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</si>
  <si>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</si>
  <si>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</si>
  <si>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</si>
  <si>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</si>
  <si>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</si>
  <si>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</si>
  <si>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</si>
  <si>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</si>
  <si>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</si>
  <si>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</si>
  <si>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</si>
  <si>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</si>
  <si>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</si>
  <si>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</si>
  <si>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</si>
  <si>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</si>
  <si>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</si>
  <si>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</si>
  <si>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</si>
  <si>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</si>
  <si>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</si>
  <si>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</si>
  <si>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</si>
  <si>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</si>
  <si>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</si>
  <si>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</si>
  <si>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</si>
  <si>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</si>
  <si>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</si>
  <si>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</si>
  <si>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</si>
  <si>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</si>
  <si>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</si>
  <si>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</si>
  <si>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</si>
  <si>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</si>
  <si>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</si>
  <si>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</si>
  <si>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</si>
  <si>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</si>
  <si>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</si>
  <si>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</si>
  <si>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</si>
  <si>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</si>
  <si>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</si>
  <si>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</si>
  <si>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</si>
  <si>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</si>
  <si>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</si>
  <si>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</si>
  <si>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</si>
  <si>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</si>
  <si>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</si>
  <si>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</si>
  <si>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</si>
  <si>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</si>
  <si>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</si>
  <si>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</si>
  <si>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</si>
  <si>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</si>
  <si>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</si>
  <si>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</si>
  <si>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</si>
  <si>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</si>
  <si>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</si>
  <si>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</si>
  <si>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</si>
  <si>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</si>
  <si>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</si>
  <si>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</si>
  <si>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</si>
  <si>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</si>
  <si>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</si>
  <si>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</si>
  <si>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</si>
  <si>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</si>
  <si>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</si>
  <si>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</si>
  <si>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</si>
  <si>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</si>
  <si>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</si>
  <si>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</si>
  <si>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</si>
  <si>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</si>
  <si>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</si>
  <si>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</si>
  <si>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</si>
  <si>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</si>
  <si>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</si>
  <si>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</si>
  <si>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</si>
  <si>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</si>
  <si>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</si>
  <si>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</si>
  <si>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</si>
  <si>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</si>
  <si>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</si>
  <si>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</si>
  <si>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</si>
  <si>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</si>
  <si>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</si>
  <si>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</si>
  <si>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</si>
  <si>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</si>
  <si>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</si>
  <si>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</si>
  <si>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</si>
  <si>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</si>
  <si>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</si>
  <si>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</si>
  <si>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</si>
  <si>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</si>
  <si>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</si>
  <si>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</si>
  <si>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</si>
  <si>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</si>
  <si>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</si>
  <si>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</si>
  <si>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</si>
  <si>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</si>
  <si>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</si>
  <si>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</si>
  <si>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</si>
  <si>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</si>
  <si>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</si>
  <si>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</si>
  <si>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</si>
  <si>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</si>
  <si>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</si>
  <si>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</si>
  <si>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</si>
  <si>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</si>
  <si>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</si>
  <si>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</si>
  <si>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</si>
  <si>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</si>
  <si>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</si>
  <si>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</si>
  <si>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</si>
  <si>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</si>
  <si>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</si>
  <si>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</si>
  <si>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</si>
  <si>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</si>
  <si>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</si>
  <si>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</si>
  <si>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</si>
  <si>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</si>
  <si>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</si>
  <si>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</si>
  <si>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</si>
  <si>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</si>
  <si>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</si>
  <si>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</si>
  <si>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</si>
  <si>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</si>
  <si>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</si>
  <si>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</si>
  <si>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</si>
  <si>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</si>
  <si>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</si>
  <si>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</si>
  <si>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</si>
  <si>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</si>
  <si>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</si>
  <si>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</si>
  <si>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</si>
  <si>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</si>
  <si>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</si>
  <si>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</si>
  <si>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</si>
  <si>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</si>
  <si>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</si>
  <si>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</si>
  <si>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</si>
  <si>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</si>
  <si>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</si>
  <si>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</si>
  <si>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</si>
  <si>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</si>
  <si>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</si>
  <si>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</si>
  <si>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</si>
  <si>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</si>
  <si>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</si>
  <si>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</si>
  <si>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</si>
  <si>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</si>
  <si>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</si>
  <si>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</si>
  <si>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</si>
  <si>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</si>
  <si>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</si>
  <si>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</si>
  <si>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</si>
  <si>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</si>
  <si>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</si>
  <si>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</si>
  <si>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</si>
  <si>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</si>
  <si>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</si>
  <si>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</si>
  <si>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</si>
  <si>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</si>
  <si>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</si>
  <si>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</si>
  <si>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</si>
  <si>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</si>
  <si>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</si>
  <si>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</si>
  <si>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</si>
  <si>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</si>
  <si>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</si>
  <si>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</si>
  <si>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</si>
  <si>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</si>
  <si>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</si>
  <si>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</si>
  <si>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</si>
  <si>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</si>
  <si>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</si>
  <si>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</si>
  <si>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</si>
  <si>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</si>
  <si>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</si>
  <si>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</si>
  <si>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</si>
  <si>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</si>
  <si>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</si>
  <si>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</si>
  <si>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</si>
  <si>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</si>
  <si>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</si>
  <si>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</si>
  <si>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</si>
  <si>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</si>
  <si>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</si>
  <si>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</si>
  <si>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</si>
  <si>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</si>
  <si>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</si>
  <si>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</si>
  <si>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</si>
  <si>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</si>
  <si>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</si>
  <si>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</si>
  <si>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</si>
  <si>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</si>
  <si>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</si>
  <si>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</si>
  <si>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</si>
  <si>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</si>
  <si>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</si>
  <si>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</si>
  <si>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</si>
  <si>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</si>
  <si>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</si>
  <si>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</si>
  <si>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</si>
  <si>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</si>
  <si>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</si>
  <si>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</si>
  <si>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</si>
  <si>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</si>
  <si>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</si>
  <si>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</si>
  <si>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</si>
  <si>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</si>
  <si>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</si>
  <si>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</si>
  <si>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</si>
  <si>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</si>
  <si>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</si>
  <si>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</si>
  <si>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</si>
  <si>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</si>
  <si>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</si>
  <si>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</si>
  <si>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</si>
  <si>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</si>
  <si>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</si>
  <si>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</si>
  <si>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</si>
  <si>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</si>
  <si>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</si>
  <si>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</si>
  <si>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</si>
  <si>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</si>
  <si>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</si>
  <si>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</si>
  <si>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</si>
  <si>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</si>
  <si>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</si>
  <si>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</si>
  <si>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</si>
  <si>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</si>
  <si>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</si>
  <si>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</si>
  <si>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</si>
  <si>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</si>
  <si>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</si>
  <si>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</si>
  <si>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</si>
  <si>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</si>
  <si>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</si>
  <si>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</si>
  <si>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</si>
  <si>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</si>
  <si>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</si>
  <si>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</si>
  <si>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</si>
  <si>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</si>
  <si>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</si>
  <si>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</si>
  <si>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</si>
  <si>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</si>
  <si>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</si>
  <si>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</si>
  <si>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</si>
  <si>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</si>
  <si>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</si>
  <si>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</si>
  <si>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</si>
  <si>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</si>
  <si>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</si>
  <si>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</si>
  <si>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</si>
  <si>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</si>
  <si>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</si>
  <si>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</si>
  <si>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</si>
  <si>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</si>
  <si>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</si>
  <si>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</si>
  <si>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</si>
  <si>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</si>
  <si>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</si>
  <si>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</si>
  <si>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</si>
  <si>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</si>
  <si>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</si>
  <si>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</si>
  <si>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</si>
  <si>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</si>
  <si>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</si>
  <si>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</si>
  <si>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</si>
  <si>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</si>
  <si>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</si>
  <si>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</si>
  <si>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</si>
  <si>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</si>
  <si>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</si>
  <si>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</si>
  <si>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</si>
  <si>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</si>
  <si>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</si>
  <si>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</si>
  <si>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</si>
  <si>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</si>
  <si>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</si>
  <si>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</si>
  <si>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</si>
  <si>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</si>
  <si>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</si>
  <si>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</si>
  <si>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</si>
  <si>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</si>
  <si>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</si>
  <si>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</si>
  <si>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</si>
  <si>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</si>
  <si>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</si>
  <si>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</si>
  <si>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</si>
  <si>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</si>
  <si>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</si>
  <si>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</si>
  <si>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</si>
  <si>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</si>
  <si>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</si>
  <si>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</si>
  <si>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</si>
  <si>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</si>
  <si>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</si>
  <si>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</si>
  <si>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</si>
  <si>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</si>
  <si>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</si>
  <si>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</si>
  <si>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</si>
  <si>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</si>
  <si>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</si>
  <si>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</si>
  <si>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</si>
  <si>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</si>
  <si>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</si>
  <si>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</si>
  <si>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</si>
  <si>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</si>
  <si>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</si>
  <si>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</si>
  <si>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</si>
  <si>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</si>
  <si>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</si>
  <si>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</si>
  <si>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</si>
  <si>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</si>
  <si>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</si>
  <si>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</si>
  <si>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</si>
  <si>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</si>
  <si>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</si>
  <si>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</si>
  <si>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</si>
  <si>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</si>
  <si>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</si>
  <si>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</si>
  <si>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</si>
  <si>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</si>
  <si>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</si>
  <si>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</si>
  <si>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</si>
  <si>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</si>
  <si>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</si>
  <si>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Нийт эрсдэл /Их, Дунд, Бага/</t>
  </si>
  <si>
    <t>2016 он</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</si>
  <si>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</si>
  <si>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</si>
  <si>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</si>
  <si>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</si>
  <si>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</si>
  <si>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</si>
  <si>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</si>
  <si>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</si>
  <si>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</si>
  <si>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</si>
  <si>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</si>
  <si>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</si>
  <si>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</si>
  <si>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</si>
  <si>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</si>
  <si>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</si>
  <si>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</si>
  <si>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</si>
  <si>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</si>
  <si>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</si>
  <si>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</si>
  <si>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</si>
  <si>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</si>
  <si>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</si>
  <si>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</si>
  <si>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</si>
  <si>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</si>
  <si>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</si>
  <si>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</si>
  <si>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</si>
  <si>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</si>
  <si>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</si>
  <si>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</si>
  <si>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</si>
  <si>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</si>
  <si>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</si>
  <si>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</si>
  <si>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</si>
  <si>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</si>
  <si>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</si>
  <si>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</si>
  <si>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</si>
  <si>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</si>
  <si>
    <t>"Ойн судалгаа хөгжлийн төв"УТҮГ</t>
  </si>
  <si>
    <t>БОАЖЯам</t>
  </si>
  <si>
    <t>20, 330</t>
  </si>
  <si>
    <t>Д.Мөнхбат</t>
  </si>
  <si>
    <t xml:space="preserve">Б.Дэлгэрмаа </t>
  </si>
  <si>
    <t>Кассын нярав овог нэр</t>
  </si>
  <si>
    <t>2013 оны 12-р сарын 31-нээрх үлдэгдэл</t>
  </si>
  <si>
    <t>2014 оны 12-р сарын 31-нээрх үлдэгдэл</t>
  </si>
  <si>
    <t>2015 оны 12-р сарын 31-нээрх үлдэгдэл</t>
  </si>
  <si>
    <t>НИЙТ ЗАРЛАГА ЦЭВЭР ЗЭЭЛИЙН ДҮН</t>
  </si>
  <si>
    <t>УРСГАЛ ЗАРЛАГА</t>
  </si>
  <si>
    <t>БАРАА ҮЙЛЧИЛГЭЭНИЙ ЗАРДАЛ</t>
  </si>
  <si>
    <t>Цалин, хөлс болон нэмэгдэл урамшил</t>
  </si>
  <si>
    <t>Нэмэгдэл</t>
  </si>
  <si>
    <t>Унаа хоолны хөнгөлөлт</t>
  </si>
  <si>
    <t>Ажил олгогчоос нийгмийн даатгалд төлөх шимтгэл</t>
  </si>
  <si>
    <t>Тэтгэвэрийн даатгал</t>
  </si>
  <si>
    <t xml:space="preserve">Тэтгэмжийн даатгалын </t>
  </si>
  <si>
    <t>ҮОМШӨ-ний даатгал</t>
  </si>
  <si>
    <t>Ажилгүйдлийн даатгал</t>
  </si>
  <si>
    <t>Эрүүл мэндийн даатгал</t>
  </si>
  <si>
    <t>Байр ашиглалттай холбоотой тогтмол зардал</t>
  </si>
  <si>
    <t>Гэрэл, цахилгаан</t>
  </si>
  <si>
    <t>Түлш, халаалт</t>
  </si>
  <si>
    <t>Хангамж бараа  материалын зардал</t>
  </si>
  <si>
    <t>Бичиг хэрэг</t>
  </si>
  <si>
    <t>Тээвэр, шатахуун</t>
  </si>
  <si>
    <t>Шуудан, холбоо интернэтийн төлбөр</t>
  </si>
  <si>
    <t>Бага үнэтэй, түргэн элэгдэх, ахуйн эд зүйлс</t>
  </si>
  <si>
    <t>Нормативт зардал</t>
  </si>
  <si>
    <t>Нормын хувцас, зөөлөн эдлэл</t>
  </si>
  <si>
    <t>Эд хогшил, урсгал засварын зардал</t>
  </si>
  <si>
    <t>Хөдөлмөр хамгааллын хэрэгсэл</t>
  </si>
  <si>
    <t>Томилолт, зочны зардал</t>
  </si>
  <si>
    <t>Дотоод албан томилолт</t>
  </si>
  <si>
    <t>Бусдаар гүйцэтгүүлсэн ажил үйлчилгээ</t>
  </si>
  <si>
    <t>Аудит, баталгаажуулалт, зэрэглэл тогтоох</t>
  </si>
  <si>
    <t>Даатгалын үйлчилгээ</t>
  </si>
  <si>
    <t>Тээврийн хэрэгслийн татвар</t>
  </si>
  <si>
    <t>Тээврийн хэрэгслийн оношлогоо</t>
  </si>
  <si>
    <t>Бараа үйлчилгээний бусад зардал</t>
  </si>
  <si>
    <t>УРСГАЛ ШИЛЖҮҮЛЭГ</t>
  </si>
  <si>
    <t>Бусад урсгал шилжүүлэг</t>
  </si>
  <si>
    <t>I. НИЙТ ЗАРЛАГА БА ЦЭВЭР ЗЭЭЛИЙН ДҮН</t>
  </si>
  <si>
    <t>УРСГАЛ ЗАРДЛЫН ДҮН</t>
  </si>
  <si>
    <t xml:space="preserve">Бараа, үйлчилгээний зардал </t>
  </si>
  <si>
    <t>Цалин хөлс болон нэмэгдэл урамшил</t>
  </si>
  <si>
    <t>Унаа, болон бусад нөхөн олговор</t>
  </si>
  <si>
    <t>Тэтгэврийн даатгал</t>
  </si>
  <si>
    <t>Тэтгэмжийн даатгал</t>
  </si>
  <si>
    <t>ҮОМШӨ ний даатгал</t>
  </si>
  <si>
    <t>Гэрэл цахилгаан</t>
  </si>
  <si>
    <t>Хангамж, бараа материалын зардал</t>
  </si>
  <si>
    <t>Тээвэр (шатахуун)</t>
  </si>
  <si>
    <t>Шуудан  холбоо, интернэтийн төлбөр</t>
  </si>
  <si>
    <t>Ном, хэвлэл</t>
  </si>
  <si>
    <t>Бага үнэтэй, түргэн элэгдэх, аж ахуйн эд зүйлс</t>
  </si>
  <si>
    <t>Нормын хувцас зөөлөн эдлэл</t>
  </si>
  <si>
    <t>Эд хогшил худалдан авах</t>
  </si>
  <si>
    <t>Багаж, техник, хэрэгсэл</t>
  </si>
  <si>
    <t>Урсгал засвар</t>
  </si>
  <si>
    <t>Гадаад албан томилолт</t>
  </si>
  <si>
    <t>Бусдаар гүйцэтгүүлсэн ажил, үйлчилгээний төлбөр</t>
  </si>
  <si>
    <t>Бусдаар гүйцэтгүүлсэн ажил, үйлчилгээний төлбөр, хураамж</t>
  </si>
  <si>
    <t>Хичээл үйлдвэрлэлийн дадлага хийх</t>
  </si>
  <si>
    <t>ТӨСӨВТ БАЙГУУЛЛАГЫН ҮЙЛ АЖИЛЛАГААНААС</t>
  </si>
  <si>
    <t>Туслах үйл ажиллагааны орлогоос санхүүжих</t>
  </si>
  <si>
    <t>Нэмэлт санхүүжилтийн орлого</t>
  </si>
  <si>
    <t>Төрийн болон орон нутгийн өмчит бус этгээдээс авсан хандив, тусламж</t>
  </si>
  <si>
    <t>Дээд шатны төсвийн захирагчаас төсөвт тусгагдсан төсвөөс доод шатны төсвийн захирагчид хуваарилсан хөрөнгө</t>
  </si>
  <si>
    <t>Төсвийн байгууллагын үндсэн үйл ажилагааны хүрээнд бий болсон нэмэлт орлого</t>
  </si>
  <si>
    <t>БАЙГУУЛЛАГЫН ТОО</t>
  </si>
  <si>
    <t>АЖИЛЛАГСДЫН ТОО</t>
  </si>
  <si>
    <t>СУРАЛЦАГЧДЫН ТОО /жилийн дунджаар/</t>
  </si>
  <si>
    <t>ЭМЧЛҮҮЛЭГСЭДИЙН ТОО</t>
  </si>
  <si>
    <t>Төрийн захиргааны албан хаагч /ТЗ/</t>
  </si>
  <si>
    <t>Төрийн тусгай албан хаагч /ТТ/</t>
  </si>
  <si>
    <t>Ажлын албаны албан хаагч /АА/</t>
  </si>
  <si>
    <t>СӨБ болон бага, дунд боловсролын албан хаагч /ТҮБД/</t>
  </si>
  <si>
    <t>ШУ-ны салбарын төрийн үйлчилгээний албан хаагч /ТҮШУ/</t>
  </si>
  <si>
    <t>Соёл урлагын салбарын төрийн үйлчилгээний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</si>
  <si>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</si>
  <si>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</si>
  <si>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Төрийн үйлчилгээний бусад албан хаагч /ТҮ/</t>
  </si>
  <si>
    <t>НИЙТ ОРЛОГО</t>
  </si>
  <si>
    <t>ТАТВАРЫН БУС ОРЛОГО</t>
  </si>
  <si>
    <t>Нийтлэг татварын бус орлого</t>
  </si>
  <si>
    <t>Төсөвт байгууллагын өөрийн орлого</t>
  </si>
  <si>
    <t>ТУСЛАМЖ, САНХҮҮЖИЛТИЙН ОРЛОГО</t>
  </si>
  <si>
    <t>Улсын төвлөрсөн төсвөөс</t>
  </si>
  <si>
    <t>Урсгал үйл ажиллагааны санхүүжилт</t>
  </si>
  <si>
    <t>Нэмэлт санхүүжилтын орлого</t>
  </si>
  <si>
    <t>Төрийн болон орон нутгийн өмчит бус этгээдээс</t>
  </si>
  <si>
    <t>Дээд шатны төсвийн захирагчаас төсөвт тусгагдсан төсвөөс доод шатны төсвийн захи</t>
  </si>
  <si>
    <t>Бусад эх үүсвэрийн орлого</t>
  </si>
  <si>
    <t>Үндсэн хөрөнгө, бараа материал худалдсаны олз</t>
  </si>
  <si>
    <t>Бараа материал худалдсаны олз</t>
  </si>
  <si>
    <t>Багаж, техник хэрэгсэл</t>
  </si>
  <si>
    <t>Бараа материал худалдсаны зардал</t>
  </si>
  <si>
    <t>Үндсэн хөрөнгийн элэгдэл, хорогдол</t>
  </si>
  <si>
    <t>Нэг удаагийн тэтгэмж, шагнал урамшуулал</t>
  </si>
  <si>
    <t>Улсын төсвөөс олгосон санхүүжилт</t>
  </si>
  <si>
    <t>Төвлөрүүлэх шилжүүлэг /Улсын төсөв/</t>
  </si>
  <si>
    <t>ХӨРӨНГИЙН ЗАРДАЛ</t>
  </si>
  <si>
    <t>Үйл ажиллагааны бус зардал</t>
  </si>
  <si>
    <t xml:space="preserve">Үндсэн хөрөнгө худалдсаны гарз </t>
  </si>
  <si>
    <t>НИЙТ ХӨРӨНГӨ</t>
  </si>
  <si>
    <t>Нэр данс зөрүү</t>
  </si>
  <si>
    <t>Даатгалын төлбөр</t>
  </si>
  <si>
    <t>Тендерийн орлогоос зөвхөн тендер зохион байгуулах зардал</t>
  </si>
  <si>
    <t>Банкинд байгаа бэлэн мөнгө</t>
  </si>
  <si>
    <t>Төгрөг</t>
  </si>
  <si>
    <t>Төрийн сангийн харилцах/төгрөг/</t>
  </si>
  <si>
    <t>Төсөвт байгууллагын харилцах төгрөг</t>
  </si>
  <si>
    <t>Нэмэлт санхүүжилтийн харилцах</t>
  </si>
  <si>
    <t>Бусад авлага</t>
  </si>
  <si>
    <t>Байгуулаллагаас авах авлага</t>
  </si>
  <si>
    <t>Тээвэр шатахууны авлага</t>
  </si>
  <si>
    <t xml:space="preserve">Урьдчилгаа </t>
  </si>
  <si>
    <t>Урьдчилж гарсан зардал</t>
  </si>
  <si>
    <t>Урьдчилгаа тооцоо</t>
  </si>
  <si>
    <t>Цалингийн урьдчилгаа</t>
  </si>
  <si>
    <t>Түүхий эд материал</t>
  </si>
  <si>
    <t>Хангамжийн материал</t>
  </si>
  <si>
    <t>Биет хөрөнгө</t>
  </si>
  <si>
    <t>Барилга, байгууламж, орон сууц</t>
  </si>
  <si>
    <t>Хуримтлагдсан элэгдэл/Барилга байгууламж/</t>
  </si>
  <si>
    <t>Авто-тээврийн хэрэгсэл</t>
  </si>
  <si>
    <t>Хуримтлагдсан элэгдэл/Авто-тээврийн хэрэгсэл/</t>
  </si>
  <si>
    <t>Машин тоног төхөөрөмж(компьютер)</t>
  </si>
  <si>
    <t>Хуримтлагдсан элэгдэл/Машин тоног төхөөрөмж/</t>
  </si>
  <si>
    <t>Тавилга, аж ахуйн эд хогшил</t>
  </si>
  <si>
    <t>Хуримтлагдсан элэгдэл/Тавилга аж ахуйн эд хогшил/</t>
  </si>
  <si>
    <t>Хуримтлагдсан элэгдэл/Бусад үндсэн хөрөнгө/</t>
  </si>
  <si>
    <t>Программ хангамж</t>
  </si>
  <si>
    <t>Хасагдуулга /Программ хангамж/</t>
  </si>
  <si>
    <t>Ажилчидтай холбогдсон тооцоо</t>
  </si>
  <si>
    <t>Бараа үйлчилгээний зардлын өглөг</t>
  </si>
  <si>
    <t>Зээлийн хүүгийн тооцоо</t>
  </si>
  <si>
    <t xml:space="preserve">Бусад зардлын тооцоо </t>
  </si>
  <si>
    <t>Бусад өглөг</t>
  </si>
  <si>
    <t>Байгууллагад төлөх өглөг</t>
  </si>
  <si>
    <t>Төрийн өмч</t>
  </si>
  <si>
    <t>Өмнөх үеийн үр дүн</t>
  </si>
  <si>
    <t>Төсвийн байгууллагын үндсэн үйл ажиллагааны хүрээнд бий болсон нэмэлт орлого</t>
  </si>
  <si>
    <t>Бусад эх үүсвэр</t>
  </si>
  <si>
    <t>Хөрөнгө оруулалтын орлого</t>
  </si>
  <si>
    <t>Бусад орлого</t>
  </si>
  <si>
    <t>Ажилчдын нэр</t>
  </si>
  <si>
    <t>Төрийн албаны нэмэгдэл</t>
  </si>
  <si>
    <t>Зэрэг дэв</t>
  </si>
  <si>
    <t>Ур чадвар</t>
  </si>
  <si>
    <t>Мэргэшсэн Ня-бо</t>
  </si>
  <si>
    <t>Давхар ажилласны нэмэгдэл</t>
  </si>
  <si>
    <t>Үр дүн</t>
  </si>
  <si>
    <t>Хоол, Унаа</t>
  </si>
  <si>
    <t>Шагнал цалин</t>
  </si>
  <si>
    <t>МТаслах</t>
  </si>
  <si>
    <t>Цалингийн зөрүү</t>
  </si>
  <si>
    <t>ХЧТА, ЖА</t>
  </si>
  <si>
    <t xml:space="preserve">Эрх бүхий </t>
  </si>
  <si>
    <t>Мэргэшлийн зэргийн</t>
  </si>
  <si>
    <t>Олговол зохих</t>
  </si>
  <si>
    <t>Тооцсон НДШ хувь 7.8 хувь</t>
  </si>
  <si>
    <t>001 Төрийн захиргааны хэлтэс</t>
  </si>
  <si>
    <t>Сүхбаатар</t>
  </si>
  <si>
    <t>Дэд дарга</t>
  </si>
  <si>
    <t>Тамир</t>
  </si>
  <si>
    <t>Хэлтсийн дарга</t>
  </si>
  <si>
    <t>Шижирбаяр.М</t>
  </si>
  <si>
    <t xml:space="preserve">ДҮН : </t>
  </si>
  <si>
    <t>002 Орлогын хэлтэс</t>
  </si>
  <si>
    <t>Бадамханд</t>
  </si>
  <si>
    <t>Туб</t>
  </si>
  <si>
    <t>Батзориг</t>
  </si>
  <si>
    <t>Хураагч</t>
  </si>
  <si>
    <t>Баттуул</t>
  </si>
  <si>
    <t>Баярмаа.Ж</t>
  </si>
  <si>
    <t>Дэмбэрэлсайхан.А</t>
  </si>
  <si>
    <t>Золжаргал.Ж</t>
  </si>
  <si>
    <t>Лхамжав</t>
  </si>
  <si>
    <t>Марал-эрдэнэ.Я</t>
  </si>
  <si>
    <t>Уранчимэг.Х</t>
  </si>
  <si>
    <t>Хүрэлмаа.А</t>
  </si>
  <si>
    <t>Цогтбаатар</t>
  </si>
  <si>
    <t>Э.Цэрэнням</t>
  </si>
  <si>
    <t>Энхцэцэг.Д</t>
  </si>
  <si>
    <t>005 Дүнжингарав</t>
  </si>
  <si>
    <t>Ариунжаргал.Банз</t>
  </si>
  <si>
    <t>Ариунжаргал.Баян</t>
  </si>
  <si>
    <t>Норжмаа</t>
  </si>
  <si>
    <t>Нямжаргал</t>
  </si>
  <si>
    <t>Отгончимэг</t>
  </si>
  <si>
    <t>Оюун</t>
  </si>
  <si>
    <t>Үнэнчимэг</t>
  </si>
  <si>
    <t>Энхтүвшин</t>
  </si>
  <si>
    <t>Эрдэнэсувд</t>
  </si>
  <si>
    <t>Эрдэнэтогтох.Н</t>
  </si>
  <si>
    <t>006 Статистик эрсдэлийн удирдлага хяналт шалгалтынхэлтэс</t>
  </si>
  <si>
    <t>Батбаяр</t>
  </si>
  <si>
    <t>Бямбасүрэн</t>
  </si>
  <si>
    <t>Гансүх</t>
  </si>
  <si>
    <t>Марина</t>
  </si>
  <si>
    <t>Туаб</t>
  </si>
  <si>
    <t>Мөнхжаргал</t>
  </si>
  <si>
    <t>Мөнхманлай</t>
  </si>
  <si>
    <t>Инженер</t>
  </si>
  <si>
    <t>Сугар</t>
  </si>
  <si>
    <t>007 Мишээл</t>
  </si>
  <si>
    <t>Бумдэлгэр</t>
  </si>
  <si>
    <t>Буяндэлгэр</t>
  </si>
  <si>
    <t>Гантулга.С</t>
  </si>
  <si>
    <t>Гэрэлтуяа</t>
  </si>
  <si>
    <t>Долгион</t>
  </si>
  <si>
    <t>Золбаяр</t>
  </si>
  <si>
    <t>Мядагмаа</t>
  </si>
  <si>
    <t>Отгонцэцэг</t>
  </si>
  <si>
    <t>Тэрбиш</t>
  </si>
  <si>
    <t>Уранзолбоо</t>
  </si>
  <si>
    <t>008 Татварын хяналт шалгалтын хэлтэс</t>
  </si>
  <si>
    <t>Алтанцэцэг.М</t>
  </si>
  <si>
    <t>Амарбаатар.Л</t>
  </si>
  <si>
    <t>Батболд</t>
  </si>
  <si>
    <t>Баярхүү.Ц</t>
  </si>
  <si>
    <t>Баясалмаа</t>
  </si>
  <si>
    <t>Должинсүрэн</t>
  </si>
  <si>
    <t>Өргөжих</t>
  </si>
  <si>
    <t>Эрдэнэтуул.Ж</t>
  </si>
  <si>
    <t>Эрдэнэцэцэг.Б</t>
  </si>
  <si>
    <t>Эрдэнэчимэг.Т</t>
  </si>
  <si>
    <t>010 Жирэмсэн чөлөө</t>
  </si>
  <si>
    <t>Алтанзул.Ц</t>
  </si>
  <si>
    <t>Баянжаргал</t>
  </si>
  <si>
    <t>Гантуяа</t>
  </si>
  <si>
    <t>БаярмааЛ</t>
  </si>
  <si>
    <t>Булгантуул</t>
  </si>
  <si>
    <t>Сүрэнтамжид</t>
  </si>
  <si>
    <t>Хандаа</t>
  </si>
  <si>
    <t>Хонгор</t>
  </si>
  <si>
    <t>Цэнд-Аюуш.О</t>
  </si>
  <si>
    <t>Энх-Очир</t>
  </si>
  <si>
    <t>009 Шилжин явсан ажилчид</t>
  </si>
  <si>
    <t>Агиймаа.Г</t>
  </si>
  <si>
    <t>Энхтөр.Б</t>
  </si>
  <si>
    <t>Эрдэнэбүрэн</t>
  </si>
  <si>
    <t>БаярмааБ</t>
  </si>
  <si>
    <t>Хүрэлхүү.Ц</t>
  </si>
  <si>
    <t>Төрмөнх</t>
  </si>
  <si>
    <t>Нярав</t>
  </si>
  <si>
    <t>Батдулам</t>
  </si>
  <si>
    <t>004 Татвар төлөгчдөд үйлчлэх хэлтэс</t>
  </si>
  <si>
    <t>Отгонсүрэн</t>
  </si>
  <si>
    <t>Ууганбаяр.Ү</t>
  </si>
  <si>
    <t>Халиунцэцэг.В</t>
  </si>
  <si>
    <t>Хашхүү.Ш</t>
  </si>
  <si>
    <t>Бүрэнжаргал</t>
  </si>
  <si>
    <t>Алтанзагас.С</t>
  </si>
  <si>
    <t>Алтантуяа.Г</t>
  </si>
  <si>
    <t>Альгирмаа.Ч</t>
  </si>
  <si>
    <t>Амартyвшин.Ү</t>
  </si>
  <si>
    <t>Даваасүрэн</t>
  </si>
  <si>
    <t>Сүхээ.Г</t>
  </si>
  <si>
    <t>Мандалбаатар.Б</t>
  </si>
  <si>
    <t>Амартайван</t>
  </si>
  <si>
    <t>Туул.Ө</t>
  </si>
  <si>
    <t>Энхтайван</t>
  </si>
  <si>
    <t>Тунгалагтуул.Б</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</si>
</sst>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98">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sz val="10"/>
      <color rgb="FFFF0000"/>
      <name val="Arial"/>
      <family val="2"/>
      <charset val="204"/>
    </font>
  </fonts>
  <fills count="33">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
      <patternFill patternType="none">
        <fgColor indexed="48"/>
      </patternFill>
    </fill>
    <fill>
      <patternFill patternType="solid">
        <fgColor indexed="48"/>
      </patternFill>
    </fill>
  </fills>
  <borders count="51">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
      <bottom style="thin"/>
    </border>
    <border>
      <bottom style="thin">
        <color indexed="8"/>
      </bottom>
    </border>
    <border>
      <top style="thin"/>
      <bottom style="thin">
        <color indexed="8"/>
      </bottom>
    </border>
    <border>
      <top style="thin">
        <color indexed="8"/>
      </top>
      <bottom style="thin">
        <color indexed="8"/>
      </bottom>
    </border>
    <border>
      <left style="thin"/>
      <top style="thin">
        <color indexed="8"/>
      </top>
      <bottom style="thin">
        <color indexed="8"/>
      </bottom>
    </border>
    <border>
      <left style="thin">
        <color indexed="8"/>
      </left>
      <top style="thin">
        <color indexed="8"/>
      </top>
      <bottom style="thin">
        <color indexed="8"/>
      </bottom>
    </border>
    <border>
      <left style="thin">
        <color indexed="8"/>
      </left>
      <right style="thin"/>
      <top style="thin">
        <color indexed="8"/>
      </top>
      <bottom style="thin">
        <color indexed="8"/>
      </bottom>
    </border>
    <border>
      <left style="thin">
        <color indexed="8"/>
      </left>
      <right style="thin">
        <color indexed="8"/>
      </right>
      <top style="thin">
        <color indexed="8"/>
      </top>
      <bottom style="thin">
        <color indexed="8"/>
      </bottom>
    </border>
  </borders>
  <cellStyleXfs count="9">
    <xf borderId="0" fillId="0" fontId="0" numFmtId="0"/>
    <xf applyAlignment="0" applyBorder="0" applyFill="0" applyFont="0" applyProtection="0" borderId="0" fillId="0" fontId="1" numFmtId="43"/>
    <xf borderId="0" fillId="0" fontId="4" numFmtId="0"/>
    <xf borderId="0" fillId="0" fontId="1" numFmtId="0"/>
    <xf applyAlignment="0" applyBorder="0" applyFill="0" applyFont="0" applyProtection="0" borderId="0" fillId="0" fontId="1" numFmtId="9"/>
    <xf borderId="0" fillId="0" fontId="2" numFmtId="0"/>
    <xf applyAlignment="0" applyBorder="0" applyFill="0" applyFont="0" applyProtection="0" borderId="0" fillId="0" fontId="2" numFmtId="43"/>
    <xf borderId="0" fillId="0" fontId="2" numFmtId="0"/>
    <xf applyAlignment="0" applyBorder="0" applyFill="0" applyNumberFormat="0" applyProtection="0" borderId="0" fillId="0" fontId="91" numFmtId="0"/>
  </cellStyleXfs>
  <cellXfs count="2209">
    <xf borderId="0" fillId="0" fontId="0" numFmtId="0" xfId="0"/>
    <xf applyFont="1" borderId="0" fillId="0" fontId="2" numFmtId="0" xfId="0"/>
    <xf applyAlignment="1" applyFont="1" borderId="0" fillId="0" fontId="3" numFmtId="0" xfId="0">
      <alignment horizontal="left" vertical="center"/>
    </xf>
    <xf applyAlignment="1" applyBorder="1" applyFont="1" applyNumberFormat="1" borderId="11" fillId="0" fontId="5" numFmtId="43" xfId="1">
      <alignment horizontal="center" vertical="center" wrapText="1"/>
    </xf>
    <xf applyAlignment="1" applyBorder="1" applyFont="1" applyNumberFormat="1" borderId="11" fillId="0" fontId="5" numFmtId="43" xfId="1">
      <alignment vertical="center"/>
    </xf>
    <xf applyAlignment="1" applyBorder="1" applyFont="1" applyNumberFormat="1" borderId="11" fillId="0" fontId="3" numFmtId="43" xfId="1">
      <alignment horizontal="center" vertical="center" wrapText="1"/>
    </xf>
    <xf applyAlignment="1" applyFont="1" borderId="0" fillId="0" fontId="3" numFmtId="0" xfId="0">
      <alignment vertical="center"/>
    </xf>
    <xf applyAlignment="1" applyFont="1" borderId="0" fillId="0" fontId="6" numFmtId="0" xfId="0">
      <alignment vertical="center"/>
    </xf>
    <xf applyAlignment="1" applyBorder="1" applyFill="1" applyFont="1" applyNumberFormat="1" borderId="11" fillId="0" fontId="5" numFmtId="43" xfId="1">
      <alignment horizontal="center" vertical="center" wrapText="1"/>
    </xf>
    <xf applyAlignment="1" applyBorder="1" applyFill="1" applyFont="1" applyNumberFormat="1" borderId="11" fillId="0" fontId="3" numFmtId="43" xfId="1">
      <alignment horizontal="center" vertical="center" wrapText="1"/>
    </xf>
    <xf applyAlignment="1" applyBorder="1" applyFill="1" applyFont="1" applyProtection="1" borderId="11" fillId="0" fontId="2" numFmtId="43" xfId="1">
      <alignment horizontal="right" vertical="center" wrapText="1"/>
    </xf>
    <xf applyAlignment="1" applyFont="1" borderId="0" fillId="0" fontId="2" numFmtId="0" xfId="0">
      <alignment horizontal="center"/>
    </xf>
    <xf applyAlignment="1" applyFont="1" borderId="0" fillId="0" fontId="2" numFmtId="0" xfId="0">
      <alignment vertical="center" wrapText="1"/>
    </xf>
    <xf applyAlignment="1" applyFont="1" borderId="0" fillId="0" fontId="2" numFmtId="0" xfId="0">
      <alignment horizontal="right" vertical="center" wrapText="1"/>
    </xf>
    <xf applyAlignment="1" applyFont="1" borderId="0" fillId="0" fontId="2" numFmtId="0" xfId="0">
      <alignment horizontal="center" vertical="center" wrapText="1"/>
    </xf>
    <xf applyAlignment="1" applyBorder="1" applyFont="1" borderId="11" fillId="0" fontId="2" numFmtId="0" xfId="0">
      <alignment horizontal="center" vertical="center"/>
    </xf>
    <xf applyAlignment="1" applyBorder="1" applyFont="1" borderId="11" fillId="0" fontId="2" numFmtId="0" xfId="0">
      <alignment vertical="center" wrapText="1"/>
    </xf>
    <xf applyAlignment="1" applyBorder="1" applyFont="1" borderId="11" fillId="0" fontId="2" numFmtId="0" xfId="0">
      <alignment horizontal="justify" vertical="center" wrapText="1"/>
    </xf>
    <xf applyAlignment="1" applyBorder="1" applyFill="1" applyFont="1" applyNumberFormat="1" borderId="11" fillId="18" fontId="2" numFmtId="14" xfId="0">
      <alignment horizontal="center" vertical="center"/>
    </xf>
    <xf applyAlignment="1" applyBorder="1" applyFont="1" borderId="11" fillId="0" fontId="7" numFmtId="0" xfId="0">
      <alignment vertical="center" wrapText="1"/>
    </xf>
    <xf applyAlignment="1" applyBorder="1" applyFont="1" borderId="11" fillId="0" fontId="2" numFmtId="0" xfId="0">
      <alignment vertical="center"/>
    </xf>
    <xf applyAlignment="1" applyBorder="1" applyFont="1" borderId="15" fillId="0" fontId="2" numFmtId="0" xfId="0">
      <alignment vertical="center" wrapText="1"/>
    </xf>
    <xf applyAlignment="1" applyFont="1" borderId="0" fillId="0" fontId="2" numFmtId="0" xfId="0">
      <alignment vertical="center"/>
    </xf>
    <xf applyAlignment="1" applyFont="1" borderId="0" fillId="0" fontId="5" numFmtId="0" xfId="0">
      <alignment horizontal="center" vertical="center"/>
    </xf>
    <xf applyAlignment="1" applyFont="1" borderId="0" fillId="0" fontId="3" numFmtId="0" xfId="0">
      <alignment horizontal="center" vertical="center"/>
    </xf>
    <xf applyAlignment="1" applyFont="1" borderId="0" fillId="0" fontId="3" numFmtId="0" xfId="0">
      <alignment horizontal="right" vertical="center"/>
    </xf>
    <xf applyAlignment="1" applyFont="1" borderId="0" fillId="0" fontId="7" numFmtId="0" xfId="0">
      <alignment horizontal="center" vertical="top"/>
    </xf>
    <xf applyAlignment="1" applyFont="1" borderId="0" fillId="0" fontId="2" numFmtId="0" xfId="0">
      <alignment vertical="top"/>
    </xf>
    <xf applyAlignment="1" applyFont="1" borderId="0" fillId="0" fontId="2" numFmtId="0" xfId="0">
      <alignment horizontal="center" vertical="top"/>
    </xf>
    <xf applyAlignment="1" applyBorder="1" applyFill="1" applyFont="1" applyProtection="1" borderId="0" fillId="18" fontId="2" numFmtId="0" xfId="0">
      <alignment vertical="top"/>
      <protection locked="0"/>
    </xf>
    <xf applyAlignment="1" applyFont="1" borderId="0" fillId="0" fontId="11" numFmtId="0" xfId="0">
      <alignment horizontal="left" vertical="center"/>
    </xf>
    <xf applyAlignment="1" applyBorder="1" applyFont="1" borderId="20" fillId="0" fontId="5" numFmtId="0" xfId="0">
      <alignment vertical="center" wrapText="1"/>
    </xf>
    <xf applyFont="1" borderId="0" fillId="0" fontId="3" numFmtId="0" xfId="0"/>
    <xf applyAlignment="1" applyFont="1" borderId="0" fillId="0" fontId="7" numFmtId="0" xfId="0">
      <alignment horizontal="justify" vertical="center"/>
    </xf>
    <xf applyAlignment="1" applyFont="1" borderId="0" fillId="0" fontId="2" numFmtId="0" xfId="0">
      <alignment horizontal="left" vertical="center"/>
    </xf>
    <xf applyAlignment="1" applyBorder="1" applyFont="1" borderId="12" fillId="0" fontId="7" numFmtId="0" xfId="0">
      <alignment vertical="center" wrapText="1"/>
    </xf>
    <xf applyAlignment="1" applyBorder="1" applyFont="1" borderId="11" fillId="0" fontId="7" numFmtId="0" xfId="0">
      <alignment horizontal="justify" vertical="center" wrapText="1"/>
    </xf>
    <xf applyAlignment="1" applyBorder="1" applyFont="1" applyNumberFormat="1" borderId="11" fillId="0" fontId="2" numFmtId="49" xfId="0">
      <alignment horizontal="left" vertical="center" wrapText="1"/>
    </xf>
    <xf applyAlignment="1" applyBorder="1" applyFont="1" applyNumberFormat="1" borderId="11" fillId="0" fontId="2" numFmtId="0" xfId="0">
      <alignment horizontal="left" vertical="center" wrapText="1"/>
    </xf>
    <xf applyAlignment="1" applyFont="1" borderId="0" fillId="0" fontId="5" numFmtId="0" xfId="0"/>
    <xf applyAlignment="1" applyFill="1" applyFont="1" borderId="0" fillId="7" fontId="5" numFmtId="0" xfId="0">
      <alignment vertical="center"/>
    </xf>
    <xf applyAlignment="1" applyFill="1" applyFont="1" borderId="0" fillId="0" fontId="5" numFmtId="0" xfId="0">
      <alignment vertical="center"/>
    </xf>
    <xf applyAlignment="1" applyFill="1" applyFont="1" borderId="0" fillId="7" fontId="5" numFmtId="0" xfId="0">
      <alignment vertical="center" wrapText="1"/>
    </xf>
    <xf applyAlignment="1" applyFill="1" applyFont="1" borderId="0" fillId="0" fontId="5" numFmtId="0" xfId="0">
      <alignment vertical="center" wrapText="1"/>
    </xf>
    <xf applyAlignment="1" applyFont="1" borderId="0" fillId="0" fontId="5" numFmtId="0" xfId="0">
      <alignment horizontal="center"/>
    </xf>
    <xf applyAlignment="1" applyFont="1" borderId="0" fillId="0" fontId="11" numFmtId="0" xfId="0">
      <alignment vertical="center"/>
    </xf>
    <xf applyBorder="1" applyFont="1" borderId="11" fillId="0" fontId="5" numFmtId="0" xfId="0"/>
    <xf applyBorder="1" applyFont="1" borderId="0" fillId="0" fontId="2" numFmtId="0" xfId="0"/>
    <xf applyAlignment="1" applyBorder="1" applyFont="1" borderId="0" fillId="0" fontId="11" numFmtId="0" xfId="0">
      <alignment horizontal="left" vertical="center"/>
    </xf>
    <xf applyAlignment="1" applyBorder="1" applyFont="1" borderId="0" fillId="0" fontId="5" numFmtId="0" xfId="0">
      <alignment horizontal="center"/>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11" numFmtId="0" xfId="0">
      <alignment horizontal="right" vertical="center"/>
    </xf>
    <xf applyAlignment="1" applyFont="1" borderId="0" fillId="0" fontId="14" numFmtId="0" xfId="0">
      <alignment vertical="center"/>
    </xf>
    <xf applyAlignment="1" applyFont="1" borderId="0" fillId="0" fontId="13" numFmtId="0" xfId="0">
      <alignment horizontal="right" vertical="center"/>
    </xf>
    <xf applyAlignment="1" applyBorder="1" applyFill="1" applyFont="1" borderId="0" fillId="20" fontId="11" numFmtId="0" xfId="0">
      <alignment horizontal="center" vertical="center" wrapText="1"/>
    </xf>
    <xf applyAlignment="1" applyBorder="1" applyFill="1" applyFont="1" borderId="0" fillId="20" fontId="11" numFmtId="0" xfId="0">
      <alignment vertical="center" wrapText="1"/>
    </xf>
    <xf applyAlignment="1" applyFont="1" borderId="0" fillId="0" fontId="14" numFmtId="0" xfId="0">
      <alignment horizontal="center" vertical="center"/>
    </xf>
    <xf applyAlignment="1" applyFont="1" borderId="0" fillId="0" fontId="14" numFmtId="0" xfId="0"/>
    <xf applyAlignment="1" applyBorder="1" applyFont="1" borderId="0" fillId="0" fontId="5" numFmtId="0" xfId="0">
      <alignment horizontal="left" vertical="center" wrapText="1"/>
    </xf>
    <xf applyAlignment="1" applyFont="1" borderId="0" fillId="0" fontId="5" numFmtId="0" xfId="0">
      <alignment vertical="center" wrapText="1"/>
    </xf>
    <xf applyFill="1" applyFont="1" borderId="0" fillId="18" fontId="5" numFmtId="0" xfId="0"/>
    <xf applyAlignment="1" applyFill="1" applyFont="1" borderId="0" fillId="18" fontId="2" numFmtId="0" xfId="0">
      <alignment vertical="center" wrapText="1"/>
    </xf>
    <xf applyAlignment="1" applyFill="1" applyFont="1" borderId="0" fillId="18" fontId="2" numFmtId="0" xfId="0">
      <alignment vertical="center"/>
    </xf>
    <xf applyAlignment="1" applyBorder="1" applyFill="1" applyFont="1" borderId="23" fillId="18" fontId="2" numFmtId="0" xfId="0"/>
    <xf applyAlignment="1" applyBorder="1" applyFill="1" applyFont="1" applyNumberFormat="1" borderId="30" fillId="18" fontId="2" numFmtId="43" xfId="0">
      <alignment vertical="center"/>
    </xf>
    <xf applyAlignment="1" applyBorder="1" applyFill="1" applyFont="1" applyNumberFormat="1" borderId="11" fillId="18" fontId="2" numFmtId="43" xfId="0">
      <alignment horizontal="center" vertical="center" wrapText="1"/>
    </xf>
    <xf applyBorder="1" applyFill="1" applyFont="1" borderId="11" fillId="18" fontId="2" numFmtId="0" xfId="0"/>
    <xf applyFill="1" applyFont="1" borderId="0" fillId="18" fontId="2" numFmtId="0" xfId="0"/>
    <xf applyAlignment="1" applyFont="1" borderId="0" fillId="0" fontId="5" numFmtId="0" xfId="0">
      <alignment horizontal="right"/>
    </xf>
    <xf applyAlignment="1" applyFont="1" borderId="0" fillId="0" fontId="3" numFmtId="0" xfId="0">
      <alignment horizontal="left"/>
    </xf>
    <xf applyAlignment="1" applyBorder="1" applyFont="1" borderId="11" fillId="0" fontId="5" numFmtId="0" xfId="0">
      <alignment horizontal="center" vertical="top" wrapText="1"/>
    </xf>
    <xf applyAlignment="1" applyFont="1" borderId="0" fillId="0" fontId="2" numFmtId="0" xfId="0">
      <alignment horizontal="left"/>
    </xf>
    <xf applyAlignment="1" applyBorder="1" applyFont="1" borderId="11" fillId="0" fontId="5" numFmtId="0" xfId="0">
      <alignment horizontal="center"/>
    </xf>
    <xf applyAlignment="1" applyBorder="1" applyFont="1" borderId="0" fillId="0" fontId="2" numFmtId="0" xfId="0">
      <alignment horizontal="center"/>
    </xf>
    <xf applyAlignment="1" applyBorder="1" applyFont="1" borderId="0" fillId="0" fontId="5" numFmtId="0" xfId="0">
      <alignment horizontal="right"/>
    </xf>
    <xf applyAlignment="1" applyBorder="1" applyFont="1" borderId="11" fillId="0" fontId="5" numFmtId="0" xfId="0">
      <alignment horizontal="center" vertical="center"/>
    </xf>
    <xf applyAlignment="1" applyBorder="1" applyFont="1" borderId="11" fillId="0" fontId="5" numFmtId="0" xfId="0">
      <alignment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indent="2" vertical="center" wrapText="1"/>
    </xf>
    <xf applyAlignment="1" applyBorder="1" applyFill="1" applyFont="1" borderId="11" fillId="20" fontId="11" numFmtId="0" xfId="0">
      <alignment horizontal="justify" vertical="center" wrapText="1"/>
    </xf>
    <xf applyAlignment="1" applyFont="1" borderId="0" fillId="0" fontId="5" numFmtId="0" xfId="0">
      <alignment horizontal="right" vertical="center"/>
    </xf>
    <xf applyAlignment="1" applyFont="1" borderId="0" fillId="0" fontId="5" numFmtId="0" xfId="0">
      <alignment horizontal="left"/>
    </xf>
    <xf applyFont="1" borderId="0" fillId="0" fontId="5" numFmtId="0" xfId="0"/>
    <xf applyAlignment="1" applyFont="1" borderId="0" fillId="0" fontId="5" numFmtId="0" xfId="0">
      <alignment vertical="top" wrapText="1"/>
    </xf>
    <xf applyBorder="1" applyFont="1" borderId="0" fillId="0" fontId="5" numFmtId="0" xfId="0"/>
    <xf applyAlignment="1" applyBorder="1" applyFont="1" borderId="0" fillId="0" fontId="5" numFmtId="0" xfId="0">
      <alignment vertical="center" wrapText="1"/>
    </xf>
    <xf applyAlignment="1" applyFont="1" borderId="0" fillId="0" fontId="5" numFmtId="0" xfId="0">
      <alignment wrapText="1"/>
    </xf>
    <xf applyAlignment="1" applyBorder="1" applyFont="1" borderId="11" fillId="0" fontId="5" numFmtId="0" xfId="0">
      <alignment vertical="center"/>
    </xf>
    <xf applyAlignment="1" applyFont="1" borderId="0" fillId="0" fontId="5" numFmtId="0" xfId="0">
      <alignment vertical="center"/>
    </xf>
    <xf applyAlignment="1" applyBorder="1" applyFont="1" borderId="11"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ont="1" borderId="0" fillId="0" fontId="7" numFmtId="0" xfId="0">
      <alignment horizontal="center" vertical="center"/>
    </xf>
    <xf applyAlignment="1" applyFont="1" borderId="0" fillId="0" fontId="5" numFmtId="0" xfId="0">
      <alignment horizontal="center" vertical="center" wrapText="1"/>
    </xf>
    <xf applyAlignment="1" applyBorder="1" applyFont="1" borderId="11" fillId="0" fontId="7" numFmtId="0" xfId="0">
      <alignment horizontal="center" vertical="center" wrapText="1"/>
    </xf>
    <xf applyAlignment="1" applyBorder="1" applyFont="1" borderId="11" fillId="0" fontId="2" numFmtId="0" xfId="0">
      <alignment horizontal="center" vertical="center" wrapText="1"/>
    </xf>
    <xf applyAlignment="1" applyBorder="1" applyFont="1" borderId="0" fillId="0" fontId="5" numFmtId="0" xfId="0">
      <alignment vertical="center"/>
    </xf>
    <xf applyAlignment="1" applyBorder="1" applyFont="1" borderId="11" fillId="0" fontId="5" numFmtId="0" xfId="0">
      <alignment vertical="center" wrapText="1"/>
    </xf>
    <xf applyFont="1" borderId="0" fillId="0" fontId="5" numFmtId="0" xfId="0"/>
    <xf applyAlignment="1" applyBorder="1" applyFill="1" applyFont="1" applyNumberFormat="1" borderId="3" fillId="4" fontId="2" numFmtId="165" xfId="0">
      <alignment vertical="center" wrapText="1"/>
    </xf>
    <xf applyAlignment="1" applyBorder="1" applyFill="1" applyFont="1" applyNumberFormat="1" borderId="3" fillId="4" fontId="2" numFmtId="165" xfId="0">
      <alignment horizontal="left" vertical="center" wrapText="1"/>
    </xf>
    <xf applyAlignment="1" applyBorder="1" applyFill="1" applyFont="1" borderId="3" fillId="2" fontId="2" numFmtId="0" xfId="0">
      <alignment horizontal="left" vertical="center" wrapText="1"/>
    </xf>
    <xf applyAlignment="1" applyBorder="1" applyFill="1" applyFont="1" applyNumberFormat="1" borderId="3" fillId="2" fontId="2" numFmtId="165" xfId="0">
      <alignment horizontal="left" vertical="center"/>
    </xf>
    <xf applyAlignment="1" applyBorder="1" applyFill="1" applyFont="1" applyNumberFormat="1" borderId="3" fillId="2" fontId="2" numFmtId="0" xfId="0">
      <alignment horizontal="left" vertical="center" wrapText="1"/>
    </xf>
    <xf applyAlignment="1" applyBorder="1" applyFont="1" borderId="3" fillId="0" fontId="18" numFmtId="0" xfId="0">
      <alignment horizontal="center" vertical="center"/>
    </xf>
    <xf applyAlignment="1" applyBorder="1" applyFill="1" applyFont="1" borderId="3" fillId="4" fontId="2" numFmtId="0" xfId="0">
      <alignment horizontal="left" vertical="center" wrapText="1"/>
    </xf>
    <xf applyAlignment="1" applyBorder="1" applyFill="1" applyFont="1" applyNumberFormat="1" borderId="3" fillId="4" fontId="2" numFmtId="0" xfId="0">
      <alignment horizontal="left" vertical="center" wrapText="1"/>
    </xf>
    <xf applyAlignment="1" applyBorder="1" applyFill="1" applyFont="1" borderId="3" fillId="4" fontId="18" numFmtId="0" xfId="0">
      <alignment horizontal="left" vertical="center" wrapText="1"/>
    </xf>
    <xf applyAlignment="1" applyBorder="1" applyFill="1" applyFont="1" applyNumberFormat="1" borderId="3" fillId="4" fontId="18" numFmtId="165" xfId="0">
      <alignment horizontal="left" vertical="center" wrapText="1"/>
    </xf>
    <xf applyAlignment="1" applyBorder="1" applyFont="1" borderId="0" fillId="0" fontId="19" numFmtId="0" xfId="0">
      <alignment vertical="center"/>
    </xf>
    <xf applyAlignment="1" applyBorder="1" applyFont="1" borderId="2" fillId="0" fontId="18" numFmtId="0" xfId="0">
      <alignment horizontal="center" vertical="center" wrapText="1"/>
    </xf>
    <xf applyAlignment="1" applyBorder="1" applyFont="1" borderId="2" fillId="0" fontId="18" numFmtId="0" xfId="0">
      <alignment horizontal="center" vertical="center"/>
    </xf>
    <xf applyAlignment="1" applyBorder="1" applyFont="1" borderId="2" fillId="0" fontId="18" numFmtId="0" xfId="0">
      <alignment vertical="top"/>
    </xf>
    <xf applyAlignment="1" applyBorder="1" applyFont="1" borderId="2" fillId="0" fontId="18" numFmtId="0" xfId="0">
      <alignment vertical="top" wrapText="1"/>
    </xf>
    <xf applyAlignment="1" applyBorder="1" applyFont="1" applyNumberFormat="1" borderId="2" fillId="0" fontId="18" numFmtId="0" xfId="1">
      <alignment horizontal="right" vertical="top"/>
    </xf>
    <xf applyAlignment="1" applyBorder="1" applyFont="1" borderId="1" fillId="0" fontId="20" numFmtId="0" xfId="0">
      <alignment vertical="center"/>
    </xf>
    <xf applyAlignment="1" applyBorder="1" applyFont="1" borderId="1" fillId="0" fontId="20" numFmtId="0" xfId="0">
      <alignment vertical="center" wrapText="1"/>
    </xf>
    <xf applyAlignment="1" applyBorder="1" applyFill="1" applyFont="1" borderId="2" fillId="0" fontId="18" numFmtId="0" xfId="0">
      <alignment horizontal="center" vertical="center" wrapText="1"/>
    </xf>
    <xf applyAlignment="1" applyBorder="1" applyFill="1" applyFont="1" borderId="2" fillId="0" fontId="18" numFmtId="0" xfId="0">
      <alignment horizontal="center" vertical="center"/>
    </xf>
    <xf applyAlignment="1" applyBorder="1" applyFont="1" applyNumberFormat="1" borderId="2" fillId="0" fontId="21" numFmtId="0" xfId="0">
      <alignment horizontal="left"/>
    </xf>
    <xf applyAlignment="1" applyBorder="1" applyFont="1" borderId="2" fillId="0" fontId="16" numFmtId="0" xfId="0">
      <alignment horizontal="left" vertical="center"/>
    </xf>
    <xf applyAlignment="1" applyBorder="1" applyFont="1" applyNumberFormat="1" borderId="2" fillId="0" fontId="16" numFmtId="165" xfId="0">
      <alignment horizontal="left" vertical="center" wrapText="1"/>
    </xf>
    <xf applyBorder="1" applyFont="1" borderId="2" fillId="0" fontId="18" numFmtId="0" xfId="0"/>
    <xf applyAlignment="1" applyBorder="1" applyFont="1" borderId="2" fillId="0" fontId="7" numFmtId="0" xfId="0">
      <alignment horizontal="left" vertical="center"/>
    </xf>
    <xf applyAlignment="1" applyBorder="1" applyFont="1" applyNumberFormat="1" borderId="2" fillId="0" fontId="7" numFmtId="165" xfId="0">
      <alignment horizontal="left" vertical="center" wrapText="1"/>
    </xf>
    <xf applyBorder="1" applyFont="1" borderId="2" fillId="0" fontId="5" numFmtId="0" xfId="0"/>
    <xf applyAlignment="1" applyBorder="1" applyFont="1" borderId="2" fillId="0" fontId="2" numFmtId="0" xfId="0">
      <alignment horizontal="left" vertical="center"/>
    </xf>
    <xf applyAlignment="1" applyBorder="1" applyFont="1" applyNumberFormat="1" borderId="2" fillId="0" fontId="2" numFmtId="165" xfId="0">
      <alignment horizontal="left" vertical="center" wrapText="1"/>
    </xf>
    <xf applyAlignment="1" applyBorder="1" applyFill="1" applyFont="1" borderId="2" fillId="0" fontId="2" numFmtId="0" xfId="0">
      <alignment horizontal="left" vertical="center"/>
    </xf>
    <xf applyAlignment="1" applyBorder="1" applyFill="1" applyFont="1" applyNumberFormat="1" borderId="2" fillId="0" fontId="2" numFmtId="165" xfId="0">
      <alignment horizontal="left" vertical="center" wrapText="1"/>
    </xf>
    <xf applyAlignment="1" applyBorder="1" applyFill="1" applyFont="1" borderId="3" fillId="7" fontId="7" numFmtId="0" xfId="0">
      <alignment horizontal="center" vertical="center" wrapText="1"/>
    </xf>
    <xf applyAlignment="1" applyBorder="1" applyFont="1" applyNumberFormat="1" borderId="3" fillId="0" fontId="7" numFmtId="0" xfId="0">
      <alignment horizontal="left" vertical="center" wrapText="1"/>
    </xf>
    <xf applyAlignment="1" applyBorder="1" applyFont="1" applyNumberFormat="1" borderId="3" fillId="0" fontId="7" numFmtId="165" xfId="0">
      <alignment horizontal="left" vertical="center" wrapText="1"/>
    </xf>
    <xf applyAlignment="1" applyBorder="1" applyFont="1" borderId="3" fillId="0" fontId="7" numFmtId="0" xfId="0">
      <alignment horizontal="left" vertical="center" wrapText="1"/>
    </xf>
    <xf applyAlignment="1" applyBorder="1" applyFont="1" borderId="0" fillId="0" fontId="5" numFmtId="0" xfId="0">
      <alignment readingOrder="1" vertical="center"/>
    </xf>
    <xf applyAlignment="1" applyBorder="1" applyFill="1" applyFont="1" borderId="11" fillId="13" fontId="2" numFmtId="0" xfId="0">
      <alignment horizontal="center" vertical="center"/>
    </xf>
    <xf applyAlignment="1" applyBorder="1" applyFill="1" applyFont="1" borderId="11" fillId="13" fontId="7" numFmtId="0" xfId="0">
      <alignment horizontal="center" vertical="center"/>
    </xf>
    <xf applyAlignment="1" applyBorder="1" applyFill="1" applyFont="1" borderId="12" fillId="13" fontId="7" numFmtId="0" xfId="0">
      <alignment horizontal="center" vertical="center"/>
    </xf>
    <xf applyAlignment="1" applyBorder="1" applyFill="1" applyFont="1" borderId="11" fillId="14" fontId="2" numFmtId="0" xfId="0">
      <alignment horizontal="center" vertical="center"/>
    </xf>
    <xf applyAlignment="1" applyBorder="1" applyFill="1" applyFont="1" borderId="11" fillId="0" fontId="2" numFmtId="0" xfId="0">
      <alignment vertical="center"/>
    </xf>
    <xf applyAlignment="1" applyBorder="1" applyFill="1" applyFont="1" borderId="11" fillId="2" fontId="2" numFmtId="0" xfId="0">
      <alignment horizontal="center" vertical="center"/>
    </xf>
    <xf applyAlignment="1" applyBorder="1" applyFill="1" applyFont="1" borderId="11" fillId="2" fontId="2" numFmtId="0" xfId="0">
      <alignment vertical="center"/>
    </xf>
    <xf applyAlignment="1" applyBorder="1" applyFill="1" applyFont="1" borderId="11" fillId="2" fontId="22" numFmtId="0" xfId="0">
      <alignment vertical="center"/>
    </xf>
    <xf applyAlignment="1" applyBorder="1" applyFill="1" applyFont="1" borderId="11" fillId="2" fontId="22" numFmtId="0" xfId="0">
      <alignment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center" vertical="center"/>
    </xf>
    <xf applyAlignment="1" applyBorder="1" applyFill="1" applyFont="1" borderId="11" fillId="2" fontId="22" numFmtId="0" xfId="0">
      <alignment horizontal="center" vertical="center" wrapText="1"/>
    </xf>
    <xf applyAlignment="1" applyBorder="1" applyFill="1" applyFont="1" borderId="11" fillId="12" fontId="2" numFmtId="0" xfId="0">
      <alignment vertical="center"/>
    </xf>
    <xf applyAlignment="1" applyBorder="1" applyFill="1" applyFont="1" borderId="11" fillId="0" fontId="2" numFmtId="0" xfId="0">
      <alignment vertical="center" wrapText="1"/>
    </xf>
    <xf applyAlignment="1" applyBorder="1" applyFill="1" applyFont="1" borderId="11" fillId="12" fontId="2" numFmtId="0" xfId="0">
      <alignment vertical="center" wrapText="1"/>
    </xf>
    <xf applyAlignment="1" applyBorder="1" applyFill="1" applyFont="1" borderId="11" fillId="2" fontId="2" numFmtId="0" xfId="0">
      <alignment vertical="center" wrapText="1"/>
    </xf>
    <xf applyBorder="1" applyFont="1" borderId="23" fillId="0" fontId="5" numFmtId="0" xfId="0"/>
    <xf applyAlignment="1" applyBorder="1" applyFill="1" applyFont="1" applyProtection="1" borderId="11" fillId="22" fontId="2" numFmtId="0" xfId="0">
      <alignment horizontal="center" vertical="top"/>
      <protection locked="0"/>
    </xf>
    <xf applyAlignment="1" applyBorder="1" applyFill="1" applyFont="1" applyProtection="1" borderId="0" fillId="18" fontId="2" numFmtId="0" xfId="0">
      <alignment horizontal="center" vertical="top"/>
      <protection locked="0"/>
    </xf>
    <xf applyAlignment="1" applyBorder="1" applyFill="1" applyFont="1" applyProtection="1" borderId="22" fillId="22" fontId="7" numFmtId="0" xfId="0">
      <alignment horizontal="center" vertical="top"/>
      <protection locked="0"/>
    </xf>
    <xf applyAlignment="1" applyBorder="1" applyFill="1" applyFont="1" applyNumberFormat="1" borderId="3" fillId="17" fontId="3" numFmtId="0" xfId="0">
      <alignment horizontal="left" vertical="center" wrapText="1"/>
    </xf>
    <xf applyAlignment="1" applyBorder="1" applyFill="1" applyFont="1" applyNumberFormat="1" borderId="3" fillId="2" fontId="5" numFmtId="0" xfId="0">
      <alignment horizontal="left" vertical="center" wrapText="1"/>
    </xf>
    <xf applyAlignment="1" applyBorder="1" applyFont="1" applyNumberFormat="1" borderId="3" fillId="0" fontId="3" numFmtId="0" xfId="0">
      <alignment horizontal="left" vertical="center" wrapText="1"/>
    </xf>
    <xf applyAlignment="1" applyBorder="1" applyFont="1" applyNumberFormat="1" borderId="2" fillId="0" fontId="5" numFmtId="0" xfId="0">
      <alignment horizontal="left"/>
    </xf>
    <xf applyAlignment="1" applyBorder="1" applyFill="1" applyFont="1" applyNumberFormat="1" borderId="3" fillId="4" fontId="5" numFmtId="0" xfId="0">
      <alignment horizontal="left"/>
    </xf>
    <xf applyAlignment="1" applyBorder="1" applyFill="1" applyFont="1" borderId="11" fillId="14" fontId="5" numFmtId="0" xfId="0">
      <alignment horizontal="center" vertical="center"/>
    </xf>
    <xf applyAlignment="1" applyFont="1" borderId="0" fillId="0" fontId="5" numFmtId="0" xfId="0">
      <alignment horizontal="center" vertical="top"/>
    </xf>
    <xf applyAlignment="1" applyFont="1" applyNumberFormat="1" borderId="0" fillId="0" fontId="18" numFmtId="49" xfId="0">
      <alignment horizontal="left"/>
    </xf>
    <xf applyAlignment="1" applyFont="1" borderId="0" fillId="0" fontId="18" numFmtId="0" xfId="0">
      <alignment wrapText="1"/>
    </xf>
    <xf applyFont="1" borderId="0" fillId="0" fontId="18" numFmtId="0" xfId="0"/>
    <xf applyAlignment="1" applyBorder="1" applyFont="1" applyNumberFormat="1" borderId="0" fillId="0" fontId="17" numFmtId="49" xfId="0">
      <alignment horizontal="left" vertical="center"/>
    </xf>
    <xf applyAlignment="1" applyBorder="1" applyFont="1" borderId="0" fillId="0" fontId="17" numFmtId="0" xfId="0">
      <alignment vertical="center" wrapText="1"/>
    </xf>
    <xf applyAlignment="1" applyBorder="1" applyFont="1" borderId="0" fillId="0" fontId="17" numFmtId="0" xfId="0">
      <alignment vertical="center"/>
    </xf>
    <xf applyAlignment="1" applyBorder="1" applyFill="1" applyFont="1" borderId="3" fillId="5" fontId="18" numFmtId="0" xfId="0">
      <alignment horizontal="center" vertical="center" wrapText="1"/>
    </xf>
    <xf applyAlignment="1" applyBorder="1" applyFill="1" applyFont="1" applyNumberFormat="1" borderId="3" fillId="17" fontId="7" numFmtId="0" xfId="0">
      <alignment horizontal="left" vertical="center" wrapText="1"/>
    </xf>
    <xf applyBorder="1" applyFont="1" borderId="3" fillId="0" fontId="5" numFmtId="0" xfId="0"/>
    <xf applyAlignment="1" applyBorder="1" applyFill="1" applyFont="1" applyNumberFormat="1" borderId="3" fillId="17" fontId="2" numFmtId="0" xfId="0">
      <alignment horizontal="left" vertical="center" wrapText="1"/>
    </xf>
    <xf applyAlignment="1" applyBorder="1" applyFill="1" applyFont="1" applyNumberFormat="1" borderId="3" fillId="2" fontId="2" numFmtId="165" xfId="0">
      <alignment horizontal="left" vertical="center" wrapText="1"/>
    </xf>
    <xf applyAlignment="1" applyBorder="1" applyFill="1" applyFont="1" borderId="3" fillId="2" fontId="5" numFmtId="0" xfId="0">
      <alignment wrapText="1"/>
    </xf>
    <xf applyAlignment="1" applyBorder="1" applyFill="1" applyFont="1" applyNumberFormat="1" borderId="3" fillId="17" fontId="2" numFmtId="0" xfId="0">
      <alignment horizontal="left" vertical="center"/>
    </xf>
    <xf applyAlignment="1" applyBorder="1" applyFill="1" applyFont="1" borderId="3" fillId="17" fontId="2" numFmtId="0" xfId="0">
      <alignment horizontal="left" vertical="center" wrapText="1"/>
    </xf>
    <xf applyAlignment="1" applyBorder="1" applyFill="1" applyFont="1" borderId="3" fillId="17" fontId="7" numFmtId="0" xfId="0">
      <alignment horizontal="left" vertical="center" wrapText="1"/>
    </xf>
    <xf applyAlignment="1" applyBorder="1" applyFill="1" applyFont="1" applyNumberFormat="1" borderId="3" fillId="17" fontId="5" numFmtId="0" xfId="0">
      <alignment horizontal="left"/>
    </xf>
    <xf applyAlignment="1" applyBorder="1" applyFill="1" applyFont="1" borderId="3" fillId="0" fontId="3" numFmtId="0" xfId="0">
      <alignment wrapText="1"/>
    </xf>
    <xf applyAlignment="1" applyBorder="1" applyFill="1" applyFont="1" applyNumberFormat="1" borderId="3" fillId="17" fontId="16" numFmtId="0" xfId="0">
      <alignment horizontal="left" vertical="center" wrapText="1"/>
    </xf>
    <xf applyAlignment="1" applyBorder="1" applyFont="1" applyNumberFormat="1" borderId="3" fillId="0" fontId="16" numFmtId="165" xfId="0">
      <alignment horizontal="left" vertical="center" wrapText="1"/>
    </xf>
    <xf applyAlignment="1" applyBorder="1" applyFill="1" applyFont="1" borderId="3" fillId="17" fontId="16" numFmtId="0" xfId="0">
      <alignment horizontal="left" vertical="center" wrapText="1"/>
    </xf>
    <xf applyAlignment="1" applyBorder="1" applyFill="1" applyFont="1" applyNumberFormat="1" borderId="3" fillId="17" fontId="18" numFmtId="0" xfId="0">
      <alignment horizontal="left" vertical="center" wrapText="1"/>
    </xf>
    <xf applyAlignment="1" applyBorder="1" applyFill="1" applyFont="1" borderId="3" fillId="17" fontId="18" numFmtId="0" xfId="0">
      <alignment horizontal="left" vertical="center" wrapText="1"/>
    </xf>
    <xf applyAlignment="1" applyBorder="1" applyFont="1" applyNumberFormat="1" borderId="3" fillId="0" fontId="16" numFmtId="165" xfId="0">
      <alignment horizontal="center" vertical="center" wrapText="1"/>
    </xf>
    <xf applyAlignment="1" applyBorder="1" applyFont="1" applyNumberFormat="1" borderId="3" fillId="0" fontId="18" numFmtId="165" xfId="0">
      <alignment horizontal="left" vertical="center" wrapText="1"/>
    </xf>
    <xf applyAlignment="1" applyBorder="1" applyFill="1" applyFont="1" applyNumberFormat="1" borderId="3" fillId="0" fontId="7" numFmtId="165" xfId="0">
      <alignment horizontal="left" vertical="center" wrapText="1"/>
    </xf>
    <xf applyAlignment="1" applyBorder="1" applyFill="1" applyFont="1" applyNumberFormat="1" borderId="3" fillId="17" fontId="2" numFmtId="0" xfId="0">
      <alignment horizontal="left" wrapText="1"/>
    </xf>
    <xf applyAlignment="1" applyBorder="1" applyFill="1" applyFont="1" borderId="3" fillId="4" fontId="2" numFmtId="0" xfId="0">
      <alignment horizontal="left" wrapText="1"/>
    </xf>
    <xf applyAlignment="1" applyBorder="1" applyFill="1" applyFont="1" applyNumberFormat="1" borderId="3" fillId="4" fontId="18" numFmtId="2" xfId="0">
      <alignment wrapText="1"/>
    </xf>
    <xf applyAlignment="1" applyBorder="1" applyFill="1" applyFont="1" borderId="3" fillId="17" fontId="5" numFmtId="0" xfId="0">
      <alignment horizontal="left"/>
    </xf>
    <xf applyAlignment="1" applyBorder="1" applyFill="1" applyFont="1" applyNumberFormat="1" borderId="3" fillId="4" fontId="2" numFmtId="2" xfId="0">
      <alignment wrapText="1"/>
    </xf>
    <xf applyAlignment="1" applyBorder="1" applyFill="1" applyFont="1" borderId="3" fillId="17" fontId="2" numFmtId="0" xfId="0">
      <alignment horizontal="left"/>
    </xf>
    <xf applyAlignment="1" applyBorder="1" applyFill="1" applyFont="1" applyNumberFormat="1" borderId="3" fillId="0" fontId="18" numFmtId="165" xfId="0">
      <alignment horizontal="left" vertical="center" wrapText="1"/>
    </xf>
    <xf applyAlignment="1" applyFont="1" applyNumberFormat="1" borderId="0" fillId="0" fontId="5" numFmtId="49" xfId="0">
      <alignment horizontal="left"/>
    </xf>
    <xf applyBorder="1" applyFont="1" borderId="0" fillId="0" fontId="18" numFmtId="0" xfId="0"/>
    <xf applyAlignment="1" applyBorder="1" applyFont="1" borderId="0" fillId="0" fontId="18" numFmtId="0" xfId="0">
      <alignment wrapText="1"/>
    </xf>
    <xf applyAlignment="1" applyBorder="1" applyFont="1" borderId="3" fillId="0" fontId="16" numFmtId="0" xfId="0">
      <alignment horizontal="left" vertical="center" wrapText="1"/>
    </xf>
    <xf applyAlignment="1" applyBorder="1" applyFill="1" applyFont="1" applyNumberFormat="1" borderId="3" fillId="2" fontId="18" numFmtId="0" xfId="0">
      <alignment horizontal="left" vertical="center" wrapText="1"/>
    </xf>
    <xf applyAlignment="1" applyBorder="1" applyFill="1" applyFont="1" applyNumberFormat="1" borderId="3" fillId="2" fontId="18" numFmtId="165" xfId="0">
      <alignment horizontal="left" vertical="center" wrapText="1"/>
    </xf>
    <xf applyAlignment="1" applyBorder="1" applyFont="1" applyNumberFormat="1" borderId="3" fillId="0" fontId="16" numFmtId="0" xfId="0">
      <alignment horizontal="left" vertical="center" wrapText="1"/>
    </xf>
    <xf applyAlignment="1" applyBorder="1" applyFont="1" applyNumberFormat="1" borderId="3" fillId="0" fontId="18" numFmtId="0" xfId="0">
      <alignment horizontal="left" vertical="center" wrapText="1"/>
    </xf>
    <xf applyAlignment="1" applyBorder="1" applyFill="1" applyFont="1" borderId="3" fillId="2" fontId="18" numFmtId="0" xfId="0">
      <alignment horizontal="left" vertical="center" wrapText="1"/>
    </xf>
    <xf applyAlignment="1" applyBorder="1" applyFill="1" applyFont="1" applyNumberFormat="1" borderId="3" fillId="2" fontId="5" numFmtId="0" xfId="0">
      <alignment horizontal="left"/>
    </xf>
    <xf applyAlignment="1" applyBorder="1" applyFont="1" borderId="3" fillId="0" fontId="5" numFmtId="0" xfId="0">
      <alignment horizontal="left"/>
    </xf>
    <xf applyAlignment="1" applyBorder="1" applyFont="1" borderId="3" fillId="0" fontId="5" numFmtId="0" xfId="0">
      <alignment wrapText="1"/>
    </xf>
    <xf applyBorder="1" applyFont="1" applyNumberFormat="1" borderId="3" fillId="0" fontId="2" numFmtId="2" xfId="1"/>
    <xf applyBorder="1" applyFill="1" applyFont="1" applyNumberFormat="1" borderId="3" fillId="2" fontId="2" numFmtId="2" xfId="1"/>
    <xf applyAlignment="1" applyBorder="1" applyFont="1" applyNumberFormat="1" borderId="3" fillId="0" fontId="5" numFmtId="0" xfId="0">
      <alignment horizontal="left"/>
    </xf>
    <xf applyAlignment="1" applyBorder="1" applyFill="1" applyFont="1" applyNumberFormat="1" borderId="3" fillId="4" fontId="18" numFmtId="0" xfId="0">
      <alignment horizontal="left" vertical="center" wrapText="1"/>
    </xf>
    <xf applyAlignment="1" applyBorder="1" applyFill="1" applyFont="1" applyNumberFormat="1" borderId="3" fillId="4" fontId="2" numFmtId="0" xfId="0">
      <alignment horizontal="left" vertical="center"/>
    </xf>
    <xf applyAlignment="1" applyBorder="1" applyFill="1" applyFont="1" borderId="3" fillId="0" fontId="16" numFmtId="0" xfId="0">
      <alignment horizontal="left" vertical="center" wrapText="1"/>
    </xf>
    <xf applyAlignment="1" applyBorder="1" applyFill="1" applyFont="1" applyNumberFormat="1" borderId="3" fillId="4" fontId="2" numFmtId="0" xfId="0">
      <alignment horizontal="left" wrapText="1"/>
    </xf>
    <xf applyAlignment="1" applyBorder="1" applyFill="1" applyFont="1" applyNumberFormat="1" borderId="3" fillId="0" fontId="16" numFmtId="0" xfId="0">
      <alignment horizontal="left" vertical="center" wrapText="1"/>
    </xf>
    <xf applyAlignment="1" applyBorder="1" applyFill="1" applyFont="1" borderId="3" fillId="4" fontId="5" numFmtId="0" xfId="0">
      <alignment horizontal="left"/>
    </xf>
    <xf applyAlignment="1" applyBorder="1" applyFill="1" applyFont="1" borderId="3" fillId="4" fontId="2" numFmtId="0" xfId="0">
      <alignment horizontal="left"/>
    </xf>
    <xf applyAlignment="1" applyBorder="1" applyFill="1" applyFont="1" applyNumberFormat="1" borderId="3" fillId="0" fontId="18" numFmtId="0" xfId="0">
      <alignment horizontal="left" vertical="center" wrapText="1"/>
    </xf>
    <xf applyAlignment="1" applyBorder="1" applyFont="1" borderId="3" fillId="0" fontId="5" numFmtId="43" xfId="1">
      <alignment horizontal="right" vertical="top"/>
    </xf>
    <xf applyAlignment="1" applyBorder="1" applyFont="1" applyNumberFormat="1" borderId="3" fillId="0" fontId="5" numFmtId="0" xfId="1">
      <alignment horizontal="right" vertical="top"/>
    </xf>
    <xf applyAlignment="1" applyBorder="1" applyFont="1" applyNumberFormat="1" borderId="3" fillId="0" fontId="2" numFmtId="0" xfId="1">
      <alignment horizontal="right" vertical="top"/>
    </xf>
    <xf applyBorder="1" applyFill="1" applyFont="1" borderId="3" fillId="4" fontId="5" numFmtId="0" xfId="0"/>
    <xf applyAlignment="1" applyBorder="1" applyFill="1" applyFont="1" borderId="3" fillId="4" fontId="5" numFmtId="0" xfId="0">
      <alignment wrapText="1"/>
    </xf>
    <xf applyAlignment="1" applyBorder="1" applyFont="1" applyNumberFormat="1" borderId="3" fillId="0" fontId="3" numFmtId="0" xfId="0">
      <alignment horizontal="left"/>
    </xf>
    <xf applyAlignment="1" applyFont="1" borderId="0" fillId="0" fontId="2" numFmtId="0" xfId="0">
      <alignment wrapText="1"/>
    </xf>
    <xf applyAlignment="1" applyFont="1" borderId="0" fillId="0" fontId="2" numFmtId="0" xfId="0"/>
    <xf applyAlignment="1" applyBorder="1" applyFont="1" borderId="0" fillId="0" fontId="16" numFmtId="0" xfId="0">
      <alignment horizontal="left" vertical="center"/>
    </xf>
    <xf applyAlignment="1" applyBorder="1" applyFont="1" borderId="0" fillId="0" fontId="16" numFmtId="0" xfId="0">
      <alignment vertical="center"/>
    </xf>
    <xf applyAlignment="1" applyFont="1" applyNumberFormat="1" borderId="0" fillId="0" fontId="21" numFmtId="0" xfId="0">
      <alignment horizontal="left"/>
    </xf>
    <xf applyAlignment="1" applyFont="1" applyNumberFormat="1" borderId="0" fillId="0" fontId="21" numFmtId="49" xfId="0"/>
    <xf applyAlignment="1" applyFont="1" applyNumberFormat="1" borderId="0" fillId="0" fontId="5" numFmtId="0" xfId="0">
      <alignment horizontal="left"/>
    </xf>
    <xf applyAlignment="1" applyBorder="1" applyFill="1" applyFont="1" applyNumberFormat="1" applyProtection="1" borderId="3" fillId="18" fontId="2" numFmtId="0" xfId="0">
      <alignment horizontal="center" vertical="center" wrapText="1"/>
    </xf>
    <xf applyAlignment="1" applyBorder="1" applyFont="1" borderId="3" fillId="0" fontId="2" numFmtId="0" xfId="0">
      <alignment horizontal="center" vertical="center" wrapText="1"/>
    </xf>
    <xf applyAlignment="1" applyBorder="1" applyFill="1" applyFont="1" applyNumberFormat="1" applyProtection="1" borderId="3" fillId="18" fontId="2" numFmtId="0" xfId="0">
      <alignment horizontal="center" vertical="top" wrapText="1"/>
    </xf>
    <xf applyAlignment="1" applyBorder="1" applyFill="1" applyFont="1" applyNumberFormat="1" applyProtection="1" borderId="3" fillId="18" fontId="2" numFmtId="0" xfId="0">
      <alignment vertical="top" wrapText="1"/>
    </xf>
    <xf applyAlignment="1" applyBorder="1" applyFill="1" applyFont="1" applyNumberFormat="1" applyProtection="1" borderId="3" fillId="18" fontId="2" numFmtId="0" xfId="0">
      <alignment horizontal="left" vertical="top" wrapText="1"/>
    </xf>
    <xf applyAlignment="1" applyBorder="1" applyFill="1" applyFont="1" applyNumberFormat="1" applyProtection="1" borderId="3" fillId="18" fontId="2" numFmtId="3" xfId="0">
      <alignment horizontal="center" vertical="center" wrapText="1"/>
    </xf>
    <xf applyAlignment="1" applyBorder="1" applyFill="1" applyFont="1" applyNumberFormat="1" applyProtection="1" borderId="3" fillId="18" fontId="2" numFmtId="3" xfId="0">
      <alignment horizontal="center" vertical="top" wrapText="1"/>
    </xf>
    <xf applyBorder="1" applyFont="1" borderId="3" fillId="0" fontId="2" numFmtId="0" xfId="0"/>
    <xf applyAlignment="1" applyBorder="1" applyFont="1" borderId="3" fillId="0" fontId="2" numFmtId="0" xfId="0">
      <alignment horizontal="center"/>
    </xf>
    <xf applyAlignment="1" applyBorder="1" applyFont="1" borderId="3" fillId="0" fontId="18" numFmtId="0" xfId="0">
      <alignment horizontal="center" vertical="center" wrapText="1"/>
    </xf>
    <xf applyBorder="1" applyFont="1" borderId="3" fillId="0" fontId="18" numFmtId="0" xfId="0"/>
    <xf applyAlignment="1" applyBorder="1" applyFont="1" borderId="3" fillId="0" fontId="18" numFmtId="0" xfId="0">
      <alignment horizontal="center"/>
    </xf>
    <xf applyAlignment="1" applyBorder="1" applyFill="1" applyFont="1" borderId="3" fillId="4" fontId="18" numFmtId="0" xfId="0">
      <alignment horizontal="center" vertical="center" wrapText="1"/>
    </xf>
    <xf applyAlignment="1" applyBorder="1" applyFill="1" applyFont="1" borderId="3" fillId="3" fontId="18" numFmtId="0" xfId="0">
      <alignment horizontal="center" vertical="center" wrapText="1"/>
    </xf>
    <xf applyAlignment="1" applyBorder="1" applyFill="1" applyFont="1" borderId="3" fillId="6" fontId="18" numFmtId="0" xfId="0">
      <alignment horizontal="center" vertical="center" wrapText="1"/>
    </xf>
    <xf applyAlignment="1" applyBorder="1" applyFill="1" applyFont="1" borderId="3" fillId="7" fontId="18" numFmtId="0" xfId="0">
      <alignment horizontal="center" vertical="center" wrapText="1"/>
    </xf>
    <xf applyAlignment="1" applyBorder="1" applyFont="1" borderId="3" fillId="0" fontId="3" numFmtId="0" xfId="0">
      <alignment horizontal="center"/>
    </xf>
    <xf applyAlignment="1" applyFont="1" borderId="0" fillId="0" fontId="2" numFmtId="0" xfId="0">
      <alignment horizontal="right"/>
    </xf>
    <xf applyAlignment="1" applyFont="1" borderId="0" fillId="0" fontId="7" numFmtId="0" xfId="0">
      <alignment horizontal="left"/>
    </xf>
    <xf applyAlignment="1" applyFont="1" borderId="0" fillId="0" fontId="7" numFmtId="0" xfId="0">
      <alignment horizontal="center"/>
    </xf>
    <xf applyAlignment="1" applyBorder="1" applyFill="1" applyFont="1" borderId="3" fillId="7" fontId="7" numFmtId="0" xfId="0">
      <alignment horizontal="left" vertical="center" wrapText="1"/>
    </xf>
    <xf applyAlignment="1" applyBorder="1" applyFont="1" applyNumberFormat="1" borderId="3" fillId="0" fontId="18" numFmtId="2" xfId="0"/>
    <xf applyAlignment="1" applyBorder="1" applyFill="1" applyFont="1" applyNumberFormat="1" borderId="3" fillId="4" fontId="18" numFmtId="2" xfId="0"/>
    <xf applyAlignment="1" applyBorder="1" applyFill="1" applyFont="1" applyNumberFormat="1" borderId="3" fillId="0" fontId="18" numFmtId="2" xfId="0"/>
    <xf applyAlignment="1" applyBorder="1" applyFill="1" applyFont="1" applyNumberFormat="1" borderId="3" fillId="4" fontId="2" numFmtId="2" xfId="0"/>
    <xf applyAlignment="1" applyBorder="1" applyFont="1" applyNumberFormat="1" borderId="3" fillId="0" fontId="16" numFmtId="165" xfId="0">
      <alignment horizontal="center" vertical="center"/>
    </xf>
    <xf applyAlignment="1" applyBorder="1" applyFill="1" applyFont="1" borderId="3" fillId="4" fontId="16" numFmtId="0" xfId="0">
      <alignment horizontal="left" vertical="center" wrapText="1"/>
    </xf>
    <xf applyAlignment="1" applyBorder="1" applyFill="1" applyFont="1" applyNumberFormat="1" borderId="3" fillId="4" fontId="16" numFmtId="165" xfId="0">
      <alignment horizontal="left" vertical="center" wrapText="1"/>
    </xf>
    <xf applyAlignment="1" applyBorder="1" applyFont="1" applyNumberFormat="1" borderId="3" fillId="0" fontId="7" numFmtId="4" xfId="0">
      <alignment horizontal="right" vertical="center"/>
    </xf>
    <xf applyAlignment="1" applyBorder="1" applyFill="1" applyFont="1" applyNumberFormat="1" borderId="3" fillId="4" fontId="2" numFmtId="4" xfId="0">
      <alignment horizontal="right" vertical="center"/>
    </xf>
    <xf applyAlignment="1" applyBorder="1" applyFont="1" applyNumberFormat="1" borderId="3" fillId="0" fontId="2" numFmtId="4" xfId="0">
      <alignment horizontal="right" vertical="center"/>
    </xf>
    <xf applyBorder="1" applyFill="1" applyFont="1" borderId="3" fillId="4" fontId="2" numFmtId="0" xfId="0"/>
    <xf applyAlignment="1" applyBorder="1" applyFont="1" borderId="11" fillId="0" fontId="5" numFmtId="0" xfId="0">
      <alignment vertical="top"/>
    </xf>
    <xf applyAlignment="1" applyFont="1" borderId="0" fillId="0" fontId="5" numFmtId="0" xfId="0">
      <alignment vertical="top"/>
    </xf>
    <xf applyAlignment="1" applyFont="1" borderId="0" fillId="0" fontId="2" numFmtId="0" xfId="0">
      <alignment horizontal="justify" vertical="center"/>
    </xf>
    <xf applyAlignment="1" applyFont="1" borderId="0" fillId="0" fontId="2" numFmtId="0" xfId="0">
      <alignment horizontal="right" vertical="center"/>
    </xf>
    <xf applyAlignment="1" applyBorder="1" applyFont="1" applyNumberFormat="1" borderId="11" fillId="0" fontId="2" numFmtId="2" xfId="0">
      <alignment horizontal="justify" vertical="center" wrapText="1"/>
    </xf>
    <xf applyFont="1" applyNumberFormat="1" borderId="0" fillId="0" fontId="2" numFmtId="49" xfId="0"/>
    <xf applyBorder="1" applyFont="1" borderId="11" fillId="0" fontId="3" numFmtId="0" xfId="0"/>
    <xf applyAlignment="1" applyFont="1" borderId="0" fillId="0" fontId="7" numFmtId="0" xfId="0">
      <alignment vertical="center"/>
    </xf>
    <xf applyAlignment="1" applyFont="1" applyNumberFormat="1" borderId="0" fillId="0" fontId="7" numFmtId="14" xfId="0">
      <alignment horizontal="right" indent="5" vertical="center"/>
    </xf>
    <xf applyAlignment="1" applyBorder="1" applyFont="1" borderId="11" fillId="0" fontId="2" numFmtId="43" xfId="1">
      <alignment horizontal="justify" vertical="center" wrapText="1"/>
    </xf>
    <xf applyAlignment="1" applyBorder="1" applyFont="1" applyNumberFormat="1" borderId="11" fillId="0" fontId="2" numFmtId="43" xfId="0">
      <alignment horizontal="justify" vertical="center" wrapText="1"/>
    </xf>
    <xf applyAlignment="1" applyBorder="1" applyFont="1" borderId="11" fillId="0" fontId="2" numFmtId="43" xfId="1">
      <alignment horizontal="center" vertical="center" wrapText="1"/>
    </xf>
    <xf applyBorder="1" applyFont="1" borderId="23" fillId="0" fontId="2" numFmtId="0" xfId="0"/>
    <xf applyFont="1" applyProtection="1" borderId="0" fillId="0" fontId="2" numFmtId="0" xfId="0">
      <protection locked="0"/>
    </xf>
    <xf applyFont="1" borderId="0" fillId="0" fontId="25" numFmtId="0" xfId="0"/>
    <xf applyAlignment="1" applyFont="1" borderId="0" fillId="0" fontId="2" numFmtId="0" xfId="0">
      <alignment vertical="top" wrapText="1"/>
    </xf>
    <xf applyAlignment="1" applyFont="1" borderId="0" fillId="0" fontId="2" numFmtId="0" xfId="0">
      <alignment horizontal="center" vertical="top" wrapText="1"/>
    </xf>
    <xf applyAlignment="1" applyBorder="1" applyFill="1" applyFont="1" borderId="11" fillId="17" fontId="7" numFmtId="0" xfId="0">
      <alignment horizontal="center" vertical="center"/>
    </xf>
    <xf applyFont="1" borderId="0" fillId="0" fontId="10" numFmtId="0" xfId="0"/>
    <xf applyAlignment="1" applyFont="1" borderId="0" fillId="0" fontId="2" numFmtId="0" xfId="0">
      <alignment horizontal="right" vertical="top"/>
    </xf>
    <xf applyAlignment="1" applyFont="1" applyProtection="1" borderId="0" fillId="0" fontId="2" numFmtId="0" xfId="0">
      <alignment vertical="top"/>
      <protection locked="0"/>
    </xf>
    <xf applyAlignment="1" applyFont="1" borderId="0" fillId="0" fontId="7" numFmtId="0" xfId="0">
      <alignment vertical="top"/>
    </xf>
    <xf applyAlignment="1" applyFont="1" borderId="0" fillId="0" fontId="7" numFmtId="0" xfId="0">
      <alignment horizontal="right" vertical="top"/>
    </xf>
    <xf applyAlignment="1" applyFill="1" applyFont="1" borderId="0" fillId="23" fontId="7" numFmtId="0" xfId="0">
      <alignment vertical="top"/>
    </xf>
    <xf applyAlignment="1" applyFont="1" borderId="0" fillId="0" fontId="2" numFmtId="0" xfId="0">
      <alignment horizontal="left" vertical="top"/>
    </xf>
    <xf applyAlignment="1" applyFill="1" applyFont="1" borderId="0" fillId="23" fontId="7" numFmtId="0" xfId="0">
      <alignment vertical="top" wrapText="1"/>
    </xf>
    <xf applyAlignment="1" applyFont="1" borderId="0" fillId="0" fontId="2" numFmtId="0" xfId="0">
      <alignment horizontal="left" vertical="top" wrapText="1"/>
    </xf>
    <xf applyAlignment="1" applyFont="1" applyNumberFormat="1" borderId="0" fillId="0" fontId="5" numFmtId="166" xfId="1">
      <alignment vertical="center"/>
    </xf>
    <xf applyAlignment="1" applyFont="1" applyNumberFormat="1" borderId="0" fillId="0" fontId="5" numFmtId="166" xfId="1">
      <alignment horizontal="right" vertical="center"/>
    </xf>
    <xf applyAlignment="1" applyFont="1" borderId="0" fillId="0" fontId="5" numFmtId="0" xfId="0">
      <alignment horizontal="center" textRotation="90" vertical="center" wrapText="1"/>
    </xf>
    <xf applyAlignment="1" applyFont="1" applyNumberFormat="1" borderId="0" fillId="0" fontId="5" numFmtId="166" xfId="1">
      <alignment vertical="center" wrapText="1"/>
    </xf>
    <xf applyAlignment="1" applyFont="1" borderId="0" fillId="0" fontId="5" numFmtId="0" xfId="0">
      <alignment textRotation="90" vertical="center" wrapText="1"/>
    </xf>
    <xf applyAlignment="1" applyBorder="1" applyFont="1" applyNumberFormat="1" borderId="11" fillId="0" fontId="5" numFmtId="166" xfId="1">
      <alignment horizontal="center" vertical="center" wrapText="1"/>
    </xf>
    <xf applyAlignment="1" applyFill="1" applyFont="1" borderId="0" fillId="18" fontId="5" numFmtId="0" xfId="0">
      <alignment vertical="center"/>
    </xf>
    <xf applyAlignment="1" applyFill="1" applyFont="1" borderId="0" fillId="18" fontId="5" numFmtId="0" xfId="0">
      <alignment vertical="center" wrapText="1"/>
    </xf>
    <xf applyAlignment="1" applyFill="1" applyFont="1" applyNumberFormat="1" borderId="0" fillId="18" fontId="2" numFmtId="166" xfId="1">
      <alignment horizontal="right" vertical="center"/>
    </xf>
    <xf applyAlignment="1" applyBorder="1" applyFill="1" applyFont="1" borderId="11" fillId="18" fontId="2" numFmtId="43" xfId="1">
      <alignment horizontal="right"/>
    </xf>
    <xf applyAlignment="1" applyBorder="1" applyFill="1" applyFont="1" applyNumberFormat="1" borderId="11" fillId="18" fontId="2" numFmtId="43" xfId="1">
      <alignment horizontal="right" vertical="center" wrapText="1"/>
    </xf>
    <xf applyAlignment="1" applyBorder="1" applyFont="1" applyNumberFormat="1" borderId="11" fillId="0" fontId="5" numFmtId="43" xfId="1">
      <alignment horizontal="right" vertical="center" wrapText="1"/>
    </xf>
    <xf applyAlignment="1" applyBorder="1" applyFont="1" borderId="11" fillId="0" fontId="26" numFmtId="43" xfId="1">
      <alignment horizontal="center" vertical="center" wrapText="1"/>
    </xf>
    <xf applyAlignment="1" applyBorder="1" applyFont="1" borderId="4" fillId="0" fontId="2" numFmtId="43" xfId="1">
      <alignment horizontal="center" vertical="center" wrapText="1"/>
    </xf>
    <xf applyAlignment="1" applyBorder="1" applyFont="1" applyNumberFormat="1" borderId="11" fillId="0" fontId="5" numFmtId="167" xfId="1">
      <alignment vertical="center"/>
    </xf>
    <xf applyAlignment="1" applyBorder="1" applyFont="1" applyNumberFormat="1" borderId="11" fillId="0" fontId="5" numFmtId="167" xfId="0">
      <alignment vertical="center"/>
    </xf>
    <xf applyAlignment="1" applyBorder="1" applyFont="1" applyNumberFormat="1" borderId="11" fillId="0" fontId="5" numFmtId="49" xfId="0">
      <alignment vertical="center"/>
    </xf>
    <xf applyAlignment="1" applyBorder="1" applyFont="1" applyNumberFormat="1" borderId="11" fillId="0" fontId="5" numFmtId="14" xfId="0">
      <alignment vertical="center"/>
    </xf>
    <xf applyAlignment="1" applyBorder="1" applyFont="1" applyNumberFormat="1" borderId="11" fillId="0" fontId="5" numFmtId="49" xfId="1">
      <alignment vertical="center"/>
    </xf>
    <xf applyAlignment="1" applyBorder="1" applyFont="1" borderId="11" fillId="0" fontId="3" numFmtId="0" xfId="0">
      <alignment horizontal="center" vertical="center"/>
    </xf>
    <xf applyAlignment="1" applyBorder="1" applyFont="1" borderId="0" fillId="0" fontId="7" numFmtId="0" xfId="0">
      <alignment horizontal="center" vertical="center" wrapText="1"/>
    </xf>
    <xf applyAlignment="1" applyBorder="1" applyFont="1" borderId="11" fillId="0" fontId="2" numFmtId="0" xfId="0">
      <alignment horizontal="justify" vertical="center"/>
    </xf>
    <xf applyAlignment="1" applyBorder="1" applyFont="1" borderId="16" fillId="0" fontId="2" numFmtId="0" xfId="0">
      <alignment horizontal="justify" vertical="center" wrapText="1"/>
    </xf>
    <xf applyAlignment="1" applyBorder="1" applyFont="1" applyNumberFormat="1" borderId="11" fillId="0" fontId="2" numFmtId="14" xfId="0">
      <alignment horizontal="center" vertical="center"/>
    </xf>
    <xf applyAlignment="1" applyBorder="1" applyFont="1" borderId="11" fillId="0" fontId="25" numFmtId="0" xfId="0">
      <alignment vertical="center" wrapText="1"/>
    </xf>
    <xf applyAlignment="1" applyBorder="1" applyFont="1" borderId="11" fillId="0" fontId="15" numFmtId="0" xfId="0">
      <alignment vertical="center" wrapText="1"/>
    </xf>
    <xf applyAlignment="1" applyFont="1" borderId="0" fillId="0" fontId="3" numFmtId="0" xfId="0">
      <alignment horizontal="left" indent="2" vertical="center"/>
    </xf>
    <xf applyAlignment="1" applyBorder="1" applyFont="1" borderId="13" fillId="0" fontId="5" numFmtId="0" xfId="0">
      <alignment vertical="center" wrapText="1"/>
    </xf>
    <xf applyAlignment="1" applyFont="1" borderId="0" fillId="0" fontId="5" numFmtId="0" xfId="0">
      <alignment horizontal="left" indent="2" vertical="center"/>
    </xf>
    <xf applyAlignment="1" applyFont="1" borderId="0" fillId="0" fontId="5" numFmtId="0" xfId="0">
      <alignment horizontal="left" indent="7" vertical="center"/>
    </xf>
    <xf applyAlignment="1" applyFont="1" borderId="0" fillId="0" fontId="5" numFmtId="0" xfId="0">
      <alignment horizontal="left" indent="6" vertical="center"/>
    </xf>
    <xf applyAlignment="1" applyFill="1" applyFont="1" borderId="0" fillId="19" fontId="5" numFmtId="0" xfId="0">
      <alignment horizontal="center" vertical="center"/>
    </xf>
    <xf applyAlignment="1" applyBorder="1" applyFill="1" applyFont="1" borderId="11" fillId="12" fontId="2" numFmtId="0" xfId="0">
      <alignment horizontal="lef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wrapText="1"/>
    </xf>
    <xf applyFont="1" borderId="0" fillId="0" fontId="5" numFmtId="0" xfId="0"/>
    <xf applyAlignment="1" applyFont="1" borderId="0" fillId="0" fontId="5" numFmtId="0" xfId="0">
      <alignment vertical="center" wrapText="1"/>
    </xf>
    <xf applyAlignment="1" applyFont="1" borderId="0" fillId="0" fontId="5" numFmtId="0" xfId="0">
      <alignment horizontal="left" vertical="center"/>
    </xf>
    <xf applyAlignment="1" applyFont="1" borderId="0" fillId="0" fontId="5" numFmtId="0" xfId="0">
      <alignment horizontal="center" vertical="center"/>
    </xf>
    <xf applyFont="1" borderId="0" fillId="0" fontId="5" numFmtId="0" xfId="0"/>
    <xf applyAlignment="1" applyFont="1" borderId="0" fillId="0" fontId="5" numFmtId="0" xfId="0">
      <alignment vertical="center"/>
    </xf>
    <xf applyBorder="1" applyFont="1" borderId="0" fillId="0" fontId="5" numFmtId="0" xfId="0"/>
    <xf applyAlignment="1" applyFont="1" borderId="0" fillId="0" fontId="5" numFmtId="0" xfId="0">
      <alignment horizontal="left" vertical="center"/>
    </xf>
    <xf applyAlignment="1" applyBorder="1" applyFont="1" borderId="11" fillId="0" fontId="5" numFmtId="0" xfId="0">
      <alignment horizontal="right" vertical="center" wrapText="1"/>
    </xf>
    <xf applyAlignment="1" applyBorder="1" applyFont="1" borderId="11" fillId="0" fontId="9" numFmtId="0" xfId="0">
      <alignment horizontal="right" indent="5" vertical="center" wrapText="1"/>
    </xf>
    <xf applyAlignment="1" applyBorder="1" applyFont="1" borderId="11" fillId="0" fontId="9" numFmtId="0" xfId="0">
      <alignment horizontal="right" vertical="center" wrapText="1"/>
    </xf>
    <xf applyAlignment="1" applyFont="1" borderId="0" fillId="0" fontId="3" numFmtId="0" xfId="0">
      <alignment vertical="center" wrapText="1"/>
    </xf>
    <xf applyAlignment="1" applyBorder="1" applyFont="1" borderId="11" fillId="0" fontId="9"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borderId="11" fillId="20" fontId="11" numFmtId="0" xfId="0">
      <alignment horizontal="center" vertical="center" wrapText="1"/>
    </xf>
    <xf applyFont="1" borderId="0" fillId="0" fontId="5" numFmtId="0" xfId="0"/>
    <xf applyAlignment="1" applyFont="1" borderId="0" fillId="0" fontId="5" numFmtId="0" xfId="0">
      <alignment vertical="top" wrapText="1"/>
    </xf>
    <xf applyAlignment="1" applyFont="1" borderId="0" fillId="0" fontId="5" numFmtId="0" xfId="0">
      <alignment vertical="center"/>
    </xf>
    <xf applyAlignment="1" applyFont="1" borderId="0" fillId="0" fontId="11" numFmtId="0" xfId="0">
      <alignment horizontal="center" vertical="center"/>
    </xf>
    <xf applyAlignment="1" applyFont="1" borderId="0" fillId="0" fontId="5" numFmtId="0" xfId="0">
      <alignment horizontal="left"/>
    </xf>
    <xf applyAlignment="1" applyFont="1" borderId="0" fillId="0" fontId="5" numFmtId="0" xfId="0">
      <alignment horizontal="left" vertical="center"/>
    </xf>
    <xf applyAlignment="1" applyBorder="1" applyFont="1" borderId="23" fillId="0" fontId="5" numFmtId="0" xfId="0">
      <alignment vertical="center"/>
    </xf>
    <xf applyAlignment="1" applyBorder="1" applyFont="1" borderId="0" fillId="0" fontId="5" numFmtId="0" xfId="0">
      <alignment horizontal="left" vertical="center"/>
    </xf>
    <xf applyAlignment="1" applyBorder="1" applyFont="1" borderId="23" fillId="0" fontId="5" numFmtId="0" xfId="0">
      <alignment horizontal="left" vertical="center"/>
    </xf>
    <xf applyAlignment="1" applyBorder="1" applyFill="1" applyFont="1" applyNumberFormat="1" borderId="3" fillId="9" fontId="27" numFmtId="0" xfId="0">
      <alignment horizontal="left" vertical="center" wrapText="1"/>
    </xf>
    <xf applyAlignment="1" applyBorder="1" applyFill="1" applyFont="1" borderId="3" fillId="9" fontId="27" numFmtId="0" xfId="0">
      <alignment horizontal="center" vertical="center" wrapText="1"/>
    </xf>
    <xf applyAlignment="1" applyBorder="1" applyFill="1" applyFont="1" applyNumberFormat="1" borderId="3" fillId="9" fontId="27" numFmtId="2" xfId="0">
      <alignment horizontal="center" vertical="center" wrapText="1"/>
    </xf>
    <xf applyAlignment="1" applyBorder="1" applyFont="1" applyNumberFormat="1" borderId="3" fillId="0" fontId="27" numFmtId="0" xfId="0">
      <alignment horizontal="left" vertical="center" wrapText="1"/>
    </xf>
    <xf applyAlignment="1" applyBorder="1" applyFont="1" applyNumberFormat="1" borderId="3" fillId="0" fontId="27" numFmtId="165" xfId="0">
      <alignment horizontal="left" vertical="center" wrapText="1"/>
    </xf>
    <xf applyAlignment="1" applyBorder="1" applyFont="1" applyNumberFormat="1" borderId="3" fillId="0" fontId="28" numFmtId="2" xfId="1">
      <alignment vertical="top"/>
    </xf>
    <xf applyAlignment="1" applyBorder="1" applyFont="1" applyNumberFormat="1" borderId="3" fillId="0" fontId="29" numFmtId="2" xfId="0"/>
    <xf applyAlignment="1" applyBorder="1" applyFill="1" applyFont="1" applyNumberFormat="1" borderId="3" fillId="4" fontId="29" numFmtId="0" xfId="0">
      <alignment horizontal="left" vertical="center" wrapText="1"/>
    </xf>
    <xf applyAlignment="1" applyBorder="1" applyFill="1" applyFont="1" applyNumberFormat="1" borderId="3" fillId="4" fontId="29" numFmtId="165" xfId="0">
      <alignment horizontal="left" vertical="center" wrapText="1"/>
    </xf>
    <xf applyAlignment="1" applyBorder="1" applyFill="1" applyFont="1" applyNumberFormat="1" borderId="3" fillId="4" fontId="29" numFmtId="2" xfId="0"/>
    <xf applyAlignment="1" applyBorder="1" applyFill="1" applyFont="1" applyNumberFormat="1" borderId="3" fillId="4" fontId="30" numFmtId="0" xfId="0">
      <alignment horizontal="left" vertical="center" wrapText="1"/>
    </xf>
    <xf applyAlignment="1" applyBorder="1" applyFill="1" applyFont="1" applyNumberFormat="1" borderId="3" fillId="4" fontId="30" numFmtId="165" xfId="0">
      <alignment horizontal="left" vertical="center" wrapText="1"/>
    </xf>
    <xf applyAlignment="1" applyBorder="1" applyFont="1" applyNumberFormat="1" borderId="3" fillId="0" fontId="27" numFmtId="165" xfId="0">
      <alignment horizontal="left" vertical="center"/>
    </xf>
    <xf applyAlignment="1" applyBorder="1" applyFill="1" applyFont="1" applyNumberFormat="1" borderId="3" fillId="4" fontId="29" numFmtId="165" xfId="0">
      <alignment horizontal="left" vertical="center"/>
    </xf>
    <xf applyAlignment="1" applyBorder="1" applyFont="1" applyNumberFormat="1" borderId="3" fillId="0" fontId="28" numFmtId="2" xfId="0"/>
    <xf applyAlignment="1" applyBorder="1" applyFont="1" applyNumberFormat="1" borderId="3" fillId="0" fontId="27" numFmtId="165" xfId="0">
      <alignment horizontal="center" vertical="center"/>
    </xf>
    <xf applyAlignment="1" applyBorder="1" applyFill="1" applyFont="1" applyNumberFormat="1" borderId="3" fillId="0" fontId="27" numFmtId="0" xfId="0">
      <alignment horizontal="left" vertical="center" wrapText="1"/>
    </xf>
    <xf applyAlignment="1" applyBorder="1" applyFill="1" applyFont="1" applyNumberFormat="1" borderId="3" fillId="0" fontId="31" numFmtId="165" xfId="0">
      <alignment horizontal="left" vertical="center" wrapText="1"/>
    </xf>
    <xf applyAlignment="1" applyBorder="1" applyFill="1" applyFont="1" applyNumberFormat="1" borderId="3" fillId="0" fontId="29" numFmtId="2" xfId="0"/>
    <xf applyAlignment="1" applyBorder="1" applyFont="1" applyNumberFormat="1" borderId="3" fillId="0" fontId="32" numFmtId="2" xfId="0"/>
    <xf applyAlignment="1" applyBorder="1" applyFill="1" applyFont="1" applyNumberFormat="1" borderId="3" fillId="4" fontId="33" numFmtId="165" xfId="0">
      <alignment vertical="center"/>
    </xf>
    <xf applyAlignment="1" applyBorder="1" applyFill="1" applyFont="1" applyNumberFormat="1" borderId="3" fillId="4" fontId="33" numFmtId="165" xfId="0">
      <alignment horizontal="left" vertical="center"/>
    </xf>
    <xf applyAlignment="1" applyBorder="1" applyFill="1" applyFont="1" applyNumberFormat="1" borderId="3" fillId="4" fontId="34" numFmtId="0" xfId="0">
      <alignment horizontal="left"/>
    </xf>
    <xf applyAlignment="1" applyBorder="1" applyFill="1" applyFont="1" applyNumberFormat="1" borderId="3" fillId="4" fontId="30" numFmtId="2" xfId="0"/>
    <xf applyAlignment="1" applyBorder="1" applyFill="1" applyFont="1" applyNumberFormat="1" borderId="3" fillId="0" fontId="29" numFmtId="0" xfId="0">
      <alignment horizontal="left" vertical="center" wrapText="1"/>
    </xf>
    <xf applyAlignment="1" applyBorder="1" applyFill="1" applyFont="1" applyNumberFormat="1" borderId="3" fillId="0" fontId="29" numFmtId="165" xfId="0">
      <alignment horizontal="left" vertical="center" wrapText="1"/>
    </xf>
    <xf applyAlignment="1" applyBorder="1" applyFill="1" applyFont="1" applyNumberFormat="1" borderId="3" fillId="4" fontId="30" numFmtId="165" xfId="0">
      <alignment horizontal="left" vertical="center"/>
    </xf>
    <xf applyAlignment="1" applyBorder="1" applyFont="1" applyNumberFormat="1" borderId="3" fillId="0" fontId="35" numFmtId="2" xfId="0"/>
    <xf applyAlignment="1" applyFont="1" applyNumberFormat="1" borderId="0" fillId="0" fontId="34" numFmtId="0" xfId="0">
      <alignment horizontal="left"/>
    </xf>
    <xf applyFont="1" borderId="0" fillId="0" fontId="34" numFmtId="0" xfId="0"/>
    <xf applyFont="1" applyNumberFormat="1" borderId="0" fillId="0" fontId="34" numFmtId="2" xfId="0"/>
    <xf applyAlignment="1" applyFont="1" applyNumberFormat="1" borderId="0" fillId="0" fontId="36" numFmtId="2" xfId="0">
      <alignment horizontal="right"/>
    </xf>
    <xf applyAlignment="1" applyBorder="1" applyFont="1" applyNumberFormat="1" borderId="0" fillId="0" fontId="27" numFmtId="0" xfId="0">
      <alignment horizontal="left" vertical="center"/>
    </xf>
    <xf applyAlignment="1" applyBorder="1" applyFont="1" borderId="0" fillId="0" fontId="27" numFmtId="0" xfId="0">
      <alignment horizontal="center" vertical="center"/>
    </xf>
    <xf applyAlignment="1" applyBorder="1" applyFont="1" borderId="0" fillId="0" fontId="27" numFmtId="0" xfId="0">
      <alignment vertical="center"/>
    </xf>
    <xf applyAlignment="1" applyBorder="1" applyFont="1" applyNumberFormat="1" borderId="0" fillId="0" fontId="27" numFmtId="2" xfId="0">
      <alignment vertical="center"/>
    </xf>
    <xf applyAlignment="1" applyBorder="1" applyFont="1" applyNumberFormat="1" borderId="0" fillId="0" fontId="29" numFmtId="2" xfId="0">
      <alignment horizontal="right" vertical="center"/>
    </xf>
    <xf applyAlignment="1" applyBorder="1" applyFont="1" applyNumberFormat="1" borderId="0" fillId="0" fontId="29" numFmtId="2" xfId="0">
      <alignment horizontal="center" vertical="center"/>
    </xf>
    <xf applyAlignment="1" applyFont="1" applyNumberFormat="1" borderId="0" fillId="0" fontId="37" numFmtId="0" xfId="0">
      <alignment horizontal="left"/>
    </xf>
    <xf applyAlignment="1" applyFont="1" applyNumberFormat="1" borderId="0" fillId="0" fontId="37" numFmtId="49" xfId="0"/>
    <xf applyAlignment="1" applyFont="1" applyNumberFormat="1" borderId="0" fillId="0" fontId="37" numFmtId="2" xfId="0"/>
    <xf applyAlignment="1" applyBorder="1" applyFill="1" applyFont="1" applyNumberFormat="1" borderId="11" fillId="9" fontId="16" numFmtId="0" xfId="0">
      <alignment horizontal="center" vertical="center" wrapText="1"/>
    </xf>
    <xf applyAlignment="1" applyBorder="1" applyFill="1" applyFont="1" borderId="11" fillId="9" fontId="16" numFmtId="0" xfId="0">
      <alignment horizontal="center" vertical="center" wrapText="1"/>
    </xf>
    <xf applyAlignment="1" applyBorder="1" applyFill="1" applyFont="1" applyNumberFormat="1" borderId="11" fillId="9" fontId="27" numFmtId="2" xfId="0">
      <alignment horizontal="center" vertical="center" wrapText="1"/>
    </xf>
    <xf applyAlignment="1" applyBorder="1" applyFont="1" applyNumberFormat="1" borderId="11" fillId="0" fontId="16" numFmtId="0" xfId="0">
      <alignment horizontal="left" vertical="center" wrapText="1"/>
    </xf>
    <xf applyAlignment="1" applyBorder="1" applyFont="1" applyNumberFormat="1" borderId="11" fillId="0" fontId="16" numFmtId="165" xfId="0">
      <alignment horizontal="left" vertical="center" wrapText="1"/>
    </xf>
    <xf applyAlignment="1" applyBorder="1" applyFont="1" applyNumberFormat="1" borderId="11" fillId="0" fontId="27" numFmtId="0" xfId="0">
      <alignment horizontal="left" vertical="center" wrapText="1"/>
    </xf>
    <xf applyAlignment="1" applyBorder="1" applyFont="1" borderId="11" fillId="0" fontId="16" numFmtId="0" xfId="0">
      <alignment horizontal="left" vertical="center" wrapText="1"/>
    </xf>
    <xf applyAlignment="1" applyBorder="1" applyFill="1" applyFont="1" borderId="11" fillId="0" fontId="7" numFmtId="0" xfId="0">
      <alignment horizontal="left" vertical="center" wrapText="1"/>
    </xf>
    <xf applyAlignment="1" applyBorder="1" applyFont="1" applyNumberFormat="1" borderId="11" fillId="0" fontId="16" numFmtId="165" xfId="0">
      <alignment horizontal="center" vertical="center" wrapText="1"/>
    </xf>
    <xf applyAlignment="1" applyBorder="1" applyFill="1" applyFont="1" applyNumberFormat="1" borderId="11" fillId="20" fontId="11" numFmtId="9" xfId="0">
      <alignment horizontal="center" vertical="center" wrapText="1"/>
    </xf>
    <xf applyAlignment="1" applyBorder="1" applyFill="1" applyFont="1" applyNumberFormat="1" borderId="11" fillId="20" fontId="11" numFmtId="168" xfId="0">
      <alignment horizontal="center" vertical="center" wrapText="1"/>
    </xf>
    <xf applyAlignment="1" applyFont="1" borderId="0" fillId="0" fontId="5" numFmtId="0" xfId="0">
      <alignment vertical="center"/>
    </xf>
    <xf applyAlignment="1" applyFont="1" borderId="0" fillId="0" fontId="5" numFmtId="0" xfId="0">
      <alignment horizontal="left"/>
    </xf>
    <xf applyFont="1" borderId="0" fillId="0" fontId="5" numFmtId="0" xfId="0"/>
    <xf applyAlignment="1" applyFont="1" borderId="0" fillId="0" fontId="5" numFmtId="0" xfId="0">
      <alignment vertical="center"/>
    </xf>
    <xf applyAlignment="1" applyBorder="1" applyFont="1" borderId="11" fillId="0" fontId="11" numFmtId="0" xfId="0">
      <alignment horizontal="left" vertical="center" wrapText="1"/>
    </xf>
    <xf applyAlignment="1" applyFont="1" borderId="0" fillId="0" fontId="5" numFmtId="0" xfId="0">
      <alignment horizontal="left" vertical="center"/>
    </xf>
    <xf applyFont="1" borderId="0" fillId="0" fontId="5" numFmtId="43" xfId="1"/>
    <xf applyAlignment="1" applyBorder="1" applyFill="1" applyFont="1" borderId="11" fillId="9" fontId="27" numFmtId="43" xfId="1">
      <alignment horizontal="center" vertical="center" wrapText="1"/>
    </xf>
    <xf applyAlignment="1" applyBorder="1" applyFill="1" applyFont="1" borderId="11" fillId="20" fontId="11" numFmtId="43" xfId="1">
      <alignment horizontal="center" vertical="center" wrapText="1"/>
    </xf>
    <xf applyAlignment="1" applyBorder="1" applyFill="1" applyFont="1" applyNumberFormat="1" borderId="11" fillId="7" fontId="16" numFmtId="0" xfId="0">
      <alignment horizontal="left" vertical="center" wrapText="1"/>
    </xf>
    <xf applyAlignment="1" applyBorder="1" applyFill="1" applyFont="1" applyNumberFormat="1" borderId="11" fillId="7" fontId="16" numFmtId="165" xfId="0">
      <alignment horizontal="left" vertical="center" wrapText="1"/>
    </xf>
    <xf applyFill="1" applyFont="1" borderId="0" fillId="0" fontId="5" numFmtId="0" xfId="0"/>
    <xf applyAlignment="1" applyBorder="1" applyFill="1" applyFont="1" applyNumberFormat="1" borderId="12" fillId="7" fontId="16" numFmtId="0" xfId="0">
      <alignment horizontal="left" vertical="center" wrapText="1"/>
    </xf>
    <xf applyAlignment="1" applyBorder="1" applyFill="1" applyFont="1" applyNumberFormat="1" borderId="12" fillId="7" fontId="16" numFmtId="165" xfId="0">
      <alignment horizontal="left" vertical="center" wrapText="1"/>
    </xf>
    <xf applyAlignment="1" applyBorder="1" applyFont="1" borderId="16" fillId="0" fontId="16" numFmtId="0" xfId="0">
      <alignment horizontal="left" vertical="center" wrapText="1"/>
    </xf>
    <xf applyAlignment="1" applyBorder="1" applyFont="1" applyNumberFormat="1" borderId="16" fillId="0" fontId="16" numFmtId="165" xfId="0">
      <alignment horizontal="left" vertical="center" wrapText="1"/>
    </xf>
    <xf applyAlignment="1" applyBorder="1" applyFont="1" borderId="23" fillId="0" fontId="16" numFmtId="0" xfId="0">
      <alignment horizontal="center" vertical="center"/>
    </xf>
    <xf applyAlignment="1" applyBorder="1" applyFont="1" borderId="23" fillId="0" fontId="16" numFmtId="0" xfId="0">
      <alignment horizontal="left" vertical="center"/>
    </xf>
    <xf applyAlignment="1" applyFont="1" applyNumberFormat="1" borderId="0" fillId="0" fontId="21" numFmtId="0" xfId="0">
      <alignment horizontal="center"/>
    </xf>
    <xf applyAlignment="1" applyFont="1" applyNumberFormat="1" borderId="0" fillId="0" fontId="21" numFmtId="49" xfId="0">
      <alignment horizontal="center"/>
    </xf>
    <xf applyAlignment="1" applyBorder="1" applyFont="1" borderId="0" fillId="0" fontId="5" numFmtId="0" xfId="0">
      <alignment horizontal="left"/>
    </xf>
    <xf applyAlignment="1" applyBorder="1" applyFont="1" borderId="0" fillId="0" fontId="11" numFmtId="0" xfId="0">
      <alignment horizontal="left"/>
    </xf>
    <xf applyAlignment="1" applyBorder="1" applyFont="1" borderId="11" fillId="0" fontId="11" numFmtId="0" xfId="0">
      <alignment horizontal="left" vertical="top"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Font="1" borderId="0" fillId="0" fontId="5" numFmtId="0" xfId="0">
      <alignment horizontal="left"/>
    </xf>
    <xf applyAlignment="1" applyBorder="1" applyFill="1" applyFont="1" borderId="11" fillId="20" fontId="11" numFmtId="0" xfId="0">
      <alignment horizontal="left" vertical="center" wrapText="1"/>
    </xf>
    <xf applyAlignment="1" applyBorder="1" applyFont="1" borderId="11" fillId="0" fontId="11" numFmtId="0" xfId="0">
      <alignment horizontal="left" vertical="center" wrapText="1"/>
    </xf>
    <xf applyBorder="1" applyFont="1" borderId="0" fillId="0" fontId="5" numFmtId="0" xfId="0"/>
    <xf applyAlignment="1" applyBorder="1" applyFont="1" borderId="11" fillId="0" fontId="11"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11" fillId="0" fontId="5" numFmtId="0" xfId="0">
      <alignment horizontal="center" vertical="center" wrapText="1"/>
    </xf>
    <xf applyAlignment="1" applyFont="1" applyNumberFormat="1" borderId="0" fillId="0" fontId="5" numFmtId="166" xfId="1">
      <alignment vertical="center"/>
    </xf>
    <xf applyAlignment="1" applyFont="1" borderId="0" fillId="0" fontId="3" numFmtId="0" xfId="0">
      <alignment vertical="center"/>
    </xf>
    <xf applyAlignment="1" applyFont="1" borderId="0" fillId="0" fontId="5" numFmtId="0" xfId="0">
      <alignment vertical="center"/>
    </xf>
    <xf applyAlignment="1" applyBorder="1" applyFont="1" applyNumberFormat="1" borderId="11" fillId="0" fontId="18" numFmtId="165" xfId="0">
      <alignment horizontal="left" vertical="center" wrapText="1"/>
    </xf>
    <xf applyAlignment="1" applyBorder="1" applyFont="1" applyNumberFormat="1" borderId="11" fillId="0" fontId="16" numFmtId="0" xfId="0">
      <alignment horizontal="center" vertical="center" wrapText="1"/>
    </xf>
    <xf applyAlignment="1" applyBorder="1" applyFont="1" borderId="16" fillId="0" fontId="16" numFmtId="0" xfId="0">
      <alignment horizontal="center" vertical="center" wrapText="1"/>
    </xf>
    <xf applyAlignment="1" applyBorder="1" applyFont="1" borderId="11" fillId="0" fontId="16" numFmtId="0" xfId="0">
      <alignment horizontal="center" vertical="center" wrapText="1"/>
    </xf>
    <xf applyAlignment="1" applyBorder="1" applyFont="1" applyNumberFormat="1" borderId="11" fillId="0" fontId="18" numFmtId="0" xfId="0">
      <alignment horizontal="center" vertical="center" wrapText="1"/>
    </xf>
    <xf applyAlignment="1" applyBorder="1" applyFont="1" borderId="16" fillId="0" fontId="18" numFmtId="0" xfId="0">
      <alignment horizontal="center" vertical="center" wrapText="1"/>
    </xf>
    <xf applyAlignment="1" applyBorder="1" applyFont="1" borderId="11" fillId="0" fontId="18" numFmtId="0" xfId="0">
      <alignment horizontal="center" vertical="center" wrapText="1"/>
    </xf>
    <xf applyAlignment="1" applyBorder="1" applyFill="1" applyFont="1" borderId="0" fillId="0" fontId="5" numFmtId="0" xfId="0">
      <alignment horizontal="center" vertical="center" wrapText="1"/>
    </xf>
    <xf applyAlignment="1" applyBorder="1" applyFont="1" applyNumberFormat="1" borderId="11" fillId="0" fontId="18" numFmtId="165" xfId="0">
      <alignment horizontal="center" vertical="center" wrapText="1"/>
    </xf>
    <xf applyAlignment="1" applyBorder="1" applyFont="1" applyNumberFormat="1" borderId="16" fillId="0" fontId="18" numFmtId="0" xfId="0">
      <alignment horizontal="center" vertical="center" wrapText="1"/>
    </xf>
    <xf applyAlignment="1" applyBorder="1" applyFont="1" borderId="11" fillId="0" fontId="5" numFmtId="43" xfId="1">
      <alignment horizontal="center" vertical="center"/>
    </xf>
    <xf applyAlignment="1" applyBorder="1" applyFont="1" applyNumberFormat="1" borderId="11" fillId="0" fontId="18" numFmtId="1" xfId="0">
      <alignment horizontal="center" vertical="center" wrapText="1"/>
    </xf>
    <xf applyAlignment="1" applyBorder="1" applyFill="1" applyFont="1" borderId="0" fillId="0" fontId="5" numFmtId="0" xfId="0">
      <alignment vertical="center" wrapText="1"/>
    </xf>
    <xf applyAlignment="1" applyBorder="1" applyFill="1" applyFont="1" borderId="3" fillId="7" fontId="31" numFmtId="0" xfId="0">
      <alignment horizontal="center" vertical="center" wrapText="1"/>
    </xf>
    <xf applyAlignment="1" applyBorder="1" applyFill="1" applyFont="1" borderId="3" fillId="7" fontId="39" numFmtId="0" xfId="0">
      <alignment horizontal="center" vertical="center" wrapText="1"/>
    </xf>
    <xf applyAlignment="1" applyBorder="1" applyFont="1" borderId="3" fillId="0" fontId="31" numFmtId="0" xfId="0">
      <alignment horizontal="left"/>
    </xf>
    <xf applyBorder="1" applyFont="1" borderId="3" fillId="0" fontId="31" numFmtId="0" xfId="0"/>
    <xf applyAlignment="1" applyBorder="1" applyFont="1" applyNumberFormat="1" borderId="3" fillId="0" fontId="31" numFmtId="0" xfId="0">
      <alignment horizontal="left"/>
    </xf>
    <xf applyAlignment="1" applyBorder="1" applyFill="1" applyFont="1" applyNumberFormat="1" borderId="3" fillId="4" fontId="30" numFmtId="0" xfId="0">
      <alignment horizontal="left"/>
    </xf>
    <xf applyBorder="1" applyFill="1" applyFont="1" borderId="3" fillId="4" fontId="30" numFmtId="0" xfId="0"/>
    <xf applyAlignment="1" applyBorder="1" applyFill="1" applyFont="1" borderId="3" fillId="4" fontId="30" numFmtId="0" xfId="0">
      <alignment horizontal="left"/>
    </xf>
    <xf applyAlignment="1" applyBorder="1" applyFill="1" applyFont="1" applyNumberFormat="1" borderId="3" fillId="4" fontId="31" numFmtId="0" xfId="0">
      <alignment horizontal="left"/>
    </xf>
    <xf applyBorder="1" applyFill="1" applyFont="1" borderId="3" fillId="4" fontId="31" numFmtId="0" xfId="0"/>
    <xf applyAlignment="1" applyFont="1" borderId="0" fillId="0" fontId="30" numFmtId="0" xfId="0">
      <alignment horizontal="left"/>
    </xf>
    <xf applyFont="1" borderId="0" fillId="0" fontId="30" numFmtId="0" xfId="0"/>
    <xf applyAlignment="1" applyFont="1" borderId="0" fillId="0" fontId="21" numFmtId="43" xfId="1"/>
    <xf applyAlignment="1" applyBorder="1" applyFill="1" applyFont="1" borderId="5" fillId="0" fontId="18" numFmtId="0" xfId="0">
      <alignment vertical="center"/>
    </xf>
    <xf applyAlignment="1" applyBorder="1" applyFill="1" applyFont="1" borderId="32" fillId="0" fontId="18" numFmtId="0" xfId="0">
      <alignment horizontal="center" vertical="center"/>
    </xf>
    <xf applyAlignment="1" applyBorder="1" applyFont="1" borderId="12" fillId="0" fontId="2" numFmtId="0" xfId="0">
      <alignment horizontal="center" vertical="center" wrapText="1"/>
    </xf>
    <xf applyBorder="1" applyFill="1" applyFont="1" applyNumberFormat="1" borderId="11" fillId="7" fontId="5" numFmtId="2" xfId="1"/>
    <xf applyAlignment="1" applyBorder="1" applyFill="1" applyFont="1" applyNumberFormat="1" borderId="11" fillId="7" fontId="5" numFmtId="2" xfId="1">
      <alignment horizontal="center"/>
    </xf>
    <xf applyBorder="1" applyFill="1" applyFont="1" applyNumberFormat="1" borderId="12" fillId="7" fontId="5" numFmtId="2" xfId="1"/>
    <xf applyAlignment="1" applyBorder="1" applyFill="1" applyFont="1" applyNumberFormat="1" borderId="12" fillId="7" fontId="5" numFmtId="2" xfId="1">
      <alignment horizontal="center"/>
    </xf>
    <xf applyBorder="1" applyFont="1" applyNumberFormat="1" borderId="23" fillId="0" fontId="5" numFmtId="2" xfId="1"/>
    <xf applyAlignment="1" applyBorder="1" applyFont="1" applyNumberFormat="1" borderId="23" fillId="0" fontId="5" numFmtId="2" xfId="1">
      <alignment horizontal="center"/>
    </xf>
    <xf applyAlignment="1" applyFont="1" applyNumberFormat="1" borderId="0" fillId="0" fontId="5" numFmtId="2" xfId="1">
      <alignment horizontal="center"/>
    </xf>
    <xf applyAlignment="1" applyFont="1" applyNumberFormat="1" borderId="0" fillId="0" fontId="5" numFmtId="2" xfId="0">
      <alignment horizontal="center"/>
    </xf>
    <xf applyAlignment="1" applyBorder="1" applyFont="1" borderId="0" fillId="0" fontId="27" numFmtId="0" xfId="0">
      <alignment horizontal="center" vertical="center"/>
    </xf>
    <xf applyAlignment="1" applyFont="1" borderId="0" fillId="0" fontId="2" numFmtId="0" xfId="0">
      <alignment horizontal="center" wrapText="1"/>
    </xf>
    <xf applyAlignment="1" applyFont="1" borderId="0" fillId="0" fontId="34" numFmtId="0" xfId="0">
      <alignment horizontal="left"/>
    </xf>
    <xf applyAlignment="1" applyFont="1" borderId="0" fillId="0" fontId="34" numFmtId="0" xfId="0">
      <alignment wrapText="1"/>
    </xf>
    <xf applyAlignment="1" applyBorder="1" applyFont="1" borderId="0" fillId="0" fontId="27" numFmtId="0" xfId="0">
      <alignment horizontal="left" vertical="center"/>
    </xf>
    <xf applyAlignment="1" applyBorder="1" applyFont="1" borderId="0" fillId="0" fontId="27" numFmtId="0" xfId="0">
      <alignment vertical="center" wrapText="1"/>
    </xf>
    <xf applyAlignment="1" applyBorder="1" applyFill="1" applyFont="1" borderId="2" fillId="9" fontId="27" numFmtId="0" xfId="0">
      <alignment horizontal="center" vertical="center" wrapText="1"/>
    </xf>
    <xf applyAlignment="1" applyBorder="1" applyFont="1" borderId="2" fillId="0" fontId="27" numFmtId="0" xfId="0">
      <alignment horizontal="left" vertical="center" wrapText="1"/>
    </xf>
    <xf applyAlignment="1" applyBorder="1" applyFont="1" applyNumberFormat="1" borderId="2" fillId="0" fontId="27" numFmtId="165" xfId="0">
      <alignment horizontal="left" vertical="center" wrapText="1"/>
    </xf>
    <xf applyAlignment="1" applyBorder="1" applyFill="1" applyFont="1" applyNumberFormat="1" borderId="2" fillId="2" fontId="29" numFmtId="0" xfId="0">
      <alignment horizontal="left" vertical="center" wrapText="1"/>
    </xf>
    <xf applyAlignment="1" applyBorder="1" applyFill="1" applyFont="1" applyNumberFormat="1" borderId="2" fillId="2" fontId="29" numFmtId="165" xfId="0">
      <alignment horizontal="left" vertical="center" wrapText="1"/>
    </xf>
    <xf applyAlignment="1" applyBorder="1" applyFill="1" applyFont="1" borderId="2" fillId="2" fontId="34" numFmtId="0" xfId="0">
      <alignment wrapText="1"/>
    </xf>
    <xf applyAlignment="1" applyBorder="1" applyFont="1" applyNumberFormat="1" borderId="2" fillId="0" fontId="27" numFmtId="0" xfId="0">
      <alignment horizontal="left" vertical="center" wrapText="1"/>
    </xf>
    <xf applyAlignment="1" applyBorder="1" applyFont="1" applyNumberFormat="1" borderId="2" fillId="0" fontId="29" numFmtId="0" xfId="0">
      <alignment horizontal="left" vertical="center" wrapText="1"/>
    </xf>
    <xf applyAlignment="1" applyBorder="1" applyFont="1" applyNumberFormat="1" borderId="2" fillId="0" fontId="29" numFmtId="165" xfId="0">
      <alignment horizontal="left" vertical="center" wrapText="1"/>
    </xf>
    <xf applyAlignment="1" applyBorder="1" applyFill="1" applyFont="1" borderId="2" fillId="2" fontId="29" numFmtId="0" xfId="0">
      <alignment horizontal="left" vertical="center" wrapText="1"/>
    </xf>
    <xf applyAlignment="1" applyBorder="1" applyFill="1" applyFont="1" applyNumberFormat="1" borderId="2" fillId="2" fontId="34" numFmtId="0" xfId="0">
      <alignment horizontal="left"/>
    </xf>
    <xf applyAlignment="1" applyBorder="1" applyFill="1" applyFont="1" borderId="3" fillId="2" fontId="40" numFmtId="0" xfId="0">
      <alignment horizontal="left" vertical="center" wrapText="1"/>
    </xf>
    <xf applyAlignment="1" applyBorder="1" applyFill="1" applyFont="1" applyNumberFormat="1" borderId="3" fillId="2" fontId="40" numFmtId="165" xfId="0">
      <alignment horizontal="left" vertical="center"/>
    </xf>
    <xf applyAlignment="1" applyBorder="1" applyFill="1" applyFont="1" applyNumberFormat="1" borderId="3" fillId="2" fontId="40" numFmtId="0" xfId="0">
      <alignment horizontal="left" vertical="center" wrapText="1"/>
    </xf>
    <xf applyAlignment="1" applyBorder="1" applyFont="1" borderId="2" fillId="0" fontId="31" numFmtId="0" xfId="0">
      <alignment horizontal="left" vertical="center" wrapText="1"/>
    </xf>
    <xf applyAlignment="1" applyBorder="1" applyFont="1" applyNumberFormat="1" borderId="2" fillId="0" fontId="31" numFmtId="165" xfId="0">
      <alignment horizontal="left" vertical="center" wrapText="1"/>
    </xf>
    <xf applyAlignment="1" applyBorder="1" applyFill="1" applyFont="1" borderId="2" fillId="2" fontId="30" numFmtId="0" xfId="0">
      <alignment horizontal="left" vertical="center" wrapText="1"/>
    </xf>
    <xf applyAlignment="1" applyBorder="1" applyFill="1" applyFont="1" applyNumberFormat="1" borderId="2" fillId="2" fontId="30" numFmtId="165" xfId="0">
      <alignment horizontal="left" vertical="center" wrapText="1"/>
    </xf>
    <xf applyAlignment="1" applyBorder="1" applyFill="1" applyFont="1" applyNumberFormat="1" borderId="3" fillId="2" fontId="30" numFmtId="0" xfId="0">
      <alignment horizontal="left" vertical="center" wrapText="1"/>
    </xf>
    <xf applyAlignment="1" applyBorder="1" applyFill="1" applyFont="1" applyNumberFormat="1" borderId="3" fillId="2" fontId="30" numFmtId="165" xfId="0">
      <alignment horizontal="left" vertical="center" wrapText="1"/>
    </xf>
    <xf applyAlignment="1" applyBorder="1" applyFill="1" applyFont="1" borderId="3" fillId="2" fontId="30" numFmtId="0" xfId="0">
      <alignment horizontal="left" vertical="center" wrapText="1"/>
    </xf>
    <xf applyAlignment="1" applyBorder="1" applyFill="1" applyFont="1" borderId="2" fillId="0" fontId="31" numFmtId="0" xfId="0">
      <alignment horizontal="left" vertical="center" wrapText="1"/>
    </xf>
    <xf applyAlignment="1" applyBorder="1" applyFont="1" applyNumberFormat="1" borderId="2" fillId="0" fontId="27" numFmtId="165" xfId="0">
      <alignment horizontal="center" vertical="center" wrapText="1"/>
    </xf>
    <xf applyAlignment="1" applyFont="1" applyNumberFormat="1" borderId="0" fillId="0" fontId="37" numFmtId="49" xfId="0">
      <alignment horizontal="left"/>
    </xf>
    <xf applyAlignment="1" applyFont="1" applyNumberFormat="1" borderId="0" fillId="0" fontId="37" numFmtId="49" xfId="0">
      <alignment wrapText="1"/>
    </xf>
    <xf applyAlignment="1" applyBorder="1" applyFont="1" applyNumberFormat="1" borderId="3" fillId="0" fontId="31" numFmtId="0" xfId="0">
      <alignment horizontal="left" vertical="center" wrapText="1"/>
    </xf>
    <xf applyAlignment="1" applyBorder="1" applyFont="1" borderId="3" fillId="0" fontId="27" numFmtId="0" xfId="0">
      <alignment horizontal="center" vertical="center" wrapText="1"/>
    </xf>
    <xf applyAlignment="1" applyBorder="1" applyFill="1" applyFont="1" borderId="3" fillId="6" fontId="27" numFmtId="0" xfId="0">
      <alignment horizontal="center" vertical="center" wrapText="1"/>
    </xf>
    <xf applyAlignment="1" applyBorder="1" applyFill="1" applyFont="1" borderId="3" fillId="6" fontId="27" numFmtId="0" xfId="0">
      <alignment horizontal="left" vertical="center" wrapText="1"/>
    </xf>
    <xf applyAlignment="1" applyBorder="1" applyFont="1" borderId="3" fillId="0" fontId="31" numFmtId="0" xfId="0">
      <alignment horizontal="left" vertical="center" wrapText="1"/>
    </xf>
    <xf applyAlignment="1" applyBorder="1" applyFont="1" applyNumberFormat="1" borderId="3" fillId="0" fontId="31" numFmtId="165" xfId="0">
      <alignment horizontal="left" vertical="center" wrapText="1"/>
    </xf>
    <xf applyAlignment="1" applyBorder="1" applyFill="1" applyFont="1" borderId="3" fillId="2" fontId="34" numFmtId="0" xfId="0">
      <alignment wrapText="1"/>
    </xf>
    <xf applyAlignment="1" applyBorder="1" applyFill="1" applyFont="1" applyNumberFormat="1" borderId="3" fillId="2" fontId="30" numFmtId="0" xfId="0">
      <alignment horizontal="left" vertical="center"/>
    </xf>
    <xf applyAlignment="1" applyBorder="1" applyFont="1" applyNumberFormat="1" borderId="3" fillId="0" fontId="30" numFmtId="0" xfId="0">
      <alignment horizontal="left" vertical="center" wrapText="1"/>
    </xf>
    <xf applyAlignment="1" applyBorder="1" applyFill="1" applyFont="1" borderId="3" fillId="6" fontId="41" numFmtId="0" xfId="0">
      <alignment horizontal="center" vertical="center" wrapText="1"/>
    </xf>
    <xf applyAlignment="1" applyBorder="1" applyFill="1" applyFont="1" applyNumberFormat="1" borderId="3" fillId="6" fontId="31" numFmtId="165" xfId="0">
      <alignment horizontal="left" vertical="center" wrapText="1"/>
    </xf>
    <xf applyBorder="1" applyFill="1" applyFont="1" applyNumberFormat="1" borderId="3" fillId="2" fontId="34" numFmtId="0" xfId="0"/>
    <xf applyAlignment="1" applyBorder="1" applyFill="1" applyFont="1" borderId="3" fillId="6" fontId="31" numFmtId="0" xfId="0">
      <alignment horizontal="center" vertical="center" wrapText="1"/>
    </xf>
    <xf applyAlignment="1" applyBorder="1" applyFill="1" applyFont="1" applyNumberFormat="1" borderId="3" fillId="6" fontId="31" numFmtId="165" xfId="0">
      <alignment horizontal="center" vertical="center" wrapText="1"/>
    </xf>
    <xf applyBorder="1" applyFont="1" applyNumberFormat="1" borderId="3" fillId="0" fontId="34" numFmtId="0" xfId="0"/>
    <xf applyAlignment="1" applyBorder="1" applyFill="1" applyFont="1" borderId="3" fillId="0" fontId="36" numFmtId="0" xfId="0">
      <alignment wrapText="1"/>
    </xf>
    <xf applyAlignment="1" applyBorder="1" applyFont="1" borderId="3" fillId="0" fontId="41" numFmtId="0" xfId="0">
      <alignment horizontal="left" vertical="center" wrapText="1"/>
    </xf>
    <xf applyAlignment="1" applyBorder="1" applyFont="1" applyNumberFormat="1" borderId="3" fillId="0" fontId="41" numFmtId="165" xfId="0">
      <alignment horizontal="left" vertical="center" wrapText="1"/>
    </xf>
    <xf applyAlignment="1" applyBorder="1" applyFont="1" applyNumberFormat="1" borderId="3" fillId="0" fontId="31" numFmtId="3" xfId="0">
      <alignment horizontal="left" vertical="center" wrapText="1"/>
    </xf>
    <xf applyAlignment="1" applyBorder="1" applyFont="1" applyNumberFormat="1" borderId="3" fillId="0" fontId="31" numFmtId="4" xfId="0">
      <alignment horizontal="left" vertical="center" wrapText="1"/>
    </xf>
    <xf applyAlignment="1" applyBorder="1" applyFont="1" applyNumberFormat="1" borderId="3" fillId="0" fontId="31" numFmtId="0" xfId="0">
      <alignment horizontal="left" vertical="center"/>
    </xf>
    <xf applyAlignment="1" applyBorder="1" applyFont="1" applyNumberFormat="1" borderId="3" fillId="0" fontId="31" numFmtId="165" xfId="0">
      <alignment horizontal="left" vertical="center"/>
    </xf>
    <xf applyAlignment="1" applyBorder="1" applyFill="1" applyFont="1" applyNumberFormat="1" borderId="3" fillId="4" fontId="30" numFmtId="0" xfId="0">
      <alignment horizontal="left" vertical="center"/>
    </xf>
    <xf applyAlignment="1" applyBorder="1" applyFill="1" applyFont="1" borderId="3" fillId="4" fontId="30" numFmtId="0" xfId="0">
      <alignment horizontal="left" vertical="center"/>
    </xf>
    <xf applyAlignment="1" applyBorder="1" applyFill="1" applyFont="1" applyNumberFormat="1" borderId="3" fillId="4" fontId="30" numFmtId="165" xfId="0">
      <alignment horizontal="left" indent="8" vertical="center"/>
    </xf>
    <xf applyAlignment="1" applyBorder="1" applyFill="1" applyFont="1" applyNumberFormat="1" borderId="3" fillId="4" fontId="31" numFmtId="0" xfId="0">
      <alignment horizontal="left" vertical="center"/>
    </xf>
    <xf applyAlignment="1" applyBorder="1" applyFill="1" applyFont="1" applyNumberFormat="1" borderId="3" fillId="4" fontId="31" numFmtId="165" xfId="0">
      <alignment horizontal="left" vertical="center"/>
    </xf>
    <xf applyAlignment="1" applyBorder="1" applyFill="1" applyFont="1" borderId="2" fillId="2" fontId="18" numFmtId="43" xfId="1"/>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left"/>
    </xf>
    <xf applyAlignment="1" applyFont="1" borderId="0" fillId="0" fontId="5" numFmtId="0" xfId="0"/>
    <xf applyAlignment="1" applyBorder="1" applyFill="1" applyFont="1" borderId="11" fillId="20" fontId="11" numFmtId="0" xfId="0">
      <alignment vertical="center" wrapText="1"/>
    </xf>
    <xf applyAlignment="1" applyBorder="1" applyFill="1" applyFont="1" borderId="11" fillId="18" fontId="7" numFmtId="0" xfId="0">
      <alignment horizontal="center" vertical="center" wrapText="1"/>
    </xf>
    <xf applyAlignment="1" applyFill="1" applyFont="1" borderId="0" fillId="18" fontId="2" numFmtId="0" xfId="0">
      <alignment horizontal="right" vertical="center"/>
    </xf>
    <xf applyAlignment="1" applyBorder="1" applyFill="1" applyFont="1" borderId="11" fillId="20" fontId="11" numFmtId="0" xfId="0">
      <alignment horizontal="center" vertical="center" wrapText="1"/>
    </xf>
    <xf applyAlignment="1" applyBorder="1" applyFill="1" applyFont="1" borderId="11" fillId="20" fontId="11" numFmtId="0" xfId="0">
      <alignment horizontal="justify" vertical="center" wrapText="1"/>
    </xf>
    <xf applyAlignment="1" applyBorder="1" applyFill="1" applyFont="1" borderId="11" fillId="20" fontId="5" numFmtId="0" xfId="0">
      <alignment horizontal="center" vertical="center" wrapText="1"/>
    </xf>
    <xf applyAlignment="1" applyFont="1" borderId="0" fillId="0" fontId="5" numFmtId="0" xfId="0">
      <alignment vertical="center" wrapText="1"/>
    </xf>
    <xf applyAlignment="1" applyFont="1" borderId="0" fillId="0" fontId="2" numFmtId="0" xfId="0">
      <alignment vertical="center"/>
    </xf>
    <xf applyAlignment="1" applyFont="1" borderId="0" fillId="0" fontId="5" numFmtId="0" xfId="0">
      <alignment horizontal="right" vertical="center"/>
    </xf>
    <xf applyAlignment="1" applyFont="1" borderId="0" fillId="0" fontId="5" numFmtId="0" xfId="0">
      <alignment vertical="center"/>
    </xf>
    <xf applyAlignment="1" applyFont="1" borderId="0" fillId="0" fontId="5" numFmtId="0" xfId="0">
      <alignment horizontal="lef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4" numFmtId="0" xfId="0">
      <alignment horizontal="center" vertical="center"/>
    </xf>
    <xf applyAlignment="1" applyFont="1" borderId="0" fillId="0" fontId="5" numFmtId="0" xfId="0">
      <alignment vertical="center" wrapText="1"/>
    </xf>
    <xf applyAlignment="1" applyFont="1" borderId="0" fillId="0" fontId="5" numFmtId="0" xfId="0">
      <alignment horizontal="left" vertical="center"/>
    </xf>
    <xf applyAlignment="1" applyBorder="1" applyFont="1" borderId="11" fillId="0" fontId="2" numFmtId="0" xfId="0">
      <alignment horizontal="left" vertical="center"/>
    </xf>
    <xf applyAlignment="1" applyBorder="1" applyFill="1" applyFont="1" borderId="0" fillId="0" fontId="5" numFmtId="0" xfId="0">
      <alignment horizontal="right" vertical="center" wrapText="1"/>
    </xf>
    <xf applyAlignment="1" applyFont="1" borderId="0" fillId="0" fontId="5" numFmtId="0" xfId="0">
      <alignment horizontal="right" vertical="center" wrapText="1"/>
    </xf>
    <xf applyFill="1" applyFont="1" applyNumberFormat="1" borderId="0" fillId="18" fontId="5" numFmtId="165" xfId="0"/>
    <xf applyAlignment="1" applyFill="1" applyFont="1" borderId="0" fillId="18" fontId="2" numFmtId="0" xfId="0">
      <alignment horizontal="center" vertical="center"/>
    </xf>
    <xf applyAlignment="1" applyFill="1" applyFont="1" borderId="0" fillId="18" fontId="2" numFmtId="0" xfId="0">
      <alignment horizontal="right"/>
    </xf>
    <xf applyAlignment="1" applyFill="1" applyFont="1" borderId="0" fillId="18" fontId="5" numFmtId="0" xfId="0">
      <alignment horizontal="right"/>
    </xf>
    <xf applyAlignment="1" applyFill="1" applyFont="1" borderId="0" fillId="18" fontId="2" numFmtId="0" xfId="0">
      <alignment horizontal="left" vertical="center"/>
    </xf>
    <xf applyAlignment="1" applyFill="1" applyFont="1" borderId="0" fillId="18" fontId="5" numFmtId="0" xfId="0">
      <alignment horizontal="left" vertical="center"/>
    </xf>
    <xf applyAlignment="1" applyFont="1" borderId="0" fillId="0" fontId="11" numFmtId="0" xfId="0">
      <alignment horizontal="center"/>
    </xf>
    <xf applyAlignment="1" applyFont="1" borderId="0" fillId="0" fontId="11" numFmtId="0" xfId="0"/>
    <xf applyAlignment="1" applyFont="1" borderId="0" fillId="0" fontId="11" numFmtId="0" xfId="0">
      <alignment horizontal="left" indent="3" vertical="center"/>
    </xf>
    <xf applyAlignment="1" applyBorder="1" applyFont="1" borderId="11" fillId="0" fontId="5" numFmtId="0" xfId="0">
      <alignment horizontal="left" vertical="top" wrapText="1"/>
    </xf>
    <xf applyAlignment="1" applyBorder="1" applyFill="1" applyFont="1" borderId="21" fillId="20" fontId="11" numFmtId="0" xfId="0">
      <alignment horizontal="justify" vertical="center" wrapText="1"/>
    </xf>
    <xf applyAlignment="1" applyBorder="1" applyFill="1" applyFont="1" borderId="23"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3"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0" fillId="0" fontId="7" numFmtId="0" xfId="0">
      <alignment horizontal="center" vertical="center"/>
    </xf>
    <xf applyAlignment="1" applyBorder="1" applyFont="1" borderId="0" fillId="0" fontId="7" numFmtId="0" xfId="0">
      <alignment horizontal="center" vertical="center" wrapText="1"/>
    </xf>
    <xf applyAlignment="1" applyFont="1" applyNumberFormat="1" borderId="0" fillId="0" fontId="5" numFmtId="166" xfId="1">
      <alignment vertical="center"/>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ill="1" applyFont="1" borderId="32" fillId="0" fontId="18" numFmtId="0" xfId="0">
      <alignment horizontal="center"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11" fillId="0" fontId="5" numFmtId="0" xfId="0">
      <alignment horizontal="center" vertical="center"/>
    </xf>
    <xf applyAlignment="1" applyBorder="1" applyFont="1" borderId="24" fillId="0" fontId="2" numFmtId="0" xfId="0">
      <alignment horizontal="left" vertical="top" wrapText="1"/>
    </xf>
    <xf applyAlignment="1" applyBorder="1" applyFont="1" borderId="11" fillId="0" fontId="2" numFmtId="0" xfId="0">
      <alignment horizontal="center" vertical="center" wrapText="1"/>
    </xf>
    <xf applyAlignment="1" applyFont="1" borderId="0" fillId="0" fontId="3" numFmtId="0" xfId="0">
      <alignment horizontal="center"/>
    </xf>
    <xf applyAlignment="1" applyBorder="1" applyFont="1" borderId="11" fillId="0" fontId="7" numFmtId="0" xfId="0">
      <alignment horizontal="center" vertical="center" wrapText="1"/>
    </xf>
    <xf applyAlignment="1" applyBorder="1" applyFont="1" borderId="0" fillId="0" fontId="3" numFmtId="0" xfId="0">
      <alignment vertical="center"/>
    </xf>
    <xf applyAlignment="1" applyBorder="1" applyFill="1" applyFont="1" borderId="11" fillId="12" fontId="2" numFmtId="0" xfId="0">
      <alignment horizontal="center" vertical="center" wrapText="1"/>
    </xf>
    <xf applyAlignment="1" applyBorder="1" applyFont="1" borderId="0" fillId="0" fontId="2" numFmtId="0" xfId="0">
      <alignment vertical="center" wrapText="1"/>
    </xf>
    <xf applyAlignment="1" applyBorder="1" applyFont="1" borderId="11" fillId="0" fontId="2" numFmtId="0" xfId="0">
      <alignment horizontal="center"/>
    </xf>
    <xf applyAlignment="1" applyFont="1" borderId="0" fillId="0" fontId="5" numFmtId="0" xfId="0">
      <alignment horizontal="left"/>
    </xf>
    <xf applyAlignment="1" applyFont="1" borderId="0" fillId="0" fontId="5" numFmtId="0" xfId="0"/>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5" numFmtId="0" xfId="0">
      <alignment horizontal="left" vertical="center"/>
    </xf>
    <xf applyAlignment="1" applyFont="1" applyNumberFormat="1" borderId="0" fillId="0" fontId="5" numFmtId="166" xfId="1">
      <alignment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0" fillId="0" fontId="2" numFmtId="0" xfId="0">
      <alignment horizontal="center" vertical="center" wrapText="1"/>
    </xf>
    <xf applyAlignment="1" applyFont="1" borderId="0" fillId="0" fontId="5" numFmtId="0" xfId="0">
      <alignment horizontal="left" indent="15" vertical="center"/>
    </xf>
    <xf applyAlignment="1" applyBorder="1" applyFill="1" applyFont="1" borderId="11" fillId="20" fontId="44" numFmtId="0" xfId="0">
      <alignment horizontal="left" indent="2" vertical="center" wrapText="1"/>
    </xf>
    <xf applyAlignment="1" applyBorder="1" applyFill="1" applyFont="1" borderId="11" fillId="20" fontId="44" numFmtId="0" xfId="0">
      <alignment horizontal="center" vertical="center" wrapText="1"/>
    </xf>
    <xf applyAlignment="1" applyBorder="1" applyFill="1" applyFont="1" borderId="11" fillId="20" fontId="43" numFmtId="0" xfId="0">
      <alignment vertical="center" wrapText="1"/>
    </xf>
    <xf applyAlignment="1" applyFont="1" borderId="0" fillId="0" fontId="7" numFmtId="0" xfId="0">
      <alignment horizontal="center" vertical="top" wrapText="1"/>
    </xf>
    <xf applyAlignment="1" applyBorder="1" applyFont="1" borderId="0" fillId="0" fontId="2" numFmtId="0" xfId="0">
      <alignment horizontal="justify" vertical="center" wrapText="1"/>
    </xf>
    <xf applyAlignment="1" applyBorder="1" applyFill="1" applyFont="1" borderId="11" fillId="18" fontId="2"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3" numFmtId="0" xfId="0">
      <alignment horizontal="center"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2" numFmtId="0" xfId="0">
      <alignment horizontal="center" vertical="center"/>
    </xf>
    <xf applyAlignment="1" applyFont="1" applyNumberFormat="1" borderId="0" fillId="0" fontId="5" numFmtId="166" xfId="1">
      <alignment vertical="center"/>
    </xf>
    <xf applyAlignment="1" applyBorder="1" applyFill="1" applyFont="1" borderId="32" fillId="0" fontId="18" numFmtId="0" xfId="0">
      <alignment horizontal="center" vertical="center"/>
    </xf>
    <xf applyAlignment="1" applyBorder="1" applyFont="1" borderId="11" fillId="0" fontId="5" numFmtId="43" xfId="1">
      <alignment horizontal="center" vertical="center" wrapText="1"/>
    </xf>
    <xf applyAlignment="1" applyFont="1" borderId="0" fillId="0" fontId="5" numFmtId="0" xfId="0">
      <alignment vertical="center"/>
    </xf>
    <xf applyAlignment="1" applyBorder="1" applyFont="1" borderId="11" fillId="0" fontId="5" numFmtId="0" xfId="0">
      <alignment horizontal="left" vertical="center"/>
    </xf>
    <xf applyAlignment="1" applyFill="1" applyFont="1" borderId="0" fillId="18" fontId="5" numFmtId="0" xfId="0">
      <alignment horizontal="center" textRotation="90" vertical="center" wrapText="1"/>
    </xf>
    <xf applyAlignment="1" applyFill="1" applyFont="1" borderId="0" fillId="18" fontId="5" numFmtId="0" xfId="0">
      <alignment horizontal="center" vertical="center"/>
    </xf>
    <xf applyAlignment="1" applyBorder="1" applyFill="1" applyFont="1" applyNumberFormat="1" borderId="11" fillId="18" fontId="2" numFmtId="43" xfId="2">
      <alignment horizontal="right"/>
    </xf>
    <xf applyAlignment="1" applyBorder="1" applyFill="1" applyFont="1" applyNumberFormat="1" borderId="11" fillId="18" fontId="46" numFmtId="4" xfId="2">
      <alignment horizontal="right"/>
    </xf>
    <xf applyAlignment="1" applyFill="1" applyFont="1" applyNumberFormat="1" borderId="0" fillId="18" fontId="46" numFmtId="166" xfId="1">
      <alignment horizontal="right" vertical="center"/>
    </xf>
    <xf applyAlignment="1" applyBorder="1" applyFill="1" applyFont="1" applyNumberFormat="1" borderId="11" fillId="18" fontId="46" numFmtId="43" xfId="1">
      <alignment horizontal="right" vertical="center" wrapText="1"/>
    </xf>
    <xf applyAlignment="1" applyBorder="1" applyFill="1" applyFont="1" borderId="11" fillId="18" fontId="46" numFmtId="43" xfId="1">
      <alignment horizontal="right"/>
    </xf>
    <xf applyAlignment="1" applyBorder="1" applyFill="1" applyFont="1" borderId="11" fillId="18" fontId="46" numFmtId="43" xfId="1">
      <alignment horizontal="right" vertical="center" wrapText="1"/>
    </xf>
    <xf applyAlignment="1" applyFill="1" applyFont="1" applyNumberFormat="1" borderId="0" fillId="0" fontId="5" numFmtId="166" xfId="1">
      <alignment vertical="center"/>
    </xf>
    <xf applyAlignment="1" applyFill="1" applyFont="1" applyNumberFormat="1" borderId="0" fillId="0" fontId="5" numFmtId="166" xfId="1">
      <alignment vertical="center" wrapText="1"/>
    </xf>
    <xf applyAlignment="1" applyFill="1" applyFont="1" borderId="0" fillId="0" fontId="5" numFmtId="0" xfId="0">
      <alignment horizontal="left" vertical="center"/>
    </xf>
    <xf applyAlignment="1" applyBorder="1" applyFill="1" applyFont="1" borderId="11" fillId="0" fontId="0" numFmtId="43" xfId="1">
      <alignment vertical="center"/>
    </xf>
    <xf applyAlignment="1" applyBorder="1" applyFill="1" applyFont="1" borderId="11" fillId="0" fontId="5" numFmtId="43" xfId="1">
      <alignment vertical="center"/>
    </xf>
    <xf applyBorder="1" applyFont="1" borderId="11" fillId="0" fontId="0" numFmtId="43" xfId="1"/>
    <xf applyAlignment="1" applyBorder="1" applyFill="1" applyFont="1" applyNumberFormat="1" borderId="4" fillId="0" fontId="29" numFmtId="2" xfId="0"/>
    <xf applyAlignment="1" applyBorder="1" applyFill="1" applyFont="1" applyNumberFormat="1" borderId="11" fillId="0" fontId="29" numFmtId="2" xfId="0"/>
    <xf applyAlignment="1" applyBorder="1" applyFill="1" applyFont="1" applyNumberFormat="1" borderId="19" fillId="0" fontId="29" numFmtId="2" xfId="0"/>
    <xf applyAlignment="1" applyBorder="1" applyFill="1" applyFont="1" applyNumberFormat="1" borderId="11" fillId="0" fontId="5" numFmtId="166" xfId="1">
      <alignment vertical="center"/>
    </xf>
    <xf applyAlignment="1" applyBorder="1" applyFont="1" borderId="11" fillId="0" fontId="46" numFmtId="0" xfId="0">
      <alignment vertical="center"/>
    </xf>
    <xf applyAlignment="1" applyBorder="1" applyFill="1" applyFont="1" borderId="11" fillId="0" fontId="46" numFmtId="0" xfId="0">
      <alignment vertical="center"/>
    </xf>
    <xf applyAlignment="1" applyBorder="1" applyFont="1" applyNumberFormat="1" borderId="11" fillId="0" fontId="46" numFmtId="43" xfId="1">
      <alignment horizontal="center" vertical="center" wrapText="1"/>
    </xf>
    <xf applyAlignment="1" applyBorder="1" applyFill="1" applyFont="1" borderId="11" fillId="0" fontId="46" numFmtId="43" xfId="1">
      <alignment vertical="center"/>
    </xf>
    <xf applyAlignment="1" applyBorder="1" applyFont="1" borderId="11" fillId="0" fontId="46" numFmtId="43" xfId="1">
      <alignment horizontal="center" vertical="center" wrapText="1"/>
    </xf>
    <xf applyBorder="1" applyFill="1" applyFont="1" borderId="11" fillId="0" fontId="46" numFmtId="43" xfId="1"/>
    <xf applyAlignment="1" applyBorder="1" applyFill="1" applyFont="1" applyNumberFormat="1" borderId="11" fillId="0" fontId="46" numFmtId="43" xfId="1">
      <alignment horizontal="center" vertical="center" wrapText="1"/>
    </xf>
    <xf applyAlignment="1" applyBorder="1" applyFont="1" borderId="4" fillId="0" fontId="46" numFmtId="43" xfId="1">
      <alignment horizontal="center" vertical="center" wrapText="1"/>
    </xf>
    <xf applyAlignment="1" applyBorder="1" applyFont="1" applyNumberFormat="1" borderId="11" fillId="0" fontId="47" numFmtId="43" xfId="1">
      <alignment horizontal="center" vertical="center" wrapText="1"/>
    </xf>
    <xf applyAlignment="1" applyFont="1" borderId="0" fillId="0" fontId="5" numFmtId="43" xfId="1">
      <alignment vertical="center"/>
    </xf>
    <xf applyAlignment="1" applyFont="1" borderId="0" fillId="0" fontId="5" numFmtId="43" xfId="1">
      <alignment horizontal="left" vertical="center"/>
    </xf>
    <xf applyAlignment="1" applyBorder="1" applyFont="1" borderId="11" fillId="0" fontId="5" numFmtId="43" xfId="1">
      <alignment vertical="center"/>
    </xf>
    <xf applyAlignment="1" applyBorder="1" applyFont="1" applyNumberFormat="1" borderId="11" fillId="0" fontId="5" numFmtId="166" xfId="1">
      <alignment vertical="center"/>
    </xf>
    <xf applyBorder="1" applyFont="1" borderId="11" fillId="0" fontId="5" numFmtId="43" xfId="1"/>
    <xf applyAlignment="1" applyFont="1" borderId="0" fillId="0" fontId="5" numFmtId="0" xfId="0">
      <alignment horizontal="left" vertical="top"/>
    </xf>
    <xf applyAlignment="1" applyFont="1" borderId="0" fillId="0" fontId="5" numFmtId="43" xfId="1">
      <alignment horizontal="center"/>
    </xf>
    <xf applyBorder="1" applyFill="1" applyFont="1" borderId="11" fillId="7" fontId="5" numFmtId="43" xfId="1"/>
    <xf applyBorder="1" applyFill="1" applyFont="1" borderId="12" fillId="7" fontId="5" numFmtId="43" xfId="1"/>
    <xf applyBorder="1" applyFont="1" borderId="23" fillId="0" fontId="5" numFmtId="43" xfId="1"/>
    <xf applyBorder="1" applyFont="1" borderId="16" fillId="0" fontId="5" numFmtId="43" xfId="1"/>
    <xf applyAlignment="1" applyBorder="1" applyFont="1" borderId="11" fillId="0" fontId="5" numFmtId="0" xfId="0">
      <alignment horizontal="center" vertical="center" wrapText="1"/>
    </xf>
    <xf applyAlignment="1" applyFont="1" borderId="0" fillId="0" fontId="11" numFmtId="0" xfId="0">
      <alignment horizontal="left" vertical="center"/>
    </xf>
    <xf applyAlignment="1" applyFont="1" borderId="0" fillId="0" fontId="5" numFmtId="0" xfId="0"/>
    <xf applyAlignment="1" applyBorder="1" applyFont="1" applyNumberFormat="1" borderId="16" fillId="0" fontId="18" numFmtId="165" xfId="0">
      <alignment horizontal="left" vertical="center" wrapText="1"/>
    </xf>
    <xf applyAlignment="1" applyBorder="1" applyFill="1" applyFont="1" borderId="11" fillId="20" fontId="11" numFmtId="0" xfId="0">
      <alignment horizontal="left" indent="1"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ont="1" borderId="11" fillId="0" fontId="2" numFmtId="0" xfId="0">
      <alignment horizontal="left"/>
    </xf>
    <xf applyAlignment="1" applyBorder="1" applyFill="1" applyFont="1" borderId="11" fillId="24" fontId="2" numFmtId="0" xfId="0">
      <alignment horizontal="center" vertical="center"/>
    </xf>
    <xf applyAlignment="1" applyBorder="1" applyFill="1" applyFont="1" borderId="11" fillId="24" fontId="2" numFmtId="0" xfId="0">
      <alignment horizontal="center" vertical="center" wrapText="1"/>
    </xf>
    <xf applyAlignment="1" applyBorder="1" applyFill="1" applyFont="1" applyNumberFormat="1" borderId="0" fillId="0" fontId="16" numFmtId="0" xfId="0">
      <alignment horizontal="left" vertical="center" wrapText="1"/>
    </xf>
    <xf applyAlignment="1" applyBorder="1" applyFill="1" applyFont="1" applyNumberFormat="1" borderId="0" fillId="0" fontId="16" numFmtId="165" xfId="0">
      <alignment horizontal="left" vertical="center" wrapText="1"/>
    </xf>
    <xf applyBorder="1" applyFill="1" applyFont="1" borderId="0" fillId="0" fontId="5" numFmtId="43" xfId="1"/>
    <xf applyAlignment="1" applyFont="1" borderId="0" fillId="0" fontId="5" numFmtId="43" xfId="1">
      <alignment horizontal="right"/>
    </xf>
    <xf applyAlignment="1" applyBorder="1" applyFill="1" applyFont="1" borderId="11" fillId="7" fontId="5" numFmtId="43" xfId="1">
      <alignment vertical="center"/>
    </xf>
    <xf applyAlignment="1" applyBorder="1" applyFont="1" applyNumberFormat="1" borderId="11" fillId="0" fontId="21" numFmtId="0" xfId="0">
      <alignment horizontal="left"/>
    </xf>
    <xf applyAlignment="1" applyBorder="1" applyFont="1" borderId="16" fillId="0" fontId="18" numFmtId="0" xfId="0">
      <alignment horizontal="left" vertical="center" wrapText="1"/>
    </xf>
    <xf applyAlignment="1" applyBorder="1" applyFont="1" borderId="11" fillId="0" fontId="18" numFmtId="0" xfId="0">
      <alignment horizontal="left" vertical="center" wrapText="1"/>
    </xf>
    <xf applyAlignment="1" applyBorder="1" applyFont="1" applyNumberFormat="1" borderId="11" fillId="0" fontId="18" numFmtId="0" xfId="0">
      <alignment horizontal="left" vertical="center" wrapText="1"/>
    </xf>
    <xf applyAlignment="1" applyBorder="1" applyFill="1" applyFont="1" borderId="11" fillId="0" fontId="2" numFmtId="0" xfId="0">
      <alignment horizontal="left" vertical="center" wrapText="1"/>
    </xf>
    <xf applyAlignment="1" applyBorder="1" applyFont="1" applyNumberFormat="1" borderId="11" fillId="0" fontId="29" numFmtId="0" xfId="0">
      <alignment horizontal="left" vertical="center" wrapText="1"/>
    </xf>
    <xf applyAlignment="1" applyBorder="1" applyFill="1" applyFont="1" applyNumberFormat="1" borderId="11" fillId="7" fontId="18" numFmtId="0" xfId="0">
      <alignment horizontal="left" vertical="center" wrapText="1"/>
    </xf>
    <xf applyAlignment="1" applyBorder="1" applyFill="1" applyFont="1" applyNumberFormat="1" borderId="11" fillId="7" fontId="18" numFmtId="165" xfId="0">
      <alignment horizontal="left" vertical="center" wrapText="1"/>
    </xf>
    <xf applyAlignment="1" applyBorder="1" applyFill="1" applyFont="1" borderId="11" fillId="7" fontId="18" numFmtId="43" xfId="1">
      <alignment horizontal="right" vertical="center" wrapText="1"/>
    </xf>
    <xf applyAlignment="1" applyBorder="1" applyFill="1" applyFont="1" borderId="11" fillId="20" fontId="11" numFmtId="0" xfId="0">
      <alignment horizontal="left" vertical="center" wrapText="1"/>
    </xf>
    <xf applyAlignment="1" applyFont="1" borderId="0" fillId="0" fontId="11" numFmtId="0" xfId="0">
      <alignment horizontal="left" vertical="center"/>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applyNumberFormat="1" borderId="21" fillId="20" fontId="11" numFmtId="43" xfId="0">
      <alignment vertical="center" wrapText="1"/>
    </xf>
    <xf applyAlignment="1" applyBorder="1" applyFont="1" applyNumberFormat="1" borderId="11" fillId="0" fontId="2" numFmtId="43" xfId="0">
      <alignment horizontal="center" vertical="center" wrapText="1"/>
    </xf>
    <xf applyAlignment="1" applyFont="1" borderId="0" fillId="0" fontId="5" numFmtId="0" xfId="0">
      <alignment horizontal="left"/>
    </xf>
    <xf applyAlignment="1" applyBorder="1" applyFont="1" borderId="0" fillId="0" fontId="5" numFmtId="0" xfId="0">
      <alignment horizontal="center" vertical="center" wrapText="1"/>
    </xf>
    <xf applyAlignment="1" applyBorder="1" applyFont="1" borderId="0" fillId="0" fontId="2" numFmtId="0" xfId="0">
      <alignment horizontal="center" vertical="center"/>
    </xf>
    <xf applyAlignment="1" applyFont="1" borderId="0" fillId="0" fontId="5" numFmtId="0" xfId="0">
      <alignmen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Border="1" applyFont="1" borderId="0" fillId="0" fontId="2" numFmtId="0" xfId="0">
      <alignment horizontal="right"/>
    </xf>
    <xf applyAlignment="1" applyBorder="1" applyFont="1" borderId="0" fillId="0" fontId="45" numFmtId="0" xfId="0">
      <alignment horizontal="left" vertical="center" wrapText="1"/>
    </xf>
    <xf applyAlignment="1" applyBorder="1" applyFont="1" borderId="0" fillId="0" fontId="45" numFmtId="0" xfId="0">
      <alignment horizontal="left" vertical="center"/>
    </xf>
    <xf applyAlignment="1" applyBorder="1" applyFont="1" borderId="0" fillId="0" fontId="45" numFmtId="0" xfId="0">
      <alignment vertical="center"/>
    </xf>
    <xf applyAlignment="1" applyFont="1" borderId="0" fillId="0" fontId="50" numFmtId="0" xfId="0">
      <alignment vertical="top"/>
    </xf>
    <xf applyAlignment="1" applyFont="1" borderId="0" fillId="0" fontId="52" numFmtId="0" xfId="0">
      <alignment horizontal="left" vertical="top"/>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Font="1" borderId="0" fillId="0" fontId="50" numFmtId="0" xfId="0">
      <alignment horizontal="left" vertical="center"/>
    </xf>
    <xf applyFont="1" borderId="0" fillId="0" fontId="50" numFmtId="0" xfId="0"/>
    <xf applyAlignment="1" applyFont="1" borderId="0" fillId="0" fontId="42" numFmtId="0" xfId="0">
      <alignment vertical="top"/>
    </xf>
    <xf applyAlignment="1" applyFont="1" borderId="0" fillId="0" fontId="50" numFmtId="0" xfId="0">
      <alignment horizontal="left"/>
    </xf>
    <xf applyAlignment="1" applyFont="1" borderId="0" fillId="0" fontId="50" numFmtId="0" xfId="0">
      <alignment vertical="center"/>
    </xf>
    <xf applyFont="1" borderId="0" fillId="0" fontId="42" numFmtId="0" xfId="0"/>
    <xf applyAlignment="1" applyBorder="1" applyFont="1" borderId="0" fillId="0" fontId="45" numFmtId="0" xfId="0">
      <alignment vertical="center" wrapText="1"/>
    </xf>
    <xf applyAlignment="1" applyFont="1" borderId="0" fillId="0" fontId="10" numFmtId="0" xfId="0">
      <alignment vertical="top"/>
    </xf>
    <xf applyAlignment="1" applyFill="1" applyFont="1" borderId="0" fillId="24" fontId="50" numFmtId="0" xfId="0">
      <alignment horizontal="center" vertical="center"/>
    </xf>
    <xf applyFill="1" applyFont="1" borderId="0" fillId="16" fontId="50" numFmtId="0" xfId="0"/>
    <xf applyAlignment="1" applyFill="1" applyFont="1" borderId="0" fillId="11" fontId="50" numFmtId="0" xfId="0">
      <alignment vertical="center" wrapText="1"/>
    </xf>
    <xf applyAlignment="1" applyFont="1" borderId="0" fillId="0" fontId="38" numFmtId="0" xfId="0">
      <alignment vertical="center"/>
    </xf>
    <xf applyAlignment="1" applyFont="1" borderId="0" fillId="0" fontId="45" numFmtId="0" xfId="0">
      <alignment vertical="center"/>
    </xf>
    <xf applyAlignment="1" applyFont="1" borderId="0" fillId="0" fontId="45" numFmtId="0" xfId="0">
      <alignment vertical="center" wrapText="1"/>
    </xf>
    <xf applyAlignment="1" applyFont="1" borderId="0" fillId="0" fontId="50" numFmtId="0" xfId="0">
      <alignment wrapText="1"/>
    </xf>
    <xf applyAlignment="1" applyFont="1" borderId="0" fillId="0" fontId="45" numFmtId="0" xfId="0">
      <alignment vertical="top" wrapText="1"/>
    </xf>
    <xf applyAlignment="1" applyFont="1" borderId="0" fillId="0" fontId="49" numFmtId="0" xfId="0">
      <alignment vertical="center"/>
    </xf>
    <xf applyAlignment="1" applyFont="1" borderId="0" fillId="0" fontId="57" numFmtId="0" xfId="0">
      <alignment horizontal="left" vertical="center"/>
    </xf>
    <xf applyFont="1" borderId="0" fillId="0" fontId="6" numFmtId="0" xfId="0"/>
    <xf applyAlignment="1" applyFont="1" borderId="0" fillId="0" fontId="5" numFmtId="0" xfId="0">
      <alignment horizontal="left" wrapText="1"/>
    </xf>
    <xf applyAlignment="1" applyFont="1" borderId="0" fillId="0" fontId="57" numFmtId="0" xfId="0">
      <alignment horizontal="justify" vertical="center"/>
    </xf>
    <xf applyAlignment="1" applyFont="1" borderId="0" fillId="0" fontId="59" numFmtId="0" xfId="0">
      <alignment horizontal="left" vertical="top" wrapText="1"/>
    </xf>
    <xf applyAlignment="1" applyFont="1" borderId="0" fillId="0" fontId="59" numFmtId="0" xfId="0">
      <alignment vertical="center" wrapText="1"/>
    </xf>
    <xf applyAlignment="1" applyFont="1" borderId="0" fillId="0" fontId="59" numFmtId="0" xfId="0">
      <alignment horizontal="left" vertical="center"/>
    </xf>
    <xf applyFont="1" borderId="0" fillId="0" fontId="59" numFmtId="0" xfId="0"/>
    <xf applyAlignment="1" applyFont="1" borderId="0" fillId="0" fontId="57" numFmtId="0" xfId="0">
      <alignment vertical="center"/>
    </xf>
    <xf applyAlignment="1" applyFont="1" borderId="0" fillId="0" fontId="50" numFmtId="0" xfId="0">
      <alignment vertical="top" wrapText="1"/>
    </xf>
    <xf applyAlignment="1" applyBorder="1" applyFont="1" borderId="11" fillId="0" fontId="2" numFmtId="43" xfId="1">
      <alignment vertical="top" wrapText="1"/>
    </xf>
    <xf applyBorder="1" applyFont="1" borderId="0" fillId="0" fontId="50" numFmtId="0" xfId="0"/>
    <xf applyBorder="1" applyFont="1" applyNumberFormat="1" borderId="11" fillId="0" fontId="50" numFmtId="1" xfId="0"/>
    <xf applyAlignment="1" applyFont="1" applyNumberFormat="1" borderId="0" fillId="0" fontId="50" numFmtId="169" xfId="1">
      <alignment horizontal="right"/>
    </xf>
    <xf applyFont="1" applyNumberFormat="1" borderId="0" fillId="0" fontId="50" numFmtId="166" xfId="1"/>
    <xf applyFont="1" applyNumberFormat="1" borderId="0" fillId="0" fontId="50" numFmtId="43" xfId="0"/>
    <xf applyAlignment="1" applyBorder="1" applyFont="1" borderId="11" fillId="0" fontId="5" numFmtId="43" xfId="1">
      <alignment horizontal="center" vertical="center" wrapText="1"/>
    </xf>
    <xf applyAlignment="1" applyBorder="1" applyFont="1" borderId="11" fillId="0" fontId="5" numFmtId="0" xfId="0">
      <alignment vertical="center" wrapText="1"/>
    </xf>
    <xf applyFont="1" borderId="0" fillId="0" fontId="61" numFmtId="0" xfId="0"/>
    <xf applyAlignment="1" applyBorder="1" applyFill="1" applyFont="1" applyNumberFormat="1" applyProtection="1" borderId="34" fillId="25" fontId="60" numFmtId="0" xfId="0">
      <alignment horizontal="right" vertical="center" wrapText="1"/>
    </xf>
    <xf applyAlignment="1" applyFont="1" borderId="0" fillId="0" fontId="50" numFmtId="0" xfId="0">
      <alignment horizontal="right" vertical="center"/>
    </xf>
    <xf applyAlignment="1" applyBorder="1" applyFont="1" applyNumberFormat="1" borderId="0" fillId="0" fontId="50" numFmtId="166" xfId="0">
      <alignment horizontal="right" vertical="center"/>
    </xf>
    <xf applyAlignment="1" applyFont="1" applyNumberFormat="1" borderId="0" fillId="0" fontId="50" numFmtId="166" xfId="1">
      <alignment horizontal="right" vertical="center"/>
    </xf>
    <xf applyAlignment="1" applyFont="1" applyNumberFormat="1" borderId="0" fillId="0" fontId="50" numFmtId="166" xfId="0">
      <alignment horizontal="right" vertical="center"/>
    </xf>
    <xf applyAlignment="1" applyBorder="1" applyFont="1" borderId="0" fillId="0" fontId="50" numFmtId="0" xfId="0">
      <alignment horizontal="right" vertical="center"/>
    </xf>
    <xf applyAlignment="1" applyBorder="1" borderId="36" fillId="0" fontId="0" numFmtId="0" xfId="0">
      <alignment horizontal="right" vertical="center" wrapText="1"/>
    </xf>
    <xf applyAlignment="1" applyBorder="1" applyFont="1" applyNumberFormat="1" borderId="0" fillId="0" fontId="50" numFmtId="170" xfId="0">
      <alignment horizontal="right" vertical="center"/>
    </xf>
    <xf applyAlignment="1" applyFont="1" applyNumberFormat="1" borderId="0" fillId="0" fontId="50" numFmtId="169" xfId="1">
      <alignment horizontal="left" vertical="center"/>
    </xf>
    <xf applyAlignment="1" applyBorder="1" applyFont="1" borderId="0" fillId="0" fontId="50" numFmtId="0" xfId="0">
      <alignment horizontal="left" vertical="center"/>
    </xf>
    <xf applyAlignment="1" applyFont="1" applyNumberFormat="1" borderId="0" fillId="0" fontId="50" numFmtId="166" xfId="1">
      <alignment horizontal="left" vertical="center"/>
    </xf>
    <xf applyAlignment="1" applyFont="1" applyNumberFormat="1" borderId="0" fillId="0" fontId="50" numFmtId="166" xfId="1">
      <alignment vertical="center"/>
    </xf>
    <xf applyAlignment="1" applyBorder="1" applyFill="1" borderId="36" fillId="26" fontId="0" numFmtId="0" xfId="0">
      <alignment horizontal="center" vertical="center" wrapText="1"/>
    </xf>
    <xf applyAlignment="1" applyBorder="1" applyFill="1" applyFont="1" applyNumberFormat="1" borderId="36" fillId="26" fontId="0" numFmtId="166" xfId="1">
      <alignment horizontal="center" vertical="center" wrapText="1"/>
    </xf>
    <xf applyAlignment="1" applyBorder="1" borderId="36" fillId="0" fontId="0" numFmtId="0" xfId="0">
      <alignment horizontal="center" vertical="center" wrapText="1"/>
    </xf>
    <xf applyNumberFormat="1" borderId="0" fillId="0" fontId="0" numFmtId="0" xfId="0"/>
    <xf applyAlignment="1" applyFont="1" applyNumberFormat="1" borderId="0" fillId="0" fontId="0" numFmtId="166" xfId="1">
      <alignment vertical="center"/>
    </xf>
    <xf applyFont="1" borderId="0" fillId="0" fontId="0" numFmtId="43" xfId="1"/>
    <xf applyFont="1" applyNumberFormat="1" borderId="0" fillId="0" fontId="0" numFmtId="166" xfId="1"/>
    <xf applyBorder="1" applyFont="1" applyNumberFormat="1" borderId="11" fillId="0" fontId="50" numFmtId="0" xfId="0"/>
    <xf applyAlignment="1" borderId="0" fillId="0" fontId="0" numFmtId="0" xfId="0">
      <alignment horizontal="center" vertical="center"/>
    </xf>
    <xf applyAlignment="1" applyBorder="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46" numFmtId="0" xfId="0">
      <alignment vertical="center"/>
    </xf>
    <xf applyFont="1" borderId="0" fillId="0" fontId="46" numFmtId="0" xfId="0"/>
    <xf applyAlignment="1" applyFont="1" borderId="0" fillId="0" fontId="46" numFmtId="0" xfId="0">
      <alignment vertical="center" wrapText="1"/>
    </xf>
    <xf applyAlignment="1" applyBorder="1" applyFill="1" applyFont="1" borderId="0" fillId="0" fontId="30" numFmtId="0" xfId="0">
      <alignment horizontal="center" vertical="center" wrapText="1"/>
    </xf>
    <xf applyAlignment="1" applyBorder="1" applyFill="1" applyFont="1" borderId="0" fillId="0" fontId="30" numFmtId="0" xfId="0">
      <alignment horizontal="center" vertical="center"/>
    </xf>
    <xf applyFill="1" applyFont="1" borderId="0" fillId="0" fontId="30" numFmtId="0" xfId="0"/>
    <xf applyAlignment="1" applyBorder="1" applyFill="1" applyFont="1" borderId="0" fillId="0" fontId="62" numFmtId="0" xfId="0">
      <alignment vertical="center"/>
    </xf>
    <xf applyAlignment="1" applyBorder="1" applyFill="1" applyFont="1" borderId="0" fillId="0" fontId="34" numFmtId="0" xfId="0">
      <alignment vertical="center"/>
    </xf>
    <xf applyAlignment="1" applyBorder="1" applyFill="1" applyFont="1" borderId="0" fillId="0" fontId="34" numFmtId="0" xfId="0">
      <alignment horizontal="center" vertical="center"/>
    </xf>
    <xf applyAlignment="1" applyFill="1" applyFont="1" borderId="0" fillId="0" fontId="34" numFmtId="0" xfId="0">
      <alignment vertical="center"/>
    </xf>
    <xf applyBorder="1" applyFill="1" applyFont="1" borderId="0" fillId="27" fontId="62" numFmtId="0" xfId="0"/>
    <xf applyAlignment="1" applyBorder="1" applyFont="1" borderId="0" fillId="0" fontId="34" numFmtId="0" xfId="0">
      <alignment vertical="center"/>
    </xf>
    <xf applyAlignment="1" applyBorder="1" applyFont="1" applyNumberFormat="1" borderId="0" fillId="0" fontId="34" numFmtId="2" xfId="0">
      <alignment horizontal="center" vertical="center" wrapText="1"/>
    </xf>
    <xf applyAlignment="1" applyBorder="1" applyNumberFormat="1" borderId="0" fillId="0" fontId="0" numFmtId="2" xfId="0">
      <alignment horizontal="center" vertical="center"/>
    </xf>
    <xf applyAlignment="1" applyFont="1" applyNumberFormat="1" borderId="0" fillId="0" fontId="34" numFmtId="2" xfId="0">
      <alignment horizontal="center" vertical="center"/>
    </xf>
    <xf applyAlignment="1" applyFont="1" borderId="0" fillId="0" fontId="34" numFmtId="0" xfId="0">
      <alignment horizontal="center" vertical="center"/>
    </xf>
    <xf applyAlignment="1" applyFont="1" borderId="0" fillId="0" fontId="34" numFmtId="0" xfId="0">
      <alignment vertical="center"/>
    </xf>
    <xf applyAlignment="1" applyBorder="1" applyFill="1" applyFont="1" borderId="0" fillId="2" fontId="62" numFmtId="0" xfId="0"/>
    <xf applyAlignment="1" applyBorder="1" applyFill="1" applyFont="1" borderId="0" fillId="2" fontId="34" numFmtId="0" xfId="0"/>
    <xf applyAlignment="1" applyBorder="1" applyFill="1" applyFont="1" borderId="0" fillId="2" fontId="34" numFmtId="0" xfId="0">
      <alignment horizontal="center" vertical="center"/>
    </xf>
    <xf applyFill="1" applyFont="1" borderId="0" fillId="27" fontId="62" numFmtId="0" xfId="0"/>
    <xf applyAlignment="1" applyFont="1" borderId="0" fillId="0" fontId="34" numFmtId="0" xfId="0">
      <alignment horizontal="center" vertical="center" wrapText="1"/>
    </xf>
    <xf applyAlignment="1" applyFont="1" applyNumberFormat="1" borderId="0" fillId="0" fontId="34" numFmtId="2" xfId="0">
      <alignment horizontal="center" vertical="center" wrapText="1"/>
    </xf>
    <xf applyAlignment="1" applyNumberFormat="1" borderId="0" fillId="0" fontId="0" numFmtId="2" xfId="0">
      <alignment horizontal="center" vertical="center"/>
    </xf>
    <xf applyAlignment="1" applyFill="1" applyFont="1" borderId="0" fillId="2" fontId="62" numFmtId="0" xfId="0"/>
    <xf applyAlignment="1" applyFill="1" applyFont="1" borderId="0" fillId="2" fontId="34" numFmtId="0" xfId="0"/>
    <xf applyAlignment="1" applyFill="1" borderId="0" fillId="2" fontId="0" numFmtId="0" xfId="0">
      <alignment horizontal="center" vertical="center"/>
    </xf>
    <xf applyAlignment="1" applyFill="1" applyFont="1" applyNumberFormat="1" borderId="0" fillId="2" fontId="34" numFmtId="2" xfId="0">
      <alignment horizontal="center" vertical="center"/>
    </xf>
    <xf applyFill="1" applyFont="1" borderId="0" fillId="2" fontId="62" numFmtId="0" xfId="0"/>
    <xf applyAlignment="1" applyFill="1" applyFont="1" borderId="0" fillId="2" fontId="62" numFmtId="0" xfId="0">
      <alignment horizontal="center" vertical="center"/>
    </xf>
    <xf applyAlignment="1" applyFont="1" borderId="0" fillId="0" fontId="34" numFmtId="0" xfId="0">
      <alignment vertical="center" wrapText="1"/>
    </xf>
    <xf applyAlignment="1" applyFont="1" applyNumberFormat="1" borderId="0" fillId="0" fontId="34" numFmtId="2" xfId="0">
      <alignment vertical="center" wrapText="1"/>
    </xf>
    <xf applyAlignment="1" applyNumberFormat="1" borderId="0" fillId="0" fontId="0" numFmtId="4" xfId="0">
      <alignment horizontal="center" vertical="center"/>
    </xf>
    <xf applyAlignment="1" applyFill="1" applyNumberFormat="1" borderId="0" fillId="17" fontId="0" numFmtId="4" xfId="0">
      <alignment horizontal="center" vertical="center"/>
    </xf>
    <xf applyAlignment="1" applyNumberFormat="1" borderId="0" fillId="0" fontId="0" numFmtId="43" xfId="0">
      <alignment horizontal="center" vertical="center"/>
    </xf>
    <xf applyAlignment="1" applyFill="1" applyFont="1" borderId="0" fillId="17" fontId="34" numFmtId="0" xfId="0">
      <alignment horizontal="center" vertical="center" wrapText="1"/>
    </xf>
    <xf applyAlignment="1" applyFont="1" applyNumberFormat="1" borderId="0" fillId="0" fontId="34" numFmtId="0" xfId="0">
      <alignment horizontal="center" vertical="center"/>
    </xf>
    <xf applyAlignment="1" applyBorder="1" applyFill="1" applyFont="1" borderId="0" fillId="0" fontId="29" numFmtId="0" xfId="0">
      <alignment horizontal="center" vertical="center"/>
    </xf>
    <xf applyAlignment="1" applyBorder="1" applyFill="1" applyFont="1" applyNumberFormat="1" borderId="2" fillId="0" fontId="29" numFmtId="2" xfId="1"/>
    <xf applyAlignment="1" applyBorder="1" applyFill="1" applyFont="1" borderId="2" fillId="0" fontId="29" numFmtId="0" xfId="0">
      <alignment horizontal="left" vertical="center" wrapText="1"/>
    </xf>
    <xf applyAlignment="1" applyBorder="1" applyFill="1" applyFont="1" applyNumberFormat="1" borderId="2" fillId="0" fontId="30" numFmtId="2" xfId="1"/>
    <xf applyFont="1" borderId="0" fillId="0" fontId="5" numFmtId="0" quotePrefix="1" xfId="0"/>
    <xf applyAlignment="1" applyFill="1" applyFont="1" borderId="0" fillId="7" fontId="5" numFmtId="0" xfId="0">
      <alignment vertical="top" wrapText="1"/>
    </xf>
    <xf applyAlignment="1" applyBorder="1" applyFill="1" applyFont="1" borderId="11" fillId="20" fontId="11" numFmtId="0" xfId="0">
      <alignment horizontal="left" vertical="center" wrapText="1"/>
    </xf>
    <xf applyAlignment="1" applyBorder="1" applyFont="1" borderId="11" fillId="0" fontId="5" numFmtId="0" xfId="0">
      <alignment horizontal="left" vertical="center" wrapText="1"/>
    </xf>
    <xf applyAlignment="1" applyFont="1" borderId="0" fillId="0" fontId="11" numFmtId="0" xfId="0">
      <alignment horizontal="left" vertical="center"/>
    </xf>
    <xf applyAlignment="1" applyFont="1" borderId="0" fillId="0" fontId="5" numFmtId="0" xfId="0">
      <alignment horizontal="left"/>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Font="1" borderId="0" fillId="0" fontId="5" numFmtId="0" xfId="0">
      <alignment horizontal="left" vertical="center"/>
    </xf>
    <xf applyAlignment="1" applyBorder="1" applyFill="1" applyFont="1" borderId="11" fillId="20" fontId="11" numFmtId="0" xfId="0">
      <alignment horizontal="center" vertical="center" wrapText="1"/>
    </xf>
    <xf applyAlignment="1" applyFont="1" borderId="0" fillId="0" fontId="5" numFmtId="0" xfId="0">
      <alignment horizontal="right" vertical="center" wrapText="1"/>
    </xf>
    <xf applyAlignment="1" applyBorder="1" applyFont="1" borderId="11" fillId="0" fontId="2" numFmtId="0" xfId="0">
      <alignment horizontal="justify" vertical="center" wrapText="1"/>
    </xf>
    <xf applyAlignment="1" applyBorder="1" applyFont="1" borderId="11" fillId="0" fontId="5" numFmtId="0" xfId="0">
      <alignment horizontal="left" vertical="center"/>
    </xf>
    <xf applyAlignment="1" applyBorder="1" applyFont="1" borderId="11" fillId="0" fontId="2" numFmtId="0" xfId="0">
      <alignment horizontal="center"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ill="1" applyFont="1" borderId="32" fillId="0" fontId="18" numFmtId="0" xfId="0">
      <alignment horizontal="center" vertical="center"/>
    </xf>
    <xf applyAlignment="1" applyBorder="1" applyFont="1" borderId="11" fillId="0" fontId="5" numFmtId="0" xfId="0">
      <alignment horizontal="left" vertical="center"/>
    </xf>
    <xf applyAlignment="1" applyBorder="1" applyFont="1" borderId="20" fillId="0" fontId="5" numFmtId="0" xfId="0">
      <alignment horizontal="left" vertical="center" wrapText="1"/>
    </xf>
    <xf applyAlignment="1" applyBorder="1" applyFont="1" borderId="12" fillId="0" fontId="5" numFmtId="0" xfId="0">
      <alignment horizontal="center" vertical="center"/>
    </xf>
    <xf applyAlignment="1" applyBorder="1" applyFont="1" borderId="11" fillId="0" fontId="5" numFmtId="0" xfId="0">
      <alignment horizontal="left" vertical="center" wrapText="1"/>
    </xf>
    <xf applyAlignment="1" applyFont="1" borderId="0" fillId="0" fontId="5" numFmtId="0" xfId="0">
      <alignment horizontal="left"/>
    </xf>
    <xf applyAlignment="1" applyBorder="1" applyFont="1" borderId="12"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horizontal="center"/>
    </xf>
    <xf applyAlignment="1" applyFont="1" borderId="0" fillId="0" fontId="2" numFmtId="0" xfId="0">
      <alignment horizontal="center" vertical="center" wrapText="1"/>
    </xf>
    <xf applyAlignment="1" applyFont="1" borderId="0" fillId="0" fontId="2" numFmtId="0" xfId="0">
      <alignment horizontal="center" vertical="center"/>
    </xf>
    <xf applyAlignment="1" applyBorder="1" applyFont="1" borderId="11" fillId="0" fontId="5" numFmtId="0" xfId="0">
      <alignment horizontal="center" vertical="center"/>
    </xf>
    <xf applyAlignment="1" applyFont="1" borderId="0" fillId="0" fontId="5" numFmtId="0" xfId="0">
      <alignment horizontal="righ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ont="1" borderId="11" fillId="0" fontId="2" numFmtId="43" xfId="1">
      <alignment horizontal="center" vertical="center"/>
    </xf>
    <xf applyAlignment="1" applyBorder="1" applyFill="1" applyFont="1" borderId="11" fillId="18" fontId="2" numFmtId="43" xfId="1">
      <alignment horizontal="center" vertical="center" wrapText="1"/>
    </xf>
    <xf applyAlignment="1" applyBorder="1" applyFill="1" applyFont="1" borderId="30" fillId="18" fontId="2" numFmtId="43" xfId="1">
      <alignment vertical="center"/>
    </xf>
    <xf applyAlignment="1" applyBorder="1" applyFill="1" applyFont="1" borderId="11" fillId="7" fontId="16" numFmtId="43" xfId="1">
      <alignment horizontal="right" vertical="center" wrapText="1"/>
    </xf>
    <xf applyAlignment="1" applyBorder="1" applyFill="1" applyFont="1" borderId="12" fillId="7" fontId="16" numFmtId="43" xfId="1">
      <alignment horizontal="left" vertical="center" wrapText="1"/>
    </xf>
    <xf applyAlignment="1" applyBorder="1" applyFill="1" applyFont="1" borderId="12" fillId="7" fontId="3" numFmtId="43" xfId="1">
      <alignment horizontal="center" vertical="center"/>
    </xf>
    <xf applyAlignment="1" applyFill="1" applyFont="1" applyNumberFormat="1" borderId="0" fillId="18" fontId="2" numFmtId="166" xfId="1">
      <alignment vertical="center"/>
    </xf>
    <xf applyAlignment="1" applyFill="1" applyFont="1" applyNumberFormat="1" borderId="0" fillId="18" fontId="2" numFmtId="166" xfId="1">
      <alignment vertical="center" wrapText="1"/>
    </xf>
    <xf applyAlignment="1" applyFill="1" applyFont="1" applyNumberFormat="1" borderId="0" fillId="18" fontId="2" numFmtId="166" xfId="1">
      <alignment horizontal="center" vertical="center"/>
    </xf>
    <xf applyFill="1" applyFont="1" applyNumberFormat="1" borderId="0" fillId="18" fontId="5" numFmtId="166" xfId="1"/>
    <xf applyAlignment="1" applyFont="1" applyNumberFormat="1" borderId="0" fillId="0" fontId="5" numFmtId="166" xfId="1">
      <alignment horizontal="left" vertical="center"/>
    </xf>
    <xf applyFont="1" applyNumberFormat="1" borderId="0" fillId="0" fontId="5" numFmtId="166" xfId="1"/>
    <xf applyAlignment="1" applyFont="1" applyNumberFormat="1" borderId="0" fillId="0" fontId="5" numFmtId="166" xfId="1">
      <alignment horizontal="left"/>
    </xf>
    <xf applyBorder="1" applyFill="1" applyFont="1" borderId="0" fillId="18" fontId="5" numFmtId="0" xfId="0"/>
    <xf applyAlignment="1" applyBorder="1" applyFill="1" applyFont="1" borderId="0" fillId="18" fontId="2" numFmtId="0" xfId="0"/>
    <xf applyAlignment="1" applyBorder="1" applyFill="1" applyFont="1" applyNumberFormat="1" borderId="0" fillId="18" fontId="2" numFmtId="166" xfId="1"/>
    <xf applyBorder="1" applyFill="1" applyFont="1" applyNumberFormat="1" borderId="0" fillId="18" fontId="5" numFmtId="166" xfId="1"/>
    <xf applyAlignment="1" applyBorder="1" applyFill="1" applyFont="1" applyNumberFormat="1" borderId="0" fillId="18" fontId="5" numFmtId="166" xfId="1">
      <alignment horizontal="right"/>
    </xf>
    <xf applyAlignment="1" applyBorder="1" applyFill="1" applyFont="1" borderId="0" fillId="18" fontId="5" numFmtId="0" xfId="0">
      <alignment vertical="center" wrapText="1"/>
    </xf>
    <xf applyAlignment="1" applyBorder="1" applyFont="1" borderId="14" fillId="0" fontId="5" numFmtId="0" xfId="0">
      <alignment horizontal="center" vertical="top" wrapText="1"/>
    </xf>
    <xf applyAlignment="1" applyFont="1" borderId="0" fillId="0" fontId="2" numFmtId="0" xfId="0">
      <alignment horizontal="left" vertical="center" wrapText="1"/>
    </xf>
    <xf applyAlignment="1" applyBorder="1" applyFill="1" applyFont="1" borderId="11" fillId="21" fontId="7" numFmtId="0" xfId="0">
      <alignment horizontal="center" vertical="center"/>
    </xf>
    <xf applyAlignment="1" applyBorder="1" applyFill="1" applyFont="1" borderId="12" fillId="7" fontId="5" numFmtId="43" xfId="1">
      <alignment vertical="center"/>
    </xf>
    <xf applyAlignment="1" applyBorder="1" applyFill="1" applyFont="1" borderId="0" fillId="7" fontId="5" numFmtId="43" xfId="1">
      <alignment vertical="center"/>
    </xf>
    <xf applyAlignment="1" applyBorder="1" applyFill="1" applyFont="1" borderId="0" fillId="0" fontId="34" numFmtId="0" xfId="0">
      <alignment horizontal="left" vertical="center"/>
    </xf>
    <xf applyAlignment="1" applyBorder="1" applyFill="1" applyFont="1" borderId="0" fillId="2" fontId="34" numFmtId="0" xfId="0">
      <alignment horizontal="left"/>
    </xf>
    <xf applyAlignment="1" applyFont="1" borderId="0" fillId="0" fontId="34" numFmtId="0" xfId="0">
      <alignment horizontal="left" vertical="center" wrapText="1"/>
    </xf>
    <xf applyAlignment="1" applyFill="1" applyFont="1" borderId="0" fillId="2" fontId="34" numFmtId="0" xfId="0">
      <alignment horizontal="left"/>
    </xf>
    <xf applyAlignment="1" applyFill="1" applyFont="1" borderId="0" fillId="2" fontId="62" numFmtId="0" xfId="0">
      <alignment horizontal="left"/>
    </xf>
    <xf applyFont="1" applyNumberFormat="1" borderId="0" fillId="0" fontId="5" numFmtId="2" xfId="0"/>
    <xf applyFont="1" applyNumberFormat="1" borderId="0" fillId="0" fontId="5" numFmtId="4" xfId="0"/>
    <xf applyFill="1" applyFont="1" borderId="0" fillId="17" fontId="5" numFmtId="0" xfId="0"/>
    <xf applyFont="1" applyNumberFormat="1" borderId="0" fillId="0" fontId="5" numFmtId="3" xfId="0"/>
    <xf applyAlignment="1" applyBorder="1" applyFont="1" borderId="0" fillId="0" fontId="34" numFmtId="0" xfId="0">
      <alignment vertical="center" wrapText="1"/>
    </xf>
    <xf applyAlignment="1" applyFont="1" borderId="0" fillId="0" fontId="3" numFmtId="43" xfId="1">
      <alignment horizontal="right"/>
    </xf>
    <xf applyAlignment="1" applyBorder="1" applyFont="1" borderId="0" fillId="0" fontId="16" numFmtId="43" xfId="1">
      <alignment horizontal="center" vertical="center"/>
    </xf>
    <xf applyAlignment="1" applyBorder="1" applyFont="1" borderId="0" fillId="0" fontId="16" numFmtId="43" xfId="1">
      <alignment vertical="center"/>
    </xf>
    <xf applyAlignment="1" applyBorder="1" applyFont="1" borderId="0" fillId="0" fontId="18" numFmtId="43" xfId="1">
      <alignment horizontal="center" vertical="center"/>
    </xf>
    <xf applyAlignment="1" applyBorder="1" applyFill="1" applyFont="1" borderId="2" fillId="9" fontId="16" numFmtId="43" xfId="1">
      <alignment horizontal="center" vertical="center" wrapText="1"/>
    </xf>
    <xf applyAlignment="1" applyBorder="1" applyFont="1" borderId="2" fillId="0" fontId="16" numFmtId="43" xfId="1">
      <alignment vertical="top"/>
    </xf>
    <xf applyAlignment="1" applyBorder="1" applyFont="1" borderId="2" fillId="0" fontId="16" numFmtId="43" xfId="1"/>
    <xf applyAlignment="1" applyBorder="1" applyFont="1" borderId="2" fillId="0" fontId="18" numFmtId="43" xfId="1"/>
    <xf applyAlignment="1" applyBorder="1" applyFill="1" applyFont="1" borderId="2" fillId="0" fontId="18" numFmtId="43" xfId="1"/>
    <xf applyAlignment="1" applyBorder="1" applyFont="1" borderId="2" fillId="0" fontId="2" numFmtId="43" xfId="1"/>
    <xf applyAlignment="1" applyBorder="1" applyFont="1" borderId="2" fillId="0" fontId="17" numFmtId="43" xfId="1"/>
    <xf applyAlignment="1" applyBorder="1" applyFont="1" borderId="2" fillId="0" fontId="24" numFmtId="43" xfId="1"/>
    <xf applyAlignment="1" applyBorder="1" applyFill="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right" vertical="center"/>
    </xf>
    <xf applyAlignment="1" applyBorder="1" applyFont="1" borderId="0" fillId="0" fontId="27" numFmtId="0" xfId="0">
      <alignment horizontal="center" vertical="center"/>
    </xf>
    <xf applyAlignment="1" applyBorder="1" applyFill="1" applyFont="1" borderId="12" fillId="0" fontId="5" numFmtId="0" xfId="0">
      <alignment horizontal="center" vertical="center" wrapText="1"/>
    </xf>
    <xf applyAlignment="1" applyBorder="1" applyFill="1" applyFont="1" borderId="11" fillId="0" fontId="5" numFmtId="43" xfId="1">
      <alignment vertical="center" wrapText="1"/>
    </xf>
    <xf applyAlignment="1" applyBorder="1" applyFill="1" applyFont="1" borderId="0" fillId="0" fontId="5" numFmtId="43" xfId="1">
      <alignment vertical="center" wrapText="1"/>
    </xf>
    <xf applyAlignment="1" applyFill="1" applyFont="1" borderId="0" fillId="0" fontId="5" numFmtId="0" xfId="0">
      <alignment horizontal="center" vertical="center" wrapText="1"/>
    </xf>
    <xf applyAlignment="1" applyFill="1" applyFont="1" borderId="0" fillId="0" fontId="2" numFmtId="0" xfId="0">
      <alignment vertical="top"/>
    </xf>
    <xf applyAlignment="1" applyFill="1" applyFont="1" borderId="0" fillId="0" fontId="5" numFmtId="0" xfId="0">
      <alignment horizontal="left"/>
    </xf>
    <xf applyAlignment="1" applyBorder="1" applyFont="1" borderId="11" fillId="0" fontId="2" numFmtId="43" xfId="1">
      <alignment vertical="center" wrapText="1"/>
    </xf>
    <xf applyFont="1" applyNumberFormat="1" borderId="0" fillId="0" fontId="30" numFmtId="2" xfId="1"/>
    <xf applyAlignment="1" applyFont="1" applyNumberFormat="1" borderId="0" fillId="0" fontId="31" numFmtId="2" xfId="1">
      <alignment horizontal="right"/>
    </xf>
    <xf applyAlignment="1" applyBorder="1" applyFont="1" borderId="0" fillId="0" fontId="31" numFmtId="0" xfId="0">
      <alignment horizontal="center" vertical="center"/>
    </xf>
    <xf applyAlignment="1" applyBorder="1" applyFont="1" applyNumberFormat="1" borderId="0" fillId="0" fontId="30" numFmtId="2" xfId="1">
      <alignment horizontal="right" vertical="center"/>
    </xf>
    <xf applyAlignment="1" applyBorder="1" applyFont="1" applyNumberFormat="1" borderId="0" fillId="0" fontId="30" numFmtId="2" xfId="1">
      <alignment horizontal="center" vertical="center"/>
    </xf>
    <xf applyAlignment="1" applyBorder="1" applyFont="1" applyNumberFormat="1" borderId="3" fillId="0" fontId="31" numFmtId="2" xfId="1">
      <alignment horizontal="center" vertical="center" wrapText="1"/>
    </xf>
    <xf applyAlignment="1" applyBorder="1" applyFill="1" applyFont="1" applyNumberFormat="1" borderId="3" fillId="6" fontId="31" numFmtId="2" xfId="1">
      <alignment horizontal="center" vertical="center" wrapText="1"/>
    </xf>
    <xf applyBorder="1" applyFont="1" applyNumberFormat="1" borderId="3" fillId="0" fontId="63" numFmtId="2" xfId="1"/>
    <xf applyBorder="1" applyFont="1" applyNumberFormat="1" borderId="3" fillId="0" fontId="31" numFmtId="2" xfId="1"/>
    <xf applyBorder="1" applyFont="1" applyNumberFormat="1" borderId="3" fillId="0" fontId="30" numFmtId="2" xfId="1"/>
    <xf applyAlignment="1" applyBorder="1" applyFill="1" applyFont="1" applyNumberFormat="1" applyProtection="1" borderId="3" fillId="2" fontId="30" numFmtId="2" xfId="1">
      <alignment horizontal="right" vertical="center" wrapText="1"/>
    </xf>
    <xf applyBorder="1" applyFill="1" applyFont="1" applyNumberFormat="1" borderId="3" fillId="0" fontId="30" numFmtId="2" xfId="1"/>
    <xf applyBorder="1" applyFill="1" applyFont="1" applyNumberFormat="1" borderId="3" fillId="2" fontId="30" numFmtId="2" xfId="1"/>
    <xf applyAlignment="1" applyBorder="1" applyFont="1" applyNumberFormat="1" borderId="2" fillId="0" fontId="30" numFmtId="2" xfId="1"/>
    <xf applyAlignment="1" applyBorder="1" applyFill="1" applyFont="1" applyNumberFormat="1" borderId="2" fillId="2" fontId="30" numFmtId="2" xfId="1"/>
    <xf applyBorder="1" applyFont="1" applyNumberFormat="1" borderId="3" fillId="0" fontId="64" numFmtId="2" xfId="1"/>
    <xf applyAlignment="1" applyBorder="1" applyFill="1" applyFont="1" applyNumberFormat="1" borderId="3" fillId="6" fontId="64" numFmtId="2" xfId="1">
      <alignment horizontal="center"/>
    </xf>
    <xf applyAlignment="1" applyBorder="1" applyFill="1" applyFont="1" applyNumberFormat="1" borderId="3" fillId="0" fontId="64" numFmtId="2" xfId="1">
      <alignment horizontal="center"/>
    </xf>
    <xf applyFont="1" borderId="0" fillId="0" fontId="31" numFmtId="0" xfId="0"/>
    <xf applyAlignment="1" applyFont="1" borderId="0" fillId="0" fontId="36" numFmtId="0" xfId="0">
      <alignment horizontal="center"/>
    </xf>
    <xf applyAlignment="1" applyFont="1" borderId="0" fillId="0" fontId="31" numFmtId="0" xfId="0">
      <alignment horizontal="center"/>
    </xf>
    <xf applyAlignment="1" applyFont="1" borderId="0" fillId="0" fontId="30" numFmtId="0" xfId="0">
      <alignment horizontal="center" vertical="center" wrapText="1"/>
    </xf>
    <xf applyAlignment="1" applyBorder="1" applyFill="1" applyFont="1" borderId="5" fillId="10" fontId="31" numFmtId="0" xfId="0">
      <alignment horizontal="center" vertical="center" wrapText="1"/>
    </xf>
    <xf applyAlignment="1" applyBorder="1" applyFill="1" applyFont="1" borderId="3" fillId="10" fontId="31" numFmtId="0" xfId="0">
      <alignment horizontal="center" vertical="center" wrapText="1"/>
    </xf>
    <xf applyAlignment="1" applyBorder="1" applyFill="1" applyFont="1" borderId="6" fillId="10" fontId="31" numFmtId="0" xfId="0">
      <alignment horizontal="center" vertical="center" wrapText="1"/>
    </xf>
    <xf applyAlignment="1" applyBorder="1" applyFill="1" applyFont="1" borderId="3" fillId="2" fontId="30" numFmtId="0" xfId="0">
      <alignment horizontal="center" vertical="center" wrapText="1"/>
    </xf>
    <xf applyAlignment="1" applyBorder="1" applyFill="1" applyFont="1" applyNumberFormat="1" borderId="4" fillId="2" fontId="31" numFmtId="165" xfId="0">
      <alignment horizontal="left" vertical="center" wrapText="1"/>
    </xf>
    <xf applyAlignment="1" applyBorder="1" applyFill="1" applyFont="1" applyNumberFormat="1" borderId="3" fillId="2" fontId="30" numFmtId="4" xfId="0">
      <alignment horizontal="right" vertical="center" wrapText="1"/>
    </xf>
    <xf applyAlignment="1" applyBorder="1" applyFont="1" applyNumberFormat="1" borderId="3" fillId="0" fontId="30" numFmtId="4" xfId="0">
      <alignment horizontal="right" vertical="center" wrapText="1"/>
    </xf>
    <xf applyAlignment="1" applyBorder="1" applyFont="1" borderId="3" fillId="0" fontId="30" numFmtId="0" xfId="0">
      <alignment horizontal="center" vertical="center" wrapText="1"/>
    </xf>
    <xf applyAlignment="1" applyBorder="1" applyFont="1" applyNumberFormat="1" borderId="3" fillId="0" fontId="31" numFmtId="4" xfId="0">
      <alignment horizontal="right" vertical="center" wrapText="1"/>
    </xf>
    <xf applyAlignment="1" applyBorder="1" applyFill="1" applyFont="1" applyNumberFormat="1" borderId="3" fillId="2" fontId="65" numFmtId="4" xfId="0">
      <alignment horizontal="right" vertical="center" wrapText="1"/>
    </xf>
    <xf applyAlignment="1" applyBorder="1" applyFont="1" applyNumberFormat="1" borderId="3" fillId="0" fontId="65" numFmtId="4" xfId="0">
      <alignment horizontal="right" vertical="center" wrapText="1"/>
    </xf>
    <xf applyAlignment="1" applyFont="1" borderId="0" fillId="0" fontId="30" numFmtId="0" xfId="0">
      <alignment horizontal="right"/>
    </xf>
    <xf applyAlignment="1" applyFont="1" borderId="0" fillId="0" fontId="30" numFmtId="0" xfId="0">
      <alignment horizontal="right" vertical="center" wrapText="1"/>
    </xf>
    <xf applyBorder="1" applyFont="1" borderId="3" fillId="0" fontId="31" numFmtId="43" xfId="1"/>
    <xf applyBorder="1" applyFill="1" applyFont="1" borderId="3" fillId="4" fontId="30" numFmtId="43" xfId="1"/>
    <xf applyBorder="1" applyFill="1" applyFont="1" borderId="3" fillId="4" fontId="31" numFmtId="43" xfId="1"/>
    <xf applyBorder="1" applyFont="1" borderId="0" fillId="0" fontId="34" numFmtId="0" xfId="0"/>
    <xf applyAlignment="1" applyFont="1" borderId="0" fillId="0" fontId="34" numFmtId="0" xfId="0">
      <alignment horizontal="right"/>
    </xf>
    <xf applyAlignment="1" applyFont="1" borderId="0" fillId="0" fontId="33" numFmtId="0" xfId="0">
      <alignment horizontal="right" vertical="center" wrapText="1"/>
    </xf>
    <xf applyAlignment="1" applyBorder="1" applyFill="1" applyFont="1" borderId="5" fillId="5" fontId="39" numFmtId="0" xfId="0">
      <alignment horizontal="center" vertical="center" wrapText="1"/>
    </xf>
    <xf applyAlignment="1" applyFill="1" applyFont="1" borderId="0" fillId="5" fontId="34" numFmtId="0" xfId="0">
      <alignment horizontal="center" vertical="center"/>
    </xf>
    <xf applyAlignment="1" applyBorder="1" applyFill="1" applyFont="1" borderId="3" fillId="5" fontId="39" numFmtId="0" xfId="0">
      <alignment horizontal="center" vertical="center" wrapText="1"/>
    </xf>
    <xf applyAlignment="1" applyFill="1" applyFont="1" borderId="0" fillId="0" fontId="34" numFmtId="0" xfId="0">
      <alignment horizontal="center" vertical="center"/>
    </xf>
    <xf applyAlignment="1" applyBorder="1" applyFont="1" applyNumberFormat="1" borderId="3" fillId="0" fontId="39" numFmtId="0" xfId="0">
      <alignment horizontal="left" vertical="center" wrapText="1"/>
    </xf>
    <xf applyAlignment="1" applyBorder="1" applyFont="1" applyNumberFormat="1" borderId="3" fillId="0" fontId="39" numFmtId="165" xfId="0">
      <alignment horizontal="left" vertical="center" wrapText="1"/>
    </xf>
    <xf applyAlignment="1" applyBorder="1" applyFont="1" applyNumberFormat="1" borderId="3" fillId="0" fontId="39" numFmtId="4" xfId="0">
      <alignment horizontal="right" vertical="center" wrapText="1"/>
    </xf>
    <xf applyAlignment="1" applyBorder="1" applyFill="1" applyFont="1" applyNumberFormat="1" borderId="3" fillId="2" fontId="39" numFmtId="4" xfId="0">
      <alignment horizontal="right" vertical="center" wrapText="1"/>
    </xf>
    <xf applyAlignment="1" applyBorder="1" applyFill="1" applyFont="1" borderId="3" fillId="4" fontId="33" numFmtId="0" xfId="0">
      <alignment horizontal="left" vertical="center" wrapText="1"/>
    </xf>
    <xf applyAlignment="1" applyBorder="1" applyFill="1" applyFont="1" applyNumberFormat="1" borderId="3" fillId="4" fontId="33" numFmtId="165" xfId="0">
      <alignment horizontal="left" vertical="center" wrapText="1"/>
    </xf>
    <xf applyAlignment="1" applyBorder="1" applyFill="1" applyFont="1" applyNumberFormat="1" borderId="3" fillId="4" fontId="33" numFmtId="4" xfId="0">
      <alignment horizontal="right" vertical="center" wrapText="1"/>
    </xf>
    <xf applyAlignment="1" applyBorder="1" applyFont="1" borderId="3" fillId="0" fontId="39" numFmtId="0" xfId="0">
      <alignment horizontal="left" vertical="center" wrapText="1"/>
    </xf>
    <xf applyAlignment="1" applyFont="1" borderId="0" fillId="0" fontId="37" numFmtId="0" xfId="0">
      <alignment horizontal="center"/>
    </xf>
    <xf applyAlignment="1" applyFont="1" borderId="0" fillId="0" fontId="37" numFmtId="0" xfId="0"/>
    <xf applyFont="1" borderId="0" fillId="0" fontId="29" numFmtId="0" xfId="0"/>
    <xf applyAlignment="1" applyFont="1" borderId="0" fillId="0" fontId="29" numFmtId="0" xfId="0">
      <alignment wrapText="1"/>
    </xf>
    <xf applyAlignment="1" applyBorder="1" applyFill="1" applyFont="1" borderId="3" fillId="15" fontId="31" numFmtId="0" xfId="0">
      <alignment horizontal="center" vertical="center" wrapText="1"/>
    </xf>
    <xf applyAlignment="1" applyBorder="1" applyFill="1" applyFont="1" borderId="3" fillId="15" fontId="29" numFmtId="0" xfId="0">
      <alignment horizontal="center" vertical="center"/>
    </xf>
    <xf applyAlignment="1" applyBorder="1" applyFill="1" applyFont="1" applyNumberFormat="1" borderId="3" fillId="16" fontId="31" numFmtId="165" xfId="0">
      <alignment horizontal="left" vertical="center" wrapText="1"/>
    </xf>
    <xf applyAlignment="1" applyBorder="1" applyFill="1" applyFont="1" applyNumberFormat="1" borderId="3" fillId="16" fontId="31" numFmtId="4" xfId="0">
      <alignment horizontal="right" vertical="center" wrapText="1"/>
    </xf>
    <xf applyAlignment="1" applyBorder="1" applyFill="1" applyFont="1" applyNumberFormat="1" borderId="3" fillId="2" fontId="31" numFmtId="4" xfId="0">
      <alignment horizontal="right" vertical="center" wrapText="1"/>
    </xf>
    <xf applyAlignment="1" applyBorder="1" applyFill="1" applyFont="1" applyNumberFormat="1" borderId="3" fillId="4" fontId="30" numFmtId="4" xfId="0">
      <alignment horizontal="right" vertical="center" wrapText="1"/>
    </xf>
    <xf applyAlignment="1" applyFont="1" borderId="0" fillId="0" fontId="31" numFmtId="0" xfId="0">
      <alignment horizontal="left"/>
    </xf>
    <xf applyAlignment="1" applyBorder="1" applyFill="1" applyFont="1" borderId="3" fillId="7" fontId="31" numFmtId="0" xfId="0">
      <alignment horizontal="left" vertical="center" wrapText="1"/>
    </xf>
    <xf applyAlignment="1" applyBorder="1" applyFill="1" applyFont="1" borderId="3" fillId="4" fontId="30" numFmtId="0" xfId="0">
      <alignment horizontal="left" vertical="center" wrapText="1"/>
    </xf>
    <xf applyAlignment="1" applyBorder="1" applyFill="1" applyFont="1" applyNumberFormat="1" borderId="3" fillId="4" fontId="30" numFmtId="0" xfId="0">
      <alignment horizontal="left" wrapText="1"/>
    </xf>
    <xf applyAlignment="1" applyBorder="1" applyFill="1" applyFont="1" borderId="3" fillId="4" fontId="30" numFmtId="0" xfId="0">
      <alignment horizontal="left" indent="8" wrapText="1"/>
    </xf>
    <xf applyAlignment="1" applyBorder="1" applyFill="1" applyFont="1" applyNumberFormat="1" borderId="3" fillId="4" fontId="30" numFmtId="165" xfId="0">
      <alignment horizontal="left" indent="8" vertical="center" wrapText="1"/>
    </xf>
    <xf applyAlignment="1" applyFont="1" applyNumberFormat="1" borderId="0" fillId="0" fontId="30" numFmtId="49" xfId="0"/>
    <xf applyAlignment="1" applyFont="1" borderId="0" fillId="0" fontId="30" numFmtId="0" xfId="0"/>
    <xf applyAlignment="1" applyBorder="1" applyFont="1" borderId="0" fillId="0" fontId="28" numFmtId="0" xfId="0">
      <alignment vertical="center"/>
    </xf>
    <xf applyAlignment="1" applyBorder="1" applyFill="1" applyFont="1" borderId="3" fillId="0" fontId="29" numFmtId="0" xfId="0">
      <alignment horizontal="center" vertical="center" wrapText="1"/>
    </xf>
    <xf applyAlignment="1" applyBorder="1" applyFont="1" borderId="3" fillId="0" fontId="29" numFmtId="0" xfId="0">
      <alignment horizontal="center" vertical="center" wrapText="1"/>
    </xf>
    <xf applyAlignment="1" applyBorder="1" applyFont="1" borderId="3" fillId="0" fontId="29" numFmtId="0" xfId="0">
      <alignment vertical="center"/>
    </xf>
    <xf applyAlignment="1" applyBorder="1" applyFont="1" applyNumberFormat="1" borderId="3" fillId="0" fontId="29" numFmtId="14" xfId="0">
      <alignment vertical="top"/>
    </xf>
    <xf applyAlignment="1" applyBorder="1" applyFont="1" applyNumberFormat="1" borderId="3" fillId="0" fontId="29" numFmtId="49" xfId="0">
      <alignment vertical="top"/>
    </xf>
    <xf applyAlignment="1" applyBorder="1" applyFont="1" applyNumberFormat="1" borderId="3" fillId="0" fontId="29" numFmtId="164" xfId="1">
      <alignment vertical="top"/>
    </xf>
    <xf applyAlignment="1" applyBorder="1" applyFont="1" borderId="3" fillId="0" fontId="29" numFmtId="0" xfId="0">
      <alignment vertical="top"/>
    </xf>
    <xf applyAlignment="1" applyBorder="1" applyFont="1" applyNumberFormat="1" borderId="3" fillId="0" fontId="29" numFmtId="49" xfId="1">
      <alignment vertical="top"/>
    </xf>
    <xf applyBorder="1" applyFont="1" borderId="3" fillId="0" fontId="34" numFmtId="0" xfId="0"/>
    <xf applyAlignment="1" applyBorder="1" applyFont="1" borderId="3" fillId="0" fontId="37" numFmtId="0" xfId="0"/>
    <xf applyAlignment="1" applyBorder="1" applyFont="1" applyNumberFormat="1" borderId="3" fillId="0" fontId="37" numFmtId="14" xfId="0"/>
    <xf applyAlignment="1" applyBorder="1" applyFont="1" applyNumberFormat="1" borderId="3" fillId="0" fontId="37" numFmtId="49" xfId="0"/>
    <xf applyAlignment="1" applyBorder="1" applyFont="1" applyNumberFormat="1" borderId="3" fillId="0" fontId="66" numFmtId="164" xfId="0">
      <alignment horizontal="center" vertical="center"/>
    </xf>
    <xf applyAlignment="1" applyFont="1" applyNumberFormat="1" borderId="0" fillId="0" fontId="37" numFmtId="14" xfId="0"/>
    <xf applyAlignment="1" applyFont="1" applyNumberFormat="1" borderId="0" fillId="0" fontId="37" numFmtId="164" xfId="0"/>
    <xf applyAlignment="1" applyFont="1" borderId="0" fillId="0" fontId="34" numFmtId="0" xfId="0"/>
    <xf applyBorder="1" applyFont="1" borderId="7" fillId="0" fontId="34" numFmtId="0" xfId="0"/>
    <xf applyBorder="1" applyFont="1" borderId="2" fillId="0" fontId="34" numFmtId="0" xfId="0"/>
    <xf applyFont="1" applyNumberFormat="1" borderId="0" fillId="0" fontId="34" numFmtId="2" xfId="1"/>
    <xf applyAlignment="1" applyFont="1" borderId="0" fillId="0" fontId="29" numFmtId="0" xfId="0">
      <alignment horizontal="left"/>
    </xf>
    <xf applyFont="1" applyNumberFormat="1" borderId="0" fillId="0" fontId="29" numFmtId="2" xfId="1"/>
    <xf applyAlignment="1" applyBorder="1" applyFont="1" applyNumberFormat="1" borderId="0" fillId="0" fontId="27" numFmtId="2" xfId="1">
      <alignment horizontal="center" vertical="center"/>
    </xf>
    <xf applyAlignment="1" applyBorder="1" applyFont="1" borderId="2" fillId="0" fontId="27" numFmtId="0" xfId="0">
      <alignment horizontal="center" vertical="center" wrapText="1"/>
    </xf>
    <xf applyAlignment="1" applyBorder="1" applyFont="1" borderId="10" fillId="0" fontId="27" numFmtId="0" xfId="0">
      <alignment horizontal="center" vertical="center" wrapText="1"/>
    </xf>
    <xf applyAlignment="1" applyBorder="1" applyFill="1" applyFont="1" applyNumberFormat="1" borderId="3" fillId="5" fontId="31" numFmtId="2" xfId="1">
      <alignment horizontal="center" vertical="center" wrapText="1"/>
    </xf>
    <xf applyAlignment="1" applyBorder="1" applyFont="1" applyNumberFormat="1" borderId="2" fillId="0" fontId="29" numFmtId="0" xfId="0">
      <alignment vertical="top"/>
    </xf>
    <xf applyAlignment="1" applyBorder="1" applyFont="1" applyNumberFormat="1" borderId="10" fillId="0" fontId="29" numFmtId="0" xfId="0">
      <alignment vertical="top"/>
    </xf>
    <xf applyAlignment="1" applyBorder="1" applyFont="1" borderId="3" fillId="0" fontId="31" numFmtId="0" xfId="0">
      <alignment horizontal="left" vertical="center"/>
    </xf>
    <xf applyAlignment="1" applyBorder="1" applyFont="1" applyNumberFormat="1" borderId="3" fillId="0" fontId="30" numFmtId="2" xfId="1">
      <alignment vertical="top"/>
    </xf>
    <xf applyAlignment="1" applyBorder="1" applyFill="1" applyFont="1" applyNumberFormat="1" borderId="3" fillId="0" fontId="30" numFmtId="2" xfId="1">
      <alignment vertical="top"/>
    </xf>
    <xf applyAlignment="1" applyBorder="1" applyFont="1" applyNumberFormat="1" borderId="2" fillId="0" fontId="37" numFmtId="0" xfId="0">
      <alignment horizontal="left"/>
    </xf>
    <xf applyAlignment="1" applyBorder="1" applyFont="1" applyNumberFormat="1" borderId="10" fillId="0" fontId="37" numFmtId="0" xfId="0">
      <alignment horizontal="left"/>
    </xf>
    <xf applyAlignment="1" applyBorder="1" applyFont="1" applyNumberFormat="1" borderId="3" fillId="0" fontId="30" numFmtId="2" xfId="1"/>
    <xf applyAlignment="1" applyBorder="1" applyFill="1" applyFont="1" applyNumberFormat="1" borderId="3" fillId="2" fontId="30" numFmtId="165" xfId="0">
      <alignment horizontal="left" vertical="center"/>
    </xf>
    <xf applyAlignment="1" applyBorder="1" applyFill="1" applyFont="1" applyNumberFormat="1" borderId="3" fillId="2" fontId="30" numFmtId="2" xfId="1"/>
    <xf applyAlignment="1" applyBorder="1" applyFont="1" applyNumberFormat="1" borderId="3" fillId="0" fontId="31" numFmtId="165" xfId="0">
      <alignment horizontal="right" vertical="center"/>
    </xf>
    <xf applyFont="1" applyNumberFormat="1" borderId="0" fillId="0" fontId="34" numFmtId="165" xfId="0"/>
    <xf applyAlignment="1" applyBorder="1" applyFill="1" applyFont="1" applyNumberFormat="1" borderId="3" fillId="0" fontId="30" numFmtId="165" xfId="0">
      <alignment horizontal="left" vertical="center"/>
    </xf>
    <xf applyAlignment="1" applyBorder="1" applyFill="1" applyFont="1" applyNumberFormat="1" borderId="3" fillId="2" fontId="34" numFmtId="0" xfId="0">
      <alignment horizontal="left"/>
    </xf>
    <xf applyAlignment="1" applyBorder="1" applyFont="1" applyNumberFormat="1" borderId="2" fillId="0" fontId="37" numFmtId="0" xfId="0"/>
    <xf applyAlignment="1" applyBorder="1" applyFont="1" applyNumberFormat="1" borderId="10" fillId="0" fontId="37" numFmtId="0" xfId="0"/>
    <xf applyAlignment="1" applyBorder="1" applyFill="1" applyFont="1" borderId="3" fillId="11" fontId="31" numFmtId="0" xfId="0">
      <alignment horizontal="left" vertical="center" wrapText="1"/>
    </xf>
    <xf applyAlignment="1" applyBorder="1" applyFill="1" applyFont="1" applyNumberFormat="1" borderId="3" fillId="11" fontId="31" numFmtId="165" xfId="0">
      <alignment horizontal="left" vertical="center"/>
    </xf>
    <xf applyAlignment="1" applyBorder="1" applyFill="1" applyFont="1" applyNumberFormat="1" borderId="3" fillId="11" fontId="30" numFmtId="2" xfId="1"/>
    <xf applyAlignment="1" applyBorder="1" applyFill="1" applyFont="1" applyNumberFormat="1" borderId="3" fillId="0" fontId="31" numFmtId="0" xfId="0">
      <alignment horizontal="left" vertical="center"/>
    </xf>
    <xf applyAlignment="1" applyBorder="1" applyFill="1" applyFont="1" applyNumberFormat="1" borderId="3" fillId="0" fontId="31" numFmtId="165" xfId="0">
      <alignment horizontal="left" vertical="center"/>
    </xf>
    <xf applyAlignment="1" applyFont="1" applyNumberFormat="1" borderId="0" fillId="0" fontId="37" numFmtId="0" xfId="0"/>
    <xf applyAlignment="1" applyBorder="1" applyFill="1" applyFont="1" applyNumberFormat="1" borderId="3" fillId="2" fontId="31" numFmtId="0" xfId="0">
      <alignment horizontal="left" vertical="center"/>
    </xf>
    <xf applyAlignment="1" applyBorder="1" applyFill="1" applyFont="1" applyNumberFormat="1" borderId="3" fillId="2" fontId="31" numFmtId="165" xfId="0">
      <alignment horizontal="left" vertical="center"/>
    </xf>
    <xf applyAlignment="1" applyBorder="1" applyFill="1" applyFont="1" applyNumberFormat="1" borderId="3" fillId="2" fontId="31" numFmtId="165" xfId="0">
      <alignment horizontal="right" vertical="center"/>
    </xf>
    <xf applyAlignment="1" applyFont="1" applyNumberFormat="1" borderId="0" fillId="0" fontId="37" numFmtId="2" xfId="1"/>
    <xf applyFont="1" applyNumberFormat="1" borderId="0" fillId="0" fontId="34" numFmtId="0" xfId="0"/>
    <xf applyAlignment="1" applyFont="1" borderId="0" fillId="0" fontId="31" numFmtId="0" xfId="0"/>
    <xf applyAlignment="1" applyFont="1" borderId="0" fillId="0" fontId="30" numFmtId="0" xfId="0">
      <alignment wrapText="1"/>
    </xf>
    <xf applyAlignment="1" applyFont="1" applyNumberFormat="1" borderId="0" fillId="0" fontId="30" numFmtId="2" xfId="1"/>
    <xf applyAlignment="1" applyBorder="1" applyFont="1" borderId="0" fillId="0" fontId="31" numFmtId="0" xfId="0">
      <alignment vertical="center"/>
    </xf>
    <xf applyAlignment="1" applyFont="1" applyNumberFormat="1" borderId="0" fillId="0" fontId="30" numFmtId="2" xfId="1">
      <alignment horizontal="center" vertical="center"/>
    </xf>
    <xf applyAlignment="1" applyBorder="1" applyFill="1" applyFont="1" borderId="2" fillId="5" fontId="31" numFmtId="0" xfId="0">
      <alignment horizontal="center" vertical="center" wrapText="1"/>
    </xf>
    <xf applyAlignment="1" applyBorder="1" applyFill="1" applyFont="1" applyNumberFormat="1" borderId="2" fillId="5" fontId="31" numFmtId="2" xfId="1">
      <alignment horizontal="center" vertical="center" wrapText="1"/>
    </xf>
    <xf applyAlignment="1" applyBorder="1" applyFill="1" applyFont="1" applyNumberFormat="1" borderId="2" fillId="5" fontId="31" numFmtId="2" xfId="1">
      <alignment horizontal="center" vertical="center"/>
    </xf>
    <xf applyAlignment="1" applyBorder="1" applyFont="1" borderId="2" fillId="0" fontId="31" numFmtId="0" xfId="0">
      <alignment horizontal="left" vertical="center"/>
    </xf>
    <xf applyAlignment="1" applyBorder="1" applyFont="1" applyNumberFormat="1" borderId="2" fillId="0" fontId="30" numFmtId="2" xfId="1">
      <alignment horizontal="right" vertical="center"/>
    </xf>
    <xf applyAlignment="1" applyBorder="1" applyFont="1" applyNumberFormat="1" borderId="2" fillId="0" fontId="31" numFmtId="2" xfId="1"/>
    <xf applyAlignment="1" applyBorder="1" applyFont="1" applyNumberFormat="1" borderId="2" fillId="0" fontId="31" numFmtId="0" xfId="0">
      <alignment horizontal="left" vertical="center"/>
    </xf>
    <xf applyAlignment="1" applyBorder="1" applyFill="1" applyFont="1" applyNumberFormat="1" borderId="2" fillId="2" fontId="30" numFmtId="0" xfId="0">
      <alignment horizontal="left" vertical="center"/>
    </xf>
    <xf applyAlignment="1" applyBorder="1" applyFill="1" applyFont="1" borderId="2" fillId="2" fontId="30" numFmtId="0" xfId="0">
      <alignment horizontal="left" vertical="center"/>
    </xf>
    <xf applyAlignment="1" applyBorder="1" applyFill="1" applyFont="1" applyNumberFormat="1" borderId="2" fillId="2" fontId="31" numFmtId="0" xfId="0">
      <alignment horizontal="left" vertical="center"/>
    </xf>
    <xf applyAlignment="1" applyBorder="1" applyFill="1" applyFont="1" applyNumberFormat="1" borderId="2" fillId="2" fontId="31" numFmtId="165" xfId="0">
      <alignment horizontal="left" vertical="center" wrapText="1"/>
    </xf>
    <xf applyAlignment="1" applyBorder="1" applyFill="1" applyFont="1" applyNumberFormat="1" borderId="2" fillId="2" fontId="31" numFmtId="2" xfId="1"/>
    <xf applyAlignment="1" applyBorder="1" applyFont="1" applyNumberFormat="1" borderId="2" fillId="0" fontId="30" numFmtId="0" xfId="0">
      <alignment horizontal="left"/>
    </xf>
    <xf applyAlignment="1" applyBorder="1" applyFont="1" borderId="2" fillId="0" fontId="30" numFmtId="0" xfId="0">
      <alignment wrapText="1"/>
    </xf>
    <xf applyAlignment="1" applyBorder="1" applyFont="1" borderId="2" fillId="0" fontId="30" numFmtId="0" xfId="0">
      <alignment horizontal="left" vertical="center"/>
    </xf>
    <xf applyAlignment="1" applyBorder="1" applyFill="1" applyFont="1" applyNumberFormat="1" borderId="2" fillId="2" fontId="30" numFmtId="0" xfId="0">
      <alignment horizontal="left"/>
    </xf>
    <xf applyAlignment="1" applyBorder="1" applyFill="1" applyFont="1" borderId="2" fillId="2" fontId="30" numFmtId="0" xfId="0">
      <alignment wrapText="1"/>
    </xf>
    <xf applyAlignment="1" applyBorder="1" applyFill="1" applyFont="1" applyNumberFormat="1" borderId="2" fillId="0" fontId="30" numFmtId="0" xfId="0">
      <alignment horizontal="left"/>
    </xf>
    <xf applyAlignment="1" applyBorder="1" applyFill="1" applyFont="1" borderId="2" fillId="0" fontId="30" numFmtId="0" xfId="0">
      <alignment wrapText="1"/>
    </xf>
    <xf applyAlignment="1" applyBorder="1" applyFont="1" applyNumberFormat="1" borderId="2" fillId="0" fontId="31" numFmtId="0" xfId="0">
      <alignment horizontal="left" vertical="center" wrapText="1"/>
    </xf>
    <xf applyAlignment="1" applyBorder="1" applyFill="1" applyFont="1" applyNumberFormat="1" borderId="2" fillId="2" fontId="30" numFmtId="0" xfId="0">
      <alignment horizontal="left" vertical="center" wrapText="1"/>
    </xf>
    <xf applyAlignment="1" applyBorder="1" applyFill="1" applyFont="1" borderId="2" fillId="2" fontId="31" numFmtId="0" xfId="0">
      <alignment horizontal="left" vertical="center"/>
    </xf>
    <xf applyAlignment="1" applyBorder="1" applyFill="1" applyFont="1" borderId="2" fillId="2" fontId="31" numFmtId="0" xfId="0">
      <alignment horizontal="left" vertical="center" wrapText="1"/>
    </xf>
    <xf applyAlignment="1" applyBorder="1" applyFont="1" borderId="2" fillId="0" fontId="30" numFmtId="0" xfId="0">
      <alignment horizontal="left"/>
    </xf>
    <xf applyAlignment="1" applyBorder="1" applyFont="1" applyNumberFormat="1" borderId="2" fillId="0" fontId="30" numFmtId="165" xfId="0">
      <alignment horizontal="left" vertical="center" wrapText="1"/>
    </xf>
    <xf applyAlignment="1" applyFont="1" applyNumberFormat="1" borderId="0" fillId="0" fontId="30" numFmtId="49" xfId="0">
      <alignment wrapText="1"/>
    </xf>
    <xf applyAlignment="1" applyBorder="1" applyFont="1" applyNumberFormat="1" borderId="0" fillId="0" fontId="30" numFmtId="2" xfId="1"/>
    <xf applyAlignment="1" applyBorder="1" applyFont="1" borderId="0" fillId="0" fontId="30" numFmtId="0" xfId="0">
      <alignment horizontal="left" vertical="center"/>
    </xf>
    <xf applyAlignment="1" applyBorder="1" applyFont="1" borderId="0" fillId="0" fontId="31" numFmtId="0" xfId="0">
      <alignment horizontal="left" vertical="center"/>
    </xf>
    <xf applyAlignment="1" applyBorder="1" applyFont="1" borderId="0" fillId="0" fontId="31" numFmtId="0" xfId="0">
      <alignment horizontal="left" vertical="center" wrapText="1"/>
    </xf>
    <xf applyAlignment="1" applyBorder="1" applyFill="1" applyFont="1" borderId="0" fillId="0" fontId="31" numFmtId="0" xfId="0">
      <alignment horizontal="left" vertical="center"/>
    </xf>
    <xf applyAlignment="1" applyBorder="1" applyFill="1" applyFont="1" borderId="0" fillId="0" fontId="30" numFmtId="0" xfId="0">
      <alignment horizontal="left" vertical="center"/>
    </xf>
    <xf applyAlignment="1" applyFont="1" applyNumberFormat="1" borderId="0" fillId="0" fontId="30" numFmtId="0" xfId="0"/>
    <xf applyFont="1" applyNumberFormat="1" borderId="0" fillId="0" fontId="30" numFmtId="0" xfId="0"/>
    <xf applyAlignment="1" applyBorder="1" applyFill="1" applyFont="1" borderId="0" fillId="0" fontId="5" numFmtId="0" xfId="0">
      <alignment horizontal="left" vertical="center" wrapText="1"/>
    </xf>
    <xf applyAlignment="1" applyBorder="1" applyFont="1" applyNumberFormat="1" applyProtection="1" borderId="11" fillId="0" fontId="5" numFmtId="0" xfId="0">
      <alignment horizontal="center" vertical="center" wrapText="1"/>
    </xf>
    <xf applyAlignment="1" applyBorder="1" applyFill="1" applyFont="1" borderId="0"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center"/>
    </xf>
    <xf applyAlignment="1" applyFont="1" borderId="0" fillId="0" fontId="5" numFmtId="0" xfId="0">
      <alignment vertical="center"/>
    </xf>
    <xf applyAlignment="1" applyBorder="1" applyFill="1" applyFont="1" borderId="11" fillId="20" fontId="11"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1" numFmtId="0" xfId="0">
      <alignment horizontal="center" vertical="center"/>
    </xf>
    <xf applyAlignment="1" applyFont="1" borderId="0" fillId="0" fontId="11"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0" fillId="20" fontId="11" numFmtId="0" xfId="0">
      <alignment horizontal="left" vertical="center" wrapText="1"/>
    </xf>
    <xf applyAlignment="1" applyBorder="1" applyFont="1" borderId="12" fillId="0" fontId="11" numFmtId="0" xfId="0">
      <alignment horizontal="center" vertical="center" wrapText="1"/>
    </xf>
    <xf applyAlignment="1" applyBorder="1" applyFill="1" applyFont="1" borderId="0" fillId="0" fontId="5" numFmtId="0" xfId="0">
      <alignment horizontal="lef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ont="1" borderId="0" fillId="0" fontId="11" numFmtId="0" xfId="0">
      <alignment horizontal="center" vertical="center"/>
    </xf>
    <xf applyAlignment="1" applyBorder="1" applyFont="1" borderId="0" fillId="0" fontId="2" numFmtId="0" xfId="0">
      <alignment horizontal="center" vertical="center"/>
    </xf>
    <xf applyAlignment="1" applyFont="1" borderId="0" fillId="0" fontId="2" numFmtId="0" xfId="0">
      <alignment horizontal="center" vertical="center"/>
    </xf>
    <xf applyAlignment="1" applyFont="1" borderId="0" fillId="0" fontId="5" numFmtId="0" xfId="0">
      <alignment horizontal="right" vertical="center" wrapText="1"/>
    </xf>
    <xf applyAlignment="1" applyFont="1" borderId="0" fillId="0" fontId="5" numFmtId="0" xfId="0">
      <alignment horizontal="right" vertical="center"/>
    </xf>
    <xf applyAlignment="1" applyFont="1" borderId="0" fillId="0" fontId="5" numFmtId="0" xfId="0">
      <alignment vertical="center"/>
    </xf>
    <xf applyAlignment="1" applyBorder="1" applyFont="1" borderId="0" fillId="0" fontId="7" numFmtId="0" xfId="0">
      <alignment horizontal="center" vertical="center"/>
    </xf>
    <xf applyFill="1" applyFont="1" borderId="0" fillId="24" fontId="5" numFmtId="0" xfId="0"/>
    <xf applyAlignment="1" applyFill="1" applyFont="1" borderId="0" fillId="0" fontId="5" numFmtId="43" xfId="1">
      <alignment horizontal="center" vertical="center"/>
    </xf>
    <xf applyAlignment="1" applyBorder="1" applyFill="1" applyFont="1" applyNumberFormat="1" borderId="21" fillId="20" fontId="11" numFmtId="168" xfId="1">
      <alignment horizontal="center" vertical="center" wrapText="1"/>
    </xf>
    <xf applyAlignment="1" applyBorder="1" applyFill="1" applyFont="1" applyNumberFormat="1" borderId="11" fillId="20" fontId="11" numFmtId="168" xfId="4">
      <alignment vertical="center" wrapText="1"/>
    </xf>
    <xf applyAlignment="1" applyBorder="1" applyFill="1" applyFont="1" applyNumberFormat="1" borderId="11" fillId="20" fontId="11" numFmtId="168" xfId="4">
      <alignment horizontal="center" vertical="center" wrapText="1"/>
    </xf>
    <xf applyAlignment="1" applyBorder="1" applyFill="1" applyFont="1" applyNumberFormat="1" borderId="11" fillId="20" fontId="11" numFmtId="14" xfId="0">
      <alignment horizontal="center" vertical="center" wrapText="1"/>
    </xf>
    <xf applyAlignment="1" applyFont="1" borderId="0" fillId="0" fontId="14" numFmtId="0" xfId="0">
      <alignment horizontal="left"/>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applyNumberFormat="1" borderId="11" fillId="25" fontId="2" numFmtId="171" xfId="0">
      <alignment horizontal="center" vertical="center"/>
    </xf>
    <xf applyAlignment="1" applyBorder="1" applyFill="1" applyFont="1" borderId="11" fillId="25" fontId="5" numFmtId="0" xfId="0">
      <alignment horizontal="center" vertical="center"/>
    </xf>
    <xf applyAlignment="1" applyBorder="1" applyFont="1" applyNumberFormat="1" borderId="11" fillId="0" fontId="5" numFmtId="2" xfId="1">
      <alignment vertical="center"/>
    </xf>
    <xf applyAlignment="1" applyBorder="1" applyFont="1" applyNumberFormat="1" borderId="11" fillId="0" fontId="5" numFmtId="2" xfId="0">
      <alignment vertical="center"/>
    </xf>
    <xf applyAlignment="1" applyBorder="1" applyFont="1" applyNumberFormat="1" borderId="11" fillId="0" fontId="5" numFmtId="2" xfId="1">
      <alignment horizontal="center" vertical="center"/>
    </xf>
    <xf applyAlignment="1" applyBorder="1" applyFont="1" borderId="16" fillId="0" fontId="5" numFmtId="43" xfId="1">
      <alignment vertical="center"/>
    </xf>
    <xf applyAlignment="1" applyBorder="1" applyFont="1" applyNumberFormat="1" borderId="16" fillId="0" fontId="5" numFmtId="2" xfId="1">
      <alignment vertical="center"/>
    </xf>
    <xf applyAlignment="1" applyBorder="1" applyFont="1" applyNumberFormat="1" borderId="16" fillId="0" fontId="5" numFmtId="2" xfId="0">
      <alignment vertical="center"/>
    </xf>
    <xf applyAlignment="1" applyBorder="1" applyFont="1" applyNumberFormat="1" borderId="16" fillId="0" fontId="5" numFmtId="2" xfId="0">
      <alignment horizontal="center" vertical="center"/>
    </xf>
    <xf applyAlignment="1" applyBorder="1" applyFont="1" applyNumberFormat="1" borderId="11" fillId="0" fontId="5" numFmtId="2" xfId="0">
      <alignment horizontal="center" vertical="center"/>
    </xf>
    <xf applyAlignment="1" applyBorder="1" applyFont="1" borderId="11" fillId="0" fontId="5" numFmtId="0" xfId="0">
      <alignment horizontal="center"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5" numFmtId="0" xfId="0">
      <alignment horizontal="center" vertical="center"/>
    </xf>
    <xf applyAlignment="1" applyBorder="1" applyFont="1" borderId="0"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horizontal="center" vertical="center" wrapText="1"/>
    </xf>
    <xf applyAlignment="1" applyFont="1" borderId="0" fillId="0" fontId="5" numFmtId="0" xfId="0">
      <alignment horizontal="right" vertical="center"/>
    </xf>
    <xf applyAlignment="1" applyBorder="1" applyFont="1" borderId="11" fillId="0" fontId="5" numFmtId="0" xfId="0">
      <alignment horizontal="lef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ill="1" applyFont="1" applyProtection="1" borderId="11" fillId="12" fontId="2" numFmtId="0" xfId="0">
      <alignment horizontal="center" vertical="center"/>
    </xf>
    <xf applyAlignment="1" applyBorder="1" applyFont="1" borderId="20" fillId="0" fontId="5" numFmtId="0" xfId="0">
      <alignment wrapText="1"/>
    </xf>
    <xf applyAlignment="1" applyBorder="1" applyFont="1" borderId="0" fillId="0" fontId="5" numFmtId="0" xfId="0">
      <alignment wrapText="1"/>
    </xf>
    <xf applyAlignment="1" applyBorder="1" applyFont="1" borderId="0" fillId="0" fontId="12" numFmtId="0" xfId="0">
      <alignment horizontal="left" vertical="center" wrapText="1"/>
    </xf>
    <xf applyFont="1" borderId="0" fillId="0" fontId="67" numFmtId="0" xfId="0"/>
    <xf applyAlignment="1" applyBorder="1" applyFont="1" borderId="11" fillId="0" fontId="68" numFmtId="0" xfId="0">
      <alignment horizontal="center" vertical="center" wrapText="1"/>
    </xf>
    <xf applyAlignment="1" applyBorder="1" applyFont="1" applyNumberFormat="1" borderId="11" fillId="0" fontId="8" numFmtId="14" xfId="0">
      <alignment horizontal="center" vertical="center" wrapText="1"/>
    </xf>
    <xf applyBorder="1" applyFont="1" borderId="20" fillId="0" fontId="5" numFmtId="0" xfId="0"/>
    <xf applyAlignment="1" applyBorder="1" applyFont="1" borderId="11" fillId="0" fontId="5" numFmtId="0" xfId="0"/>
    <xf applyAlignment="1" applyBorder="1" applyFont="1" borderId="0" fillId="0" fontId="69" numFmtId="0" xfId="0">
      <alignment horizontal="center" textRotation="90" vertical="center" wrapText="1"/>
    </xf>
    <xf applyAlignment="1" applyBorder="1" applyFont="1" borderId="0" fillId="0" fontId="70" numFmtId="0" xfId="0">
      <alignment horizontal="left" vertical="center" wrapText="1"/>
    </xf>
    <xf applyAlignment="1" applyBorder="1" applyFont="1" borderId="0" fillId="0" fontId="69" numFmtId="0" xfId="0">
      <alignment horizontal="center" vertical="center" wrapText="1"/>
    </xf>
    <xf applyAlignment="1" applyBorder="1" applyFont="1" borderId="0" fillId="0" fontId="69" numFmtId="0" xfId="0">
      <alignment horizontal="left" vertical="center" wrapText="1"/>
    </xf>
    <xf applyAlignment="1" applyBorder="1" applyFill="1" applyFont="1" borderId="16" fillId="7" fontId="11" numFmtId="0" xfId="0">
      <alignment horizontal="center" vertical="center" wrapText="1"/>
    </xf>
    <xf applyAlignment="1" applyBorder="1" applyFill="1" applyFont="1" borderId="11" fillId="7" fontId="11" numFmtId="0" xfId="0">
      <alignment horizontal="center" vertical="center" wrapText="1"/>
    </xf>
    <xf applyAlignment="1" applyBorder="1" applyFill="1" applyFont="1" borderId="12" fillId="20" fontId="11" numFmtId="0" xfId="0">
      <alignmen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69" numFmtId="0" xfId="0">
      <alignment wrapText="1"/>
    </xf>
    <xf applyAlignment="1" applyBorder="1" applyFill="1" applyFont="1" borderId="11" fillId="20" fontId="73" numFmtId="0" xfId="0">
      <alignment horizontal="center" vertical="center" wrapText="1"/>
    </xf>
    <xf applyAlignment="1" applyBorder="1" applyFill="1" applyFont="1" borderId="11" fillId="20" fontId="73" numFmtId="0" xfId="0">
      <alignment vertical="center" wrapText="1"/>
    </xf>
    <xf applyAlignment="1" applyBorder="1" applyFill="1" applyFont="1" borderId="21" fillId="20" fontId="73" numFmtId="0" xfId="0">
      <alignment horizontal="left" vertical="center" wrapText="1"/>
    </xf>
    <xf applyAlignment="1" applyBorder="1" applyFill="1" applyFont="1" borderId="11" fillId="7" fontId="2" numFmtId="0" xfId="0">
      <alignment horizontal="center" vertical="center" wrapText="1"/>
    </xf>
    <xf applyFont="1" borderId="0" fillId="0" fontId="74" numFmtId="0" xfId="5"/>
    <xf applyAlignment="1" applyFont="1" borderId="0" fillId="0" fontId="74" numFmtId="0" xfId="5">
      <alignment horizontal="center"/>
    </xf>
    <xf applyAlignment="1" applyFont="1" borderId="0" fillId="0" fontId="75" numFmtId="0" xfId="5"/>
    <xf applyAlignment="1" applyFont="1" borderId="0" fillId="0" fontId="4" numFmtId="0" xfId="5"/>
    <xf applyAlignment="1" applyFont="1" borderId="0" fillId="0" fontId="76" numFmtId="0" xfId="5">
      <alignment horizontal="right"/>
    </xf>
    <xf applyFont="1" borderId="0" fillId="0" fontId="4" numFmtId="0" xfId="5"/>
    <xf applyAlignment="1" applyFont="1" borderId="0" fillId="0" fontId="77" numFmtId="0" xfId="5">
      <alignment horizontal="right"/>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textRotation="90" vertical="center" wrapText="1"/>
    </xf>
    <xf applyAlignment="1" applyBorder="1" applyFont="1" borderId="12" fillId="0" fontId="4" numFmtId="0" xfId="5">
      <alignment textRotation="90" vertical="center" wrapText="1"/>
    </xf>
    <xf applyAlignment="1" applyBorder="1" applyFill="1" applyFont="1" borderId="12" fillId="0" fontId="2" numFmtId="0" xfId="5">
      <alignment textRotation="90" vertical="center" wrapText="1"/>
    </xf>
    <xf applyAlignment="1" applyBorder="1" applyFill="1" applyFont="1" borderId="12" fillId="0" fontId="2" numFmtId="0" xfId="5">
      <alignment horizontal="center" textRotation="90" vertical="center" wrapText="1"/>
    </xf>
    <xf applyAlignment="1" applyBorder="1" applyFill="1" applyFont="1" borderId="11" fillId="5" fontId="4" numFmtId="0" xfId="5">
      <alignment horizontal="center"/>
    </xf>
    <xf applyAlignment="1" applyBorder="1" applyFill="1" applyFont="1" borderId="16" fillId="5" fontId="4" numFmtId="0" xfId="5">
      <alignment horizontal="center"/>
    </xf>
    <xf applyAlignment="1" applyBorder="1" applyFont="1" borderId="11" fillId="0" fontId="4" numFmtId="0" xfId="5">
      <alignment horizontal="center"/>
    </xf>
    <xf applyAlignment="1" applyBorder="1" applyFill="1" applyFont="1" borderId="16" fillId="0" fontId="2" numFmtId="0" xfId="5">
      <alignment textRotation="90" vertical="center" wrapText="1"/>
    </xf>
    <xf applyAlignment="1" applyBorder="1" applyFill="1" applyFont="1" borderId="11" fillId="0" fontId="2" numFmtId="0" xfId="5">
      <alignment textRotation="90" vertical="center" wrapText="1"/>
    </xf>
    <xf applyBorder="1" applyFont="1" borderId="11" fillId="0" fontId="74" numFmtId="0" xfId="5"/>
    <xf applyBorder="1" applyFont="1" borderId="11" fillId="0" fontId="4" numFmtId="0" xfId="5"/>
    <xf applyAlignment="1" applyBorder="1" applyFont="1" borderId="12" fillId="0" fontId="4" numFmtId="0" xfId="5"/>
    <xf applyAlignment="1" applyBorder="1" applyFont="1" borderId="11" fillId="0" fontId="69" numFmtId="0" xfId="5">
      <alignment horizontal="left" vertical="center" wrapText="1"/>
    </xf>
    <xf applyAlignment="1" applyBorder="1" applyFont="1" borderId="3" fillId="0" fontId="5" numFmtId="0" xfId="5">
      <alignment vertical="center"/>
    </xf>
    <xf applyAlignment="1" applyBorder="1" applyFont="1" borderId="3" fillId="0" fontId="5" numFmtId="0" xfId="5">
      <alignment horizontal="center" vertical="center"/>
    </xf>
    <xf applyFont="1" borderId="0" fillId="0" fontId="76" numFmtId="0" xfId="5"/>
    <xf applyAlignment="1" applyBorder="1" applyFill="1" applyFont="1" applyNumberFormat="1" borderId="11" fillId="7" fontId="3" numFmtId="169" xfId="6">
      <alignment horizontal="center" vertical="center"/>
    </xf>
    <xf applyAlignment="1" applyBorder="1" applyFill="1" applyFont="1" applyNumberFormat="1" borderId="11" fillId="7" fontId="3" numFmtId="169" xfId="6">
      <alignment vertical="center"/>
    </xf>
    <xf applyFont="1" borderId="0" fillId="0" fontId="78" numFmtId="0" xfId="5"/>
    <xf applyAlignment="1" applyBorder="1" applyFont="1" applyNumberFormat="1" borderId="3" fillId="0" fontId="5" numFmtId="169" xfId="6">
      <alignment vertical="center"/>
    </xf>
    <xf applyFont="1" borderId="0" fillId="0" fontId="75" numFmtId="0" xfId="5"/>
    <xf applyAlignment="1" applyBorder="1" applyFont="1" borderId="0" fillId="0" fontId="4" numFmtId="0" xfId="5">
      <alignment horizontal="center"/>
    </xf>
    <xf applyAlignment="1" applyBorder="1" applyFont="1" borderId="0" fillId="0" fontId="4" numFmtId="0" xfId="5"/>
    <xf applyBorder="1" applyFont="1" borderId="0" fillId="0" fontId="4" numFmtId="0" xfId="5"/>
    <xf applyAlignment="1" applyFont="1" borderId="0" fillId="0" fontId="10" numFmtId="0" xfId="5"/>
    <xf applyAlignment="1" applyFont="1" borderId="0" fillId="0" fontId="10" numFmtId="0" xfId="5">
      <alignment horizontal="center"/>
    </xf>
    <xf applyAlignment="1" applyFont="1" borderId="0" fillId="0" fontId="4" numFmtId="0" xfId="5">
      <alignment horizontal="center"/>
    </xf>
    <xf applyAlignment="1" applyFont="1" borderId="0" fillId="0" fontId="74" numFmtId="0" xfId="5">
      <alignment horizontal="right"/>
    </xf>
    <xf applyFont="1" borderId="0" fillId="0" fontId="79" numFmtId="0" xfId="5"/>
    <xf applyAlignment="1" applyFont="1" borderId="0" fillId="0" fontId="79" numFmtId="0" xfId="5">
      <alignment horizontal="center"/>
    </xf>
    <xf applyAlignment="1" applyBorder="1" applyFont="1" borderId="11" fillId="0" fontId="5" numFmtId="0" xfId="5">
      <alignment horizontal="left" vertical="center" wrapText="1"/>
    </xf>
    <xf borderId="0" fillId="0" fontId="2" numFmtId="0" xfId="5"/>
    <xf applyFont="1" borderId="0" fillId="0" fontId="2" numFmtId="0" xfId="5"/>
    <xf applyAlignment="1" applyFont="1" borderId="0" fillId="0" fontId="4" numFmtId="0" xfId="5">
      <alignment horizontal="right"/>
    </xf>
    <xf applyAlignment="1" applyBorder="1" applyFont="1" borderId="15" fillId="0" fontId="4" numFmtId="0" xfId="5">
      <alignment horizontal="center" textRotation="90" vertical="center" wrapText="1"/>
    </xf>
    <xf applyAlignment="1" applyBorder="1" applyFill="1" applyFont="1" borderId="12" fillId="5" fontId="4" numFmtId="0" xfId="5">
      <alignment horizontal="center"/>
    </xf>
    <xf applyAlignment="1" applyBorder="1" applyFill="1" borderId="12" fillId="5" fontId="2" numFmtId="0" xfId="5">
      <alignment horizontal="center"/>
    </xf>
    <xf applyBorder="1" borderId="11" fillId="0" fontId="2" numFmtId="0" xfId="5"/>
    <xf applyAlignment="1" applyBorder="1" applyFont="1" borderId="11" fillId="0" fontId="4" numFmtId="0" xfId="5"/>
    <xf applyAlignment="1" applyBorder="1" applyFill="1" applyFont="1" borderId="11" fillId="0" fontId="2" numFmtId="0" xfId="7">
      <alignment vertical="center" wrapText="1"/>
    </xf>
    <xf applyAlignment="1" applyBorder="1" applyFont="1" applyNumberFormat="1" borderId="11" fillId="0" fontId="5" numFmtId="173" xfId="6">
      <alignment horizontal="right" vertical="center" wrapText="1"/>
    </xf>
    <xf applyAlignment="1" applyBorder="1" applyFont="1" applyNumberFormat="1" borderId="11" fillId="0" fontId="4" numFmtId="166" xfId="5">
      <alignment vertical="center"/>
    </xf>
    <xf applyBorder="1" applyFont="1" applyNumberFormat="1" borderId="11" fillId="0" fontId="0" numFmtId="166" xfId="6"/>
    <xf applyBorder="1" applyNumberFormat="1" borderId="11" fillId="0" fontId="2" numFmtId="166" xfId="5"/>
    <xf applyAlignment="1" applyBorder="1" applyFill="1" applyFont="1" borderId="11" fillId="29" fontId="4" numFmtId="0" xfId="5">
      <alignment horizontal="center" vertical="center"/>
    </xf>
    <xf applyAlignment="1" applyBorder="1" applyFill="1" applyFont="1" borderId="11" fillId="29" fontId="4" numFmtId="0" xfId="5">
      <alignment horizontal="center" textRotation="90" vertical="center"/>
    </xf>
    <xf applyAlignment="1" applyBorder="1" applyFill="1" applyFont="1" borderId="11" fillId="29" fontId="7" numFmtId="0" xfId="5">
      <alignment horizontal="center" textRotation="90" vertical="center"/>
    </xf>
    <xf applyAlignment="1" applyBorder="1" applyFill="1" applyFont="1" applyNumberFormat="1" borderId="11" fillId="29" fontId="3" numFmtId="166" xfId="6">
      <alignment vertical="center"/>
    </xf>
    <xf applyFont="1" borderId="0" fillId="0" fontId="61" numFmtId="0" xfId="5"/>
    <xf borderId="0" fillId="0" fontId="2" numFmtId="0" xfId="7"/>
    <xf applyFont="1" borderId="0" fillId="0" fontId="75" numFmtId="0" xfId="7"/>
    <xf applyAlignment="1" applyFont="1" borderId="0" fillId="0" fontId="75" numFmtId="0" xfId="7"/>
    <xf applyFont="1" borderId="0" fillId="0" fontId="2" numFmtId="0" xfId="7"/>
    <xf applyFont="1" borderId="0" fillId="0" fontId="74" numFmtId="0" xfId="7"/>
    <xf applyAlignment="1" applyFont="1" borderId="0" fillId="0" fontId="4" numFmtId="0" xfId="7">
      <alignment horizontal="left"/>
    </xf>
    <xf applyAlignment="1" applyFont="1" borderId="0" fillId="0" fontId="4" numFmtId="0" xfId="7">
      <alignment horizontal="right"/>
    </xf>
    <xf applyAlignment="1" applyFont="1" borderId="0" fillId="0" fontId="4" numFmtId="0" xfId="7"/>
    <xf applyAlignment="1" applyBorder="1" applyFont="1" borderId="12" fillId="0" fontId="4" numFmtId="0" xfId="7">
      <alignment textRotation="90" vertical="center" wrapText="1"/>
    </xf>
    <xf applyAlignment="1" applyBorder="1" applyFont="1" borderId="15" fillId="0" fontId="4" numFmtId="0" xfId="7">
      <alignment horizontal="center" textRotation="90" vertical="center" wrapText="1"/>
    </xf>
    <xf applyAlignment="1" applyBorder="1" applyFill="1" applyFont="1" borderId="11" fillId="0" fontId="2" numFmtId="0" xfId="7">
      <alignment textRotation="90" vertical="center" wrapText="1"/>
    </xf>
    <xf applyAlignment="1" applyBorder="1" applyFill="1" applyFont="1" borderId="11" fillId="0" fontId="2" numFmtId="0" xfId="7">
      <alignment horizontal="center" textRotation="90" vertical="center" wrapText="1"/>
    </xf>
    <xf applyAlignment="1" applyBorder="1" applyFill="1" applyFont="1" borderId="12" fillId="5" fontId="4" numFmtId="0" xfId="7">
      <alignment horizontal="center"/>
    </xf>
    <xf applyAlignment="1" applyBorder="1" applyFill="1" borderId="12" fillId="5" fontId="2" numFmtId="0" xfId="7">
      <alignment horizontal="center"/>
    </xf>
    <xf applyAlignment="1" applyBorder="1" applyFill="1" borderId="11" fillId="5" fontId="2" numFmtId="0" xfId="7">
      <alignment horizontal="center"/>
    </xf>
    <xf applyAlignment="1" applyBorder="1" applyFill="1" applyFont="1" borderId="11" fillId="5" fontId="4" numFmtId="0" xfId="7">
      <alignment horizontal="center" vertical="center" wrapText="1"/>
    </xf>
    <xf applyAlignment="1" applyBorder="1" borderId="11" fillId="0" fontId="2" numFmtId="0" xfId="7">
      <alignment horizontal="center"/>
    </xf>
    <xf applyAlignment="1" applyBorder="1" applyFont="1" borderId="11" fillId="0" fontId="4" numFmtId="0" xfId="7">
      <alignment vertical="center" wrapText="1"/>
    </xf>
    <xf applyAlignment="1" applyBorder="1" applyFont="1" borderId="11" fillId="0" fontId="4" numFmtId="0" xfId="7">
      <alignment textRotation="90" vertical="center" wrapText="1"/>
    </xf>
    <xf applyBorder="1" borderId="11" fillId="0" fontId="2" numFmtId="0" xfId="7"/>
    <xf applyFont="1" borderId="0" fillId="0" fontId="82" numFmtId="0" xfId="7"/>
    <xf applyBorder="1" applyFont="1" borderId="11" fillId="0" fontId="4" numFmtId="0" xfId="7"/>
    <xf applyAlignment="1" applyBorder="1" applyFont="1" borderId="11" fillId="0" fontId="4" numFmtId="0" xfId="7"/>
    <xf applyAlignment="1" applyBorder="1" applyFont="1" borderId="11" fillId="0" fontId="4" numFmtId="0" xfId="7">
      <alignment vertical="center"/>
    </xf>
    <xf applyAlignment="1" applyBorder="1" applyFont="1" applyNumberFormat="1" borderId="11" fillId="0" fontId="4" numFmtId="166" xfId="6">
      <alignment vertical="center"/>
    </xf>
    <xf applyBorder="1" applyNumberFormat="1" borderId="11" fillId="0" fontId="2" numFmtId="169" xfId="7"/>
    <xf applyBorder="1" applyNumberFormat="1" borderId="11" fillId="0" fontId="2" numFmtId="166" xfId="7"/>
    <xf applyFont="1" applyNumberFormat="1" borderId="0" fillId="0" fontId="82" numFmtId="170" xfId="7"/>
    <xf applyBorder="1" applyFill="1" applyFont="1" borderId="11" fillId="14" fontId="7" numFmtId="0" xfId="7"/>
    <xf applyAlignment="1" applyBorder="1" applyFill="1" applyFont="1" borderId="13" fillId="14" fontId="7" numFmtId="0" xfId="7"/>
    <xf applyAlignment="1" applyBorder="1" applyFill="1" applyFont="1" borderId="21" fillId="14" fontId="7" numFmtId="0" xfId="7"/>
    <xf applyAlignment="1" applyBorder="1" applyFill="1" applyFont="1" applyNumberFormat="1" borderId="11" fillId="14" fontId="7" numFmtId="166" xfId="6">
      <alignment vertical="center"/>
    </xf>
    <xf applyBorder="1" applyFill="1" applyFont="1" applyNumberFormat="1" borderId="11" fillId="14" fontId="7" numFmtId="166" xfId="6"/>
    <xf applyBorder="1" applyFill="1" applyFont="1" applyNumberFormat="1" borderId="11" fillId="14" fontId="83" numFmtId="166" xfId="6"/>
    <xf applyAlignment="1" applyBorder="1" applyFont="1" borderId="12" fillId="0" fontId="4" numFmtId="0" xfId="7">
      <alignment horizontal="right" vertical="center"/>
    </xf>
    <xf applyAlignment="1" applyBorder="1" applyFont="1" borderId="12" fillId="0" fontId="4" numFmtId="0" xfId="7">
      <alignment horizontal="center" vertical="center" wrapText="1"/>
    </xf>
    <xf applyAlignment="1" applyBorder="1" applyFont="1" borderId="12" fillId="0" fontId="4" numFmtId="0" xfId="7">
      <alignment horizontal="left" vertical="center" wrapText="1"/>
    </xf>
    <xf applyAlignment="1" applyBorder="1" applyFont="1" borderId="11" fillId="0" fontId="4" numFmtId="0" xfId="7">
      <alignment horizontal="left" vertical="center" wrapText="1"/>
    </xf>
    <xf applyAlignment="1" applyFont="1" applyNumberFormat="1" borderId="0" fillId="0" fontId="2" numFmtId="14" xfId="7">
      <alignment vertical="center" wrapText="1"/>
    </xf>
    <xf applyAlignment="1" applyBorder="1" applyFont="1" borderId="33" fillId="0" fontId="5" numFmtId="0" xfId="7">
      <alignment horizontal="left" vertical="center" wrapText="1"/>
    </xf>
    <xf applyAlignment="1" applyBorder="1" applyFont="1" borderId="12" fillId="0" fontId="2" numFmtId="0" xfId="7">
      <alignment horizontal="center" vertical="center"/>
    </xf>
    <xf applyAlignment="1" applyBorder="1" applyFont="1" applyNumberFormat="1" borderId="17" fillId="0" fontId="5" numFmtId="17" xfId="7">
      <alignment horizontal="center" vertical="center" wrapText="1"/>
    </xf>
    <xf applyAlignment="1" applyBorder="1" applyFont="1" applyNumberFormat="1" borderId="11" fillId="0" fontId="4" numFmtId="166" xfId="7">
      <alignment vertical="center"/>
    </xf>
    <xf applyNumberFormat="1" borderId="0" fillId="0" fontId="2" numFmtId="174" xfId="7"/>
    <xf applyNumberFormat="1" borderId="0" fillId="0" fontId="2" numFmtId="175" xfId="7"/>
    <xf applyFont="1" borderId="0" fillId="0" fontId="61" numFmtId="0" xfId="7"/>
    <xf applyFont="1" borderId="0" fillId="0" fontId="76" numFmtId="0" xfId="7"/>
    <xf applyBorder="1" applyFont="1" borderId="0" fillId="0" fontId="76" numFmtId="0" xfId="7"/>
    <xf applyAlignment="1" applyFont="1" borderId="0" fillId="0" fontId="7" numFmtId="0" xfId="7"/>
    <xf applyBorder="1" applyFont="1" borderId="0" fillId="0" fontId="7" numFmtId="0" xfId="7"/>
    <xf applyBorder="1" borderId="0" fillId="0" fontId="2" numFmtId="0" xfId="7"/>
    <xf applyAlignment="1" applyFill="1" applyFont="1" borderId="0" fillId="7" fontId="76" numFmtId="0" xfId="7">
      <alignment horizontal="center" vertical="center"/>
    </xf>
    <xf applyAlignment="1" applyBorder="1" applyFill="1" applyFont="1" borderId="11" fillId="5" fontId="75" numFmtId="0" xfId="7">
      <alignment horizontal="center" vertical="center"/>
    </xf>
    <xf applyAlignment="1" applyBorder="1" applyFont="1" borderId="3" fillId="0" fontId="5" numFmtId="0" xfId="7">
      <alignment vertical="center"/>
    </xf>
    <xf applyAlignment="1" applyBorder="1" applyFont="1" borderId="3" fillId="0" fontId="5" numFmtId="43" xfId="6">
      <alignment vertical="center"/>
    </xf>
    <xf applyAlignment="1" applyBorder="1" applyFont="1" applyNumberFormat="1" borderId="3" fillId="0" fontId="5" numFmtId="43" xfId="6">
      <alignment vertical="center"/>
    </xf>
    <xf applyAlignment="1" applyBorder="1" applyFont="1" borderId="3" fillId="0" fontId="5" numFmtId="0" xfId="7">
      <alignment horizontal="center" vertical="center"/>
    </xf>
    <xf applyFont="1" borderId="0" fillId="0" fontId="76" numFmtId="43" xfId="6"/>
    <xf applyFont="1" applyNumberFormat="1" borderId="0" fillId="0" fontId="76" numFmtId="43" xfId="7"/>
    <xf applyAlignment="1" applyBorder="1" applyFont="1" borderId="41" fillId="0" fontId="5" numFmtId="0" xfId="5">
      <alignment horizontal="center" vertical="center" wrapText="1"/>
    </xf>
    <xf applyAlignment="1" applyBorder="1" applyFont="1" borderId="12" fillId="0" fontId="4" numFmtId="0" xfId="5">
      <alignment horizontal="center" vertical="center"/>
    </xf>
    <xf applyAlignment="1" applyBorder="1" applyFont="1" borderId="12" fillId="0" fontId="76" numFmtId="0" xfId="5">
      <alignment horizontal="center" vertical="center" wrapText="1"/>
    </xf>
    <xf applyAlignment="1" applyBorder="1" applyFill="1" applyFont="1" borderId="12" fillId="0" fontId="5" numFmtId="0" xfId="5">
      <alignment horizontal="left" vertical="center" wrapText="1"/>
    </xf>
    <xf applyAlignment="1" applyBorder="1" applyFont="1" applyNumberFormat="1" borderId="41" fillId="0" fontId="5" numFmtId="165" xfId="5">
      <alignment horizontal="center" vertical="center"/>
    </xf>
    <xf applyAlignment="1" applyBorder="1" applyFont="1" applyNumberFormat="1" borderId="41" fillId="0" fontId="5" numFmtId="165" xfId="5">
      <alignment horizontal="center" vertical="center" wrapText="1"/>
    </xf>
    <xf applyAlignment="1" applyBorder="1" applyFill="1" applyFont="1" borderId="41" fillId="17" fontId="5" numFmtId="0" xfId="5">
      <alignment horizontal="center" vertical="center"/>
    </xf>
    <xf applyFont="1" borderId="0" fillId="0" fontId="73" numFmtId="0" xfId="0"/>
    <xf applyFont="1" borderId="0" fillId="0" fontId="86" numFmtId="0" xfId="0"/>
    <xf applyAlignment="1" applyBorder="1" applyFont="1" borderId="12" fillId="0" fontId="4" numFmtId="0" xfId="5">
      <alignment horizontal="center" textRotation="90" vertical="center" wrapText="1"/>
    </xf>
    <xf applyAlignment="1" applyBorder="1" applyFont="1" borderId="12" fillId="0" fontId="4" numFmtId="0" xfId="5">
      <alignment horizontal="center" vertical="center" wrapText="1"/>
    </xf>
    <xf applyAlignment="1" applyBorder="1" applyFont="1" borderId="12" fillId="0" fontId="4" numFmtId="0" xfId="5">
      <alignment horizontal="right" vertical="center"/>
    </xf>
    <xf applyAlignment="1" applyBorder="1" applyFont="1" applyNumberFormat="1" borderId="12" fillId="0" fontId="4" numFmtId="17" xfId="5">
      <alignment horizontal="center" vertical="center" wrapText="1"/>
    </xf>
    <xf applyAlignment="1" applyBorder="1" applyFont="1" applyNumberFormat="1" borderId="11" fillId="0" fontId="5" numFmtId="17" xfId="5">
      <alignment horizontal="right" vertical="center" wrapText="1"/>
    </xf>
    <xf applyAlignment="1" applyBorder="1" applyFont="1" borderId="12" fillId="0" fontId="2" numFmtId="0" xfId="5">
      <alignment horizontal="center" textRotation="90" vertical="center"/>
    </xf>
    <xf applyAlignment="1" applyBorder="1" applyFont="1" borderId="12" fillId="0" fontId="5" numFmtId="0" xfId="5">
      <alignment horizontal="left" vertical="center" wrapText="1"/>
    </xf>
    <xf applyAlignment="1" applyBorder="1" applyFont="1" borderId="12" fillId="0" fontId="5" numFmtId="0" xfId="5">
      <alignment horizontal="center" vertical="center" wrapText="1"/>
    </xf>
    <xf applyAlignment="1" applyBorder="1" applyFont="1" borderId="12" fillId="0" fontId="4" numFmtId="0" xfId="5">
      <alignment horizontal="center" textRotation="90" vertical="center"/>
    </xf>
    <xf applyAlignment="1" applyBorder="1" applyFont="1" borderId="42" fillId="0" fontId="5" numFmtId="0" xfId="7">
      <alignment horizontal="center" vertical="center" wrapText="1"/>
    </xf>
    <xf applyAlignment="1" applyBorder="1" applyFont="1" borderId="0" fillId="0" fontId="5" numFmtId="0" xfId="7">
      <alignment horizontal="left" vertical="center" wrapText="1"/>
    </xf>
    <xf applyAlignment="1" applyBorder="1" applyFont="1" applyNumberFormat="1" borderId="3" fillId="0" fontId="5" numFmtId="43" xfId="7">
      <alignment horizontal="left" vertical="center" wrapText="1"/>
    </xf>
    <xf applyAlignment="1" applyFont="1" borderId="0" fillId="0" fontId="5" numFmtId="0" xfId="7">
      <alignment vertical="center"/>
    </xf>
    <xf applyAlignment="1" applyBorder="1" applyFont="1" borderId="11" fillId="0" fontId="5" numFmtId="0" xfId="0">
      <alignmen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vertical="top" wrapText="1"/>
    </xf>
    <xf applyAlignment="1" applyBorder="1" applyFill="1" applyFont="1" borderId="11" fillId="2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21" fillId="20" fontId="73" numFmtId="0" xfId="0">
      <alignment horizontal="center" vertical="center" wrapText="1"/>
    </xf>
    <xf applyBorder="1" applyFill="1" applyFont="1" applyNumberFormat="1" borderId="11" fillId="18" fontId="2" numFmtId="2" xfId="0"/>
    <xf applyAlignment="1" applyBorder="1" applyFont="1" borderId="11" fillId="0" fontId="5" numFmtId="0" xfId="0">
      <alignmen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Border="1" applyFont="1" borderId="11" fillId="0" fontId="2" numFmtId="0" xfId="0">
      <alignment horizontal="center" vertical="center" wrapText="1"/>
    </xf>
    <xf applyAlignment="1" applyBorder="1" applyFill="1" applyFont="1" borderId="32" fillId="0" fontId="18"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ill="1" applyFont="1" borderId="0" fillId="20" fontId="11" numFmtId="0" xfId="0">
      <alignment horizontal="left" vertical="center" wrapText="1"/>
    </xf>
    <xf applyAlignment="1" applyFont="1" borderId="0" fillId="0" fontId="5" numFmtId="0" xfId="0">
      <alignment horizontal="right" vertical="center" wrapText="1"/>
    </xf>
    <xf applyAlignment="1" applyBorder="1" applyFont="1" borderId="11" fillId="0" fontId="2" numFmtId="0" xfId="0">
      <alignment horizontal="left" vertical="center" wrapText="1"/>
    </xf>
    <xf applyAlignment="1" applyFont="1" borderId="0" fillId="0" fontId="5" numFmtId="0" xfId="0">
      <alignment horizontal="right" vertical="center"/>
    </xf>
    <xf applyAlignment="1" applyBorder="1" applyFill="1" applyFont="1" applyNumberFormat="1" borderId="0" fillId="20" fontId="11" numFmtId="9" xfId="0">
      <alignment horizontal="center" vertical="center" wrapText="1"/>
    </xf>
    <xf applyAlignment="1" applyBorder="1" applyFill="1" applyFont="1" borderId="0" fillId="20" fontId="11" numFmtId="43" xfId="1">
      <alignment horizontal="center" vertical="center" wrapText="1"/>
    </xf>
    <xf applyAlignment="1" applyBorder="1" applyFont="1" applyNumberFormat="1" applyProtection="1" borderId="0" fillId="0" fontId="46" numFmtId="0" xfId="0">
      <alignment horizontal="center" vertical="center" wrapText="1"/>
    </xf>
    <xf applyAlignment="1" applyBorder="1" applyFont="1" borderId="11" fillId="0" fontId="46" numFmtId="0" xfId="0">
      <alignment horizontal="center" vertical="center" wrapText="1"/>
    </xf>
    <xf applyFont="1" applyNumberFormat="1" borderId="0" fillId="0" fontId="46" numFmtId="43" xfId="0"/>
    <xf applyAlignment="1" applyBorder="1" applyFill="1" applyFont="1" borderId="11" fillId="0" fontId="5" numFmtId="0" xfId="0">
      <alignment horizontal="center" vertical="center" wrapText="1"/>
    </xf>
    <xf applyAlignment="1" applyBorder="1" applyFont="1" borderId="11" fillId="0" fontId="11" numFmtId="0" xfId="0">
      <alignment horizontal="center" vertical="center" wrapText="1"/>
    </xf>
    <xf applyAlignment="1" applyBorder="1" applyFont="1" borderId="11" fillId="0" fontId="11" numFmtId="0" xfId="0">
      <alignment horizontal="center" vertical="center"/>
    </xf>
    <xf applyAlignment="1" applyBorder="1" applyFont="1" borderId="11" fillId="0" fontId="5" numFmtId="0" xfId="0">
      <alignment horizontal="center" vertical="center" wrapText="1"/>
    </xf>
    <xf applyAlignment="1" applyBorder="1" applyFont="1" borderId="11" fillId="0" fontId="11" numFmtId="0" xfId="0">
      <alignment horizontal="center" vertical="center"/>
    </xf>
    <xf applyAlignment="1" applyFont="1" borderId="0" fillId="0" fontId="5" numFmtId="0" xfId="0">
      <alignment horizontal="left"/>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Font="1" borderId="0" fillId="0" fontId="11" numFmtId="0" xfId="0">
      <alignment horizontal="left" vertical="center"/>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center"/>
    </xf>
    <xf applyAlignment="1" applyFont="1" borderId="0" fillId="0" fontId="5" numFmtId="0" xfId="0">
      <alignment vertical="center"/>
    </xf>
    <xf applyAlignment="1" applyBorder="1" applyFont="1" applyProtection="1" borderId="11" fillId="0" fontId="2" numFmtId="0" xfId="0">
      <alignment horizontal="center" vertical="center"/>
      <protection locked="0"/>
    </xf>
    <xf applyAlignment="1" applyBorder="1" applyFont="1" applyProtection="1" borderId="11" fillId="0" fontId="5" numFmtId="0" xfId="0">
      <alignment horizontal="center" vertical="center" wrapText="1"/>
      <protection locked="0"/>
    </xf>
    <xf applyBorder="1" applyFont="1" applyProtection="1" borderId="11" fillId="0" fontId="5" numFmtId="0" xfId="0">
      <protection locked="0"/>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alignment horizontal="center"/>
    </xf>
    <xf applyAlignment="1" applyFont="1" borderId="0" fillId="0" fontId="5" numFmtId="0" xfId="0">
      <alignment vertical="center"/>
    </xf>
    <xf applyAlignment="1" applyFont="1" borderId="0" fillId="0" fontId="5" numFmtId="0" xfId="0">
      <alignment horizontal="left"/>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Font="1" borderId="0" fillId="0" fontId="5" numFmtId="0" xfId="0">
      <alignment horizont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20" fontId="88" numFmtId="0" xfId="0">
      <alignment horizontal="center" vertical="center" wrapText="1"/>
    </xf>
    <xf applyAlignment="1" applyBorder="1" applyFill="1" applyFont="1" borderId="11" fillId="20" fontId="88" numFmtId="0" xfId="0">
      <alignment vertical="center" wrapText="1"/>
    </xf>
    <xf applyAlignment="1" applyBorder="1" applyFont="1" borderId="11" fillId="0" fontId="5" numFmtId="43" xfId="1">
      <alignment horizontal="right" vertical="center"/>
    </xf>
    <xf applyAlignment="1" applyBorder="1" applyFont="1" applyNumberFormat="1" borderId="11" fillId="0" fontId="5" numFmtId="2" xfId="1">
      <alignment horizontal="right" vertical="center"/>
    </xf>
    <xf applyAlignment="1" applyBorder="1" applyFont="1" applyNumberFormat="1" borderId="11" fillId="0" fontId="5" numFmtId="2" xfId="0">
      <alignment horizontal="right" vertical="center"/>
    </xf>
    <xf applyAlignment="1" applyBorder="1" applyFill="1" applyFont="1" borderId="11" fillId="7" fontId="5" numFmtId="43" xfId="1">
      <alignment horizontal="right" vertical="center"/>
    </xf>
    <xf applyAlignment="1" applyBorder="1" applyFill="1" applyFont="1" applyNumberFormat="1" borderId="11" fillId="7" fontId="5" numFmtId="2" xfId="1">
      <alignment horizontal="right" vertical="center"/>
    </xf>
    <xf applyAlignment="1" applyBorder="1" applyFont="1" borderId="23" fillId="0" fontId="5" numFmtId="43" xfId="1">
      <alignment horizontal="right" vertical="center"/>
    </xf>
    <xf applyAlignment="1" applyBorder="1" applyFont="1" applyNumberFormat="1" borderId="23" fillId="0" fontId="5" numFmtId="2" xfId="1">
      <alignment horizontal="right" vertical="center"/>
    </xf>
    <xf applyAlignment="1" applyBorder="1" applyFont="1" borderId="16" fillId="0" fontId="5" numFmtId="43" xfId="1">
      <alignment horizontal="right" vertical="center"/>
    </xf>
    <xf applyAlignment="1" applyBorder="1" applyFont="1" applyNumberFormat="1" borderId="16" fillId="0" fontId="5" numFmtId="2" xfId="1">
      <alignment horizontal="right" vertical="center"/>
    </xf>
    <xf applyAlignment="1" applyBorder="1" applyFont="1" applyNumberFormat="1" borderId="16" fillId="0" fontId="5" numFmtId="2" xfId="0">
      <alignment horizontal="right" vertical="center"/>
    </xf>
    <xf applyAlignment="1" applyBorder="1" applyFill="1" applyFont="1" applyNumberFormat="1" borderId="12" fillId="7" fontId="18" numFmtId="0" xfId="0">
      <alignment horizontal="left" vertical="center" wrapText="1"/>
    </xf>
    <xf applyAlignment="1" applyBorder="1" applyFill="1" applyFont="1" applyNumberFormat="1" borderId="12" fillId="7" fontId="18" numFmtId="165" xfId="0">
      <alignment horizontal="left" vertical="center" wrapText="1"/>
    </xf>
    <xf applyAlignment="1" applyBorder="1" applyFont="1" borderId="23" fillId="0" fontId="18" numFmtId="0" xfId="0">
      <alignment horizontal="left" vertical="center"/>
    </xf>
    <xf applyAlignment="1" applyBorder="1" applyFont="1" borderId="23" fillId="0" fontId="18" numFmtId="0" xfId="0">
      <alignment horizontal="center" vertical="center"/>
    </xf>
    <xf applyAlignment="1" applyBorder="1" applyFont="1" applyNumberFormat="1" borderId="11" fillId="0" fontId="90" numFmtId="0" xfId="0">
      <alignment horizontal="left" vertical="center" wrapText="1"/>
    </xf>
    <xf applyAlignment="1" applyBorder="1" applyFont="1" applyNumberFormat="1" borderId="11" fillId="0" fontId="7" numFmtId="43" xfId="1">
      <alignment horizontal="center" vertical="center" wrapText="1"/>
    </xf>
    <xf applyAlignment="1" applyBorder="1" applyFont="1" borderId="11" fillId="0" fontId="5" numFmtId="0" xfId="0">
      <alignment horizontal="center" vertical="center" wrapText="1"/>
    </xf>
    <xf applyAlignment="1" applyBorder="1" applyFont="1" borderId="11" fillId="0" fontId="2" numFmtId="0" xfId="0">
      <alignment horizontal="center"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vertical="center" wrapText="1"/>
    </xf>
    <xf applyAlignment="1" applyBorder="1" applyFont="1" borderId="20" fillId="0" fontId="5" numFmtId="0" xfId="0">
      <alignment horizontal="center" textRotation="90" vertical="center" wrapText="1"/>
    </xf>
    <xf applyAlignment="1" applyBorder="1" applyFont="1" borderId="0" fillId="0" fontId="45" numFmtId="0" xfId="0">
      <alignment horizontal="left" vertical="center" wrapText="1"/>
    </xf>
    <xf applyAlignment="1" applyFont="1" borderId="0" fillId="0" fontId="52" numFmtId="0" xfId="0">
      <alignment vertical="top"/>
    </xf>
    <xf applyAlignment="1" applyFont="1" borderId="0" fillId="0" fontId="51" numFmtId="0" xfId="0">
      <alignment vertical="top"/>
    </xf>
    <xf applyAlignment="1" applyFill="1" applyFont="1" borderId="0" fillId="8" fontId="51" numFmtId="0" xfId="0">
      <alignment vertical="top"/>
    </xf>
    <xf applyAlignment="1" applyFill="1" applyFont="1" borderId="0" fillId="8" fontId="52" numFmtId="0" xfId="0">
      <alignment horizontal="left" vertical="top"/>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center"/>
    </xf>
    <xf applyAlignment="1" applyFont="1" borderId="0" fillId="0" fontId="5" numFmtId="0" xfId="0">
      <alignment horizontal="left"/>
    </xf>
    <xf applyAlignment="1" applyBorder="1" applyFill="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ill="1" applyFont="1" borderId="0" fillId="18" fontId="2" numFmtId="0" xfId="0">
      <alignment horizontal="lef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Font="1" borderId="0" fillId="0" fontId="5" numFmtId="0" xfId="0"/>
    <xf applyAlignment="1" applyBorder="1" applyFill="1" applyFont="1" borderId="13" fillId="25" fontId="11" numFmtId="0" xfId="0">
      <alignment vertical="center" wrapText="1"/>
    </xf>
    <xf applyAlignment="1" applyBorder="1" applyFont="1" borderId="13" fillId="0" fontId="11" numFmtId="0" xfId="0">
      <alignment vertical="center" wrapText="1"/>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5" numFmtId="0" xfId="0">
      <alignment vertical="center"/>
    </xf>
    <xf applyAlignment="1" applyBorder="1" applyFont="1" borderId="13" fillId="0" fontId="5" numFmtId="0" xfId="0">
      <alignment vertical="center"/>
    </xf>
    <xf applyAlignment="1" applyBorder="1" applyFill="1" applyFont="1" borderId="11" fillId="2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1"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0" fillId="20" fontId="88" numFmtId="0" xfId="0">
      <alignment horizontal="center" vertical="center" wrapText="1"/>
    </xf>
    <xf applyAlignment="1" applyBorder="1" applyFill="1" applyFont="1" borderId="0" fillId="20" fontId="88" numFmtId="0" xfId="0">
      <alignment vertical="center" wrapText="1"/>
    </xf>
    <xf applyAlignment="1" applyBorder="1" applyFont="1" borderId="11" fillId="0" fontId="11" numFmtId="0" xfId="0">
      <alignment horizontal="center" vertical="center"/>
    </xf>
    <xf applyAlignment="1" applyBorder="1" applyFont="1" borderId="12" fillId="0" fontId="11" numFmtId="0" xfId="0">
      <alignment horizontal="center" vertical="center"/>
    </xf>
    <xf applyAlignment="1" applyBorder="1" applyFont="1" borderId="16" fillId="0" fontId="11" numFmtId="0" xfId="0">
      <alignment horizontal="center" vertical="center"/>
    </xf>
    <xf applyAlignment="1" applyBorder="1" applyFont="1" borderId="15"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applyNumberFormat="1" borderId="11" fillId="0" fontId="2" numFmtId="171" xfId="0">
      <alignment horizontal="center" vertical="center"/>
    </xf>
    <xf applyAlignment="1" applyBorder="1" applyFill="1" applyFont="1" borderId="11" fillId="20" fontId="45" numFmtId="0" xfId="0">
      <alignment horizontal="left" vertical="center" wrapText="1"/>
    </xf>
    <xf applyAlignment="1" applyBorder="1" applyFont="1" borderId="21" fillId="0" fontId="5" numFmtId="0" xfId="0">
      <alignment vertical="center"/>
    </xf>
    <xf applyAlignment="1" applyBorder="1" applyFont="1" borderId="14" fillId="0" fontId="5" numFmtId="0" xfId="0">
      <alignment vertical="center"/>
    </xf>
    <xf applyAlignment="1" applyBorder="1" applyFont="1" borderId="13" fillId="0" fontId="11" numFmtId="0" xfId="0">
      <alignment horizontal="center" vertical="center"/>
    </xf>
    <xf applyAlignment="1" applyBorder="1" applyFill="1" applyFont="1" borderId="11" fillId="12" fontId="11" numFmtId="0" xfId="0">
      <alignment vertical="center" wrapText="1"/>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ont="1" borderId="0" fillId="0" fontId="5" numFmtId="0" xfId="0">
      <alignment horizontal="center" vertical="center"/>
    </xf>
    <xf applyAlignment="1" borderId="0" fillId="0" fontId="91" numFmtId="0" xfId="8">
      <alignment horizontal="right" vertical="center"/>
    </xf>
    <xf applyAlignment="1" borderId="0" fillId="0" fontId="91" numFmtId="0" xfId="8">
      <alignment vertical="center"/>
    </xf>
    <xf applyFont="1" applyNumberFormat="1" borderId="0" fillId="0" fontId="5" numFmtId="14" xfId="0"/>
    <xf applyAlignment="1" applyFont="1" applyNumberFormat="1" borderId="0" fillId="0" fontId="5" numFmtId="14" xfId="0">
      <alignment horizontal="left" vertical="center"/>
    </xf>
    <xf applyAlignment="1" applyBorder="1" applyFont="1" borderId="11" fillId="0" fontId="5" numFmtId="0" xfId="0">
      <alignment horizontal="lef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ont="1" borderId="11" fillId="0" fontId="5" numFmtId="0" xfId="0">
      <alignment vertical="center"/>
    </xf>
    <xf applyAlignment="1" applyBorder="1" applyFill="1" applyFont="1" borderId="32" fillId="0" fontId="18" numFmtId="0" xfId="0">
      <alignment horizontal="center" vertical="center"/>
    </xf>
    <xf applyAlignment="1" applyFont="1" applyNumberFormat="1" borderId="0" fillId="0" fontId="5" numFmtId="1" xfId="0">
      <alignment horizontal="center"/>
    </xf>
    <xf applyFont="1" borderId="0" fillId="0" fontId="69" numFmtId="0" xfId="0"/>
    <xf applyAlignment="1" applyFont="1" borderId="0" fillId="0" fontId="69" numFmtId="0" xfId="0">
      <alignment horizontal="center"/>
    </xf>
    <xf applyAlignment="1" applyFont="1" borderId="0" fillId="0" fontId="73" numFmtId="0" xfId="0">
      <alignment horizontal="left" vertical="center"/>
    </xf>
    <xf applyAlignment="1" applyFont="1" borderId="0" fillId="0" fontId="69" numFmtId="0" xfId="0">
      <alignment horizontal="center" vertical="center"/>
    </xf>
    <xf applyAlignment="1" applyBorder="1" applyFill="1" applyFont="1" applyNumberFormat="1" applyProtection="1" borderId="34" fillId="25" fontId="70" numFmtId="0" xfId="0">
      <alignment horizontal="center" vertical="center" wrapText="1"/>
    </xf>
    <xf applyAlignment="1" applyBorder="1" applyFill="1" applyFont="1" borderId="35" fillId="0" fontId="69" numFmtId="0" xfId="0">
      <alignment horizontal="center"/>
    </xf>
    <xf applyAlignment="1" applyBorder="1" applyFill="1" applyFont="1" applyNumberFormat="1" borderId="35" fillId="0" fontId="69" numFmtId="166" xfId="1">
      <alignment horizontal="right"/>
    </xf>
    <xf applyAlignment="1" applyBorder="1" applyFill="1" applyFont="1" applyNumberFormat="1" borderId="35" fillId="0" fontId="69" numFmtId="166" xfId="1">
      <alignment horizontal="center" vertical="center" wrapText="1"/>
    </xf>
    <xf applyAlignment="1" applyBorder="1" applyFill="1" applyFont="1" applyNumberFormat="1" borderId="35" fillId="0" fontId="69" numFmtId="166" xfId="1">
      <alignment horizontal="right" vertical="center" wrapText="1"/>
    </xf>
    <xf applyAlignment="1" applyBorder="1" applyFill="1" applyFont="1" applyNumberFormat="1" borderId="35" fillId="0" fontId="69" numFmtId="166" xfId="1">
      <alignment horizontal="right" vertical="center"/>
    </xf>
    <xf applyAlignment="1" applyBorder="1" applyFill="1" applyFont="1" borderId="35" fillId="0" fontId="69" numFmtId="0" xfId="0">
      <alignment horizontal="center" vertical="center"/>
    </xf>
    <xf applyAlignment="1" applyBorder="1" applyFill="1" applyFont="1" applyNumberFormat="1" borderId="35" fillId="0" fontId="69" numFmtId="166" xfId="1">
      <alignment horizontal="center" vertical="center"/>
    </xf>
    <xf applyAlignment="1" applyFont="1" borderId="0" fillId="0" fontId="69" numFmtId="0" xfId="0">
      <alignment vertical="center"/>
    </xf>
    <xf applyFont="1" applyNumberFormat="1" borderId="0" fillId="0" fontId="69" numFmtId="166" xfId="1"/>
    <xf applyAlignment="1" applyFont="1" applyNumberFormat="1" borderId="0" fillId="0" fontId="69" numFmtId="166" xfId="1">
      <alignment horizontal="center"/>
    </xf>
    <xf applyAlignment="1" applyBorder="1" applyFill="1" applyFont="1" applyNumberFormat="1" borderId="35" fillId="0" fontId="69" numFmtId="169" xfId="1">
      <alignment horizontal="right" vertical="center"/>
    </xf>
    <xf applyAlignment="1" applyBorder="1" applyFont="1" applyNumberFormat="1" borderId="11" fillId="0" fontId="69" numFmtId="169" xfId="0">
      <alignment horizontal="left" vertical="center"/>
    </xf>
    <xf applyAlignment="1" applyBorder="1" applyFont="1" applyNumberFormat="1" borderId="11" fillId="0" fontId="69" numFmtId="169" xfId="0">
      <alignment horizontal="left"/>
    </xf>
    <xf applyAlignment="1" applyBorder="1" applyFill="1" applyFont="1" applyNumberFormat="1" borderId="11" fillId="0" fontId="69" numFmtId="169" xfId="1">
      <alignment horizontal="left"/>
    </xf>
    <xf applyAlignment="1" applyBorder="1" applyFill="1" applyFont="1" applyNumberFormat="1" borderId="11" fillId="0" fontId="69" numFmtId="169" xfId="1">
      <alignment horizontal="left" vertical="center"/>
    </xf>
    <xf applyAlignment="1" applyBorder="1" applyFont="1" borderId="11" fillId="0" fontId="69" numFmtId="0" xfId="0">
      <alignment horizontal="center"/>
    </xf>
    <xf applyAlignment="1" applyBorder="1" applyFont="1" borderId="11" fillId="0" fontId="69" numFmtId="0" xfId="0">
      <alignment horizontal="center" vertical="center"/>
    </xf>
    <xf applyFont="1" applyNumberFormat="1" borderId="0" fillId="0" fontId="0" numFmtId="43" xfId="1"/>
    <xf applyAlignment="1" applyBorder="1" applyFont="1" borderId="11" fillId="0" fontId="92" numFmtId="43" xfId="1">
      <alignment horizontal="center" vertical="top"/>
    </xf>
    <xf applyAlignment="1" applyBorder="1" applyFont="1" borderId="11" fillId="0" fontId="2" numFmtId="0" xfId="0">
      <alignment horizontal="center" vertical="center"/>
    </xf>
    <xf applyAlignment="1" applyFont="1" borderId="0" fillId="0" fontId="11" numFmtId="0" xfId="0">
      <alignment horizontal="right" vertical="center"/>
    </xf>
    <xf applyAlignment="1" applyFont="1" borderId="0" fillId="0" fontId="5" numFmtId="0" xfId="0">
      <alignment horizontal="right"/>
    </xf>
    <xf applyAlignment="1" applyBorder="1" applyFill="1" applyFont="1" borderId="11" fillId="20" fontId="11" numFmtId="0" xfId="0">
      <alignment horizontal="center" vertical="center" wrapText="1"/>
    </xf>
    <xf applyFont="1" borderId="0" fillId="0" fontId="5" numFmtId="0" xfId="0"/>
    <xf applyAlignment="1" applyBorder="1" applyFill="1" applyFont="1" borderId="0" fillId="0" fontId="5" numFmtId="0" xfId="0">
      <alignment horizontal="right" vertical="center" wrapText="1"/>
    </xf>
    <xf applyAlignment="1" applyFont="1" borderId="0" fillId="0" fontId="11" numFmtId="0" xfId="0">
      <alignment horizontal="center"/>
    </xf>
    <xf applyAlignment="1" applyBorder="1" applyFill="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12" fontId="2" numFmtId="0" xfId="0">
      <alignment horizontal="left" vertical="center" wrapText="1"/>
    </xf>
    <xf applyAlignment="1" applyBorder="1" applyFill="1" applyFont="1" borderId="11" fillId="2" fontId="22" numFmtId="0" xfId="0">
      <alignment horizontal="center" vertical="center" wrapText="1"/>
    </xf>
    <xf applyAlignment="1" applyBorder="1" applyFill="1" applyFont="1" borderId="11" fillId="13" fontId="2" numFmtId="0" xfId="0">
      <alignment horizontal="center" vertical="center"/>
    </xf>
    <xf applyAlignment="1" applyBorder="1" applyFill="1" applyFont="1" borderId="0" fillId="0" fontId="34" numFmtId="0" xfId="0">
      <alignment horizontal="left" vertical="top"/>
    </xf>
    <xf applyAlignment="1" applyBorder="1" applyFont="1" borderId="0" fillId="0" fontId="34" numFmtId="0" xfId="0">
      <alignment horizontal="left" vertical="top" wrapText="1"/>
    </xf>
    <xf applyAlignment="1" applyBorder="1" applyFill="1" applyFont="1" borderId="0" fillId="2" fontId="34" numFmtId="0" xfId="0">
      <alignment horizontal="left" vertical="top"/>
    </xf>
    <xf applyAlignment="1" applyFont="1" borderId="0" fillId="0" fontId="34" numFmtId="0" xfId="0">
      <alignment horizontal="left" vertical="top" wrapText="1"/>
    </xf>
    <xf applyAlignment="1" applyFill="1" applyFont="1" borderId="0" fillId="2" fontId="34" numFmtId="0" xfId="0">
      <alignment horizontal="left" vertical="top"/>
    </xf>
    <xf applyAlignment="1" applyFill="1" applyFont="1" borderId="0" fillId="2" fontId="62" numFmtId="0" xfId="0">
      <alignment horizontal="left" vertical="top"/>
    </xf>
    <xf applyAlignment="1" applyBorder="1" applyFill="1" applyFont="1" borderId="0" fillId="0" fontId="30" numFmtId="0" xfId="0">
      <alignment horizontal="center" vertical="top"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3" fillId="0" fontId="5" numFmtId="43" xfId="1">
      <alignment vertical="center" wrapText="1"/>
    </xf>
    <xf applyAlignment="1" applyBorder="1" applyFont="1" borderId="21" fillId="0" fontId="5" numFmtId="43" xfId="1">
      <alignment vertical="center" wrapText="1"/>
    </xf>
    <xf applyAlignment="1" applyBorder="1" applyFont="1" borderId="14" fillId="0" fontId="5" numFmtId="43" xfId="1">
      <alignment vertical="center" wrapText="1"/>
    </xf>
    <xf applyAlignment="1" applyBorder="1" applyFont="1" applyNumberFormat="1" borderId="25" fillId="0" fontId="5" numFmtId="2" xfId="0">
      <alignment vertical="center" wrapText="1"/>
    </xf>
    <xf applyAlignment="1" applyBorder="1" applyFont="1" applyNumberFormat="1" borderId="26" fillId="0" fontId="5" numFmtId="2" xfId="0">
      <alignment vertical="center" wrapText="1"/>
    </xf>
    <xf applyAlignment="1" applyBorder="1" applyFont="1" applyNumberFormat="1" borderId="27" fillId="0" fontId="5" numFmtId="2" xfId="0">
      <alignment vertical="center" wrapText="1"/>
    </xf>
    <xf applyAlignment="1" applyBorder="1" applyFont="1" applyNumberFormat="1" borderId="28" fillId="0" fontId="5" numFmtId="2" xfId="0">
      <alignment vertical="center" wrapText="1"/>
    </xf>
    <xf applyAlignment="1" applyBorder="1" applyFont="1" applyNumberFormat="1" borderId="23" fillId="0" fontId="5" numFmtId="2" xfId="0">
      <alignment vertical="center" wrapText="1"/>
    </xf>
    <xf applyAlignment="1" applyBorder="1" applyFont="1" applyNumberFormat="1" borderId="29" fillId="0" fontId="5" numFmtId="2" xfId="0">
      <alignment vertical="center" wrapText="1"/>
    </xf>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vertical="center"/>
    </xf>
    <xf applyAlignment="1" applyBorder="1" applyFont="1" borderId="11" fillId="0" fontId="5" numFmtId="0" xfId="0">
      <alignment vertical="center"/>
    </xf>
    <xf applyAlignment="1" applyBorder="1" applyFill="1" applyFont="1" applyProtection="1" borderId="11" fillId="0" fontId="2" numFmtId="0" xfId="0">
      <alignment horizontal="center" vertical="center"/>
    </xf>
    <xf applyAlignment="1" applyFill="1" applyFont="1" borderId="0" fillId="0" fontId="5" numFmtId="0" xfId="0">
      <alignment horizontal="center" vertical="center"/>
    </xf>
    <xf applyAlignment="1" applyBorder="1" applyFont="1" applyNumberFormat="1" borderId="11" fillId="0" fontId="5" numFmtId="166" xfId="1">
      <alignment horizontal="center" vertical="center" wrapText="1"/>
    </xf>
    <xf applyAlignment="1" applyBorder="1" applyFill="1" applyFont="1" borderId="11" fillId="17" fontId="11"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applyNumberFormat="1" borderId="11" fillId="0" fontId="5" numFmtId="169" xfId="1">
      <alignment vertical="center"/>
    </xf>
    <xf applyAlignment="1" applyBorder="1" applyFont="1" applyNumberFormat="1" borderId="11" fillId="0" fontId="5" numFmtId="49" xfId="1">
      <alignment vertical="center" wrapText="1"/>
    </xf>
    <xf applyAlignment="1" applyBorder="1" applyFont="1" applyNumberFormat="1" borderId="11" fillId="0" fontId="5" numFmtId="49"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2" numFmtId="0" xfId="0">
      <alignment horizontal="center" vertical="center"/>
    </xf>
    <xf applyAlignment="1" applyBorder="1" applyFill="1" applyFont="1" borderId="11" fillId="17" fontId="11" numFmtId="0" xfId="0">
      <alignment vertical="center" wrapText="1"/>
    </xf>
    <xf applyAlignment="1" applyBorder="1" applyFill="1" applyFont="1" borderId="11" fillId="8" fontId="11" numFmtId="0" xfId="0">
      <alignment horizontal="left" vertical="center" wrapText="1"/>
    </xf>
    <xf applyAlignment="1" applyBorder="1" applyFill="1" applyFont="1" borderId="11" fillId="0" fontId="11" numFmtId="0" xfId="0">
      <alignment horizontal="left" vertical="center" wrapText="1"/>
    </xf>
    <xf applyAlignment="1" borderId="0" fillId="0" fontId="0" numFmtId="0" xfId="0">
      <alignment horizontal="center"/>
    </xf>
    <xf applyAlignment="1" applyFill="1" applyFont="1" borderId="0" fillId="24" fontId="5" numFmtId="0" xfId="0">
      <alignment vertical="center"/>
    </xf>
    <xf applyAlignment="1" applyFont="1" applyNumberFormat="1" borderId="0" fillId="0" fontId="5" numFmtId="2" xfId="0">
      <alignment vertical="center"/>
    </xf>
    <xf applyAlignment="1" applyFill="1" applyFont="1" borderId="0" fillId="17" fontId="5" numFmtId="0" xfId="0">
      <alignment vertical="center"/>
    </xf>
    <xf applyAlignment="1" applyFont="1" applyNumberFormat="1" borderId="0" fillId="0" fontId="5" numFmtId="4" xfId="0">
      <alignment vertical="center"/>
    </xf>
    <xf applyAlignment="1" applyBorder="1" applyFill="1" applyFont="1" borderId="11" fillId="24" fontId="5" numFmtId="0" xfId="0">
      <alignmen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borderId="3" fillId="0" fontId="94" numFmtId="43" xfId="1">
      <alignment vertical="center"/>
    </xf>
    <xf applyAlignment="1" applyBorder="1" applyFont="1" borderId="3" fillId="0" fontId="95" numFmtId="43" xfId="1">
      <alignment vertical="center"/>
    </xf>
    <xf applyAlignment="1" applyBorder="1" applyFont="1" borderId="3" fillId="0" fontId="90" numFmtId="43" xfId="1">
      <alignment vertical="center"/>
    </xf>
    <xf applyAlignment="1" applyBorder="1" applyFont="1" borderId="3" fillId="0" fontId="96" numFmtId="43" xfId="1">
      <alignment vertical="center"/>
    </xf>
    <xf applyAlignment="1" applyFill="1" applyFont="1" borderId="0" fillId="24" fontId="5" numFmtId="43" xfId="1">
      <alignment vertical="center"/>
    </xf>
    <xf applyFill="1" applyFont="1" borderId="0" fillId="24" fontId="5" numFmtId="43" xfId="1"/>
    <xf applyAlignment="1" applyBorder="1" applyFill="1" applyFont="1" borderId="0" fillId="0" fontId="33" numFmtId="43" xfId="1">
      <alignment horizontal="center" vertical="center" wrapText="1"/>
    </xf>
    <xf applyAlignment="1" applyFont="1" borderId="0" fillId="0" fontId="5" numFmtId="43" xfId="1">
      <alignment horizontal="center" vertical="center"/>
    </xf>
    <xf applyAlignment="1" applyFont="1" borderId="0" fillId="0" fontId="5" numFmtId="0" xfId="0">
      <alignment horizontal="left"/>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Border="1" applyFont="1" borderId="11" fillId="0" fontId="5" numFmtId="0" xfId="0">
      <alignment vertical="center"/>
    </xf>
    <xf applyBorder="1" applyFont="1" applyNumberFormat="1" borderId="11" fillId="0" fontId="5" numFmtId="1" xfId="0"/>
    <xf applyAlignment="1" applyFill="1" applyFont="1" borderId="0" fillId="17" fontId="2" numFmtId="0" xfId="0">
      <alignment vertical="center" wrapText="1"/>
    </xf>
    <xf applyAlignment="1" applyBorder="1" applyFill="1" applyFont="1" borderId="11" fillId="12" fontId="2" numFmtId="0" xfId="0">
      <alignment horizontal="right" vertical="center"/>
    </xf>
    <xf applyAlignment="1" applyBorder="1" applyFill="1" applyFont="1" borderId="11" fillId="12" fontId="33" numFmtId="0" xfId="0">
      <alignment horizontal="center" vertical="center"/>
    </xf>
    <xf applyAlignment="1" applyBorder="1" applyFill="1" applyFont="1" borderId="11" fillId="12" fontId="33" numFmtId="0" xfId="0">
      <alignment vertical="center"/>
    </xf>
    <xf applyAlignment="1" applyBorder="1" applyFill="1" applyFont="1" borderId="11" fillId="12" fontId="33" numFmtId="0" xfId="0">
      <alignment vertical="center" wrapText="1"/>
    </xf>
    <xf applyAlignment="1" applyBorder="1" applyFill="1" applyFont="1" borderId="11" fillId="14" fontId="33" numFmtId="0" xfId="0">
      <alignment horizontal="center" vertical="center"/>
    </xf>
    <xf applyAlignment="1" applyBorder="1" applyFill="1" applyFont="1" borderId="12" fillId="14" fontId="33" numFmtId="0" xfId="0">
      <alignment horizontal="center" vertical="center"/>
    </xf>
    <xf applyAlignment="1" applyBorder="1" applyFill="1" applyFont="1" borderId="0" fillId="0" fontId="2" numFmtId="0" xfId="0">
      <alignment horizontal="center" textRotation="90" vertical="center"/>
    </xf>
    <xf applyAlignment="1" applyBorder="1" applyFill="1" applyFont="1" borderId="0" fillId="0" fontId="33" numFmtId="0" xfId="0">
      <alignment horizontal="center" vertical="center"/>
    </xf>
    <xf applyAlignment="1" applyBorder="1" applyFill="1" applyFont="1" borderId="0" fillId="0" fontId="33" numFmtId="0" xfId="0">
      <alignment horizontal="center" vertical="center" wrapText="1"/>
    </xf>
    <xf applyAlignment="1" applyBorder="1" applyFill="1" applyFont="1" borderId="0" fillId="0" fontId="33"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2" fontId="22" numFmtId="0" xfId="0">
      <alignment horizontal="center" vertical="center" wrapText="1"/>
    </xf>
    <xf applyAlignment="1" applyBorder="1" applyFill="1" applyFont="1" borderId="11" fillId="2" fontId="23" numFmtId="0" xfId="0">
      <alignment horizontal="center" vertical="center" wrapText="1"/>
    </xf>
    <xf applyAlignment="1" applyBorder="1" applyFill="1" applyFont="1" borderId="0" fillId="0" fontId="2" numFmtId="0" xfId="0">
      <alignment vertical="center"/>
    </xf>
    <xf applyAlignment="1" applyBorder="1" applyFill="1" applyFont="1" borderId="0" fillId="0" fontId="2"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ont="1" borderId="11" fillId="0" fontId="5" numFmtId="0" xfId="0">
      <alignment horizontal="center" vertical="center"/>
    </xf>
    <xf applyBorder="1" applyFont="1" borderId="11" fillId="0" fontId="2" numFmtId="0" xfId="0"/>
    <xf applyAlignment="1" applyBorder="1" applyFill="1" applyFont="1" borderId="11" fillId="20" fontId="11"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2"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borderId="12" fillId="20" fontId="11" numFmtId="0" xfId="0">
      <alignment horizontal="center" vertical="center" wrapText="1"/>
    </xf>
    <xf applyAlignment="1" applyFont="1" borderId="0" fillId="0" fontId="2" numFmtId="0" xfId="0">
      <alignment horizontal="center" vertical="center"/>
    </xf>
    <xf applyAlignment="1" applyFont="1" borderId="0" fillId="0" fontId="5" numFmtId="0" xfId="0">
      <alignment vertical="center"/>
    </xf>
    <xf applyAlignment="1" applyBorder="1" applyFill="1" applyFont="1" borderId="12" fillId="0" fontId="11" numFmtId="0" xfId="0">
      <alignment horizontal="left" vertical="center" wrapText="1"/>
    </xf>
    <xf applyAlignment="1" applyBorder="1" applyFont="1" borderId="11" fillId="0" fontId="5" numFmtId="0" xfId="0">
      <alignment vertical="center" wrapText="1"/>
    </xf>
    <xf applyAlignment="1" applyBorder="1" applyFill="1" applyFont="1" applyNumberFormat="1" borderId="11" fillId="18" fontId="2" numFmtId="2" xfId="0">
      <alignment vertical="center"/>
    </xf>
    <xf applyAlignment="1" applyFont="1" borderId="0" fillId="0" fontId="5" numFmtId="0" xfId="0">
      <alignment vertical="center"/>
    </xf>
    <xf applyAlignment="1" applyBorder="1" applyFill="1" applyFont="1" borderId="0" fillId="0" fontId="5" numFmtId="0" xfId="0">
      <alignment horizontal="left" vertical="center" wrapText="1"/>
    </xf>
    <xf applyAlignment="1" applyBorder="1" applyFont="1" borderId="0" fillId="0" fontId="27" numFmtId="0" xfId="0">
      <alignment horizontal="center" vertical="center"/>
    </xf>
    <xf applyAlignment="1" applyBorder="1" applyFill="1" applyFont="1" borderId="0" fillId="0" fontId="5" numFmtId="43" xfId="1">
      <alignment wrapText="1"/>
    </xf>
    <xf applyAlignment="1" applyBorder="1" applyFill="1" applyFont="1" borderId="0" fillId="0" fontId="5" numFmtId="0" xfId="0">
      <alignment wrapText="1"/>
    </xf>
    <xf applyAlignment="1" applyFill="1" applyFont="1" borderId="0" fillId="18" fontId="5" numFmtId="0" xfId="0"/>
    <xf applyAlignment="1" applyFill="1" applyFont="1" borderId="0" fillId="18" fontId="5" numFmtId="43" xfId="1"/>
    <xf applyAlignment="1" applyFill="1" applyFont="1" borderId="0" fillId="18" fontId="5" numFmtId="43" xfId="1">
      <alignment vertical="center"/>
    </xf>
    <xf applyAlignment="1" applyBorder="1" applyFill="1" applyFont="1" borderId="0" fillId="18" fontId="2" numFmtId="0" xfId="0">
      <alignment vertical="center"/>
    </xf>
    <xf applyAlignment="1" applyBorder="1" applyFill="1" applyFont="1" borderId="0" fillId="18" fontId="2" numFmtId="43" xfId="1"/>
    <xf applyAlignment="1" applyBorder="1" applyFill="1" applyFont="1" borderId="0" fillId="18" fontId="2" numFmtId="43" xfId="1">
      <alignment vertical="center"/>
    </xf>
    <xf applyAlignment="1" applyBorder="1" applyFill="1" applyFont="1" borderId="0" fillId="0" fontId="29" numFmtId="0" xfId="0">
      <alignment wrapText="1"/>
    </xf>
    <xf applyAlignment="1" applyBorder="1" applyFill="1" applyFont="1" borderId="0" fillId="0" fontId="29" numFmtId="0" xfId="0">
      <alignment horizontal="left" vertical="center"/>
    </xf>
    <xf applyAlignment="1" applyBorder="1" applyFill="1" applyFont="1" borderId="0" fillId="0" fontId="29" numFmtId="43" xfId="1">
      <alignment horizontal="center"/>
    </xf>
    <xf applyAlignment="1" applyFill="1" applyFont="1" borderId="0" fillId="0" fontId="34" numFmtId="43" xfId="1">
      <alignment vertical="center"/>
    </xf>
    <xf applyAlignment="1" applyFill="1" applyFont="1" borderId="0" fillId="0" fontId="34" numFmtId="43" xfId="1"/>
    <xf applyAlignment="1" applyFill="1" applyFont="1" borderId="0" fillId="0" fontId="34" numFmtId="0" xfId="0"/>
    <xf applyAlignment="1" applyBorder="1" applyFill="1" applyFont="1" borderId="0" fillId="0" fontId="29" numFmtId="0" xfId="0">
      <alignment vertical="center" wrapText="1"/>
    </xf>
    <xf applyAlignment="1" applyBorder="1" applyFill="1" applyFont="1" borderId="0" fillId="0" fontId="29" numFmtId="0" xfId="0">
      <alignment horizontal="center"/>
    </xf>
    <xf applyAlignment="1" applyBorder="1" applyFill="1" applyFont="1" borderId="2" fillId="0" fontId="29" numFmtId="0" xfId="0">
      <alignment horizontal="center" vertical="center" wrapText="1"/>
    </xf>
    <xf applyAlignment="1" applyBorder="1" applyFill="1" applyFont="1" borderId="2" fillId="0" fontId="29" numFmtId="43" xfId="1">
      <alignment horizontal="center" vertical="center" wrapText="1"/>
    </xf>
    <xf applyAlignment="1" applyBorder="1" applyFill="1" applyFont="1" borderId="2" fillId="0" fontId="29" numFmtId="43" xfId="1">
      <alignment horizontal="right" vertical="center" wrapText="1"/>
    </xf>
    <xf applyAlignment="1" applyBorder="1" applyFill="1" applyFont="1" borderId="2" fillId="0" fontId="29" numFmtId="43" xfId="1">
      <alignment vertical="center"/>
    </xf>
    <xf applyAlignment="1" applyFont="1" borderId="0" fillId="0" fontId="3" numFmtId="0" xfId="0">
      <alignment horizontal="center" vertical="center"/>
    </xf>
    <xf applyAlignment="1" applyFont="1" borderId="0" fillId="0" fontId="5" numFmtId="0" xfId="0">
      <alignment horizontal="left" vertical="center"/>
    </xf>
    <xf applyAlignment="1" applyBorder="1" applyFont="1" applyNumberFormat="1" borderId="3" fillId="0" fontId="27" numFmtId="0" xfId="0">
      <alignment horizontal="left" wrapText="1"/>
    </xf>
    <xf applyAlignment="1" applyBorder="1" applyFont="1" applyNumberFormat="1" borderId="3" fillId="0" fontId="27" numFmtId="165" xfId="0">
      <alignment horizontal="left" wrapText="1"/>
    </xf>
    <xf applyAlignment="1" borderId="0" fillId="0" fontId="0" numFmtId="0" xfId="0"/>
    <xf applyAlignment="1" applyBorder="1" applyFill="1" applyFont="1" applyNumberFormat="1" borderId="3" fillId="0" fontId="29" numFmtId="2" xfId="0">
      <alignment vertical="center"/>
    </xf>
    <xf applyAlignment="1" applyBorder="1" applyFill="1" applyFont="1" applyNumberFormat="1" borderId="3" fillId="4" fontId="30" numFmtId="165" xfId="0">
      <alignment vertical="center"/>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left"/>
    </xf>
    <xf applyBorder="1" applyFont="1" borderId="0" fillId="0" fontId="46" numFmtId="0" xfId="0"/>
    <xf applyAlignment="1" applyBorder="1" applyFont="1" borderId="0" fillId="0" fontId="46" numFmtId="0" xfId="0">
      <alignment horizontal="center" vertical="center"/>
    </xf>
    <xf applyAlignment="1" applyBorder="1" applyFont="1" borderId="0" fillId="0" fontId="46" numFmtId="0" xfId="0">
      <alignment vertical="center"/>
    </xf>
    <xf applyAlignment="1" applyBorder="1" applyFill="1" applyFont="1" borderId="11" fillId="17" fontId="2" numFmtId="0" xfId="0">
      <alignment horizontal="left" vertical="center" wrapText="1"/>
    </xf>
    <xf applyAlignment="1" applyFill="1" applyFont="1" borderId="0" fillId="0" fontId="2" numFmtId="0" xfId="0">
      <alignment horizontal="center" vertical="center"/>
    </xf>
    <xf applyAlignment="1" applyBorder="1" applyFill="1" applyFont="1" borderId="0" fillId="0" fontId="11" numFmtId="0" xfId="0">
      <alignment horizontal="center" vertical="center" wrapText="1"/>
    </xf>
    <xf applyAlignment="1" applyBorder="1" applyFill="1" applyFont="1" borderId="0" fillId="0" fontId="2" numFmtId="0" xfId="0">
      <alignment horizontal="left" vertical="center" wrapText="1"/>
    </xf>
    <xf applyAlignment="1" applyBorder="1" applyFill="1" applyFont="1" borderId="0" fillId="0" fontId="2" numFmtId="0" xfId="0">
      <alignment horizontal="left" vertical="center"/>
    </xf>
    <xf applyBorder="1" applyFill="1" applyFont="1" borderId="0" fillId="0" fontId="2" numFmtId="0" xfId="0"/>
    <xf applyFill="1" applyFont="1" borderId="0" fillId="0" fontId="2" numFmtId="0" xfId="0"/>
    <xf applyAlignment="1" applyBorder="1" applyFont="1" borderId="11" fillId="0" fontId="5" numFmtId="0" xfId="0">
      <alignment horizontal="left" vertical="center" wrapText="1"/>
    </xf>
    <xf applyAlignment="1" applyBorder="1" applyFont="1" borderId="0" fillId="0" fontId="46" numFmtId="0" xfId="0">
      <alignment horizontal="center" vertical="center"/>
    </xf>
    <xf applyAlignment="1" applyBorder="1" applyFont="1" borderId="0" fillId="0" fontId="46" numFmtId="0" xfId="0">
      <alignment horizontal="left" vertical="top" wrapText="1"/>
    </xf>
    <xf applyAlignment="1" applyBorder="1" applyFont="1" borderId="0" fillId="0" fontId="46"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0" fontId="11" numFmtId="0" xfId="0">
      <alignment vertical="center" wrapText="1"/>
    </xf>
    <xf applyFont="1" applyNumberFormat="1" borderId="0" fillId="0" fontId="5" numFmtId="43" xfId="0"/>
    <xf applyAlignment="1" applyBorder="1" applyFont="1" applyNumberFormat="1" borderId="11" fillId="0" fontId="5" numFmtId="0" xfId="1">
      <alignment vertical="center"/>
    </xf>
    <xf applyAlignment="1" applyBorder="1" applyFont="1" borderId="11" fillId="0" fontId="5" numFmtId="0" xfId="0">
      <alignment vertical="center"/>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xf>
    <xf applyAlignment="1" applyBorder="1" applyFont="1" borderId="11" fillId="0" fontId="5" numFmtId="43" xfId="1">
      <alignment horizontal="center" vertical="center" wrapText="1"/>
    </xf>
    <xf applyAlignment="1" applyBorder="1" applyFill="1" applyFont="1" borderId="37" fillId="0" fontId="69" numFmtId="0" xfId="0">
      <alignment horizontal="center" textRotation="90" vertical="center"/>
    </xf>
    <xf applyAlignment="1" applyBorder="1" applyFill="1" applyFont="1" borderId="40" fillId="0" fontId="69" numFmtId="0" xfId="0">
      <alignment horizontal="center" textRotation="90" vertical="center"/>
    </xf>
    <xf applyAlignment="1" applyBorder="1" applyFill="1" applyFont="1" borderId="35" fillId="0" fontId="69" numFmtId="0" xfId="0">
      <alignment horizontal="center" vertical="center"/>
    </xf>
    <xf applyAlignment="1" applyBorder="1" applyFill="1" applyFont="1" borderId="38" fillId="0" fontId="69" numFmtId="0" xfId="0">
      <alignment horizontal="center" vertical="center"/>
    </xf>
    <xf applyAlignment="1" applyBorder="1" applyFill="1" applyFont="1" borderId="39" fillId="0" fontId="69" numFmtId="0" xfId="0">
      <alignment horizontal="center" vertical="center"/>
    </xf>
    <xf applyAlignment="1" applyFont="1" borderId="0" fillId="0" fontId="69" numFmtId="0" xfId="0">
      <alignment horizontal="left" vertical="top"/>
    </xf>
    <xf applyAlignment="1" applyBorder="1" applyFont="1" borderId="13" fillId="0" fontId="5" numFmtId="0" xfId="0">
      <alignment horizontal="left" vertical="center" wrapText="1"/>
    </xf>
    <xf applyAlignment="1" applyBorder="1" applyFont="1" borderId="21" fillId="0" fontId="5" numFmtId="0" xfId="0">
      <alignment horizontal="left" vertical="center" wrapText="1"/>
    </xf>
    <xf applyAlignment="1" applyBorder="1" applyFont="1" borderId="14" fillId="0" fontId="5" numFmtId="0" xfId="0">
      <alignment horizontal="left" vertical="center" wrapText="1"/>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2" fillId="0" fontId="11" numFmtId="0" xfId="0">
      <alignment horizontal="left" vertical="center" wrapText="1"/>
    </xf>
    <xf applyAlignment="1" applyBorder="1" applyFont="1" borderId="15" fillId="0" fontId="11" numFmtId="0" xfId="0">
      <alignment horizontal="left" vertical="center" wrapText="1"/>
    </xf>
    <xf applyAlignment="1" applyBorder="1" applyFont="1" borderId="16" fillId="0" fontId="11" numFmtId="0" xfId="0">
      <alignment horizontal="left" vertical="center" wrapText="1"/>
    </xf>
    <xf applyAlignment="1" applyBorder="1" applyFill="1" applyFont="1" borderId="13" fillId="20" fontId="11" numFmtId="0" xfId="0">
      <alignment horizontal="left" vertical="center" wrapText="1"/>
    </xf>
    <xf applyAlignment="1" applyBorder="1" applyFill="1" applyFont="1" borderId="21" fillId="20" fontId="11" numFmtId="0" xfId="0">
      <alignment horizontal="left" vertical="center" wrapText="1"/>
    </xf>
    <xf applyAlignment="1" applyBorder="1" applyFill="1" applyFont="1" borderId="14" fillId="20" fontId="11" numFmtId="0" xfId="0">
      <alignment horizontal="left" vertical="center" wrapText="1"/>
    </xf>
    <xf applyAlignment="1" applyBorder="1" applyFont="1" borderId="11" fillId="0" fontId="11" numFmtId="0" xfId="0">
      <alignment vertical="center" wrapText="1"/>
    </xf>
    <xf applyAlignment="1" applyFont="1" borderId="0" fillId="0" fontId="11" numFmtId="0" xfId="0">
      <alignment horizontal="left" vertical="center"/>
    </xf>
    <xf applyAlignment="1" applyBorder="1" applyFont="1" borderId="13" fillId="0" fontId="11" numFmtId="0" xfId="0">
      <alignment horizontal="left" vertical="center" wrapText="1"/>
    </xf>
    <xf applyAlignment="1" applyBorder="1" applyFont="1" borderId="21" fillId="0" fontId="11" numFmtId="0" xfId="0">
      <alignment horizontal="left" vertical="center" wrapText="1"/>
    </xf>
    <xf applyAlignment="1" applyBorder="1" applyFont="1" borderId="14" fillId="0" fontId="11" numFmtId="0" xfId="0">
      <alignment horizontal="left" vertical="center" wrapText="1"/>
    </xf>
    <xf applyAlignment="1" applyFont="1" borderId="0" fillId="0" fontId="11" numFmtId="0" xfId="0">
      <alignment horizontal="center" vertical="center"/>
    </xf>
    <xf applyAlignment="1" applyFont="1" borderId="0" fillId="0" fontId="5" numFmtId="0" xfId="0">
      <alignment horizontal="left"/>
    </xf>
    <xf applyAlignment="1" applyBorder="1" applyFont="1" borderId="11" fillId="0" fontId="11" numFmtId="0" xfId="0">
      <alignment horizontal="center" vertical="center"/>
    </xf>
    <xf applyAlignment="1" applyBorder="1" applyFont="1" borderId="11" fillId="0" fontId="11" numFmtId="0" xfId="0">
      <alignment horizontal="justify" vertical="center"/>
    </xf>
    <xf applyAlignment="1" applyBorder="1" applyFont="1" borderId="12" fillId="0" fontId="11" numFmtId="0" xfId="0">
      <alignment horizontal="center" vertical="center"/>
    </xf>
    <xf applyAlignment="1" applyBorder="1" applyFont="1" borderId="15" fillId="0" fontId="11" numFmtId="0" xfId="0">
      <alignment horizontal="center" vertical="center"/>
    </xf>
    <xf applyAlignment="1" applyBorder="1" applyFont="1" borderId="16" fillId="0" fontId="11" numFmtId="0" xfId="0">
      <alignment horizontal="center" vertical="center"/>
    </xf>
    <xf applyAlignment="1" applyBorder="1" applyFont="1" borderId="13" fillId="0" fontId="5" numFmtId="0" xfId="0">
      <alignment horizontal="left" vertical="center"/>
    </xf>
    <xf applyAlignment="1" applyBorder="1" applyFont="1" borderId="21" fillId="0" fontId="5" numFmtId="0" xfId="0">
      <alignment horizontal="left" vertical="center"/>
    </xf>
    <xf applyAlignment="1" applyBorder="1" applyFont="1" borderId="14" fillId="0" fontId="5" numFmtId="0" xfId="0">
      <alignment horizontal="left" vertical="center"/>
    </xf>
    <xf applyAlignment="1" applyBorder="1" applyFont="1" borderId="11" fillId="0" fontId="5" numFmtId="0" xfId="0">
      <alignment horizontal="left" vertical="center" wrapText="1"/>
    </xf>
    <xf applyAlignment="1" applyFont="1" borderId="0" fillId="0" fontId="5" numFmtId="0" xfId="0"/>
    <xf applyAlignment="1" applyBorder="1" applyFont="1" borderId="11" fillId="0" fontId="5" numFmtId="0" xfId="0">
      <alignment horizontal="left" vertical="center"/>
    </xf>
    <xf applyAlignment="1" applyBorder="1" applyFont="1" borderId="12" fillId="0" fontId="5" numFmtId="0" xfId="0">
      <alignment horizontal="left" vertical="center" wrapText="1"/>
    </xf>
    <xf applyAlignment="1" applyBorder="1" applyFont="1" borderId="15" fillId="0" fontId="5" numFmtId="0" xfId="0">
      <alignment horizontal="left" vertical="center" wrapText="1"/>
    </xf>
    <xf applyAlignment="1" applyBorder="1" applyFont="1" borderId="16" fillId="0" fontId="5" numFmtId="0" xfId="0">
      <alignment horizontal="left" vertical="center" wrapText="1"/>
    </xf>
    <xf applyAlignment="1" applyBorder="1" applyFill="1" applyFont="1" borderId="25" fillId="0" fontId="11" numFmtId="0" xfId="0">
      <alignment horizontal="left" vertical="center" wrapText="1"/>
    </xf>
    <xf applyAlignment="1" applyBorder="1" applyFill="1" applyFont="1" borderId="26" fillId="0" fontId="11" numFmtId="0" xfId="0">
      <alignment horizontal="left" vertical="center" wrapText="1"/>
    </xf>
    <xf applyAlignment="1" applyBorder="1" applyFill="1" applyFont="1" borderId="27" fillId="0" fontId="11" numFmtId="0" xfId="0">
      <alignment horizontal="left" vertical="center" wrapText="1"/>
    </xf>
    <xf applyAlignment="1" applyBorder="1" applyFont="1" borderId="11" fillId="0" fontId="11" numFmtId="0" xfId="0">
      <alignment horizontal="justify"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5" numFmtId="0" xfId="0">
      <alignment horizontal="center" vertical="top" wrapText="1"/>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wrapText="1"/>
    </xf>
    <xf applyAlignment="1" applyFont="1" borderId="0" fillId="0" fontId="3" numFmtId="0" xfId="0">
      <alignment horizontal="center" vertical="center"/>
    </xf>
    <xf applyAlignment="1" applyBorder="1" applyFont="1" borderId="28" fillId="0" fontId="5" numFmtId="0" xfId="0">
      <alignment horizontal="left" vertical="top" wrapText="1"/>
    </xf>
    <xf applyAlignment="1" applyBorder="1" applyFont="1" borderId="23" fillId="0" fontId="5" numFmtId="0" xfId="0">
      <alignment horizontal="left" vertical="top" wrapText="1"/>
    </xf>
    <xf applyAlignment="1" applyBorder="1" applyFont="1" borderId="29" fillId="0" fontId="5" numFmtId="0" xfId="0">
      <alignment horizontal="left" vertical="top" wrapText="1"/>
    </xf>
    <xf applyAlignment="1" applyFont="1" borderId="0" fillId="0" fontId="3" numFmtId="0" xfId="0">
      <alignment horizontal="center" vertical="center" wrapText="1"/>
    </xf>
    <xf applyAlignment="1" applyBorder="1" applyFont="1" borderId="11" fillId="0" fontId="5" numFmtId="0" xfId="0">
      <alignment vertical="center" wrapText="1"/>
    </xf>
    <xf applyAlignment="1" applyBorder="1" applyFill="1" applyFont="1" borderId="11" fillId="0" fontId="5" numFmtId="0" xfId="0">
      <alignment horizontal="left" vertical="center" wrapText="1"/>
    </xf>
    <xf applyAlignment="1" applyBorder="1" applyFill="1" applyFont="1" borderId="11" fillId="0" fontId="5" numFmtId="0" xfId="0">
      <alignment vertical="center" wrapText="1"/>
    </xf>
    <xf applyAlignment="1" applyBorder="1" applyFill="1" applyFont="1" borderId="13" fillId="0" fontId="5" numFmtId="0" xfId="0">
      <alignment horizontal="left" vertical="center" wrapText="1"/>
    </xf>
    <xf applyAlignment="1" applyBorder="1" applyFill="1" applyFont="1" borderId="14" fillId="0" fontId="5" numFmtId="0" xfId="0">
      <alignment horizontal="left" vertical="center" wrapText="1"/>
    </xf>
    <xf applyAlignment="1" applyBorder="1" applyFill="1" applyFont="1" borderId="11" fillId="0" fontId="5" numFmtId="0" xfId="0">
      <alignment horizontal="justify" vertical="center" wrapText="1"/>
    </xf>
    <xf applyAlignment="1" applyBorder="1" applyFill="1" applyFont="1" borderId="25" fillId="0" fontId="5" numFmtId="0" xfId="0">
      <alignment horizontal="left" vertical="center" wrapText="1"/>
    </xf>
    <xf applyAlignment="1" applyBorder="1" applyFill="1" applyFont="1" borderId="27" fillId="0" fontId="5" numFmtId="0" xfId="0">
      <alignment horizontal="left" vertical="center" wrapText="1"/>
    </xf>
    <xf applyAlignment="1" applyFont="1" borderId="0" fillId="0" fontId="7" numFmtId="0" xfId="0">
      <alignment horizontal="center"/>
    </xf>
    <xf applyAlignment="1" applyBorder="1" applyFill="1" applyFont="1" borderId="11" fillId="12" fontId="5" numFmtId="0" xfId="0">
      <alignment horizontal="left" vertical="center"/>
    </xf>
    <xf applyAlignment="1" applyBorder="1" applyFill="1" applyFont="1" borderId="11" fillId="7" fontId="9" numFmtId="0" xfId="0">
      <alignment horizontal="center" vertical="center"/>
    </xf>
    <xf applyAlignment="1" applyBorder="1" applyFill="1" applyFont="1" borderId="11" fillId="13" fontId="2" numFmtId="0" xfId="0">
      <alignment horizontal="center" vertical="center"/>
    </xf>
    <xf applyAlignment="1" applyBorder="1" applyFill="1" applyFont="1" borderId="13" fillId="13" fontId="7" numFmtId="0" xfId="0">
      <alignment horizontal="center" vertical="center"/>
    </xf>
    <xf applyAlignment="1" applyBorder="1" applyFill="1" applyFont="1" borderId="14" fillId="13" fontId="7" numFmtId="0" xfId="0">
      <alignment horizontal="center" vertical="center"/>
    </xf>
    <xf applyAlignment="1" applyBorder="1" applyFill="1" applyFont="1" borderId="12" fillId="12" fontId="2" numFmtId="0" xfId="0">
      <alignment horizontal="center" vertical="center" wrapText="1"/>
    </xf>
    <xf applyAlignment="1" applyBorder="1" applyFill="1" applyFont="1" borderId="15" fillId="12" fontId="2" numFmtId="0" xfId="0">
      <alignment horizontal="center" vertical="center" wrapText="1"/>
    </xf>
    <xf applyAlignment="1" applyBorder="1" applyFill="1" applyFont="1" borderId="16" fillId="12" fontId="2" numFmtId="0" xfId="0">
      <alignment horizontal="center" vertical="center" wrapText="1"/>
    </xf>
    <xf applyAlignment="1" applyBorder="1" applyFill="1" applyFont="1" borderId="11" fillId="12" fontId="2" numFmtId="0" xfId="0">
      <alignment horizontal="left" vertical="center"/>
    </xf>
    <xf applyAlignment="1" applyBorder="1" applyFill="1" applyFont="1" borderId="11" fillId="2" fontId="22" numFmtId="0" xfId="0">
      <alignment horizontal="center" vertical="center"/>
    </xf>
    <xf applyAlignment="1" applyBorder="1" applyFill="1" applyFont="1" borderId="11" fillId="12" fontId="2" numFmtId="0" xfId="0">
      <alignment horizontal="left" vertical="center" wrapText="1"/>
    </xf>
    <xf applyAlignment="1" applyBorder="1" applyFill="1" applyFont="1" borderId="11" fillId="12" fontId="33" numFmtId="0" xfId="0">
      <alignment horizontal="center" vertical="center" wrapText="1"/>
    </xf>
    <xf applyAlignment="1" applyBorder="1" applyFill="1" applyFont="1" borderId="11" fillId="12" fontId="33" numFmtId="0" xfId="0">
      <alignment horizontal="left" vertical="center"/>
    </xf>
    <xf applyAlignment="1" applyBorder="1" applyFill="1" applyFont="1" borderId="11" fillId="12" fontId="2" numFmtId="0" xfId="0">
      <alignment horizontal="center" vertical="center" wrapText="1"/>
    </xf>
    <xf applyAlignment="1" applyBorder="1" applyFill="1" applyFont="1" borderId="11" fillId="2" fontId="22" numFmtId="0" xfId="0">
      <alignment horizontal="center" vertical="center" wrapText="1"/>
    </xf>
    <xf applyAlignment="1" applyBorder="1" applyFill="1" applyFont="1" borderId="13" fillId="12" fontId="2" numFmtId="0" xfId="0">
      <alignment horizontal="left" vertical="center" wrapText="1"/>
    </xf>
    <xf applyAlignment="1" applyBorder="1" applyFill="1" applyFont="1" borderId="14" fillId="12" fontId="2" numFmtId="0" xfId="0">
      <alignment horizontal="left" vertical="center" wrapText="1"/>
    </xf>
    <xf applyAlignment="1" applyBorder="1" applyFill="1" applyFont="1" borderId="11" fillId="2" fontId="23" numFmtId="0" xfId="0">
      <alignment horizontal="center" vertical="center" wrapText="1"/>
    </xf>
    <xf applyAlignment="1" applyBorder="1" applyFill="1" applyFont="1" borderId="11" fillId="12" fontId="93" numFmtId="0" xfId="0">
      <alignment horizontal="left" vertical="center" wrapText="1"/>
    </xf>
    <xf applyAlignment="1" applyBorder="1" applyFill="1" applyFont="1" borderId="11" fillId="12" fontId="33" numFmtId="0" xfId="0">
      <alignment horizontal="left" vertical="center" wrapText="1"/>
    </xf>
    <xf applyAlignment="1" applyBorder="1" applyFill="1" applyFont="1" borderId="11" fillId="12" fontId="93" numFmtId="0" xfId="0">
      <alignment horizontal="left" vertical="center"/>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ill="1" applyFont="1" borderId="14"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applyNumberFormat="1" borderId="13" fillId="0" fontId="2" numFmtId="171" xfId="0">
      <alignment horizontal="left" vertical="top" wrapText="1"/>
    </xf>
    <xf applyAlignment="1" applyBorder="1" applyFill="1" applyFont="1" applyNumberFormat="1" borderId="21" fillId="0" fontId="2" numFmtId="171" xfId="0">
      <alignment horizontal="left" vertical="top" wrapText="1"/>
    </xf>
    <xf applyAlignment="1" applyBorder="1" applyFill="1" applyFont="1" applyNumberFormat="1" borderId="14" fillId="0" fontId="2" numFmtId="171" xfId="0">
      <alignment horizontal="left" vertical="top" wrapText="1"/>
    </xf>
    <xf applyAlignment="1" applyBorder="1" applyFont="1" borderId="13" fillId="0" fontId="2" numFmtId="0" xfId="0">
      <alignment horizontal="left" vertical="center"/>
    </xf>
    <xf applyAlignment="1" applyBorder="1" applyFont="1" borderId="21" fillId="0" fontId="2" numFmtId="0" xfId="0">
      <alignment horizontal="left" vertical="center"/>
    </xf>
    <xf applyAlignment="1" applyBorder="1" applyFont="1" borderId="14" fillId="0" fontId="2" numFmtId="0" xfId="0">
      <alignment horizontal="left" vertical="center"/>
    </xf>
    <xf applyAlignment="1" applyBorder="1" applyFill="1" applyFont="1" borderId="11" fillId="14" fontId="33" numFmtId="0" xfId="0">
      <alignment horizontal="center" vertical="center"/>
    </xf>
    <xf applyAlignment="1" applyBorder="1" applyFill="1" applyFont="1" borderId="12" fillId="0" fontId="2" numFmtId="0" xfId="0">
      <alignment horizontal="center" textRotation="90" vertical="center"/>
    </xf>
    <xf applyAlignment="1" applyBorder="1" applyFill="1" applyFont="1" borderId="15" fillId="0" fontId="2" numFmtId="0" xfId="0">
      <alignment horizontal="center" textRotation="90" vertical="center"/>
    </xf>
    <xf applyAlignment="1" applyBorder="1" applyFill="1" applyFont="1" borderId="11" fillId="12" fontId="33" numFmtId="0" xfId="0">
      <alignment horizontal="center" vertical="center"/>
    </xf>
    <xf applyAlignment="1" applyBorder="1" applyFill="1" applyFont="1" borderId="11" fillId="0" fontId="2" numFmtId="0" xfId="0">
      <alignment horizontal="center" textRotation="90" vertical="center"/>
    </xf>
    <xf applyAlignment="1" applyBorder="1" applyFill="1" applyFont="1" borderId="11" fillId="20" fontId="11" numFmtId="0" xfId="0">
      <alignment horizontal="left" vertical="center" wrapText="1"/>
    </xf>
    <xf applyAlignment="1" applyFont="1" borderId="0" fillId="0" fontId="5" numFmtId="0" xfId="0">
      <alignment horizontal="left" vertical="top" wrapText="1"/>
    </xf>
    <xf applyAlignment="1" applyBorder="1" applyFont="1" borderId="12" fillId="0" fontId="5" numFmtId="0" xfId="0">
      <alignment horizontal="center" vertical="top" wrapText="1"/>
    </xf>
    <xf applyAlignment="1" applyBorder="1" applyFont="1" borderId="15" fillId="0" fontId="5" numFmtId="0" xfId="0">
      <alignment horizontal="center" vertical="top" wrapText="1"/>
    </xf>
    <xf applyAlignment="1" applyBorder="1" applyFont="1" borderId="16" fillId="0" fontId="5" numFmtId="0" xfId="0">
      <alignment horizontal="center" vertical="top" wrapText="1"/>
    </xf>
    <xf applyAlignment="1" applyBorder="1" applyFont="1" borderId="12" fillId="0" fontId="5" numFmtId="0" xfId="0">
      <alignment horizontal="center" vertical="center" wrapText="1"/>
    </xf>
    <xf applyAlignment="1" applyBorder="1" applyFont="1" borderId="16"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vertical="center" wrapText="1"/>
    </xf>
    <xf applyAlignment="1" applyBorder="1" applyFill="1" applyFont="1" borderId="25" fillId="20" fontId="11" numFmtId="0" xfId="0">
      <alignment horizontal="left" vertical="center" wrapText="1"/>
    </xf>
    <xf applyAlignment="1" applyBorder="1" applyFill="1" applyFont="1" borderId="26" fillId="20" fontId="11" numFmtId="0" xfId="0">
      <alignment horizontal="left" vertical="center" wrapText="1"/>
    </xf>
    <xf applyAlignment="1" applyBorder="1" applyFill="1" applyFont="1" borderId="27" fillId="20" fontId="11" numFmtId="0" xfId="0">
      <alignment horizontal="left" vertical="center" wrapText="1"/>
    </xf>
    <xf applyAlignment="1" applyBorder="1" applyFill="1" applyFont="1" borderId="20" fillId="20" fontId="11" numFmtId="0" xfId="0">
      <alignment horizontal="left" vertical="center" wrapText="1"/>
    </xf>
    <xf applyAlignment="1" applyBorder="1" applyFill="1" applyFont="1" borderId="0" fillId="20" fontId="11" numFmtId="0" xfId="0">
      <alignment horizontal="left" vertical="center" wrapText="1"/>
    </xf>
    <xf applyAlignment="1" applyBorder="1" applyFill="1" applyFont="1" borderId="24" fillId="20" fontId="11" numFmtId="0" xfId="0">
      <alignment horizontal="left" vertical="center" wrapText="1"/>
    </xf>
    <xf applyAlignment="1" applyBorder="1" applyFill="1" applyFont="1" borderId="28" fillId="20" fontId="11" numFmtId="0" xfId="0">
      <alignment vertical="center" wrapText="1"/>
    </xf>
    <xf applyAlignment="1" applyBorder="1" applyFill="1" applyFont="1" borderId="23" fillId="20" fontId="11" numFmtId="0" xfId="0">
      <alignment vertical="center" wrapText="1"/>
    </xf>
    <xf applyAlignment="1" applyBorder="1" applyFill="1" applyFont="1" borderId="29" fillId="20" fontId="11" numFmtId="0" xfId="0">
      <alignment vertical="center" wrapText="1"/>
    </xf>
    <xf applyAlignment="1" applyBorder="1" applyFill="1" applyFont="1" borderId="15" fillId="20" fontId="11" numFmtId="0" xfId="0">
      <alignment horizontal="center" vertical="center" wrapText="1"/>
    </xf>
    <xf applyAlignment="1" applyBorder="1" applyFont="1" borderId="12" fillId="0" fontId="11" numFmtId="0" xfId="0">
      <alignment horizontal="center" vertical="center" wrapText="1"/>
    </xf>
    <xf applyAlignment="1" applyBorder="1" applyFont="1" borderId="15" fillId="0" fontId="11" numFmtId="0" xfId="0">
      <alignment horizontal="center" vertical="center" wrapText="1"/>
    </xf>
    <xf applyAlignment="1" applyBorder="1" applyFont="1" borderId="16" fillId="0" fontId="11" numFmtId="0" xfId="0">
      <alignment horizontal="center" vertical="center" wrapText="1"/>
    </xf>
    <xf applyAlignment="1" applyBorder="1" applyFill="1" applyFont="1" borderId="11" fillId="20" fontId="11" numFmtId="0" xfId="0">
      <alignment horizontal="left" indent="1" vertical="center" wrapText="1"/>
    </xf>
    <xf applyAlignment="1" applyBorder="1" applyFont="1" applyNumberFormat="1" borderId="12" fillId="0" fontId="18" numFmtId="165" xfId="0">
      <alignment horizontal="center" vertical="center" wrapText="1"/>
    </xf>
    <xf applyAlignment="1" applyBorder="1" applyFont="1" applyNumberFormat="1" borderId="15" fillId="0" fontId="18" numFmtId="165" xfId="0">
      <alignment horizontal="center" vertical="center" wrapText="1"/>
    </xf>
    <xf applyAlignment="1" applyBorder="1" applyFont="1" applyNumberFormat="1" borderId="16" fillId="0" fontId="18" numFmtId="165" xfId="0">
      <alignment horizontal="center" vertical="center" wrapText="1"/>
    </xf>
    <xf applyAlignment="1" applyBorder="1" applyFont="1" borderId="11" fillId="0" fontId="5" numFmtId="0" xfId="0">
      <alignment horizontal="center" vertical="center" wrapText="1"/>
    </xf>
    <xf applyAlignment="1" applyBorder="1" applyFont="1" applyNumberFormat="1" borderId="12" fillId="0" fontId="18" numFmtId="165" xfId="0">
      <alignment horizontal="left" vertical="center" wrapText="1"/>
    </xf>
    <xf applyAlignment="1" applyBorder="1" applyFont="1" applyNumberFormat="1" borderId="15" fillId="0" fontId="18" numFmtId="165" xfId="0">
      <alignment horizontal="left" vertical="center" wrapText="1"/>
    </xf>
    <xf applyAlignment="1" applyBorder="1" applyFont="1" applyNumberFormat="1" borderId="16" fillId="0" fontId="18" numFmtId="165" xfId="0">
      <alignment horizontal="left" vertical="center" wrapText="1"/>
    </xf>
    <xf applyAlignment="1" applyBorder="1" applyFont="1" borderId="15" fillId="0" fontId="5" numFmtId="0" xfId="0">
      <alignment horizontal="center" vertical="center" wrapText="1"/>
    </xf>
    <xf applyAlignment="1" applyBorder="1" applyFill="1" applyFont="1" borderId="0" fillId="0" fontId="5" numFmtId="0" xfId="0">
      <alignment horizontal="left" vertical="center" wrapText="1"/>
    </xf>
    <xf applyAlignment="1" applyBorder="1" applyFill="1" applyFont="1" borderId="13" fillId="0" fontId="5" numFmtId="0" xfId="0">
      <alignment horizontal="center" vertical="center" wrapText="1"/>
    </xf>
    <xf applyAlignment="1" applyBorder="1" applyFill="1" applyFont="1" borderId="21" fillId="0" fontId="5" numFmtId="0" xfId="0">
      <alignment horizontal="center" vertical="center" wrapText="1"/>
    </xf>
    <xf applyAlignment="1" applyBorder="1" applyFont="1" borderId="0" fillId="0" fontId="38" numFmtId="0" xfId="0">
      <alignment horizontal="center" vertical="center"/>
    </xf>
    <xf applyAlignment="1" applyBorder="1" applyFill="1" applyFont="1" borderId="11" fillId="0" fontId="5" numFmtId="0" xfId="0">
      <alignment horizontal="center" vertical="center" wrapText="1"/>
    </xf>
    <xf applyAlignment="1" applyBorder="1" applyFont="1" borderId="0" fillId="0" fontId="46" numFmtId="0" xfId="0">
      <alignment horizontal="center" vertical="center"/>
    </xf>
    <xf applyAlignment="1" applyBorder="1" applyFill="1" applyFont="1" borderId="27" fillId="0" fontId="5" numFmtId="0" xfId="0">
      <alignment horizontal="center" vertical="center" wrapText="1"/>
    </xf>
    <xf applyAlignment="1" applyBorder="1" applyFill="1" applyFont="1" borderId="29" fillId="0" fontId="5" numFmtId="0" xfId="0">
      <alignment horizontal="center" vertical="center" wrapText="1"/>
    </xf>
    <xf applyAlignment="1" applyFont="1" applyNumberFormat="1" borderId="0" fillId="0" fontId="87" numFmtId="0" xfId="0">
      <alignment horizontal="left"/>
    </xf>
    <xf applyAlignment="1" applyFill="1" applyFont="1" borderId="0" fillId="18" fontId="2" numFmtId="0" xfId="0">
      <alignment horizontal="center" vertical="center"/>
    </xf>
    <xf applyAlignment="1" applyBorder="1" applyFill="1" applyFont="1" borderId="11" fillId="18" fontId="3" numFmtId="0" xfId="0">
      <alignment horizontal="center" vertical="center" wrapText="1"/>
    </xf>
    <xf applyAlignment="1" applyBorder="1" applyFill="1" applyFont="1" borderId="11" fillId="18" fontId="7" numFmtId="0" xfId="0">
      <alignment horizontal="center" vertical="center" wrapText="1"/>
    </xf>
    <xf applyAlignment="1" applyBorder="1" applyFill="1" applyFont="1" borderId="13" fillId="18" fontId="7" numFmtId="0" xfId="0">
      <alignment horizontal="center" vertical="center" wrapText="1"/>
    </xf>
    <xf applyAlignment="1" applyBorder="1" applyFill="1" applyFont="1" borderId="21" fillId="18" fontId="7" numFmtId="0" xfId="0">
      <alignment horizontal="center" vertical="center" wrapText="1"/>
    </xf>
    <xf applyAlignment="1" applyBorder="1" applyFill="1" applyFont="1" borderId="14" fillId="18" fontId="7" numFmtId="0" xfId="0">
      <alignment horizontal="center" vertical="center" wrapText="1"/>
    </xf>
    <xf applyAlignment="1" applyBorder="1" applyFill="1" applyFont="1" borderId="25" fillId="18" fontId="7" numFmtId="0" xfId="0">
      <alignment horizontal="center" vertical="center" wrapText="1"/>
    </xf>
    <xf applyAlignment="1" applyBorder="1" applyFill="1" applyFont="1" borderId="27" fillId="18" fontId="7" numFmtId="0" xfId="0">
      <alignment horizontal="center" vertical="center" wrapText="1"/>
    </xf>
    <xf applyAlignment="1" applyBorder="1" applyFill="1" applyFont="1" borderId="28" fillId="18" fontId="7" numFmtId="0" xfId="0">
      <alignment horizontal="center" vertical="center" wrapText="1"/>
    </xf>
    <xf applyAlignment="1" applyBorder="1" applyFill="1" applyFont="1" borderId="29" fillId="18" fontId="7" numFmtId="0" xfId="0">
      <alignment horizontal="center" vertical="center" wrapText="1"/>
    </xf>
    <xf applyAlignment="1" applyFill="1" applyFont="1" borderId="0" fillId="18" fontId="2" numFmtId="0" xfId="0">
      <alignment horizontal="left"/>
    </xf>
    <xf applyAlignment="1" applyBorder="1" applyFill="1" applyFont="1" borderId="11" fillId="18" fontId="5" numFmtId="0" xfId="0">
      <alignment horizontal="center" vertical="center" wrapText="1"/>
    </xf>
    <xf applyAlignment="1" applyBorder="1" applyFill="1" applyFont="1" borderId="11" fillId="18" fontId="2" numFmtId="0" xfId="0">
      <alignment horizontal="center" vertical="center" wrapText="1"/>
    </xf>
    <xf applyAlignment="1" applyBorder="1" applyFill="1" applyFont="1" borderId="0" fillId="18" fontId="2" numFmtId="0" xfId="0">
      <alignment horizontal="right" vertical="center"/>
    </xf>
    <xf applyAlignment="1" applyFill="1" applyFont="1" borderId="0" fillId="18" fontId="2" numFmtId="0" xfId="0">
      <alignment horizontal="left" vertical="center"/>
    </xf>
    <xf applyAlignment="1" applyBorder="1" applyFill="1" applyFont="1" borderId="13" fillId="20" fontId="11" numFmtId="0" xfId="0">
      <alignment vertical="center" wrapText="1"/>
    </xf>
    <xf applyAlignment="1" applyBorder="1" applyFill="1" applyFont="1" borderId="14" fillId="20" fontId="11" numFmtId="0" xfId="0">
      <alignmen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Border="1" applyFill="1" applyFont="1" borderId="13" fillId="20" fontId="11" numFmtId="0" xfId="0">
      <alignment horizontal="left" vertical="top" wrapText="1"/>
    </xf>
    <xf applyAlignment="1" applyBorder="1" applyFill="1" applyFont="1" borderId="14" fillId="20" fontId="11" numFmtId="0" xfId="0">
      <alignment horizontal="left" vertical="top" wrapText="1"/>
    </xf>
    <xf applyAlignment="1" applyFont="1" applyNumberFormat="1" borderId="0" fillId="0" fontId="5" numFmtId="166" xfId="1">
      <alignment horizontal="left"/>
    </xf>
    <xf applyAlignment="1" applyFont="1" applyNumberFormat="1" borderId="0" fillId="0" fontId="5" numFmtId="166" xfId="1"/>
    <xf applyAlignment="1" applyBorder="1" applyFill="1" applyFont="1" applyNumberFormat="1" borderId="0" fillId="0" fontId="5" numFmtId="166" xfId="1">
      <alignment horizontal="left" vertical="center" wrapText="1"/>
    </xf>
    <xf applyAlignment="1" applyBorder="1" applyFill="1" applyFont="1" applyNumberFormat="1" borderId="0" fillId="18" fontId="2" numFmtId="166" xfId="1">
      <alignment horizontal="right" vertical="center"/>
    </xf>
    <xf applyAlignment="1" applyFont="1" borderId="0" fillId="0" fontId="5" numFmtId="0" xfId="0">
      <alignment horizontal="center"/>
    </xf>
    <xf applyAlignment="1" applyFont="1" borderId="0" fillId="0" fontId="2" numFmtId="0" xfId="0">
      <alignment horizontal="left" wrapText="1"/>
    </xf>
    <xf applyAlignment="1" applyBorder="1" applyFill="1" applyFont="1" applyNumberFormat="1" borderId="12" fillId="20" fontId="11" numFmtId="14" xfId="0">
      <alignment horizontal="center" vertical="center" wrapText="1"/>
    </xf>
    <xf applyAlignment="1" applyBorder="1" applyFill="1" applyFont="1" applyNumberFormat="1" borderId="16" fillId="20" fontId="11" numFmtId="14" xfId="0">
      <alignment horizontal="center" vertical="center" wrapText="1"/>
    </xf>
    <xf applyAlignment="1" applyBorder="1" applyFont="1" borderId="0" fillId="0" fontId="34" numFmtId="0" xfId="0">
      <alignment horizontal="center" vertical="center" wrapText="1"/>
    </xf>
    <xf applyAlignment="1" applyBorder="1" applyFont="1" borderId="0" fillId="0" fontId="34" numFmtId="0" xfId="0">
      <alignment horizontal="left" vertical="center" wrapText="1"/>
    </xf>
    <xf applyAlignment="1" applyBorder="1" applyFont="1" borderId="0" fillId="0" fontId="34" numFmtId="0" xfId="0">
      <alignment horizontal="left" vertical="top" wrapText="1"/>
    </xf>
    <xf applyAlignment="1" applyFont="1" borderId="0" fillId="0" fontId="34" numFmtId="0" xfId="0">
      <alignment horizontal="left" vertical="center" wrapText="1"/>
    </xf>
    <xf applyAlignment="1" applyFont="1" borderId="0" fillId="0" fontId="34" numFmtId="0" xfId="0">
      <alignment horizontal="center" vertical="center" wrapText="1"/>
    </xf>
    <xf applyAlignment="1" applyFont="1" borderId="0" fillId="0" fontId="34" numFmtId="0" xfId="0">
      <alignment horizontal="left" vertical="top" wrapText="1"/>
    </xf>
    <xf applyAlignment="1" applyBorder="1" applyFill="1" applyFont="1" borderId="0" fillId="18" fontId="2" numFmtId="0" xfId="0">
      <alignment horizontal="right"/>
    </xf>
    <xf applyAlignment="1" applyBorder="1" applyFill="1" applyFont="1" borderId="0" fillId="0" fontId="29" numFmtId="0" xfId="0">
      <alignment horizontal="center" vertical="center" wrapText="1"/>
    </xf>
    <xf applyAlignment="1" applyBorder="1" applyFont="1" borderId="0" fillId="0" fontId="11" numFmtId="0" xfId="0">
      <alignment horizontal="center" vertical="center"/>
    </xf>
    <xf applyAlignment="1" applyFont="1" borderId="0" fillId="0" fontId="2" numFmtId="0" xfId="0">
      <alignment horizontal="center" vertical="center" wrapText="1"/>
    </xf>
    <xf applyAlignment="1" applyBorder="1" applyFont="1" borderId="0" fillId="0" fontId="2" numFmtId="0" xfId="0">
      <alignment horizontal="center" vertical="center"/>
    </xf>
    <xf applyAlignment="1" applyBorder="1" applyFont="1" borderId="12" fillId="0" fontId="2" numFmtId="0" xfId="0">
      <alignment horizontal="left" vertical="center" wrapText="1"/>
    </xf>
    <xf applyAlignment="1" applyBorder="1" applyFont="1" borderId="15" fillId="0" fontId="2" numFmtId="0" xfId="0">
      <alignment horizontal="left" vertical="center" wrapText="1"/>
    </xf>
    <xf applyAlignment="1" applyBorder="1" applyFont="1" borderId="16" fillId="0" fontId="2" numFmtId="0" xfId="0">
      <alignment horizontal="left" vertical="center" wrapText="1"/>
    </xf>
    <xf applyAlignment="1" applyFont="1" borderId="0" fillId="0" fontId="2" numFmtId="0" xfId="0">
      <alignment horizontal="center" vertical="center"/>
    </xf>
    <xf applyAlignment="1" applyBorder="1" applyFont="1" borderId="12" fillId="0" fontId="2" numFmtId="0" xfId="0">
      <alignment vertical="center"/>
    </xf>
    <xf applyAlignment="1" applyBorder="1" applyFont="1" borderId="15" fillId="0" fontId="2" numFmtId="0" xfId="0">
      <alignment vertical="center"/>
    </xf>
    <xf applyAlignment="1" applyBorder="1" applyFont="1" borderId="16" fillId="0" fontId="2" numFmtId="0" xfId="0">
      <alignment vertical="center"/>
    </xf>
    <xf applyAlignment="1" applyBorder="1" applyFont="1" borderId="0" fillId="0" fontId="2" numFmtId="0" xfId="0">
      <alignment horizontal="left" vertical="center"/>
    </xf>
    <xf applyAlignment="1" applyBorder="1" applyFill="1" applyFont="1" borderId="11" fillId="28" fontId="11" numFmtId="0" xfId="0">
      <alignment vertical="center" wrapText="1"/>
    </xf>
    <xf applyAlignment="1" applyBorder="1" applyFill="1" applyFont="1" borderId="25" fillId="28" fontId="11" numFmtId="0" xfId="0">
      <alignment horizontal="left" vertical="center" wrapText="1"/>
    </xf>
    <xf applyAlignment="1" applyBorder="1" applyFill="1" applyFont="1" borderId="26" fillId="28" fontId="11" numFmtId="0" xfId="0">
      <alignment horizontal="left" vertical="center" wrapText="1"/>
    </xf>
    <xf applyAlignment="1" applyBorder="1" applyFill="1" applyFont="1" borderId="27" fillId="28" fontId="11" numFmtId="0" xfId="0">
      <alignment horizontal="left" vertical="center" wrapText="1"/>
    </xf>
    <xf applyAlignment="1" applyFont="1" borderId="0" fillId="0" fontId="5" numFmtId="0" xfId="0">
      <alignment horizontal="right" vertical="center" wrapText="1"/>
    </xf>
    <xf applyAlignment="1" applyBorder="1" applyFont="1" borderId="0" fillId="0" fontId="42" numFmtId="0" xfId="0">
      <alignment horizontal="center" vertical="center" wrapText="1"/>
    </xf>
    <xf applyAlignment="1" applyFont="1" applyNumberFormat="1" borderId="0" fillId="0" fontId="5" numFmtId="166" xfId="1">
      <alignment vertical="center"/>
    </xf>
    <xf applyAlignment="1" applyBorder="1" applyFont="1" borderId="20" fillId="0" fontId="42" numFmtId="0" xfId="0">
      <alignment horizontal="center" vertical="center" wrapText="1"/>
    </xf>
    <xf applyAlignment="1" applyFont="1" borderId="0" fillId="0" fontId="15" numFmtId="0" xfId="0">
      <alignment horizontal="center" vertical="center" wrapText="1"/>
    </xf>
    <xf applyAlignment="1" applyBorder="1" applyFill="1" applyFont="1" applyProtection="1" borderId="0" fillId="0" fontId="2" numFmtId="0" xfId="0">
      <alignment horizontal="left" vertical="top" wrapText="1"/>
      <protection locked="0"/>
    </xf>
    <xf applyAlignment="1" applyBorder="1" applyFont="1" borderId="13" fillId="0" fontId="5" numFmtId="0" xfId="0">
      <alignment horizontal="center"/>
    </xf>
    <xf applyAlignment="1" applyBorder="1" applyFont="1" borderId="14" fillId="0" fontId="5" numFmtId="0" xfId="0">
      <alignment horizontal="center"/>
    </xf>
    <xf applyAlignment="1" applyBorder="1" applyFont="1" borderId="11" fillId="0" fontId="3" numFmtId="0" xfId="0">
      <alignment horizontal="center" vertical="center"/>
    </xf>
    <xf applyAlignment="1" applyBorder="1" applyFill="1" applyFont="1" borderId="13" fillId="20" fontId="44" numFmtId="0" xfId="0">
      <alignment horizontal="center" vertical="center" wrapText="1"/>
    </xf>
    <xf applyAlignment="1" applyBorder="1" applyFill="1" applyFont="1" borderId="21" fillId="20" fontId="44" numFmtId="0" xfId="0">
      <alignment horizontal="center" vertical="center" wrapText="1"/>
    </xf>
    <xf applyAlignment="1" applyFont="1" borderId="0" fillId="0" fontId="45" numFmtId="0" xfId="0">
      <alignment horizontal="center" vertical="center"/>
    </xf>
    <xf applyAlignment="1" applyFont="1" borderId="0" fillId="0" fontId="5" numFmtId="0" xfId="0">
      <alignment horizontal="left" vertical="center"/>
    </xf>
    <xf applyAlignment="1" applyBorder="1" applyFont="1" borderId="11" fillId="0" fontId="5" numFmtId="0" xfId="0">
      <alignment horizontal="center" vertical="center"/>
    </xf>
    <xf applyAlignment="1" applyBorder="1" applyFill="1" applyFont="1" borderId="11" fillId="20" fontId="44" numFmtId="0" xfId="0">
      <alignment horizontal="center" vertical="center" wrapText="1"/>
    </xf>
    <xf applyAlignment="1" applyBorder="1" applyFill="1" applyFont="1" borderId="11" fillId="20" fontId="44" numFmtId="0" xfId="0">
      <alignment horizontal="left" vertical="center" wrapText="1"/>
    </xf>
    <xf applyAlignment="1" applyBorder="1" applyFont="1" borderId="11" fillId="0" fontId="5" numFmtId="0" xfId="0">
      <alignment horizontal="center" textRotation="90" vertical="center" wrapText="1"/>
    </xf>
    <xf applyAlignment="1" applyBorder="1" applyFont="1" applyNumberFormat="1" borderId="12" fillId="0" fontId="5" numFmtId="166" xfId="1">
      <alignment horizontal="center" vertical="center" wrapText="1"/>
    </xf>
    <xf applyAlignment="1" applyBorder="1" applyFont="1" applyNumberFormat="1" borderId="16" fillId="0" fontId="5" numFmtId="166" xfId="1">
      <alignment horizontal="center" vertical="center" wrapText="1"/>
    </xf>
    <xf applyAlignment="1" applyBorder="1" applyFont="1" applyNumberFormat="1" borderId="11" fillId="0" fontId="5" numFmtId="166" xfId="1">
      <alignment horizontal="center" vertical="center"/>
    </xf>
    <xf applyAlignment="1" applyBorder="1" applyFont="1" applyNumberFormat="1" borderId="11" fillId="0" fontId="5" numFmtId="166" xfId="1">
      <alignment horizontal="center" textRotation="90" vertical="center" wrapText="1"/>
    </xf>
    <xf applyAlignment="1" applyBorder="1" applyFont="1" borderId="12" fillId="0" fontId="5" numFmtId="0" xfId="0">
      <alignment horizontal="center" textRotation="90" vertical="center" wrapText="1"/>
    </xf>
    <xf applyAlignment="1" applyBorder="1" applyFont="1" borderId="15" fillId="0" fontId="5" numFmtId="0" xfId="0">
      <alignment horizontal="center" textRotation="90" vertical="center" wrapText="1"/>
    </xf>
    <xf applyAlignment="1" applyBorder="1" applyFont="1" borderId="16" fillId="0" fontId="5" numFmtId="0" xfId="0">
      <alignment horizontal="center" textRotation="90" vertical="center" wrapText="1"/>
    </xf>
    <xf applyAlignment="1" applyBorder="1" applyFill="1" applyFont="1" borderId="11" fillId="18" fontId="5" numFmtId="0" xfId="0">
      <alignment horizontal="center" textRotation="90" vertical="center" wrapText="1"/>
    </xf>
    <xf applyAlignment="1" applyBorder="1" applyFill="1" applyFont="1" applyNumberFormat="1" borderId="12" fillId="18" fontId="2" numFmtId="166" xfId="1">
      <alignment horizontal="center" vertical="center" wrapText="1"/>
    </xf>
    <xf applyAlignment="1" applyBorder="1" applyFill="1" applyFont="1" applyNumberFormat="1" borderId="16" fillId="18" fontId="2" numFmtId="166" xfId="1">
      <alignment horizontal="center" vertical="center" wrapText="1"/>
    </xf>
    <xf applyAlignment="1" applyBorder="1" applyFill="1" applyFont="1" borderId="12" fillId="18" fontId="5" numFmtId="0" xfId="0">
      <alignment horizontal="left" vertical="top" wrapText="1"/>
    </xf>
    <xf applyAlignment="1" applyBorder="1" applyFill="1" applyFont="1" borderId="15" fillId="18" fontId="5" numFmtId="0" xfId="0">
      <alignment horizontal="left" vertical="top" wrapText="1"/>
    </xf>
    <xf applyAlignment="1" applyBorder="1" applyFill="1" applyFont="1" borderId="16" fillId="18" fontId="5" numFmtId="0" xfId="0">
      <alignment horizontal="left" vertical="top" wrapText="1"/>
    </xf>
    <xf applyAlignment="1" applyBorder="1" applyFill="1" applyFont="1" borderId="11" fillId="18" fontId="5" numFmtId="0" xfId="0">
      <alignment horizontal="left" vertical="top" wrapText="1"/>
    </xf>
    <xf applyAlignment="1" applyBorder="1" applyFont="1" borderId="25" fillId="0" fontId="5" numFmtId="0" xfId="0">
      <alignment horizontal="center" vertical="center" wrapText="1"/>
    </xf>
    <xf applyAlignment="1" applyBorder="1" applyFont="1" borderId="27" fillId="0" fontId="5" numFmtId="0" xfId="0">
      <alignment horizontal="center" vertical="center" wrapText="1"/>
    </xf>
    <xf applyAlignment="1" applyBorder="1" applyFont="1" borderId="20" fillId="0" fontId="5" numFmtId="0" xfId="0">
      <alignment horizontal="center" vertical="center" wrapText="1"/>
    </xf>
    <xf applyAlignment="1" applyBorder="1" applyFont="1" borderId="24" fillId="0" fontId="5" numFmtId="0" xfId="0">
      <alignment horizontal="center" vertical="center" wrapText="1"/>
    </xf>
    <xf applyAlignment="1" applyBorder="1" applyFont="1" borderId="28" fillId="0" fontId="5" numFmtId="0" xfId="0">
      <alignment horizontal="center" vertical="center" wrapText="1"/>
    </xf>
    <xf applyAlignment="1" applyBorder="1" applyFont="1" borderId="29" fillId="0" fontId="5" numFmtId="0" xfId="0">
      <alignment horizontal="center" vertical="center" wrapText="1"/>
    </xf>
    <xf applyAlignment="1" applyFont="1" applyNumberFormat="1" borderId="0" fillId="0" fontId="5" numFmtId="166" xfId="1">
      <alignment horizontal="right" vertical="center"/>
    </xf>
    <xf applyAlignment="1" applyBorder="1" applyFill="1" applyFont="1" applyNumberFormat="1" borderId="11" fillId="0" fontId="5" numFmtId="166" xfId="1">
      <alignment horizontal="center" textRotation="90" vertical="center" wrapText="1"/>
    </xf>
    <xf applyAlignment="1" applyBorder="1" applyFill="1" applyFont="1" applyNumberFormat="1" borderId="11" fillId="0" fontId="5" numFmtId="2" xfId="0">
      <alignment horizontal="left" vertical="center" wrapText="1"/>
    </xf>
    <xf applyAlignment="1" applyBorder="1" applyFont="1" applyNumberFormat="1" borderId="13" fillId="0" fontId="5" numFmtId="166" xfId="1">
      <alignment horizontal="center" vertical="center" wrapText="1"/>
    </xf>
    <xf applyAlignment="1" applyBorder="1" applyFont="1" applyNumberFormat="1" borderId="14" fillId="0" fontId="5" numFmtId="166" xfId="1">
      <alignment horizontal="center" vertical="center" wrapText="1"/>
    </xf>
    <xf applyAlignment="1" applyBorder="1" applyFont="1" applyNumberFormat="1" borderId="11" fillId="0" fontId="5" numFmtId="166" xfId="1">
      <alignment horizontal="center" vertical="center" wrapText="1"/>
    </xf>
    <xf applyAlignment="1" applyFont="1" borderId="0" fillId="0" fontId="5" numFmtId="0" xfId="0">
      <alignment vertical="center"/>
    </xf>
    <xf applyAlignment="1" applyBorder="1" applyFont="1" applyNumberFormat="1" borderId="12" fillId="0" fontId="5" numFmtId="166" xfId="1">
      <alignment horizontal="center" textRotation="90" vertical="center" wrapText="1"/>
    </xf>
    <xf applyAlignment="1" applyBorder="1" applyFont="1" applyNumberFormat="1" borderId="16" fillId="0" fontId="5" numFmtId="166" xfId="1">
      <alignment horizontal="center" textRotation="90" vertical="center" wrapText="1"/>
    </xf>
    <xf applyAlignment="1" applyBorder="1" applyFill="1" applyFont="1" borderId="19" fillId="0" fontId="18" numFmtId="0" xfId="0">
      <alignment horizontal="center" vertical="center"/>
    </xf>
    <xf applyAlignment="1" applyBorder="1" applyFill="1" applyFont="1" borderId="4" fillId="0" fontId="18" numFmtId="0" xfId="0">
      <alignment horizontal="center" vertical="center"/>
    </xf>
    <xf applyAlignment="1" applyBorder="1" applyFill="1" applyFont="1" borderId="33" fillId="0" fontId="18" numFmtId="0" xfId="0">
      <alignment horizontal="center" vertical="center"/>
    </xf>
    <xf applyAlignment="1" applyBorder="1" applyFill="1" applyFont="1" borderId="32" fillId="0" fontId="18" numFmtId="0" xfId="0">
      <alignment horizontal="center" vertical="center"/>
    </xf>
    <xf applyAlignment="1" applyBorder="1" applyFill="1" applyFont="1" borderId="19" fillId="0" fontId="18" numFmtId="0" xfId="0">
      <alignment horizontal="center" vertical="center" wrapText="1"/>
    </xf>
    <xf applyAlignment="1" applyBorder="1" applyFill="1" applyFont="1" borderId="4" fillId="0" fontId="18" numFmtId="0" xfId="0">
      <alignment horizontal="center" vertical="center" wrapText="1"/>
    </xf>
    <xf applyAlignment="1" applyBorder="1" applyFill="1" applyFont="1" borderId="31" fillId="0" fontId="18" numFmtId="0" xfId="0">
      <alignment horizontal="center" vertical="center"/>
    </xf>
    <xf applyAlignment="1" applyBorder="1" applyFill="1" applyFont="1" borderId="18" fillId="0" fontId="18" numFmtId="0" xfId="0">
      <alignment horizontal="center" vertical="center"/>
    </xf>
    <xf applyAlignment="1" applyBorder="1" applyFont="1" borderId="11" fillId="0" fontId="5" numFmtId="0" xfId="0">
      <alignment vertical="center"/>
    </xf>
    <xf applyAlignment="1" applyBorder="1" applyFont="1" borderId="25" fillId="0" fontId="5" numFmtId="0" xfId="0">
      <alignment horizontal="left" vertical="center"/>
    </xf>
    <xf applyAlignment="1" applyBorder="1" applyFont="1" borderId="26" fillId="0" fontId="5" numFmtId="0" xfId="0">
      <alignment horizontal="left" vertical="center"/>
    </xf>
    <xf applyAlignment="1" applyBorder="1" applyFont="1" borderId="27" fillId="0" fontId="5" numFmtId="0" xfId="0">
      <alignment horizontal="left" vertical="center"/>
    </xf>
    <xf applyAlignment="1" applyBorder="1" applyFont="1" borderId="28" fillId="0" fontId="5" numFmtId="0" xfId="0">
      <alignment horizontal="left" vertical="center"/>
    </xf>
    <xf applyAlignment="1" applyBorder="1" applyFont="1" borderId="23" fillId="0" fontId="5" numFmtId="0" xfId="0">
      <alignment horizontal="left" vertical="center"/>
    </xf>
    <xf applyAlignment="1" applyBorder="1" applyFont="1" borderId="29" fillId="0" fontId="5" numFmtId="0" xfId="0">
      <alignment horizontal="left" vertical="center"/>
    </xf>
    <xf applyAlignment="1" applyBorder="1" applyFont="1" applyNumberFormat="1" borderId="11" fillId="0" fontId="5" numFmtId="2" xfId="0">
      <alignment vertical="center" wrapText="1"/>
    </xf>
    <xf applyAlignment="1" applyBorder="1" applyFont="1" borderId="11" fillId="0" fontId="5" numFmtId="43" xfId="1">
      <alignment vertical="center" wrapText="1"/>
    </xf>
    <xf applyAlignment="1" applyBorder="1" applyFont="1" applyNumberFormat="1" borderId="11" fillId="0" fontId="5" numFmtId="2" xfId="0">
      <alignment horizontal="right" vertical="center" wrapText="1"/>
    </xf>
    <xf applyAlignment="1" applyBorder="1" applyFont="1" borderId="11" fillId="0" fontId="5" numFmtId="43" xfId="1">
      <alignment horizontal="right" vertical="center" wrapText="1"/>
    </xf>
    <xf applyAlignment="1" applyBorder="1" applyFont="1" borderId="11" fillId="0" fontId="5" numFmtId="43" xfId="1">
      <alignment horizontal="center" vertical="center" wrapText="1"/>
    </xf>
    <xf applyAlignment="1" applyBorder="1" applyFont="1" applyNumberFormat="1" borderId="25" fillId="0" fontId="5" numFmtId="2" xfId="0">
      <alignment horizontal="right" vertical="center" wrapText="1"/>
    </xf>
    <xf applyAlignment="1" applyBorder="1" applyFont="1" applyNumberFormat="1" borderId="26" fillId="0" fontId="5" numFmtId="2" xfId="0">
      <alignment horizontal="right" vertical="center" wrapText="1"/>
    </xf>
    <xf applyAlignment="1" applyBorder="1" applyFont="1" applyNumberFormat="1" borderId="27" fillId="0" fontId="5" numFmtId="2" xfId="0">
      <alignment horizontal="right" vertical="center" wrapText="1"/>
    </xf>
    <xf applyAlignment="1" applyBorder="1" applyFont="1" applyNumberFormat="1" borderId="28" fillId="0" fontId="5" numFmtId="2" xfId="0">
      <alignment horizontal="right" vertical="center" wrapText="1"/>
    </xf>
    <xf applyAlignment="1" applyBorder="1" applyFont="1" applyNumberFormat="1" borderId="23" fillId="0" fontId="5" numFmtId="2" xfId="0">
      <alignment horizontal="right" vertical="center" wrapText="1"/>
    </xf>
    <xf applyAlignment="1" applyBorder="1" applyFont="1" applyNumberFormat="1" borderId="29" fillId="0" fontId="5" numFmtId="2" xfId="0">
      <alignment horizontal="right" vertical="center" wrapText="1"/>
    </xf>
    <xf applyAlignment="1" applyBorder="1" applyFont="1" borderId="11" fillId="0" fontId="3" numFmtId="0" xfId="0">
      <alignment vertical="center" wrapText="1"/>
    </xf>
    <xf applyAlignment="1" applyBorder="1" applyFont="1" borderId="11" fillId="0" fontId="5" numFmtId="0" xfId="0">
      <alignment horizontal="left" indent="5" vertical="center" wrapText="1"/>
    </xf>
    <xf applyAlignment="1" applyBorder="1" applyFont="1" borderId="11" fillId="0" fontId="8" numFmtId="0" xfId="0">
      <alignment vertical="center" wrapText="1"/>
    </xf>
    <xf applyAlignment="1" applyBorder="1" applyFont="1" borderId="11" fillId="0" fontId="3" numFmtId="0" xfId="0">
      <alignment horizontal="justify" vertical="center" wrapText="1"/>
    </xf>
    <xf applyAlignment="1" applyBorder="1" applyFont="1" borderId="11" fillId="0" fontId="5" numFmtId="0" xfId="0">
      <alignment vertical="top" wrapText="1"/>
    </xf>
    <xf applyAlignment="1" applyBorder="1" applyFont="1" borderId="11" fillId="0" fontId="3" numFmtId="0" xfId="0">
      <alignment horizontal="left" vertical="center" wrapText="1"/>
    </xf>
    <xf applyAlignment="1" applyBorder="1" applyFont="1" borderId="13" fillId="0" fontId="5" numFmtId="0" xfId="0">
      <alignment horizontal="justify" vertical="center"/>
    </xf>
    <xf applyAlignment="1" applyBorder="1" applyFont="1" borderId="21" fillId="0" fontId="5" numFmtId="0" xfId="0">
      <alignment horizontal="justify" vertical="center"/>
    </xf>
    <xf applyAlignment="1" applyBorder="1" applyFont="1" borderId="14" fillId="0" fontId="5" numFmtId="0" xfId="0">
      <alignment horizontal="justify" vertical="center"/>
    </xf>
    <xf applyAlignment="1" applyBorder="1" applyFont="1" borderId="11" fillId="0" fontId="8" numFmtId="0" xfId="0">
      <alignment horizontal="justify" vertical="center" wrapText="1"/>
    </xf>
    <xf applyAlignment="1" applyBorder="1" applyFont="1" borderId="11" fillId="0" fontId="5" numFmtId="0" xfId="0">
      <alignment horizontal="justify" vertical="center" wrapText="1"/>
    </xf>
    <xf applyAlignment="1" applyBorder="1" applyFill="1" applyFont="1" borderId="21" fillId="0" fontId="5" numFmtId="0" xfId="0">
      <alignment horizontal="left" vertical="center" wrapText="1"/>
    </xf>
    <xf applyAlignment="1" applyBorder="1" applyFont="1" borderId="11" fillId="0" fontId="2" numFmtId="0" xfId="0">
      <alignment horizontal="left" vertical="center" wrapText="1"/>
    </xf>
    <xf applyAlignment="1" applyBorder="1" applyFont="1" borderId="11" fillId="0" fontId="3" numFmtId="0" xfId="0">
      <alignment horizontal="center" vertical="center" wrapText="1"/>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ont="1" borderId="12" fillId="0" fontId="3" numFmtId="0" xfId="0">
      <alignment horizontal="center" vertical="center" wrapText="1"/>
    </xf>
    <xf applyAlignment="1" applyBorder="1" applyFont="1" borderId="16" fillId="0" fontId="3" numFmtId="0" xfId="0">
      <alignment horizontal="center" vertical="center" wrapText="1"/>
    </xf>
    <xf applyAlignment="1" applyBorder="1" applyFont="1" borderId="25" fillId="0" fontId="3" numFmtId="0" xfId="0">
      <alignment horizontal="left" vertical="center" wrapText="1"/>
    </xf>
    <xf applyAlignment="1" applyBorder="1" applyFont="1" borderId="26" fillId="0" fontId="3" numFmtId="0" xfId="0">
      <alignment horizontal="left" vertical="center" wrapText="1"/>
    </xf>
    <xf applyAlignment="1" applyBorder="1" applyFont="1" borderId="27" fillId="0" fontId="3" numFmtId="0" xfId="0">
      <alignment horizontal="left" vertical="center" wrapText="1"/>
    </xf>
    <xf applyAlignment="1" applyBorder="1" applyFont="1" borderId="28" fillId="0" fontId="3" numFmtId="0" xfId="0">
      <alignment horizontal="left" vertical="center" wrapText="1"/>
    </xf>
    <xf applyAlignment="1" applyBorder="1" applyFont="1" borderId="23" fillId="0" fontId="3" numFmtId="0" xfId="0">
      <alignment horizontal="left" vertical="center" wrapText="1"/>
    </xf>
    <xf applyAlignment="1" applyBorder="1" applyFont="1" borderId="29" fillId="0" fontId="3" numFmtId="0" xfId="0">
      <alignment horizontal="left" vertical="center" wrapText="1"/>
    </xf>
    <xf applyAlignment="1" applyFont="1" borderId="0" fillId="0" fontId="5" numFmtId="0" xfId="0">
      <alignment horizontal="right" vertical="center"/>
    </xf>
    <xf applyAlignment="1" applyBorder="1" applyFont="1" borderId="11" fillId="0" fontId="5" numFmtId="0" xfId="0">
      <alignment horizontal="left" indent="6" vertical="center" wrapText="1"/>
    </xf>
    <xf applyAlignment="1" applyBorder="1" applyFont="1" borderId="11" fillId="0" fontId="5" numFmtId="0" xfId="0">
      <alignment horizontal="left" indent="1" vertical="center" wrapText="1"/>
    </xf>
    <xf applyAlignment="1" applyBorder="1" applyFont="1" borderId="11" fillId="0" fontId="9" numFmtId="0" xfId="0">
      <alignment horizontal="left" indent="5" vertical="center" wrapText="1"/>
    </xf>
    <xf applyAlignment="1" applyBorder="1" applyFont="1" borderId="13" fillId="0" fontId="3" numFmtId="0" xfId="0">
      <alignment horizontal="center" vertical="center" wrapText="1"/>
    </xf>
    <xf applyAlignment="1" applyBorder="1" applyFont="1" borderId="21" fillId="0" fontId="3" numFmtId="0" xfId="0">
      <alignment horizontal="center" vertical="center" wrapText="1"/>
    </xf>
    <xf applyAlignment="1" applyBorder="1" applyFont="1" borderId="14" fillId="0" fontId="3" numFmtId="0" xfId="0">
      <alignment horizontal="center" vertical="center" wrapText="1"/>
    </xf>
    <xf applyAlignment="1" applyBorder="1" applyFont="1" borderId="13" fillId="0" fontId="5" numFmtId="0" xfId="0">
      <alignment horizontal="center" vertical="center" wrapText="1"/>
    </xf>
    <xf applyAlignment="1" applyBorder="1" applyFont="1" borderId="21" fillId="0" fontId="5" numFmtId="0" xfId="0">
      <alignment horizontal="center" vertical="center" wrapText="1"/>
    </xf>
    <xf applyAlignment="1" applyBorder="1" applyFont="1" borderId="14" fillId="0" fontId="5" numFmtId="0" xfId="0">
      <alignment horizontal="center" vertical="center" wrapText="1"/>
    </xf>
    <xf applyAlignment="1" applyBorder="1" applyFont="1" borderId="28" fillId="0" fontId="5" numFmtId="0" xfId="0">
      <alignment horizontal="left" vertical="center" wrapText="1"/>
    </xf>
    <xf applyAlignment="1" applyBorder="1" applyFont="1" borderId="29" fillId="0" fontId="5" numFmtId="0" xfId="0">
      <alignment horizontal="left" vertical="center" wrapText="1"/>
    </xf>
    <xf applyAlignment="1" applyBorder="1" applyFont="1" borderId="0" fillId="0" fontId="5" numFmtId="0" xfId="0">
      <alignment horizontal="center" vertical="center"/>
    </xf>
    <xf applyAlignment="1" applyBorder="1" applyFill="1" applyFont="1" borderId="12" fillId="20" fontId="11" numFmtId="0" xfId="0">
      <alignment horizontal="left" vertical="center" wrapText="1"/>
    </xf>
    <xf applyAlignment="1" applyBorder="1" applyFill="1" applyFont="1" borderId="15" fillId="20" fontId="11" numFmtId="0" xfId="0">
      <alignment horizontal="left" vertical="center" wrapText="1"/>
    </xf>
    <xf applyAlignment="1" applyBorder="1" applyFill="1" applyFont="1" borderId="16" fillId="20" fontId="11" numFmtId="0" xfId="0">
      <alignment horizontal="left" vertical="center" wrapText="1"/>
    </xf>
    <xf applyAlignment="1" applyBorder="1" applyFont="1" borderId="11" fillId="0" fontId="2" numFmtId="0" xfId="0">
      <alignment horizontal="center" vertical="center" wrapText="1"/>
    </xf>
    <xf applyAlignment="1" applyBorder="1" applyFont="1" borderId="25" fillId="0" fontId="2" numFmtId="0" xfId="0">
      <alignment horizontal="center" vertical="center" wrapText="1"/>
    </xf>
    <xf applyAlignment="1" applyBorder="1" applyFont="1" borderId="27" fillId="0" fontId="2" numFmtId="0" xfId="0">
      <alignment horizontal="center" vertical="center" wrapText="1"/>
    </xf>
    <xf applyAlignment="1" applyBorder="1" applyFont="1" borderId="12" fillId="0" fontId="89" numFmtId="0" xfId="0">
      <alignment horizontal="center" vertical="center" wrapText="1"/>
    </xf>
    <xf applyAlignment="1" applyBorder="1" applyFont="1" borderId="16" fillId="0" fontId="89" numFmtId="0" xfId="0">
      <alignment horizontal="center" vertical="center" wrapText="1"/>
    </xf>
    <xf applyAlignment="1" applyBorder="1" applyFill="1" applyFont="1" applyNumberFormat="1" borderId="12" fillId="0" fontId="18" numFmtId="0" xfId="0">
      <alignment horizontal="center" vertical="center" wrapText="1"/>
    </xf>
    <xf applyAlignment="1" applyBorder="1" applyFill="1" applyFont="1" applyNumberFormat="1" borderId="16" fillId="0" fontId="18" numFmtId="0" xfId="0">
      <alignment horizontal="center" vertical="center" wrapText="1"/>
    </xf>
    <xf applyAlignment="1" applyBorder="1" applyFont="1" borderId="28" fillId="0" fontId="2" numFmtId="0" xfId="0">
      <alignment horizontal="center" vertical="center" wrapText="1"/>
    </xf>
    <xf applyAlignment="1" applyBorder="1" applyFont="1" borderId="29" fillId="0" fontId="2" numFmtId="0" xfId="0">
      <alignment horizontal="center" vertical="center" wrapText="1"/>
    </xf>
    <xf applyAlignment="1" applyBorder="1" applyFont="1" borderId="13" fillId="0" fontId="11" numFmtId="0" xfId="0">
      <alignment horizontal="center" vertical="center" wrapText="1"/>
    </xf>
    <xf applyAlignment="1" applyBorder="1" applyFont="1" borderId="14" fillId="0" fontId="11" numFmtId="0" xfId="0">
      <alignment horizontal="center" vertical="center" wrapText="1"/>
    </xf>
    <xf applyAlignment="1" applyBorder="1" applyFont="1" borderId="21" fillId="0" fontId="14" numFmtId="0" xfId="0">
      <alignment horizontal="left" vertical="center" wrapText="1"/>
    </xf>
    <xf applyAlignment="1" applyBorder="1" applyFill="1" applyFont="1" borderId="13" fillId="7" fontId="73" numFmtId="0" xfId="0">
      <alignment horizontal="center" vertical="center" wrapText="1"/>
    </xf>
    <xf applyAlignment="1" applyBorder="1" applyFill="1" applyFont="1" borderId="14" fillId="7" fontId="73" numFmtId="0" xfId="0">
      <alignment horizontal="center" vertical="center" wrapText="1"/>
    </xf>
    <xf applyAlignment="1" applyFont="1" borderId="0" fillId="0" fontId="70" numFmtId="0" xfId="0">
      <alignment horizontal="right" vertical="center" wrapText="1"/>
    </xf>
    <xf applyAlignment="1" applyBorder="1" applyFont="1" borderId="13" fillId="0" fontId="5" numFmtId="0" xfId="0">
      <alignment horizontal="center" wrapText="1"/>
    </xf>
    <xf applyAlignment="1" applyBorder="1" applyFont="1" borderId="14" fillId="0" fontId="5" numFmtId="0" xfId="0">
      <alignment horizontal="center" wrapText="1"/>
    </xf>
    <xf applyAlignment="1" applyBorder="1" applyFont="1" borderId="0" fillId="0" fontId="11" numFmtId="0" xfId="0">
      <alignment horizontal="left" vertical="center" wrapText="1"/>
    </xf>
    <xf applyAlignment="1" applyBorder="1" applyFont="1" borderId="0" fillId="0" fontId="7" numFmtId="0" xfId="0">
      <alignment horizontal="center" vertical="center" wrapText="1"/>
    </xf>
    <xf applyAlignment="1" applyBorder="1" applyFont="1" borderId="0" fillId="0" fontId="7" numFmtId="0" xfId="0">
      <alignment horizontal="left" vertical="top" wrapText="1"/>
    </xf>
    <xf applyAlignment="1" applyBorder="1" applyFont="1" borderId="0" fillId="0" fontId="3" numFmtId="0" xfId="0">
      <alignment horizontal="left" vertical="top" wrapText="1"/>
    </xf>
    <xf applyAlignment="1" applyBorder="1" applyFont="1" borderId="13" fillId="0" fontId="2" numFmtId="0" xfId="0">
      <alignment horizontal="center" vertical="center" wrapText="1"/>
    </xf>
    <xf applyAlignment="1" applyBorder="1" applyFont="1" borderId="14" fillId="0" fontId="2" numFmtId="0" xfId="0">
      <alignment horizontal="center" vertical="center" wrapText="1"/>
    </xf>
    <xf applyAlignment="1" applyBorder="1" applyFont="1" borderId="21" fillId="0" fontId="5" numFmtId="0" xfId="0">
      <alignment horizontal="left" wrapText="1"/>
    </xf>
    <xf applyAlignment="1" applyBorder="1" applyFont="1" applyNumberFormat="1" borderId="11" fillId="0" fontId="5" numFmtId="172" xfId="0">
      <alignment horizontal="center" vertical="center" wrapText="1"/>
    </xf>
    <xf applyAlignment="1" applyBorder="1" applyFont="1" borderId="0" fillId="0" fontId="14" numFmtId="0" xfId="0">
      <alignment horizontal="left" vertical="center" wrapText="1"/>
    </xf>
    <xf applyAlignment="1" applyBorder="1" applyFill="1" applyFont="1" borderId="11" fillId="7" fontId="5" numFmtId="0" xfId="0">
      <alignment horizontal="center" vertical="center" wrapText="1"/>
    </xf>
    <xf applyAlignment="1" applyBorder="1" applyFont="1" borderId="11" fillId="0" fontId="5" numFmtId="0" xfId="0">
      <alignment horizontal="left" vertical="top" wrapText="1"/>
    </xf>
    <xf applyAlignment="1" applyBorder="1" applyFont="1" applyNumberFormat="1" borderId="13" fillId="0" fontId="5" numFmtId="172" xfId="0">
      <alignment horizontal="center" vertical="center" wrapText="1"/>
    </xf>
    <xf applyAlignment="1" applyBorder="1" applyFont="1" borderId="21" fillId="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11" fillId="20" fontId="73" numFmtId="0" xfId="0">
      <alignment horizontal="left" vertical="center" wrapText="1"/>
    </xf>
    <xf applyAlignment="1" applyBorder="1" applyFont="1" borderId="11" fillId="0" fontId="69" numFmtId="0" xfId="0">
      <alignment horizontal="center" wrapText="1"/>
    </xf>
    <xf applyAlignment="1" applyBorder="1" applyFont="1" borderId="0" fillId="0" fontId="71" numFmtId="0" xfId="0">
      <alignment horizontal="left" vertical="center" wrapText="1"/>
    </xf>
    <xf applyAlignment="1" applyBorder="1" applyFont="1" borderId="0" fillId="0" fontId="73" numFmtId="0" xfId="0">
      <alignment horizontal="left" vertical="center" wrapText="1"/>
    </xf>
    <xf applyAlignment="1" applyBorder="1" applyFont="1" borderId="12" fillId="0" fontId="5" numFmtId="0" xfId="0">
      <alignment horizontal="left" vertical="top" wrapText="1"/>
    </xf>
    <xf applyAlignment="1" applyBorder="1" applyFont="1" borderId="16" fillId="0" fontId="5" numFmtId="0" xfId="0">
      <alignment horizontal="left" vertical="top" wrapText="1"/>
    </xf>
    <xf applyAlignment="1" applyBorder="1" applyFont="1" borderId="11" fillId="0" fontId="5" numFmtId="0" xfId="0">
      <alignment horizontal="center" wrapText="1"/>
    </xf>
    <xf applyAlignment="1" applyBorder="1" applyFont="1" borderId="11" fillId="0" fontId="14" numFmtId="0" xfId="0">
      <alignment horizontal="left" vertical="center" wrapText="1"/>
    </xf>
    <xf applyAlignment="1" applyBorder="1" applyFill="1" applyFont="1" borderId="11" fillId="7" fontId="11" numFmtId="0" xfId="0">
      <alignment horizontal="center" vertical="center" wrapText="1"/>
    </xf>
    <xf applyAlignment="1" applyBorder="1" applyFill="1" applyFont="1" borderId="16" fillId="7" fontId="11" numFmtId="0" xfId="0">
      <alignment horizontal="center" vertical="center" wrapText="1"/>
    </xf>
    <xf applyAlignment="1" applyBorder="1" applyFont="1" borderId="21" fillId="0" fontId="71" numFmtId="0" xfId="0">
      <alignment horizontal="left" vertical="center" wrapText="1"/>
    </xf>
    <xf applyAlignment="1" applyBorder="1" applyFill="1" applyFont="1" borderId="21" fillId="7" fontId="73" numFmtId="0" xfId="0">
      <alignment horizontal="center" vertical="center" wrapText="1"/>
    </xf>
    <xf applyAlignment="1" applyBorder="1" applyFill="1" applyFont="1" borderId="13" fillId="7" fontId="69" numFmtId="0" xfId="0">
      <alignment horizontal="center" vertical="center" wrapText="1"/>
    </xf>
    <xf applyAlignment="1" applyBorder="1" applyFill="1" applyFont="1" borderId="21" fillId="7" fontId="69" numFmtId="0" xfId="0">
      <alignment horizontal="center" vertical="center" wrapText="1"/>
    </xf>
    <xf applyAlignment="1" applyBorder="1" applyFill="1" applyFont="1" borderId="14" fillId="7" fontId="69" numFmtId="0" xfId="0">
      <alignment horizontal="center" vertical="center" wrapText="1"/>
    </xf>
    <xf applyAlignment="1" applyFont="1" borderId="0" fillId="0" fontId="67" numFmtId="0" xfId="0">
      <alignment horizontal="center" vertical="center"/>
    </xf>
    <xf applyAlignment="1" applyBorder="1" applyFill="1" applyFont="1" borderId="13" fillId="7" fontId="5" numFmtId="0" xfId="0">
      <alignment horizontal="center" vertical="center"/>
    </xf>
    <xf applyAlignment="1" applyBorder="1" applyFill="1" applyFont="1" borderId="14" fillId="7" fontId="5" numFmtId="0" xfId="0">
      <alignment horizontal="center" vertical="center"/>
    </xf>
    <xf applyAlignment="1" applyBorder="1" applyFont="1" borderId="11" fillId="0" fontId="8" numFmtId="0" xfId="0">
      <alignment horizontal="center" vertical="center"/>
    </xf>
    <xf applyAlignment="1" applyBorder="1" applyFill="1" applyFont="1" borderId="13" fillId="7" fontId="2" numFmtId="0" xfId="0">
      <alignment horizontal="center" vertical="center" wrapText="1"/>
    </xf>
    <xf applyAlignment="1" applyBorder="1" applyFill="1" applyFont="1" borderId="21" fillId="7" fontId="2" numFmtId="0" xfId="0">
      <alignment horizontal="center" vertical="center" wrapText="1"/>
    </xf>
    <xf applyAlignment="1" applyBorder="1" applyFill="1" applyFont="1" borderId="14" fillId="7" fontId="2" numFmtId="0" xfId="0">
      <alignment horizontal="center" vertical="center" wrapText="1"/>
    </xf>
    <xf applyAlignment="1" applyBorder="1" applyFill="1" applyFont="1" borderId="13" fillId="7" fontId="5" numFmtId="0" xfId="0">
      <alignment horizontal="center" vertical="center" wrapText="1"/>
    </xf>
    <xf applyAlignment="1" applyBorder="1" applyFill="1" applyFont="1" borderId="14" fillId="7" fontId="5" numFmtId="0" xfId="0">
      <alignment horizontal="center" vertical="center" wrapText="1"/>
    </xf>
    <xf applyAlignment="1" applyBorder="1" applyFill="1" applyFont="1" borderId="11" fillId="7" fontId="5" numFmtId="0" xfId="0">
      <alignment horizontal="left" vertical="center" wrapText="1"/>
    </xf>
    <xf applyAlignment="1" applyBorder="1" applyFont="1" applyNumberFormat="1" borderId="11" fillId="0" fontId="5" numFmtId="14" xfId="0">
      <alignment horizontal="center" vertical="center"/>
    </xf>
    <xf applyAlignment="1" applyBorder="1" applyFill="1" applyFont="1" borderId="12" fillId="7" fontId="5" numFmtId="0" xfId="0">
      <alignment horizontal="center" textRotation="90"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wrapText="1"/>
    </xf>
    <xf applyAlignment="1" applyBorder="1" applyFont="1" borderId="0" fillId="0" fontId="45" numFmtId="0" xfId="0">
      <alignment horizontal="left" vertical="center" wrapText="1"/>
    </xf>
    <xf applyAlignment="1" applyBorder="1" applyFont="1" borderId="0" fillId="0" fontId="49" numFmtId="0" xfId="0">
      <alignment horizontal="center" vertical="center"/>
    </xf>
    <xf applyAlignment="1" applyFont="1" borderId="0" fillId="0" fontId="50" numFmtId="0" xfId="0">
      <alignment horizontal="left" vertical="top"/>
    </xf>
    <xf applyAlignment="1" applyFill="1" applyFont="1" borderId="0" fillId="30" fontId="50" numFmtId="0" xfId="0">
      <alignment horizontal="left" vertical="top"/>
    </xf>
    <xf applyAlignment="1" applyBorder="1" applyFont="1" borderId="0" fillId="0" fontId="45" numFmtId="0" xfId="0">
      <alignment horizontal="center" vertical="center"/>
    </xf>
    <xf applyAlignment="1" applyFont="1" borderId="0" fillId="0" fontId="5" numFmtId="0" xfId="0">
      <alignment horizontal="left" wrapText="1"/>
    </xf>
    <xf applyAlignment="1" applyFont="1" borderId="0" fillId="0" fontId="5" numFmtId="0" xfId="0">
      <alignment horizontal="center" wrapText="1"/>
    </xf>
    <xf applyAlignment="1" applyFont="1" borderId="0" fillId="0" fontId="52"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Border="1" applyFont="1" borderId="0" fillId="0" fontId="48" numFmtId="0" xfId="0">
      <alignment horizontal="center" vertical="center"/>
    </xf>
    <xf applyAlignment="1" applyFont="1" borderId="0" fillId="0" fontId="50" numFmtId="0" xfId="0">
      <alignment horizontal="left" vertical="center" wrapText="1"/>
    </xf>
    <xf applyAlignment="1" applyBorder="1" applyFont="1" borderId="21" fillId="0" fontId="2" numFmtId="0" xfId="0">
      <alignment horizontal="center" vertical="center" wrapText="1"/>
    </xf>
    <xf applyAlignment="1" applyFont="1" borderId="0" fillId="0" fontId="59" numFmtId="0" xfId="0">
      <alignment horizontal="left" vertical="top" wrapText="1"/>
    </xf>
    <xf applyAlignment="1" applyFont="1" borderId="0" fillId="0" fontId="59" numFmtId="0" xfId="0">
      <alignment horizontal="left" vertical="center" wrapText="1"/>
    </xf>
    <xf applyAlignment="1" applyFont="1" borderId="0" fillId="0" fontId="59" numFmtId="0" xfId="0">
      <alignment horizontal="center" vertical="top" wrapText="1"/>
    </xf>
    <xf applyAlignment="1" applyFont="1" borderId="0" fillId="0" fontId="45" numFmtId="0" xfId="0">
      <alignment horizontal="left" vertical="center" wrapText="1"/>
    </xf>
    <xf applyAlignment="1" applyFont="1" borderId="0" fillId="0" fontId="57" numFmtId="0" xfId="0">
      <alignment horizontal="left" vertical="center"/>
    </xf>
    <xf applyAlignment="1" applyFont="1" borderId="0" fillId="0" fontId="59" numFmtId="0" xfId="0">
      <alignment horizontal="left" vertical="center"/>
    </xf>
    <xf applyAlignment="1" applyFont="1" borderId="0" fillId="0" fontId="58" numFmtId="0" xfId="0">
      <alignment horizontal="left" vertical="center"/>
    </xf>
    <xf applyAlignment="1" applyFont="1" borderId="0" fillId="0" fontId="57" numFmtId="0" xfId="0">
      <alignment horizontal="left" vertical="top" wrapText="1"/>
    </xf>
    <xf applyAlignment="1" applyFont="1" borderId="0" fillId="0" fontId="6" numFmtId="0" xfId="0">
      <alignment horizontal="left" vertical="center" wrapText="1"/>
    </xf>
    <xf applyAlignment="1" applyFont="1" borderId="0" fillId="0" fontId="49" numFmtId="0" xfId="0">
      <alignment horizontal="left" vertical="center" wrapText="1"/>
    </xf>
    <xf applyAlignment="1" applyFont="1" borderId="0" fillId="0" fontId="54" numFmtId="0" xfId="0">
      <alignment horizontal="center" vertical="top" wrapText="1"/>
    </xf>
    <xf applyAlignment="1" applyFont="1" borderId="0" fillId="0" fontId="55" numFmtId="0" xfId="0">
      <alignment horizontal="center" vertical="center"/>
    </xf>
    <xf applyAlignment="1" applyFont="1" borderId="0" fillId="0" fontId="49" numFmtId="0" xfId="0">
      <alignment horizontal="left" vertical="center"/>
    </xf>
    <xf applyAlignment="1" applyBorder="1" applyFont="1" borderId="0" fillId="0" fontId="45" numFmtId="0" xfId="0">
      <alignment horizontal="left" vertical="top" wrapText="1"/>
    </xf>
    <xf applyAlignment="1" applyBorder="1" applyFont="1" borderId="0" fillId="0" fontId="53" numFmtId="0" xfId="0">
      <alignment horizontal="left" vertical="center" wrapText="1"/>
    </xf>
    <xf applyAlignment="1" applyBorder="1" applyFont="1" borderId="0" fillId="0" fontId="16" numFmtId="0" xfId="0">
      <alignment horizontal="center" vertical="center"/>
    </xf>
    <xf applyAlignment="1" applyBorder="1" applyFont="1" borderId="0" fillId="0" fontId="4" numFmtId="0" xfId="5">
      <alignment horizontal="center"/>
    </xf>
    <xf applyAlignment="1" applyBorder="1" applyFont="1" borderId="13" fillId="0" fontId="4" numFmtId="0" xfId="5">
      <alignment horizontal="left"/>
    </xf>
    <xf applyAlignment="1" applyBorder="1" applyFont="1" borderId="21" fillId="0" fontId="4" numFmtId="0" xfId="5">
      <alignment horizontal="left"/>
    </xf>
    <xf applyAlignment="1" applyBorder="1" applyFont="1" borderId="14" fillId="0" fontId="4" numFmtId="0" xfId="5">
      <alignment horizontal="left"/>
    </xf>
    <xf applyAlignment="1" applyBorder="1" applyFont="1" borderId="11" fillId="0" fontId="4" numFmtId="0" xfId="5">
      <alignment horizontal="center" vertical="center"/>
    </xf>
    <xf applyAlignment="1" applyBorder="1" applyFont="1" borderId="11" fillId="0" fontId="4" numFmtId="0" xfId="5">
      <alignment horizontal="center" vertical="center" wrapText="1"/>
    </xf>
    <xf applyAlignment="1" applyBorder="1" applyFont="1" borderId="13" fillId="0" fontId="68" numFmtId="0" xfId="5">
      <alignment horizontal="left"/>
    </xf>
    <xf applyAlignment="1" applyBorder="1" applyFont="1" borderId="21" fillId="0" fontId="68" numFmtId="0" xfId="5">
      <alignment horizontal="left"/>
    </xf>
    <xf applyAlignment="1" applyBorder="1" applyFont="1" borderId="14" fillId="0" fontId="68" numFmtId="0" xfId="5">
      <alignment horizontal="left"/>
    </xf>
    <xf applyAlignment="1" applyBorder="1" applyFont="1" borderId="13" fillId="0" fontId="7" numFmtId="0" xfId="5">
      <alignment horizontal="center"/>
    </xf>
    <xf applyAlignment="1" applyBorder="1" applyFont="1" borderId="21" fillId="0" fontId="7" numFmtId="0" xfId="5">
      <alignment horizontal="center"/>
    </xf>
    <xf applyAlignment="1" applyBorder="1" applyFont="1" borderId="14" fillId="0" fontId="7" numFmtId="0" xfId="5">
      <alignment horizontal="center"/>
    </xf>
    <xf applyAlignment="1" applyBorder="1" applyFill="1" applyFont="1" borderId="11" fillId="0" fontId="2" numFmtId="0" xfId="5">
      <alignment horizontal="center" vertical="center" wrapText="1"/>
    </xf>
    <xf applyAlignment="1" applyBorder="1" applyFont="1" borderId="13" fillId="0" fontId="4" numFmtId="0" xfId="5">
      <alignment horizontal="center" vertical="center"/>
    </xf>
    <xf applyAlignment="1" applyBorder="1" applyFont="1" borderId="21" fillId="0" fontId="4" numFmtId="0" xfId="5">
      <alignment horizontal="center" vertical="center"/>
    </xf>
    <xf applyAlignment="1" applyBorder="1" applyFont="1" borderId="14" fillId="0" fontId="4" numFmtId="0" xfId="5">
      <alignment horizontal="center" vertical="center"/>
    </xf>
    <xf applyAlignment="1" applyBorder="1" applyFont="1" borderId="27" fillId="0" fontId="4" numFmtId="0" xfId="5">
      <alignment horizontal="center" vertical="center" wrapText="1"/>
    </xf>
    <xf applyAlignment="1" applyBorder="1" applyFont="1" borderId="29" fillId="0" fontId="4" numFmtId="0" xfId="5">
      <alignment horizontal="center" vertical="center" wrapText="1"/>
    </xf>
    <xf applyAlignment="1" applyBorder="1" applyFont="1" borderId="12" fillId="0" fontId="4" numFmtId="0" xfId="5">
      <alignment horizontal="center" textRotation="90" vertical="center" wrapText="1"/>
    </xf>
    <xf applyAlignment="1" applyBorder="1" applyFont="1" borderId="16" fillId="0" fontId="4" numFmtId="0" xfId="5">
      <alignment horizontal="center" textRotation="90" vertical="center" wrapText="1"/>
    </xf>
    <xf applyAlignment="1" applyBorder="1" applyFill="1" applyFont="1" borderId="12" fillId="0" fontId="2" numFmtId="0" xfId="5">
      <alignment horizontal="center" textRotation="90" vertical="center" wrapText="1"/>
    </xf>
    <xf applyAlignment="1" applyBorder="1" applyFill="1" applyFont="1" borderId="16" fillId="0" fontId="2" numFmtId="0" xfId="5">
      <alignment horizontal="center" textRotation="90" vertical="center" wrapText="1"/>
    </xf>
    <xf applyAlignment="1" applyBorder="1" applyFont="1" borderId="0" fillId="0" fontId="7" numFmtId="0" xfId="5">
      <alignment horizontal="right"/>
    </xf>
    <xf applyAlignment="1" applyFont="1" borderId="0" fillId="0" fontId="75" numFmtId="0" xfId="5">
      <alignment horizontal="center"/>
    </xf>
    <xf applyAlignment="1" applyBorder="1" applyFont="1" borderId="13" fillId="0" fontId="4" numFmtId="0" xfId="5">
      <alignment horizontal="center" vertical="center" wrapText="1"/>
    </xf>
    <xf applyAlignment="1" applyBorder="1" applyFont="1" borderId="12" fillId="0" fontId="4" numFmtId="0" xfId="5">
      <alignment horizontal="center" vertical="center" wrapText="1"/>
    </xf>
    <xf applyAlignment="1" applyBorder="1" applyFont="1" borderId="15" fillId="0" fontId="4" numFmtId="0" xfId="5">
      <alignment horizontal="center" vertical="center" wrapText="1"/>
    </xf>
    <xf applyAlignment="1" applyBorder="1" applyFont="1" borderId="16" fillId="0" fontId="4" numFmtId="0" xfId="5">
      <alignment horizontal="center" vertical="center" wrapText="1"/>
    </xf>
    <xf applyAlignment="1" applyBorder="1" applyFont="1" borderId="21" fillId="0" fontId="4" numFmtId="0" xfId="5">
      <alignment horizontal="center" vertical="center" wrapText="1"/>
    </xf>
    <xf applyAlignment="1" applyBorder="1" applyFont="1" borderId="14" fillId="0" fontId="4" numFmtId="0" xfId="5">
      <alignment horizontal="center" vertical="center" wrapText="1"/>
    </xf>
    <xf applyAlignment="1" applyBorder="1" applyFont="1" borderId="15" fillId="0" fontId="4" numFmtId="0" xfId="5">
      <alignment horizontal="center" textRotation="90" vertical="center" wrapText="1"/>
    </xf>
    <xf applyAlignment="1" applyBorder="1" applyFill="1" applyFont="1" borderId="25" fillId="0" fontId="4" numFmtId="0" xfId="5">
      <alignment horizontal="center" vertical="center" wrapText="1"/>
    </xf>
    <xf applyAlignment="1" applyBorder="1" applyFill="1" applyFont="1" borderId="26" fillId="0" fontId="4" numFmtId="0" xfId="5">
      <alignment horizontal="center" vertical="center" wrapText="1"/>
    </xf>
    <xf applyAlignment="1" applyBorder="1" applyFill="1" applyFont="1" borderId="27" fillId="0" fontId="4" numFmtId="0" xfId="5">
      <alignment horizontal="center" vertical="center" wrapText="1"/>
    </xf>
    <xf applyAlignment="1" applyBorder="1" applyFill="1" applyFont="1" borderId="20" fillId="0" fontId="4" numFmtId="0" xfId="5">
      <alignment horizontal="center" vertical="center" wrapText="1"/>
    </xf>
    <xf applyAlignment="1" applyBorder="1" applyFill="1" applyFont="1" borderId="0" fillId="0" fontId="4" numFmtId="0" xfId="5">
      <alignment horizontal="center" vertical="center" wrapText="1"/>
    </xf>
    <xf applyAlignment="1" applyBorder="1" applyFill="1" applyFont="1" borderId="24" fillId="0" fontId="4" numFmtId="0" xfId="5">
      <alignment horizontal="center" vertical="center" wrapText="1"/>
    </xf>
    <xf applyAlignment="1" applyBorder="1" applyFont="1" borderId="27" fillId="0" fontId="4" numFmtId="0" xfId="5">
      <alignment horizontal="center" textRotation="90" vertical="center" wrapText="1"/>
    </xf>
    <xf applyAlignment="1" applyBorder="1" applyFont="1" borderId="24" fillId="0" fontId="4" numFmtId="0" xfId="5">
      <alignment horizontal="center" textRotation="90" vertical="center" wrapText="1"/>
    </xf>
    <xf applyAlignment="1" applyBorder="1" applyFont="1" borderId="29" fillId="0" fontId="4" numFmtId="0" xfId="5">
      <alignment horizontal="center" textRotation="90" vertical="center" wrapText="1"/>
    </xf>
    <xf applyAlignment="1" applyBorder="1" applyFill="1" applyFont="1" borderId="11" fillId="29" fontId="7" numFmtId="0" xfId="5">
      <alignment horizontal="center"/>
    </xf>
    <xf applyAlignment="1" applyBorder="1" applyFont="1" borderId="25" fillId="0" fontId="4" numFmtId="0" xfId="5">
      <alignment horizontal="center" vertical="center" wrapText="1"/>
    </xf>
    <xf applyAlignment="1" applyBorder="1" applyFont="1" borderId="20" fillId="0" fontId="4" numFmtId="0" xfId="5">
      <alignment horizontal="center" vertical="center" wrapText="1"/>
    </xf>
    <xf applyAlignment="1" applyBorder="1" applyFont="1" borderId="28" fillId="0" fontId="4" numFmtId="0" xfId="5">
      <alignment horizontal="center" vertical="center" wrapText="1"/>
    </xf>
    <xf applyAlignment="1" applyBorder="1" applyFill="1" applyFont="1" borderId="13" fillId="18" fontId="4" numFmtId="0" xfId="5">
      <alignment horizontal="center" vertical="center" wrapText="1"/>
    </xf>
    <xf applyAlignment="1" applyBorder="1" applyFill="1" applyFont="1" borderId="14" fillId="18" fontId="4" numFmtId="0" xfId="5">
      <alignment horizontal="center" vertical="center" wrapText="1"/>
    </xf>
    <xf applyAlignment="1" applyBorder="1" applyFont="1" borderId="13" fillId="0" fontId="2" numFmtId="0" xfId="5">
      <alignment horizontal="left"/>
    </xf>
    <xf applyAlignment="1" applyBorder="1" applyFont="1" borderId="21" fillId="0" fontId="2" numFmtId="0" xfId="5">
      <alignment horizontal="left"/>
    </xf>
    <xf applyAlignment="1" applyBorder="1" applyFont="1" borderId="14" fillId="0" fontId="2" numFmtId="0" xfId="5">
      <alignment horizontal="left"/>
    </xf>
    <xf applyAlignment="1" applyBorder="1" borderId="11" fillId="0" fontId="2" numFmtId="0" xfId="5">
      <alignment horizontal="center" vertical="center"/>
    </xf>
    <xf applyAlignment="1" applyBorder="1" applyFill="1" applyFont="1" borderId="13" fillId="0" fontId="4" numFmtId="0" xfId="5">
      <alignment horizontal="center" vertical="center" wrapText="1"/>
    </xf>
    <xf applyAlignment="1" applyBorder="1" applyFill="1" applyFont="1" borderId="21" fillId="0" fontId="4" numFmtId="0" xfId="5">
      <alignment horizontal="center" vertical="center" wrapText="1"/>
    </xf>
    <xf applyAlignment="1" applyBorder="1" applyFill="1" applyFont="1" borderId="14" fillId="0" fontId="4" numFmtId="0" xfId="5">
      <alignment horizontal="center" vertical="center" wrapText="1"/>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vertical="center" wrapText="1"/>
    </xf>
    <xf applyAlignment="1" applyBorder="1" applyFont="1" borderId="15" fillId="0" fontId="2" numFmtId="0" xfId="5">
      <alignment horizontal="center" vertical="center"/>
    </xf>
    <xf applyAlignment="1" applyBorder="1" applyFont="1" borderId="16" fillId="0" fontId="2" numFmtId="0" xfId="5">
      <alignment horizontal="center" vertical="center"/>
    </xf>
    <xf applyAlignment="1" applyFont="1" borderId="0" fillId="0" fontId="7" numFmtId="0" xfId="5">
      <alignment horizontal="center"/>
    </xf>
    <xf applyAlignment="1" applyBorder="1" applyFont="1" borderId="12" fillId="0" fontId="4" numFmtId="0" xfId="5">
      <alignment horizontal="center" vertical="center"/>
    </xf>
    <xf applyAlignment="1" applyBorder="1" applyFont="1" borderId="15" fillId="0" fontId="4" numFmtId="0" xfId="5">
      <alignment horizontal="center" vertical="center"/>
    </xf>
    <xf applyAlignment="1" applyBorder="1" applyFont="1" borderId="16" fillId="0" fontId="4" numFmtId="0" xfId="5">
      <alignment horizontal="center" vertical="center"/>
    </xf>
    <xf applyAlignment="1" applyBorder="1" applyFill="1" applyFont="1" borderId="12" fillId="18" fontId="4" numFmtId="0" xfId="5">
      <alignment horizontal="center" textRotation="90" vertical="center" wrapText="1"/>
    </xf>
    <xf applyAlignment="1" applyBorder="1" applyFill="1" applyFont="1" borderId="16" fillId="18" fontId="4" numFmtId="0" xfId="5">
      <alignment horizontal="center" textRotation="90" vertical="center" wrapText="1"/>
    </xf>
    <xf applyAlignment="1" applyBorder="1" applyFont="1" borderId="13" fillId="0" fontId="68" numFmtId="0" xfId="7">
      <alignment horizontal="left"/>
    </xf>
    <xf applyAlignment="1" applyBorder="1" applyFont="1" borderId="21" fillId="0" fontId="68" numFmtId="0" xfId="7">
      <alignment horizontal="left"/>
    </xf>
    <xf applyAlignment="1" applyBorder="1" applyFont="1" borderId="14" fillId="0" fontId="68" numFmtId="0" xfId="7">
      <alignment horizontal="left"/>
    </xf>
    <xf applyAlignment="1" applyBorder="1" applyFont="1" borderId="13" fillId="0" fontId="4" numFmtId="0" xfId="7">
      <alignment horizontal="left"/>
    </xf>
    <xf applyAlignment="1" applyBorder="1" applyFont="1" borderId="21" fillId="0" fontId="4" numFmtId="0" xfId="7">
      <alignment horizontal="left"/>
    </xf>
    <xf applyAlignment="1" applyBorder="1" applyFont="1" borderId="14" fillId="0" fontId="4" numFmtId="0" xfId="7">
      <alignment horizontal="left"/>
    </xf>
    <xf applyAlignment="1" applyBorder="1" applyFont="1" borderId="12" fillId="0" fontId="4" numFmtId="0" xfId="7">
      <alignment horizontal="center" textRotation="90" vertical="center" wrapText="1"/>
    </xf>
    <xf applyAlignment="1" applyBorder="1" applyFont="1" borderId="16" fillId="0" fontId="4" numFmtId="0" xfId="7">
      <alignment horizontal="center" textRotation="90" vertical="center" wrapText="1"/>
    </xf>
    <xf applyAlignment="1" applyBorder="1" applyFont="1" borderId="11" fillId="0" fontId="4" numFmtId="0" xfId="7">
      <alignment horizontal="center" vertical="center" wrapText="1"/>
    </xf>
    <xf applyAlignment="1" applyBorder="1" applyFont="1" borderId="13" fillId="0" fontId="4" numFmtId="0" xfId="7">
      <alignment horizontal="center" vertical="center" wrapText="1"/>
    </xf>
    <xf applyAlignment="1" applyBorder="1" applyFont="1" borderId="13" fillId="0" fontId="68" numFmtId="0" xfId="7">
      <alignment horizontal="left" wrapText="1"/>
    </xf>
    <xf applyAlignment="1" applyBorder="1" applyFont="1" borderId="21" fillId="0" fontId="68" numFmtId="0" xfId="7">
      <alignment horizontal="left" wrapText="1"/>
    </xf>
    <xf applyAlignment="1" applyBorder="1" applyFont="1" borderId="11" fillId="0" fontId="4" numFmtId="0" xfId="7">
      <alignment horizontal="left"/>
    </xf>
    <xf applyAlignment="1" applyBorder="1" applyFont="1" borderId="13" fillId="0" fontId="4" numFmtId="0" xfId="7">
      <alignment horizontal="center"/>
    </xf>
    <xf applyAlignment="1" applyBorder="1" applyFont="1" borderId="21" fillId="0" fontId="4" numFmtId="0" xfId="7">
      <alignment horizontal="center"/>
    </xf>
    <xf applyAlignment="1" applyBorder="1" applyFont="1" borderId="14" fillId="0" fontId="4" numFmtId="0" xfId="7">
      <alignment horizontal="center"/>
    </xf>
    <xf applyAlignment="1" applyBorder="1" applyFont="1" borderId="12" fillId="0" fontId="4" numFmtId="0" xfId="7">
      <alignment horizontal="center" vertical="center" wrapText="1"/>
    </xf>
    <xf applyAlignment="1" applyBorder="1" applyFont="1" borderId="15" fillId="0" fontId="4" numFmtId="0" xfId="7">
      <alignment horizontal="center" vertical="center" wrapText="1"/>
    </xf>
    <xf applyAlignment="1" applyBorder="1" applyFont="1" borderId="16" fillId="0" fontId="4" numFmtId="0" xfId="7">
      <alignment horizontal="center" vertical="center" wrapText="1"/>
    </xf>
    <xf applyAlignment="1" applyBorder="1" applyFill="1" applyFont="1" borderId="13" fillId="18" fontId="4" numFmtId="0" xfId="7">
      <alignment horizontal="center" vertical="center" wrapText="1"/>
    </xf>
    <xf applyAlignment="1" applyBorder="1" applyFill="1" applyFont="1" borderId="14" fillId="18" fontId="4" numFmtId="0" xfId="7">
      <alignment horizontal="center" vertical="center" wrapText="1"/>
    </xf>
    <xf applyAlignment="1" applyBorder="1" applyFont="1" borderId="21" fillId="0" fontId="4" numFmtId="0" xfId="7">
      <alignment horizontal="center" vertical="center" wrapText="1"/>
    </xf>
    <xf applyAlignment="1" applyBorder="1" applyFont="1" borderId="14" fillId="0" fontId="4" numFmtId="0" xfId="7">
      <alignment horizontal="center" vertical="center" wrapText="1"/>
    </xf>
    <xf applyAlignment="1" applyBorder="1" applyFont="1" borderId="11" fillId="0" fontId="2" numFmtId="0" xfId="7">
      <alignment horizontal="center" vertical="center"/>
    </xf>
    <xf applyAlignment="1" applyBorder="1" borderId="11" fillId="0" fontId="2" numFmtId="0" xfId="7">
      <alignment horizontal="center" vertical="center"/>
    </xf>
    <xf applyAlignment="1" applyBorder="1" borderId="13" fillId="0" fontId="2" numFmtId="0" xfId="7">
      <alignment horizontal="center" vertical="center"/>
    </xf>
    <xf applyAlignment="1" applyBorder="1" applyFill="1" applyFont="1" borderId="12" fillId="0" fontId="2" numFmtId="0" xfId="7">
      <alignment horizontal="center" textRotation="90" vertical="center" wrapText="1"/>
    </xf>
    <xf applyAlignment="1" applyBorder="1" applyFill="1" applyFont="1" borderId="16" fillId="0" fontId="2" numFmtId="0" xfId="7">
      <alignment horizontal="center" textRotation="90" vertical="center" wrapText="1"/>
    </xf>
    <xf applyAlignment="1" applyBorder="1" applyFill="1" applyFont="1" borderId="12" fillId="18" fontId="4" numFmtId="0" xfId="7">
      <alignment horizontal="center" textRotation="90" vertical="center" wrapText="1"/>
    </xf>
    <xf applyAlignment="1" applyBorder="1" applyFill="1" applyFont="1" borderId="16" fillId="18" fontId="4" numFmtId="0" xfId="7">
      <alignment horizontal="center" textRotation="90" vertical="center" wrapText="1"/>
    </xf>
    <xf applyAlignment="1" applyFont="1" borderId="0" fillId="0" fontId="7" numFmtId="0" xfId="7">
      <alignment horizontal="center"/>
    </xf>
    <xf applyAlignment="1" applyBorder="1" applyFont="1" borderId="12" fillId="0" fontId="4" numFmtId="0" xfId="7">
      <alignment horizontal="center" vertical="center"/>
    </xf>
    <xf applyAlignment="1" applyBorder="1" applyFont="1" borderId="15" fillId="0" fontId="4" numFmtId="0" xfId="7">
      <alignment horizontal="center" vertical="center"/>
    </xf>
    <xf applyAlignment="1" applyBorder="1" applyFont="1" borderId="16" fillId="0" fontId="4" numFmtId="0" xfId="7">
      <alignment horizontal="center" vertical="center"/>
    </xf>
    <xf applyAlignment="1" applyBorder="1" applyFont="1" borderId="15" fillId="0" fontId="4" numFmtId="0" xfId="7">
      <alignment horizontal="center" textRotation="90" vertical="center" wrapText="1"/>
    </xf>
    <xf applyAlignment="1" applyBorder="1" applyFont="1" borderId="11" fillId="0" fontId="4" numFmtId="0" xfId="7">
      <alignment horizontal="center" textRotation="90" vertical="center" wrapText="1"/>
    </xf>
    <xf applyAlignment="1" applyBorder="1" applyFill="1" applyFont="1" borderId="25" fillId="0" fontId="2" numFmtId="0" xfId="7">
      <alignment horizontal="center" textRotation="90" vertical="center" wrapText="1"/>
    </xf>
    <xf applyAlignment="1" applyBorder="1" applyFill="1" applyFont="1" borderId="27" fillId="0" fontId="2" numFmtId="0" xfId="7">
      <alignment horizontal="center" textRotation="90" vertical="center" wrapText="1"/>
    </xf>
    <xf applyAlignment="1" applyBorder="1" applyFill="1" applyFont="1" borderId="20" fillId="0" fontId="2" numFmtId="0" xfId="7">
      <alignment horizontal="center" textRotation="90" vertical="center" wrapText="1"/>
    </xf>
    <xf applyAlignment="1" applyBorder="1" applyFill="1" applyFont="1" borderId="24" fillId="0" fontId="2" numFmtId="0" xfId="7">
      <alignment horizontal="center" textRotation="90" vertical="center" wrapText="1"/>
    </xf>
    <xf applyAlignment="1" applyBorder="1" applyFill="1" applyFont="1" borderId="28" fillId="0" fontId="2" numFmtId="0" xfId="7">
      <alignment horizontal="center" textRotation="90" vertical="center" wrapText="1"/>
    </xf>
    <xf applyAlignment="1" applyBorder="1" applyFill="1" applyFont="1" borderId="29" fillId="0" fontId="2" numFmtId="0" xfId="7">
      <alignment horizontal="center" textRotation="90" vertical="center" wrapText="1"/>
    </xf>
    <xf applyAlignment="1" applyBorder="1" applyFont="1" borderId="13" fillId="0" fontId="2" numFmtId="0" xfId="7">
      <alignment horizontal="center" vertical="center"/>
    </xf>
    <xf applyAlignment="1" applyBorder="1" applyFont="1" borderId="21" fillId="0" fontId="2" numFmtId="0" xfId="7">
      <alignment horizontal="center" vertical="center"/>
    </xf>
    <xf applyAlignment="1" applyBorder="1" applyFont="1" borderId="14" fillId="0" fontId="2" numFmtId="0" xfId="7">
      <alignment horizontal="center" vertical="center"/>
    </xf>
    <xf applyAlignment="1" applyBorder="1" applyFill="1" applyFont="1" borderId="12" fillId="0" fontId="4" numFmtId="0" xfId="7">
      <alignment horizontal="center" vertical="center" wrapText="1"/>
    </xf>
    <xf applyAlignment="1" applyBorder="1" applyFill="1" applyFont="1" borderId="16" fillId="0" fontId="4" numFmtId="0" xfId="7">
      <alignment horizontal="center" vertical="center" wrapText="1"/>
    </xf>
    <xf applyAlignment="1" applyBorder="1" applyFont="1" borderId="11" fillId="0" fontId="4" numFmtId="0" xfId="7"/>
    <xf applyAlignment="1" applyBorder="1" applyFont="1" borderId="25" fillId="0" fontId="4" numFmtId="0" xfId="7">
      <alignment horizontal="center" vertical="center" wrapText="1"/>
    </xf>
    <xf applyAlignment="1" applyBorder="1" applyFont="1" borderId="27" fillId="0" fontId="4" numFmtId="0" xfId="7">
      <alignment horizontal="center" vertical="center" wrapText="1"/>
    </xf>
    <xf applyAlignment="1" applyBorder="1" applyFont="1" borderId="20" fillId="0" fontId="4" numFmtId="0" xfId="7">
      <alignment horizontal="center" vertical="center" wrapText="1"/>
    </xf>
    <xf applyAlignment="1" applyBorder="1" applyFont="1" borderId="24" fillId="0" fontId="4" numFmtId="0" xfId="7">
      <alignment horizontal="center" vertical="center" wrapText="1"/>
    </xf>
    <xf applyAlignment="1" applyBorder="1" applyFont="1" borderId="28" fillId="0" fontId="4" numFmtId="0" xfId="7">
      <alignment horizontal="center" vertical="center" wrapText="1"/>
    </xf>
    <xf applyAlignment="1" applyBorder="1" applyFont="1" borderId="29" fillId="0" fontId="4" numFmtId="0" xfId="7">
      <alignment horizontal="center" vertical="center" wrapText="1"/>
    </xf>
    <xf applyAlignment="1" applyFont="1" borderId="0" fillId="0" fontId="4" numFmtId="0" xfId="7">
      <alignment horizontal="center"/>
    </xf>
    <xf applyAlignment="1" applyBorder="1" applyFill="1" applyFont="1" borderId="11" fillId="14" fontId="2" numFmtId="0" xfId="0">
      <alignment horizontal="center" vertical="center"/>
    </xf>
    <xf applyAlignment="1" applyBorder="1" applyFill="1" applyFont="1" borderId="11" fillId="12" fontId="2" numFmtId="0" xfId="0">
      <alignment horizontal="center" vertical="center"/>
    </xf>
    <xf applyAlignment="1" applyBorder="1" applyFill="1" applyFont="1" borderId="11" fillId="12" fontId="5" numFmtId="0" xfId="0">
      <alignment horizontal="left" vertical="center" wrapText="1"/>
    </xf>
    <xf applyAlignment="1" applyBorder="1" applyFill="1" applyFont="1" borderId="16" fillId="0" fontId="2" numFmtId="0" xfId="0">
      <alignment horizontal="center" textRotation="90" vertical="center"/>
    </xf>
    <xf applyAlignment="1" applyBorder="1" applyFont="1" borderId="0" fillId="0" fontId="27" numFmtId="0" xfId="0">
      <alignment horizontal="center" vertical="center"/>
    </xf>
    <xf applyAlignment="1" applyFont="1" borderId="0" fillId="0" fontId="31" numFmtId="0" xfId="0">
      <alignment horizontal="center"/>
    </xf>
    <xf applyAlignment="1" applyFont="1" borderId="0" fillId="0" fontId="30" numFmtId="0" xfId="0">
      <alignment horizontal="center" wrapText="1"/>
    </xf>
    <xf applyAlignment="1" applyFont="1" borderId="0" fillId="0" fontId="2" numFmtId="0" xfId="0">
      <alignment horizontal="center" wrapText="1"/>
    </xf>
    <xf applyAlignment="1" applyBorder="1" applyFill="1" applyFont="1" borderId="17" fillId="7" fontId="39" numFmtId="0" xfId="0">
      <alignment horizontal="center" vertical="center" wrapText="1"/>
    </xf>
    <xf applyAlignment="1" applyBorder="1" applyFill="1" applyFont="1" borderId="18" fillId="7" fontId="39" numFmtId="0" xfId="0">
      <alignment horizontal="center" vertical="center" wrapText="1"/>
    </xf>
    <xf applyAlignment="1" applyFont="1" borderId="0" fillId="0" fontId="36" numFmtId="0" xfId="0">
      <alignment horizontal="center" wrapText="1"/>
    </xf>
    <xf applyAlignment="1" applyBorder="1" applyFill="1" applyFont="1" borderId="3" fillId="7" fontId="31" numFmtId="0" xfId="0">
      <alignment horizontal="center" vertical="center" wrapText="1"/>
    </xf>
    <xf applyAlignment="1" applyBorder="1" applyFill="1" applyFont="1" borderId="3" fillId="7" fontId="31" numFmtId="0" xfId="0">
      <alignment horizontal="center" vertical="center"/>
    </xf>
    <xf applyAlignment="1" applyBorder="1" applyFill="1" applyFont="1" borderId="19" fillId="7" fontId="31" numFmtId="0" xfId="0">
      <alignment horizontal="center" vertical="center" wrapText="1"/>
    </xf>
    <xf applyAlignment="1" applyBorder="1" applyFill="1" applyFont="1" borderId="4" fillId="7" fontId="31" numFmtId="0" xfId="0">
      <alignment horizontal="center" vertical="center" wrapText="1"/>
    </xf>
    <xf applyAlignment="1" applyBorder="1" applyFill="1" applyFont="1" borderId="9" fillId="2" fontId="36" numFmtId="0" xfId="0">
      <alignment horizontal="center"/>
    </xf>
    <xf applyAlignment="1" applyBorder="1" applyFill="1" applyFont="1" borderId="8" fillId="2" fontId="36" numFmtId="0" xfId="0">
      <alignment horizontal="center"/>
    </xf>
    <xf applyAlignment="1" applyBorder="1" applyFont="1" borderId="3" fillId="0" fontId="16" numFmtId="0" xfId="0">
      <alignment horizontal="center" vertical="center"/>
    </xf>
    <xf applyAlignment="1" applyBorder="1" applyFill="1" applyFont="1" borderId="3" fillId="4" fontId="16" numFmtId="0" xfId="0">
      <alignment horizontal="center" vertical="center"/>
    </xf>
    <xf applyAlignment="1" applyBorder="1" applyFill="1" applyFont="1" borderId="3" fillId="6" fontId="16" numFmtId="0" xfId="0">
      <alignment horizontal="center" vertical="center"/>
    </xf>
    <xf applyAlignment="1" applyBorder="1" applyFill="1" applyFont="1" borderId="3" fillId="7" fontId="16" numFmtId="0" xfId="0">
      <alignment horizontal="center" vertical="center"/>
    </xf>
    <xf applyAlignment="1" applyBorder="1" applyFill="1" applyFont="1" borderId="3" fillId="3" fontId="16" numFmtId="0" xfId="0">
      <alignment horizontal="center" vertical="center"/>
    </xf>
    <xf applyAlignment="1" applyBorder="1" applyFill="1" applyFont="1" borderId="3" fillId="5" fontId="16" numFmtId="0" xfId="0">
      <alignment horizontal="center" vertical="center"/>
    </xf>
    <xf applyAlignment="1" applyBorder="1" applyFill="1" applyFont="1" borderId="3" fillId="8" fontId="16" numFmtId="0" xfId="0">
      <alignment horizontal="center" vertical="center" wrapText="1"/>
    </xf>
    <xf applyAlignment="1" applyBorder="1" applyFont="1" borderId="3" fillId="0" fontId="16" numFmtId="0" xfId="0">
      <alignment horizontal="center" vertical="center" wrapText="1"/>
    </xf>
    <xf applyAlignment="1" applyBorder="1" applyFill="1" applyFont="1" applyNumberFormat="1" applyProtection="1" borderId="3" fillId="18" fontId="2" numFmtId="0" xfId="0">
      <alignment horizontal="center" vertical="center" wrapText="1"/>
    </xf>
    <xf applyAlignment="1" applyBorder="1" applyFont="1" borderId="0" fillId="0" fontId="7" numFmtId="0" xfId="0">
      <alignment horizontal="center" vertical="center"/>
    </xf>
    <xf applyAlignment="1" applyBorder="1" applyFont="1" borderId="0" fillId="0" fontId="16" numFmtId="0" xfId="0">
      <alignment horizontal="left" vertical="center"/>
    </xf>
    <xf applyAlignment="1" applyBorder="1" applyFont="1" borderId="1" fillId="0" fontId="20" numFmtId="0" xfId="0">
      <alignment horizontal="left" vertical="center"/>
    </xf>
    <xf applyAlignment="1" applyBorder="1" applyFill="1" applyFont="1" borderId="3" fillId="5" fontId="27" numFmtId="0" xfId="0">
      <alignment horizontal="center" vertical="center"/>
    </xf>
    <xf applyAlignment="1" applyBorder="1" applyFill="1" applyFont="1" borderId="3" fillId="5" fontId="31" numFmtId="0" xfId="0">
      <alignment horizontal="center" vertical="center"/>
    </xf>
    <xf applyAlignment="1" applyBorder="1" applyFill="1" applyFont="1" borderId="3" fillId="5" fontId="31" numFmtId="0" xfId="0">
      <alignment horizontal="left" vertical="center" wrapText="1"/>
    </xf>
    <xf applyAlignment="1" applyFont="1" borderId="0" fillId="0" fontId="31" numFmtId="0" xfId="0">
      <alignment horizontal="center" vertical="center"/>
    </xf>
    <xf applyAlignment="1" applyBorder="1" applyFont="1" borderId="0" fillId="0" fontId="17" numFmtId="0" xfId="0">
      <alignment horizontal="center" vertical="center"/>
    </xf>
    <xf applyAlignment="1" applyBorder="1" applyFill="1" applyFont="1" borderId="3" fillId="5" fontId="18" numFmtId="0" xfId="0">
      <alignment horizontal="center" vertical="center"/>
    </xf>
    <xf applyAlignment="1" applyBorder="1" applyFill="1" applyFont="1" borderId="3" fillId="5" fontId="18" numFmtId="0" xfId="0">
      <alignment horizontal="center"/>
    </xf>
    <xf applyAlignment="1" applyBorder="1" applyFill="1" applyFont="1" borderId="3" fillId="5" fontId="18" numFmtId="0" xfId="0">
      <alignment horizontal="center" vertical="center" wrapText="1"/>
    </xf>
    <xf applyAlignment="1" applyBorder="1" applyFill="1" applyFont="1" borderId="3" fillId="5" fontId="16" numFmtId="0" xfId="0">
      <alignment horizontal="center"/>
    </xf>
    <xf applyAlignment="1" applyBorder="1" applyFill="1" applyFont="1" borderId="3" fillId="5" fontId="16" numFmtId="0" xfId="0">
      <alignment horizontal="center" vertical="center" wrapText="1"/>
    </xf>
    <xf applyAlignment="1" applyBorder="1" applyFill="1" applyFont="1" applyNumberFormat="1" borderId="3" fillId="5" fontId="16" numFmtId="49" xfId="0">
      <alignment horizontal="left" vertical="center" wrapText="1"/>
    </xf>
    <xf numFmtId="0" fontId="0" fillId="0" borderId="50" xfId="0" applyBorder="true">
      <alignment wrapText="true" horizontal="center" vertical="center"/>
    </xf>
    <xf numFmtId="0" fontId="0" fillId="32" borderId="50" xfId="0" applyFill="true" applyBorder="true">
      <alignment wrapText="true" horizontal="center" vertical="center"/>
    </xf>
  </cellXfs>
  <cellStyles count="9">
    <cellStyle builtinId="3" name="Comma" xfId="1"/>
    <cellStyle name="Comma 2" xfId="6"/>
    <cellStyle builtinId="8" name="Hyperlink" xfId="8"/>
    <cellStyle builtinId="0" name="Normal" xfId="0"/>
    <cellStyle name="Normal 2" xfId="2"/>
    <cellStyle name="Normal 2 2 2" xfId="7"/>
    <cellStyle name="Normal 3" xfId="5"/>
    <cellStyle name="Normal 4" xfId="3"/>
    <cellStyle builtinId="5" name="Percent" xfId="4"/>
  </cellStyles>
  <dxfs count="3">
    <dxf>
      <fill>
        <patternFill>
          <bgColor indexed="10"/>
        </patternFill>
      </fill>
    </dxf>
    <dxf>
      <fill>
        <patternFill>
          <bgColor indexed="47"/>
        </patternFill>
      </fill>
    </dxf>
    <dxf>
      <fill>
        <patternFill>
          <bgColor indexed="50"/>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00" Target="worksheets/sheet100.xml" Type="http://schemas.openxmlformats.org/officeDocument/2006/relationships/worksheet"/>
<Relationship Id="rId101" Target="worksheets/sheet101.xml" Type="http://schemas.openxmlformats.org/officeDocument/2006/relationships/worksheet"/>
<Relationship Id="rId102" Target="worksheets/sheet102.xml" Type="http://schemas.openxmlformats.org/officeDocument/2006/relationships/worksheet"/>
<Relationship Id="rId103" Target="worksheets/sheet103.xml" Type="http://schemas.openxmlformats.org/officeDocument/2006/relationships/worksheet"/>
<Relationship Id="rId104" Target="worksheets/sheet104.xml" Type="http://schemas.openxmlformats.org/officeDocument/2006/relationships/worksheet"/>
<Relationship Id="rId105" Target="worksheets/sheet105.xml" Type="http://schemas.openxmlformats.org/officeDocument/2006/relationships/worksheet"/>
<Relationship Id="rId106" Target="worksheets/sheet106.xml" Type="http://schemas.openxmlformats.org/officeDocument/2006/relationships/worksheet"/>
<Relationship Id="rId107" Target="worksheets/sheet107.xml" Type="http://schemas.openxmlformats.org/officeDocument/2006/relationships/worksheet"/>
<Relationship Id="rId108" Target="worksheets/sheet108.xml" Type="http://schemas.openxmlformats.org/officeDocument/2006/relationships/worksheet"/>
<Relationship Id="rId109" Target="worksheets/sheet109.xml" Type="http://schemas.openxmlformats.org/officeDocument/2006/relationships/worksheet"/>
<Relationship Id="rId11" Target="worksheets/sheet11.xml" Type="http://schemas.openxmlformats.org/officeDocument/2006/relationships/worksheet"/>
<Relationship Id="rId110" Target="worksheets/sheet110.xml" Type="http://schemas.openxmlformats.org/officeDocument/2006/relationships/worksheet"/>
<Relationship Id="rId111" Target="worksheets/sheet111.xml" Type="http://schemas.openxmlformats.org/officeDocument/2006/relationships/worksheet"/>
<Relationship Id="rId112" Target="worksheets/sheet112.xml" Type="http://schemas.openxmlformats.org/officeDocument/2006/relationships/worksheet"/>
<Relationship Id="rId113" Target="worksheets/sheet113.xml" Type="http://schemas.openxmlformats.org/officeDocument/2006/relationships/worksheet"/>
<Relationship Id="rId114" Target="worksheets/sheet114.xml" Type="http://schemas.openxmlformats.org/officeDocument/2006/relationships/worksheet"/>
<Relationship Id="rId115" Target="worksheets/sheet115.xml" Type="http://schemas.openxmlformats.org/officeDocument/2006/relationships/worksheet"/>
<Relationship Id="rId116" Target="worksheets/sheet116.xml" Type="http://schemas.openxmlformats.org/officeDocument/2006/relationships/worksheet"/>
<Relationship Id="rId117" Target="worksheets/sheet117.xml" Type="http://schemas.openxmlformats.org/officeDocument/2006/relationships/worksheet"/>
<Relationship Id="rId118" Target="worksheets/sheet118.xml" Type="http://schemas.openxmlformats.org/officeDocument/2006/relationships/worksheet"/>
<Relationship Id="rId119" Target="worksheets/sheet119.xml" Type="http://schemas.openxmlformats.org/officeDocument/2006/relationships/worksheet"/>
<Relationship Id="rId12" Target="worksheets/sheet12.xml" Type="http://schemas.openxmlformats.org/officeDocument/2006/relationships/worksheet"/>
<Relationship Id="rId120" Target="worksheets/sheet120.xml" Type="http://schemas.openxmlformats.org/officeDocument/2006/relationships/worksheet"/>
<Relationship Id="rId121" Target="worksheets/sheet121.xml" Type="http://schemas.openxmlformats.org/officeDocument/2006/relationships/worksheet"/>
<Relationship Id="rId122" Target="worksheets/sheet122.xml" Type="http://schemas.openxmlformats.org/officeDocument/2006/relationships/worksheet"/>
<Relationship Id="rId123" Target="worksheets/sheet123.xml" Type="http://schemas.openxmlformats.org/officeDocument/2006/relationships/worksheet"/>
<Relationship Id="rId124" Target="worksheets/sheet124.xml" Type="http://schemas.openxmlformats.org/officeDocument/2006/relationships/worksheet"/>
<Relationship Id="rId125" Target="worksheets/sheet125.xml" Type="http://schemas.openxmlformats.org/officeDocument/2006/relationships/worksheet"/>
<Relationship Id="rId126" Target="worksheets/sheet126.xml" Type="http://schemas.openxmlformats.org/officeDocument/2006/relationships/worksheet"/>
<Relationship Id="rId127" Target="worksheets/sheet127.xml" Type="http://schemas.openxmlformats.org/officeDocument/2006/relationships/worksheet"/>
<Relationship Id="rId128" Target="worksheets/sheet128.xml" Type="http://schemas.openxmlformats.org/officeDocument/2006/relationships/worksheet"/>
<Relationship Id="rId129" Target="worksheets/sheet129.xml" Type="http://schemas.openxmlformats.org/officeDocument/2006/relationships/worksheet"/>
<Relationship Id="rId13" Target="worksheets/sheet13.xml" Type="http://schemas.openxmlformats.org/officeDocument/2006/relationships/worksheet"/>
<Relationship Id="rId130" Target="worksheets/sheet130.xml" Type="http://schemas.openxmlformats.org/officeDocument/2006/relationships/worksheet"/>
<Relationship Id="rId131" Target="worksheets/sheet131.xml" Type="http://schemas.openxmlformats.org/officeDocument/2006/relationships/worksheet"/>
<Relationship Id="rId132" Target="worksheets/sheet132.xml" Type="http://schemas.openxmlformats.org/officeDocument/2006/relationships/worksheet"/>
<Relationship Id="rId133" Target="theme/theme1.xml" Type="http://schemas.openxmlformats.org/officeDocument/2006/relationships/theme"/>
<Relationship Id="rId134" Target="styles.xml" Type="http://schemas.openxmlformats.org/officeDocument/2006/relationships/styles"/>
<Relationship Id="rId135" Target="sharedStrings.xml" Type="http://schemas.openxmlformats.org/officeDocument/2006/relationships/sharedStrings"/>
<Relationship Id="rId136" Target="calcChain.xml" Type="http://schemas.openxmlformats.org/officeDocument/2006/relationships/calcChain"/>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worksheets/sheet61.xml" Type="http://schemas.openxmlformats.org/officeDocument/2006/relationships/worksheet"/>
<Relationship Id="rId62" Target="worksheets/sheet62.xml" Type="http://schemas.openxmlformats.org/officeDocument/2006/relationships/worksheet"/>
<Relationship Id="rId63" Target="worksheets/sheet63.xml" Type="http://schemas.openxmlformats.org/officeDocument/2006/relationships/worksheet"/>
<Relationship Id="rId64" Target="worksheets/sheet64.xml" Type="http://schemas.openxmlformats.org/officeDocument/2006/relationships/worksheet"/>
<Relationship Id="rId65" Target="worksheets/sheet65.xml" Type="http://schemas.openxmlformats.org/officeDocument/2006/relationships/worksheet"/>
<Relationship Id="rId66" Target="worksheets/sheet66.xml" Type="http://schemas.openxmlformats.org/officeDocument/2006/relationships/worksheet"/>
<Relationship Id="rId67" Target="worksheets/sheet67.xml" Type="http://schemas.openxmlformats.org/officeDocument/2006/relationships/worksheet"/>
<Relationship Id="rId68" Target="worksheets/sheet68.xml" Type="http://schemas.openxmlformats.org/officeDocument/2006/relationships/worksheet"/>
<Relationship Id="rId69" Target="worksheets/sheet69.xml" Type="http://schemas.openxmlformats.org/officeDocument/2006/relationships/worksheet"/>
<Relationship Id="rId7" Target="worksheets/sheet7.xml" Type="http://schemas.openxmlformats.org/officeDocument/2006/relationships/worksheet"/>
<Relationship Id="rId70" Target="worksheets/sheet70.xml" Type="http://schemas.openxmlformats.org/officeDocument/2006/relationships/worksheet"/>
<Relationship Id="rId71" Target="worksheets/sheet71.xml" Type="http://schemas.openxmlformats.org/officeDocument/2006/relationships/worksheet"/>
<Relationship Id="rId72" Target="worksheets/sheet72.xml" Type="http://schemas.openxmlformats.org/officeDocument/2006/relationships/worksheet"/>
<Relationship Id="rId73" Target="worksheets/sheet73.xml" Type="http://schemas.openxmlformats.org/officeDocument/2006/relationships/worksheet"/>
<Relationship Id="rId74" Target="worksheets/sheet74.xml" Type="http://schemas.openxmlformats.org/officeDocument/2006/relationships/worksheet"/>
<Relationship Id="rId75" Target="worksheets/sheet75.xml" Type="http://schemas.openxmlformats.org/officeDocument/2006/relationships/worksheet"/>
<Relationship Id="rId76" Target="worksheets/sheet76.xml" Type="http://schemas.openxmlformats.org/officeDocument/2006/relationships/worksheet"/>
<Relationship Id="rId77" Target="worksheets/sheet77.xml" Type="http://schemas.openxmlformats.org/officeDocument/2006/relationships/worksheet"/>
<Relationship Id="rId78" Target="worksheets/sheet78.xml" Type="http://schemas.openxmlformats.org/officeDocument/2006/relationships/worksheet"/>
<Relationship Id="rId79" Target="worksheets/sheet79.xml" Type="http://schemas.openxmlformats.org/officeDocument/2006/relationships/worksheet"/>
<Relationship Id="rId8" Target="worksheets/sheet8.xml" Type="http://schemas.openxmlformats.org/officeDocument/2006/relationships/worksheet"/>
<Relationship Id="rId80" Target="worksheets/sheet80.xml" Type="http://schemas.openxmlformats.org/officeDocument/2006/relationships/worksheet"/>
<Relationship Id="rId81" Target="worksheets/sheet81.xml" Type="http://schemas.openxmlformats.org/officeDocument/2006/relationships/worksheet"/>
<Relationship Id="rId82" Target="worksheets/sheet82.xml" Type="http://schemas.openxmlformats.org/officeDocument/2006/relationships/worksheet"/>
<Relationship Id="rId83" Target="worksheets/sheet83.xml" Type="http://schemas.openxmlformats.org/officeDocument/2006/relationships/worksheet"/>
<Relationship Id="rId84" Target="worksheets/sheet84.xml" Type="http://schemas.openxmlformats.org/officeDocument/2006/relationships/worksheet"/>
<Relationship Id="rId85" Target="worksheets/sheet85.xml" Type="http://schemas.openxmlformats.org/officeDocument/2006/relationships/worksheet"/>
<Relationship Id="rId86" Target="worksheets/sheet86.xml" Type="http://schemas.openxmlformats.org/officeDocument/2006/relationships/worksheet"/>
<Relationship Id="rId87" Target="worksheets/sheet87.xml" Type="http://schemas.openxmlformats.org/officeDocument/2006/relationships/worksheet"/>
<Relationship Id="rId88" Target="worksheets/sheet88.xml" Type="http://schemas.openxmlformats.org/officeDocument/2006/relationships/worksheet"/>
<Relationship Id="rId89" Target="worksheets/sheet89.xml" Type="http://schemas.openxmlformats.org/officeDocument/2006/relationships/worksheet"/>
<Relationship Id="rId9" Target="worksheets/sheet9.xml" Type="http://schemas.openxmlformats.org/officeDocument/2006/relationships/worksheet"/>
<Relationship Id="rId90" Target="worksheets/sheet90.xml" Type="http://schemas.openxmlformats.org/officeDocument/2006/relationships/worksheet"/>
<Relationship Id="rId91" Target="worksheets/sheet91.xml" Type="http://schemas.openxmlformats.org/officeDocument/2006/relationships/worksheet"/>
<Relationship Id="rId92" Target="worksheets/sheet92.xml" Type="http://schemas.openxmlformats.org/officeDocument/2006/relationships/worksheet"/>
<Relationship Id="rId93" Target="worksheets/sheet93.xml" Type="http://schemas.openxmlformats.org/officeDocument/2006/relationships/worksheet"/>
<Relationship Id="rId94" Target="worksheets/sheet94.xml" Type="http://schemas.openxmlformats.org/officeDocument/2006/relationships/worksheet"/>
<Relationship Id="rId95" Target="worksheets/sheet95.xml" Type="http://schemas.openxmlformats.org/officeDocument/2006/relationships/worksheet"/>
<Relationship Id="rId96" Target="worksheets/sheet96.xml" Type="http://schemas.openxmlformats.org/officeDocument/2006/relationships/worksheet"/>
<Relationship Id="rId97" Target="worksheets/sheet97.xml" Type="http://schemas.openxmlformats.org/officeDocument/2006/relationships/worksheet"/>
<Relationship Id="rId98" Target="worksheets/sheet98.xml" Type="http://schemas.openxmlformats.org/officeDocument/2006/relationships/worksheet"/>
<Relationship Id="rId99" Target="worksheets/sheet99.xml" Type="http://schemas.openxmlformats.org/officeDocument/2006/relationships/worksheet"/>
</Relationships>

</file>

<file path=xl/charts/chart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rot="0" spcFirstLastPara="1" vert="horz" vertOverflow="ellipsis" wrap="square"/>
          <a:lstStyle/>
          <a:p>
            <a:pPr>
              <a:defRPr b="1" baseline="0" i="0" kern="1200" strike="noStrike" sz="1600" u="none">
                <a:solidFill>
                  <a:schemeClr val="tx2"/>
                </a:solidFill>
                <a:latin typeface="+mn-lt"/>
                <a:ea typeface="+mn-ea"/>
                <a:cs typeface="+mn-cs"/>
              </a:defRPr>
            </a:pPr>
            <a:r>
              <a:rPr b="0" lang="mn-MN" sz="1200">
                <a:latin charset="0" panose="020B0604020202020204" pitchFamily="34" typeface="Arial"/>
                <a:cs charset="0" panose="020B0604020202020204" pitchFamily="34" typeface="Arial"/>
              </a:rPr>
              <a:t>Орон</a:t>
            </a:r>
            <a:r>
              <a:rPr b="0" baseline="0" lang="mn-MN" sz="1200">
                <a:latin charset="0" panose="020B0604020202020204" pitchFamily="34" typeface="Arial"/>
                <a:cs charset="0" panose="020B0604020202020204" pitchFamily="34" typeface="Arial"/>
              </a:rPr>
              <a:t> тоо</a:t>
            </a:r>
            <a:r>
              <a:rPr b="0" baseline="0" lang="en-US" sz="1200">
                <a:latin charset="0" panose="020B0604020202020204" pitchFamily="34" typeface="Arial"/>
                <a:cs charset="0" panose="020B0604020202020204" pitchFamily="34" typeface="Arial"/>
              </a:rPr>
              <a:t>,</a:t>
            </a:r>
            <a:r>
              <a:rPr b="0" baseline="0" lang="mn-MN" sz="1200">
                <a:latin charset="0" panose="020B0604020202020204" pitchFamily="34" typeface="Arial"/>
                <a:cs charset="0" panose="020B0604020202020204" pitchFamily="34" typeface="Arial"/>
              </a:rPr>
              <a:t> Цалингийн зардлын харьцаа</a:t>
            </a:r>
            <a:endParaRPr b="0" lang="en-US" sz="1200">
              <a:latin charset="0" panose="020B0604020202020204" pitchFamily="34" typeface="Arial"/>
              <a:cs charset="0" panose="020B0604020202020204" pitchFamily="34" typeface="Arial"/>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72366448"/>
        <c:axId val="-272362640"/>
      </c:barChart>
      <c:lineChart>
        <c:grouping val="standard"/>
        <c:varyColors val="0"/>
        <c:ser>
          <c:idx val="3"/>
          <c:order val="6"/>
          <c:spPr>
            <a:ln cap="rnd" w="31750">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72366448"/>
        <c:axId val="-272362640"/>
      </c:lineChart>
      <c:lineChart>
        <c:grouping val="standard"/>
        <c:varyColors val="0"/>
        <c:ser>
          <c:idx val="2"/>
          <c:order val="5"/>
          <c:spPr>
            <a:ln cap="rnd" w="31750">
              <a:solidFill>
                <a:schemeClr val="accent3"/>
              </a:solidFill>
              <a:round/>
            </a:ln>
            <a:effectLst/>
          </c:spPr>
          <c:marker>
            <c:symbol val="none"/>
          </c:marker>
          <c:dLbls>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72367536"/>
        <c:axId val="-272368624"/>
      </c:lineChart>
      <c:catAx>
        <c:axId val="-272366448"/>
        <c:scaling>
          <c:orientation val="minMax"/>
        </c:scaling>
        <c:delete val="0"/>
        <c:axPos val="b"/>
        <c:majorTickMark val="out"/>
        <c:minorTickMark val="none"/>
        <c:tickLblPos val="nextTo"/>
        <c:spPr>
          <a:noFill/>
          <a:ln algn="ctr" cap="flat" cmpd="sng" w="9525">
            <a:solidFill>
              <a:schemeClr val="tx2">
                <a:lumMod val="15000"/>
                <a:lumOff val="85000"/>
              </a:schemeClr>
            </a:solidFill>
            <a:round/>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72362640"/>
        <c:crosses val="autoZero"/>
        <c:auto val="1"/>
        <c:lblAlgn val="ctr"/>
        <c:lblOffset val="100"/>
        <c:noMultiLvlLbl val="0"/>
      </c:catAx>
      <c:valAx>
        <c:axId val="-272362640"/>
        <c:scaling>
          <c:orientation val="minMax"/>
        </c:scaling>
        <c:delete val="0"/>
        <c:axPos val="l"/>
        <c:majorGridlines>
          <c:spPr>
            <a:ln algn="ctr" cap="flat" cmpd="sng" w="9525">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72366448"/>
        <c:crosses val="autoZero"/>
        <c:crossBetween val="between"/>
      </c:valAx>
      <c:valAx>
        <c:axId val="-272368624"/>
        <c:scaling>
          <c:orientation val="minMax"/>
        </c:scaling>
        <c:delete val="0"/>
        <c:axPos val="r"/>
        <c:numFmt formatCode="_(* #,##0_);_(* \(#,##0\);_(* &quot;-&quot;??_);_(@_)" sourceLinked="1"/>
        <c:majorTickMark val="out"/>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72367536"/>
        <c:crosses val="max"/>
        <c:crossBetween val="between"/>
      </c:valAx>
      <c:catAx>
        <c:axId val="-272367536"/>
        <c:scaling>
          <c:orientation val="minMax"/>
        </c:scaling>
        <c:delete val="1"/>
        <c:axPos val="b"/>
        <c:majorTickMark val="out"/>
        <c:minorTickMark val="none"/>
        <c:tickLblPos val="nextTo"/>
        <c:crossAx val="-272368624"/>
        <c:crosses val="autoZero"/>
        <c:auto val="1"/>
        <c:lblAlgn val="ctr"/>
        <c:lblOffset val="100"/>
        <c:noMultiLvlLbl val="0"/>
      </c:catAx>
      <c:spPr>
        <a:noFill/>
        <a:ln>
          <a:noFill/>
        </a:ln>
        <a:effectLst/>
      </c:spPr>
    </c:plotArea>
    <c:plotVisOnly val="1"/>
    <c:dispBlanksAs val="gap"/>
    <c:showDLblsOverMax val="0"/>
  </c:chart>
  <c:spPr>
    <a:solidFill>
      <a:schemeClr val="bg1"/>
    </a:solidFill>
    <a:ln algn="ctr" cap="flat" cmpd="sng" w="9525">
      <a:solidFill>
        <a:schemeClr val="tx2">
          <a:lumMod val="15000"/>
          <a:lumOff val="85000"/>
        </a:schemeClr>
      </a:solidFill>
      <a:round/>
    </a:ln>
    <a:effectLst/>
  </c:spPr>
  <c:txPr>
    <a:bodyPr/>
    <a:lstStyle/>
    <a:p>
      <a:pPr>
        <a:defRPr/>
      </a:pPr>
      <a:endParaRPr lang="en-US"/>
    </a:p>
  </c:txPr>
  <c:printSettings>
    <c:headerFooter/>
    <c:pageMargins b="0.75" footer="0.3" header="0.3" l="0.7" r="0.7" t="0.75"/>
    <c:pageSetup/>
  </c:printSettings>
</c:chartSpace>
</file>

<file path=xl/drawings/_rels/drawing1.xml.rels><?xml version="1.0" encoding="UTF-8" standalone="yes"?>
<Relationships xmlns="http://schemas.openxmlformats.org/package/2006/relationships">
<Relationship Id="rId1" Target="../charts/chart1.xml" Type="http://schemas.openxmlformats.org/officeDocument/2006/relationships/chart"/>
</Relationships>

</file>

<file path=xl/drawings/drawing1.xml><?xml version="1.0" encoding="utf-8"?>
<xdr:wsDr xmlns:a="http://schemas.openxmlformats.org/drawingml/2006/main" xmlns:xdr="http://schemas.openxmlformats.org/drawingml/2006/spreadsheetDrawing">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a="http://schemas.openxmlformats.org/drawingml/2006/main" xmlns:xdr="http://schemas.openxmlformats.org/drawingml/2006/spreadsheetDrawing">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800" u="none">
            <a:ln>
              <a:noFill/>
            </a:ln>
            <a:solidFill>
              <a:sysClr lastClr="000000" val="windowText"/>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wsDr>
</file>

<file path=xl/drawings/drawing3.xml><?xml version="1.0" encoding="utf-8"?>
<xdr:wsDr xmlns:a="http://schemas.openxmlformats.org/drawingml/2006/main" xmlns:xdr="http://schemas.openxmlformats.org/drawingml/2006/spreadsheetDrawing">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ТАБ-Б1</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ТАБ-Б1/</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Зөвлөмж</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байгууллагын үйл ажиллагааг сайжруулахад чиглэсэн төрийн аудитын байгууллагаас өгч байгаа зөвлөгөөг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ТАБ-Б1-ээр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зөвлөмжийг заалт,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ын 1</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7, 8-р баганад холбогдох байгууллагад зөвлөмжийг хүргүүлсэн болон биелэлтийг тооцох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9, 10, 11, 12-р баганад зөвлөмжийн биелэлтийг хариуцах 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13-р баганад зөвлөмжийн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14-р баганад зөвлөмжийг биелүүлсэн талаар мэдээлсэн баримт бичгийн нэр, огноо, дугаарыг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19-21</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l"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22, 23, 24-р баганад тайлант хугацаанд ажилласан хүн, өдөр, илүү цагийг</a:t>
          </a:r>
          <a:r>
            <a:rPr baseline="0" lang="mn-MN" sz="1200">
              <a:effectLst/>
              <a:latin charset="0" panose="020B0604020202020204" pitchFamily="34" typeface="Arial"/>
              <a:ea charset="0" panose="02020603050405020304" pitchFamily="18" typeface="Times New Roman"/>
              <a:cs charset="0" panose="020B0604020202020204" pitchFamily="34" typeface="Arial"/>
            </a:rPr>
            <a:t> аудитын </a:t>
          </a:r>
          <a:r>
            <a:rPr lang="mn-MN" sz="1200">
              <a:effectLst/>
              <a:latin charset="0" panose="020B0604020202020204" pitchFamily="34" typeface="Arial"/>
              <a:ea charset="0" panose="02020603050405020304" pitchFamily="18" typeface="Times New Roman"/>
              <a:cs charset="0" panose="020B0604020202020204" pitchFamily="34" typeface="Arial"/>
            </a:rPr>
            <a:t>код, аудитын нэрээр нэг бүрчлэн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4.xml><?xml version="1.0" encoding="utf-8"?>
<xdr:wsDr xmlns:a="http://schemas.openxmlformats.org/drawingml/2006/main" xmlns:xdr="http://schemas.openxmlformats.org/drawingml/2006/spreadsheetDrawing">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ТАБ-Б2</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ТАБ-Б2/</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ТАБ-Б2-оор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шаардлагыг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1-9-р баганад албан шаардлагын мэдээллийг оруулах бөгөөд 5-р баганад зөрчлийн мөнгөн дүнг сая төгрөгөөр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3, 4-р баганад холбогдох байгууллагад албан шаардлагыг биечлэн хүлээлгэн</a:t>
          </a:r>
          <a:r>
            <a:rPr baseline="0" lang="mn-MN" sz="1200">
              <a:effectLst/>
              <a:latin charset="0" panose="020B0604020202020204" pitchFamily="34" typeface="Arial"/>
              <a:ea charset="0" panose="02020603050405020304" pitchFamily="18" typeface="Times New Roman"/>
              <a:cs charset="0" panose="020B0604020202020204" pitchFamily="34" typeface="Arial"/>
            </a:rPr>
            <a:t> өгсөн болон албан бичгээр хүргүүлсэн</a:t>
          </a:r>
          <a:r>
            <a:rPr lang="mn-MN" sz="1200">
              <a:effectLst/>
              <a:latin charset="0" panose="020B0604020202020204" pitchFamily="34" typeface="Arial"/>
              <a:ea charset="0" panose="02020603050405020304" pitchFamily="18" typeface="Times New Roman"/>
              <a:cs charset="0" panose="020B0604020202020204" pitchFamily="34" typeface="Arial"/>
            </a:rPr>
            <a:t>, зөрчлийг барагдуулах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6, 7, 8, 9-р баганад албан шаардлагыг хүлээн хүлээн авсан</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10-р баганад албан шаардлагын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11-18-р баганад албан шаардлагын биелэлтийн талаархи мэдээллийг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Маягтын 11, 13, 16, 19-р баганад албан шаардлагын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B0604020202020204" pitchFamily="34" typeface="Arial"/>
            </a:rPr>
            <a:t> тус бүрээр</a:t>
          </a:r>
          <a:r>
            <a:rPr lang="mn-MN" sz="1200">
              <a:effectLst/>
              <a:latin charset="0" panose="020B0604020202020204" pitchFamily="34" typeface="Arial"/>
              <a:ea charset="0" panose="02020603050405020304" pitchFamily="18" typeface="Times New Roman"/>
              <a:cs charset="0" panose="020B0604020202020204" pitchFamily="34" typeface="Arial"/>
            </a:rPr>
            <a:t>, сая төгрөгөөр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20-22</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дугаар, албан шаардлагын огноо, дугаар, зөрчлийн утгаар дэлгэрэнүй бүртгэнэ.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5.xml><?xml version="1.0" encoding="utf-8"?>
<xdr:wsDr xmlns:a="http://schemas.openxmlformats.org/drawingml/2006/main" xmlns:xdr="http://schemas.openxmlformats.org/drawingml/2006/spreadsheetDrawing">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900">
              <a:latin charset="0" panose="020B0604020202020204" pitchFamily="34" typeface="Arial"/>
              <a:cs charset="0" panose="020B0604020202020204" pitchFamily="34" typeface="Arial"/>
            </a:rPr>
            <a:t> Маягт: ТАБ-Б3</a:t>
          </a:r>
        </a:p>
        <a:p>
          <a:pPr algn="ctr" defTabSz="914400" eaLnBrk="1" fontAlgn="auto" hangingPunct="1" indent="0" latinLnBrk="0" marL="0" marR="0">
            <a:lnSpc>
              <a:spcPct val="100000"/>
            </a:lnSpc>
            <a:spcBef>
              <a:spcPts val="0"/>
            </a:spcBef>
            <a:spcAft>
              <a:spcPts val="0"/>
            </a:spcAft>
            <a:buClrTx/>
            <a:buSzTx/>
            <a:buFontTx/>
            <a:buNone/>
            <a:tabLst/>
            <a:defRPr/>
          </a:pPr>
          <a:r>
            <a:rPr lang="mn-MN" sz="9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900">
              <a:solidFill>
                <a:schemeClr val="dk1"/>
              </a:solidFill>
              <a:effectLst/>
              <a:latin charset="0" panose="020B0604020202020204" pitchFamily="34" typeface="Arial"/>
              <a:ea typeface="+mn-ea"/>
              <a:cs charset="0" panose="020B0604020202020204" pitchFamily="34" typeface="Arial"/>
            </a:rPr>
            <a:t> дугаар </a:t>
          </a:r>
          <a:r>
            <a:rPr lang="mn-MN" sz="900">
              <a:solidFill>
                <a:schemeClr val="dk1"/>
              </a:solidFill>
              <a:effectLst/>
              <a:latin charset="0" panose="020B0604020202020204" pitchFamily="34" typeface="Arial"/>
              <a:ea typeface="+mn-ea"/>
              <a:cs charset="0" panose="020B0604020202020204" pitchFamily="34" typeface="Arial"/>
            </a:rPr>
            <a:t>хавсралт </a:t>
          </a:r>
          <a:endParaRPr lang="en-US" sz="900">
            <a:effectLst/>
            <a:latin charset="0" panose="020B0604020202020204" pitchFamily="34" typeface="Arial"/>
            <a:cs charset="0" panose="020B0604020202020204" pitchFamily="34" typeface="Arial"/>
          </a:endParaRPr>
        </a:p>
        <a:p>
          <a:pPr algn="ctr"/>
          <a:endParaRPr lang="mn-MN" sz="900">
            <a:latin charset="0" panose="020B0604020202020204" pitchFamily="34" typeface="Arial"/>
            <a:cs charset="0" panose="020B0604020202020204" pitchFamily="34" typeface="Arial"/>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Маягт нөхөх заавар /Маягт ТАБ-Б</a:t>
          </a:r>
          <a:r>
            <a:rPr b="1" lang="en-US" sz="1200">
              <a:effectLst/>
              <a:latin charset="0" panose="020B0604020202020204" pitchFamily="34" typeface="Arial"/>
              <a:ea charset="0" panose="02020603050405020304" pitchFamily="18" typeface="Times New Roman"/>
              <a:cs charset="0" panose="02020603050405020304" pitchFamily="18" typeface="Times New Roman"/>
            </a:rPr>
            <a:t>3</a:t>
          </a:r>
          <a:r>
            <a:rPr b="1" lang="mn-MN" sz="1200">
              <a:effectLst/>
              <a:latin charset="0" panose="020B0604020202020204" pitchFamily="34" typeface="Arial"/>
              <a:ea charset="0" panose="02020603050405020304" pitchFamily="18" typeface="Times New Roman"/>
              <a:cs charset="0" panose="02020603050405020304" pitchFamily="18" typeface="Times New Roman"/>
            </a:rPr>
            <a:t>/</a:t>
          </a:r>
          <a:endParaRPr lang="en-US" sz="1200">
            <a:effectLst/>
            <a:latin typeface="Arial Mon"/>
            <a:ea charset="0" panose="02020603050405020304" pitchFamily="18" typeface="Times New Roman"/>
            <a:cs charset="0" panose="02020603050405020304" pitchFamily="18" typeface="Times New Roman"/>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Төлбөрийн акт</a:t>
          </a: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1-13-р баганад төлбөрийн актын мэдээллийг оруулна.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10-13-р баганад төлбөрийн актыг хүлээн авсан албан тушаалтантай холбоотой мэдээллийг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14-р баганад төлбөрийн актын хэрэгжилтийг хангуулах ажилтны албан тушаал, овог нэрийг бичнэ.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Маягтын 15-20, 22, 25, 28-р баганад төлбөрийн актын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тус бүрээр</a:t>
          </a:r>
          <a:r>
            <a:rPr lang="mn-MN" sz="1200">
              <a:effectLst/>
              <a:latin charset="0" panose="020B0604020202020204" pitchFamily="34" typeface="Arial"/>
              <a:ea charset="0" panose="02020603050405020304" pitchFamily="18" typeface="Times New Roman"/>
              <a:cs charset="0" panose="02020603050405020304" pitchFamily="18" typeface="Times New Roman"/>
            </a:rPr>
            <a:t> сая төгрөгөөр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Монгол </a:t>
          </a:r>
          <a:r>
            <a:rPr lang="ru-RU" sz="1200">
              <a:effectLst/>
              <a:latin charset="0" panose="020B0604020202020204" pitchFamily="34" typeface="Arial"/>
              <a:ea charset="0" panose="02020603050405020304" pitchFamily="18" typeface="Times New Roman"/>
              <a:cs charset="0" panose="02020603050405020304" pitchFamily="18" typeface="Times New Roman"/>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charset="0" panose="02020603050405020304" pitchFamily="18" typeface="Times New Roman"/>
            <a:cs charset="0" panose="02020603050405020304" pitchFamily="18" typeface="Times New Roman"/>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Гүйцэтгэсэн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20603050405020304" pitchFamily="18" typeface="Times New Roman"/>
            </a:rPr>
            <a:t>х бөгөөд </a:t>
          </a:r>
          <a:r>
            <a:rPr lang="ru-RU" sz="1200">
              <a:effectLst/>
              <a:latin charset="0" panose="020B0604020202020204" pitchFamily="34" typeface="Arial"/>
              <a:ea charset="0" panose="02020603050405020304" pitchFamily="18" typeface="Times New Roman"/>
              <a:cs charset="0" panose="02020603050405020304" pitchFamily="18" typeface="Times New Roman"/>
            </a:rPr>
            <a:t>Маягт</a:t>
          </a:r>
          <a:r>
            <a:rPr lang="mn-MN" sz="1200">
              <a:effectLst/>
              <a:latin charset="0" panose="020B0604020202020204" pitchFamily="34" typeface="Arial"/>
              <a:ea charset="0" panose="02020603050405020304" pitchFamily="18" typeface="Times New Roman"/>
              <a:cs charset="0" panose="02020603050405020304" pitchFamily="18" typeface="Times New Roman"/>
            </a:rPr>
            <a:t>ын 29, 30</a:t>
          </a:r>
          <a:r>
            <a:rPr lang="ru-RU" sz="1200">
              <a:effectLst/>
              <a:latin charset="0" panose="020B0604020202020204" pitchFamily="34" typeface="Arial"/>
              <a:ea charset="0" panose="02020603050405020304" pitchFamily="18" typeface="Times New Roman"/>
              <a:cs charset="0" panose="02020603050405020304" pitchFamily="18" typeface="Times New Roman"/>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20603050405020304" pitchFamily="18" typeface="Times New Roman"/>
            </a:rPr>
            <a:t>үүлсэн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санхүүгийн </a:t>
          </a:r>
          <a:r>
            <a:rPr lang="mn-MN" sz="1200">
              <a:effectLst/>
              <a:latin charset="0" panose="020B0604020202020204" pitchFamily="34" typeface="Arial"/>
              <a:ea charset="0" panose="02020603050405020304" pitchFamily="18" typeface="Times New Roman"/>
              <a:cs charset="0" panose="02020603050405020304" pitchFamily="18" typeface="Times New Roman"/>
            </a:rPr>
            <a:t>үр өгөөжийн тоо, үнийн дүнг өссөн дүнгээр мэдээлнэ.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a:t>
          </a:r>
          <a:r>
            <a:rPr lang="mn-MN" sz="1200">
              <a:effectLst/>
              <a:latin charset="0" panose="020B0604020202020204" pitchFamily="34" typeface="Arial"/>
              <a:ea charset="0" panose="02020603050405020304" pitchFamily="18" typeface="Times New Roman"/>
              <a:cs charset="0" panose="02020603050405020304" pitchFamily="18" typeface="Times New Roman"/>
            </a:rPr>
            <a:t>дугаар, төлбөрийн актын огноо, дугаар, илрүүлсэн зөрчлийн утгаар ангилж дэлгэрэнгүй бүртгэнэ. </a:t>
          </a:r>
          <a:endParaRPr lang="en-US" sz="1200">
            <a:effectLst/>
            <a:latin typeface="Arial Mon"/>
            <a:ea charset="0" panose="02020603050405020304" pitchFamily="18" typeface="Times New Roman"/>
            <a:cs charset="0" panose="02020603050405020304" pitchFamily="18" typeface="Times New Roman"/>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6.xml><?xml version="1.0" encoding="utf-8"?>
<xdr:wsDr xmlns:a="http://schemas.openxmlformats.org/drawingml/2006/main" xmlns:xdr="http://schemas.openxmlformats.org/drawingml/2006/spreadsheetDrawing">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a:t>
          </a:r>
          <a:r>
            <a:rPr b="1" lang="en-US" sz="1000">
              <a:latin charset="0" panose="020B0604020202020204" pitchFamily="34" typeface="Arial"/>
              <a:cs charset="0" panose="020B0604020202020204" pitchFamily="34" typeface="Arial"/>
            </a:rPr>
            <a:t>4</a:t>
          </a:r>
          <a:endParaRPr b="1" lang="mn-MN" sz="1000">
            <a:latin charset="0" panose="020B0604020202020204" pitchFamily="34" typeface="Arial"/>
            <a:cs charset="0" panose="020B0604020202020204" pitchFamily="34" typeface="Arial"/>
          </a:endParaRP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 дугаар хавсралт </a:t>
          </a:r>
          <a:endParaRPr lang="en-US" sz="1000">
            <a:effectLst/>
            <a:latin charset="0" panose="020B0604020202020204" pitchFamily="34" typeface="Arial"/>
            <a:cs charset="0" panose="020B0604020202020204" pitchFamily="34" typeface="Arial"/>
          </a:endParaRPr>
        </a:p>
        <a:p>
          <a:pPr algn="ctr"/>
          <a:endParaRPr b="1" lang="en-US" sz="1000">
            <a:latin charset="0" panose="020B0604020202020204" pitchFamily="34" typeface="Arial"/>
            <a:cs charset="0" panose="020B0604020202020204" pitchFamily="34" typeface="Arial"/>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ТАБ-Б4/</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ru-RU" sz="1200">
              <a:effectLst/>
              <a:latin charset="0" panose="020B0604020202020204" pitchFamily="34" typeface="Arial"/>
              <a:ea charset="0" panose="02020603050405020304" pitchFamily="18" typeface="Times New Roman"/>
              <a:cs charset="0" panose="020B0604020202020204" pitchFamily="34" typeface="Arial"/>
            </a:rPr>
            <a:t>Төрийн аудитын байгууллагын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үйл ажиллагааны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илрүүлэлтийн </a:t>
          </a:r>
          <a:r>
            <a:rPr lang="ru-RU" sz="1200">
              <a:effectLst/>
              <a:latin charset="0" panose="020B0604020202020204" pitchFamily="34" typeface="Arial"/>
              <a:ea charset="0" panose="02020603050405020304" pitchFamily="18" typeface="Times New Roman"/>
              <a:cs charset="0" panose="020B0604020202020204" pitchFamily="34" typeface="Arial"/>
            </a:rPr>
            <a:t>мэдээг </a:t>
          </a:r>
          <a:r>
            <a:rPr lang="mn-MN" sz="1200">
              <a:effectLst/>
              <a:latin charset="0" panose="020B0604020202020204" pitchFamily="34" typeface="Arial"/>
              <a:ea charset="0" panose="02020603050405020304" pitchFamily="18" typeface="Times New Roman"/>
              <a:cs charset="0" panose="020B0604020202020204" pitchFamily="34" typeface="Arial"/>
            </a:rPr>
            <a:t>төрөлжсөн 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болон төрийн аудитын орон нутгийн </a:t>
          </a:r>
          <a:r>
            <a:rPr lang="mn-MN" sz="1200">
              <a:effectLst/>
              <a:latin charset="0" panose="020B0604020202020204" pitchFamily="34" typeface="Arial"/>
              <a:ea charset="0" panose="02020603050405020304" pitchFamily="18" typeface="Times New Roman"/>
              <a:cs charset="0" panose="020B0604020202020204" pitchFamily="34" typeface="Arial"/>
            </a:rPr>
            <a:t>газрууд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 ТАБ-Б4-ийн </a:t>
          </a:r>
          <a:r>
            <a:rPr lang="ru-RU" sz="1200">
              <a:effectLst/>
              <a:latin charset="0" panose="020B0604020202020204" pitchFamily="34" typeface="Arial"/>
              <a:ea charset="0" panose="02020603050405020304" pitchFamily="18" typeface="Times New Roman"/>
              <a:cs charset="0" panose="020B0604020202020204" pitchFamily="34" typeface="Arial"/>
            </a:rPr>
            <a:t>дагуу бэлтгэх бөгөөд байгууллага, нэгжийн нэр</a:t>
          </a:r>
          <a:r>
            <a:rPr lang="mn-MN" sz="1200">
              <a:effectLst/>
              <a:latin charset="0" panose="020B0604020202020204" pitchFamily="34" typeface="Arial"/>
              <a:ea charset="0" panose="02020603050405020304" pitchFamily="18" typeface="Times New Roman"/>
              <a:cs charset="0" panose="020B0604020202020204" pitchFamily="34" typeface="Arial"/>
            </a:rPr>
            <a:t>, хамарсан хугацааны мэдээллийг хүснэгтийн дээр байх </a:t>
          </a:r>
          <a:r>
            <a:rPr lang="ru-RU" sz="1200">
              <a:effectLst/>
              <a:latin charset="0" panose="020B0604020202020204" pitchFamily="34" typeface="Arial"/>
              <a:ea charset="0" panose="02020603050405020304" pitchFamily="18" typeface="Times New Roman"/>
              <a:cs charset="0" panose="020B0604020202020204" pitchFamily="34" typeface="Arial"/>
            </a:rPr>
            <a:t>холбогдох мөрөнд </a:t>
          </a:r>
          <a:r>
            <a:rPr lang="mn-MN" sz="1200">
              <a:effectLst/>
              <a:latin charset="0" panose="020B0604020202020204" pitchFamily="34" typeface="Arial"/>
              <a:ea charset="0" panose="02020603050405020304" pitchFamily="18" typeface="Times New Roman"/>
              <a:cs charset="0" panose="020B0604020202020204" pitchFamily="34" typeface="Arial"/>
            </a:rPr>
            <a:t>тодорхой </a:t>
          </a:r>
          <a:r>
            <a:rPr lang="ru-RU" sz="1200">
              <a:effectLst/>
              <a:latin charset="0" panose="020B0604020202020204" pitchFamily="34" typeface="Arial"/>
              <a:ea charset="0" panose="02020603050405020304" pitchFamily="18" typeface="Times New Roman"/>
              <a:cs charset="0" panose="020B0604020202020204" pitchFamily="34" typeface="Arial"/>
            </a:rPr>
            <a:t>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Алдаа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ТАБ-Б4-д илрүүлсэн алдаа зөрчлийг ангилалын дагуу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 3, 5, 7, 9, 11,</a:t>
          </a:r>
          <a:r>
            <a:rPr baseline="0" lang="mn-MN" sz="1200">
              <a:effectLst/>
              <a:latin charset="0" panose="020B0604020202020204" pitchFamily="34" typeface="Arial"/>
              <a:ea charset="0" panose="02020603050405020304" pitchFamily="18" typeface="Times New Roman"/>
              <a:cs charset="0" panose="020B0604020202020204" pitchFamily="34" typeface="Arial"/>
            </a:rPr>
            <a:t> 13, 15, 17</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нийлбэр 19-р баганын дүн, 2,</a:t>
          </a:r>
          <a:r>
            <a:rPr baseline="0" lang="mn-MN" sz="1200">
              <a:effectLst/>
              <a:latin charset="0" panose="020B0604020202020204" pitchFamily="34" typeface="Arial"/>
              <a:ea charset="0" panose="02020603050405020304" pitchFamily="18" typeface="Times New Roman"/>
              <a:cs charset="0" panose="020B0604020202020204" pitchFamily="34" typeface="Arial"/>
            </a:rPr>
            <a:t> 4, 6, 8, 10, 12, 14, 16 18-р баганын нийлбэр 20-р баганын </a:t>
          </a:r>
          <a:r>
            <a:rPr lang="mn-MN" sz="1200">
              <a:effectLst/>
              <a:latin charset="0" panose="020B0604020202020204" pitchFamily="34" typeface="Arial"/>
              <a:ea charset="0" panose="02020603050405020304" pitchFamily="18" typeface="Times New Roman"/>
              <a:cs charset="0" panose="020B0604020202020204" pitchFamily="34" typeface="Arial"/>
            </a:rPr>
            <a:t> дүн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a:t>
          </a:r>
          <a:r>
            <a:rPr baseline="0" lang="mn-MN" sz="1200">
              <a:effectLst/>
              <a:latin charset="0" panose="020B0604020202020204" pitchFamily="34" typeface="Arial"/>
              <a:ea charset="0" panose="02020603050405020304" pitchFamily="18" typeface="Times New Roman"/>
              <a:cs charset="0" panose="020B0604020202020204" pitchFamily="34" typeface="Arial"/>
            </a:rPr>
            <a:t> 21, 22-р баганад залруулсан алдаа, зөрчлийг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ТАБ-Б4-ийн мөрөнд аудитын төрлөөр ангилж илрүүлсэн алдаа зөрчлийг ангилалын дагуу өссөн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xdr:txBody>
    </xdr:sp>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4.bin" Type="http://schemas.openxmlformats.org/officeDocument/2006/relationships/printerSettings"/>
<Relationship Id="rId2" Target="../drawings/drawing1.xml" Type="http://schemas.openxmlformats.org/officeDocument/2006/relationships/drawing"/>
</Relationships>

</file>

<file path=xl/worksheets/_rels/sheet5.xml.rels><?xml version="1.0" encoding="UTF-8" standalone="yes"?>
<Relationships xmlns="http://schemas.openxmlformats.org/package/2006/relationships">
<Relationship Id="rId1" Target="mailto:ub@audit.mn" TargetMode="External" Type="http://schemas.openxmlformats.org/officeDocument/2006/relationships/hyperlink"/>
<Relationship Id="rId2" Target="http://www.city.audit.mn/" TargetMode="External" Type="http://schemas.openxmlformats.org/officeDocument/2006/relationships/hyperlink"/>
<Relationship Id="rId3" Target="../printerSettings/printerSettings5.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8.bin" Type="http://schemas.openxmlformats.org/officeDocument/2006/relationships/printerSettings"/>
<Relationship Id="rId2" Target="../drawings/drawing2.xml" Type="http://schemas.openxmlformats.org/officeDocument/2006/relationships/drawing"/>
</Relationships>

</file>

<file path=xl/worksheets/_rels/sheet9.xml.rels><?xml version="1.0" encoding="UTF-8" standalone="yes"?>
<Relationships xmlns="http://schemas.openxmlformats.org/package/2006/relationships">
<Relationship Id="rId1" Target="../printerSettings/printerSettings9.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4.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5.bin" Type="http://schemas.openxmlformats.org/officeDocument/2006/relationships/printerSettings"/>
</Relationships>

</file>

<file path=xl/worksheets/_rels/sheet16.xml.rels><?xml version="1.0" encoding="UTF-8" standalone="yes"?>
<Relationships xmlns="http://schemas.openxmlformats.org/package/2006/relationships">
<Relationship Id="rId1" Target="../printerSettings/printerSettings16.bin" Type="http://schemas.openxmlformats.org/officeDocument/2006/relationships/printerSettings"/>
</Relationships>

</file>

<file path=xl/worksheets/_rels/sheet17.xml.rels><?xml version="1.0" encoding="UTF-8" standalone="yes"?>
<Relationships xmlns="http://schemas.openxmlformats.org/package/2006/relationships">
<Relationship Id="rId1" Target="../printerSettings/printerSettings17.bin" Type="http://schemas.openxmlformats.org/officeDocument/2006/relationships/printerSettings"/>
</Relationships>

</file>

<file path=xl/worksheets/_rels/sheet18.xml.rels><?xml version="1.0" encoding="UTF-8" standalone="yes"?>
<Relationships xmlns="http://schemas.openxmlformats.org/package/2006/relationships">
<Relationship Id="rId1" Target="../printerSettings/printerSettings18.bin" Type="http://schemas.openxmlformats.org/officeDocument/2006/relationships/printerSettings"/>
</Relationships>

</file>

<file path=xl/worksheets/_rels/sheet19.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0.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2.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3.bin" Type="http://schemas.openxmlformats.org/officeDocument/2006/relationships/printerSettings"/>
</Relationships>

</file>

<file path=xl/worksheets/_rels/sheet24.xml.rels><?xml version="1.0" encoding="UTF-8" standalone="yes"?>
<Relationships xmlns="http://schemas.openxmlformats.org/package/2006/relationships">
<Relationship Id="rId1" Target="../printerSettings/printerSettings24.bin" Type="http://schemas.openxmlformats.org/officeDocument/2006/relationships/printerSettings"/>
</Relationships>

</file>

<file path=xl/worksheets/_rels/sheet25.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6.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7.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29.xml.rels><?xml version="1.0" encoding="UTF-8" standalone="yes"?>
<Relationships xmlns="http://schemas.openxmlformats.org/package/2006/relationships">
<Relationship Id="rId1" Target="../printerSettings/printerSettings29.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1.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5.xml.rels><?xml version="1.0" encoding="UTF-8" standalone="yes"?>
<Relationships xmlns="http://schemas.openxmlformats.org/package/2006/relationships">
<Relationship Id="rId1" Target="../printerSettings/printerSettings33.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7.xml.rels><?xml version="1.0" encoding="UTF-8" standalone="yes"?>
<Relationships xmlns="http://schemas.openxmlformats.org/package/2006/relationships">
<Relationship Id="rId1" Target="../printerSettings/printerSettings35.bin" Type="http://schemas.openxmlformats.org/officeDocument/2006/relationships/printerSettings"/>
</Relationships>

</file>

<file path=xl/worksheets/_rels/sheet38.xml.rels><?xml version="1.0" encoding="UTF-8" standalone="yes"?>
<Relationships xmlns="http://schemas.openxmlformats.org/package/2006/relationships">
<Relationship Id="rId1" Target="../printerSettings/printerSettings36.bin" Type="http://schemas.openxmlformats.org/officeDocument/2006/relationships/printerSettings"/>
</Relationships>

</file>

<file path=xl/worksheets/_rels/sheet39.xml.rels><?xml version="1.0" encoding="UTF-8" standalone="yes"?>
<Relationships xmlns="http://schemas.openxmlformats.org/package/2006/relationships">
<Relationship Id="rId1" Target="../printerSettings/printerSettings37.bin" Type="http://schemas.openxmlformats.org/officeDocument/2006/relationships/printerSettings"/>
</Relationships>

</file>

<file path=xl/worksheets/_rels/sheet40.xml.rels><?xml version="1.0" encoding="UTF-8" standalone="yes"?>
<Relationships xmlns="http://schemas.openxmlformats.org/package/2006/relationships">
<Relationship Id="rId1" Target="../printerSettings/printerSettings38.bin" Type="http://schemas.openxmlformats.org/officeDocument/2006/relationships/printerSettings"/>
</Relationships>

</file>

<file path=xl/worksheets/_rels/sheet41.xml.rels><?xml version="1.0" encoding="UTF-8" standalone="yes"?>
<Relationships xmlns="http://schemas.openxmlformats.org/package/2006/relationships">
<Relationship Id="rId1" Target="../printerSettings/printerSettings39.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3.xml.rels><?xml version="1.0" encoding="UTF-8" standalone="yes"?>
<Relationships xmlns="http://schemas.openxmlformats.org/package/2006/relationships">
<Relationship Id="rId1" Target="../printerSettings/printerSettings41.bin" Type="http://schemas.openxmlformats.org/officeDocument/2006/relationships/printerSettings"/>
</Relationships>

</file>

<file path=xl/worksheets/_rels/sheet44.xml.rels><?xml version="1.0" encoding="UTF-8" standalone="yes"?>
<Relationships xmlns="http://schemas.openxmlformats.org/package/2006/relationships">
<Relationship Id="rId1" Target="../printerSettings/printerSettings42.bin" Type="http://schemas.openxmlformats.org/officeDocument/2006/relationships/printerSettings"/>
</Relationships>

</file>

<file path=xl/worksheets/_rels/sheet45.xml.rels><?xml version="1.0" encoding="UTF-8" standalone="yes"?>
<Relationships xmlns="http://schemas.openxmlformats.org/package/2006/relationships">
<Relationship Id="rId1" Target="../printerSettings/printerSettings43.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7.xml.rels><?xml version="1.0" encoding="UTF-8" standalone="yes"?>
<Relationships xmlns="http://schemas.openxmlformats.org/package/2006/relationships">
<Relationship Id="rId1" Target="../printerSettings/printerSettings45.bin" Type="http://schemas.openxmlformats.org/officeDocument/2006/relationships/printerSettings"/>
</Relationships>

</file>

<file path=xl/worksheets/_rels/sheet49.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50.xml.rels><?xml version="1.0" encoding="UTF-8" standalone="yes"?>
<Relationships xmlns="http://schemas.openxmlformats.org/package/2006/relationships">
<Relationship Id="rId1" Target="../printerSettings/printerSettings47.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48.bin" Type="http://schemas.openxmlformats.org/officeDocument/2006/relationships/printerSettings"/>
</Relationships>

</file>

<file path=xl/worksheets/_rels/sheet52.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3.xml.rels><?xml version="1.0" encoding="UTF-8" standalone="yes"?>
<Relationships xmlns="http://schemas.openxmlformats.org/package/2006/relationships">
<Relationship Id="rId1" Target="../printerSettings/printerSettings50.bin" Type="http://schemas.openxmlformats.org/officeDocument/2006/relationships/printerSettings"/>
</Relationships>

</file>

<file path=xl/worksheets/_rels/sheet54.xml.rels><?xml version="1.0" encoding="UTF-8" standalone="yes"?>
<Relationships xmlns="http://schemas.openxmlformats.org/package/2006/relationships">
<Relationship Id="rId1" Target="../printerSettings/printerSettings51.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2.bin" Type="http://schemas.openxmlformats.org/officeDocument/2006/relationships/printerSettings"/>
</Relationships>

</file>

<file path=xl/worksheets/_rels/sheet56.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7.xml.rels><?xml version="1.0" encoding="UTF-8" standalone="yes"?>
<Relationships xmlns="http://schemas.openxmlformats.org/package/2006/relationships">
<Relationship Id="rId1" Target="../printerSettings/printerSettings54.bin" Type="http://schemas.openxmlformats.org/officeDocument/2006/relationships/printerSettings"/>
</Relationships>

</file>

<file path=xl/worksheets/_rels/sheet58.xml.rels><?xml version="1.0" encoding="UTF-8" standalone="yes"?>
<Relationships xmlns="http://schemas.openxmlformats.org/package/2006/relationships">
<Relationship Id="rId1" Target="../printerSettings/printerSettings55.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6.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70.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59.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60.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62.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64.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68.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97.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98.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99.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100.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101.xml.rels><?xml version="1.0" encoding="UTF-8" standalone="yes"?>
<Relationships xmlns="http://schemas.openxmlformats.org/package/2006/relationships">
<Relationship Id="rId1" Target="../printerSettings/printerSettings85.bin" Type="http://schemas.openxmlformats.org/officeDocument/2006/relationships/printerSettings"/>
<Relationship Id="rId2" Target="../drawings/drawing3.xml" Type="http://schemas.openxmlformats.org/officeDocument/2006/relationships/drawing"/>
<Relationship Id="rId3" Target="../drawings/vmlDrawing1.vml" Type="http://schemas.openxmlformats.org/officeDocument/2006/relationships/vmlDrawing"/>
<Relationship Id="rId4" Target="../comments1.xml" Type="http://schemas.openxmlformats.org/officeDocument/2006/relationships/comments"/>
</Relationships>

</file>

<file path=xl/worksheets/_rels/sheet102.xml.rels><?xml version="1.0" encoding="UTF-8" standalone="yes"?>
<Relationships xmlns="http://schemas.openxmlformats.org/package/2006/relationships">
<Relationship Id="rId1" Target="../printerSettings/printerSettings86.bin" Type="http://schemas.openxmlformats.org/officeDocument/2006/relationships/printerSettings"/>
<Relationship Id="rId2" Target="../drawings/drawing4.xml" Type="http://schemas.openxmlformats.org/officeDocument/2006/relationships/drawing"/>
<Relationship Id="rId3" Target="../drawings/vmlDrawing2.vml" Type="http://schemas.openxmlformats.org/officeDocument/2006/relationships/vmlDrawing"/>
<Relationship Id="rId4" Target="../comments2.xml" Type="http://schemas.openxmlformats.org/officeDocument/2006/relationships/comments"/>
</Relationships>

</file>

<file path=xl/worksheets/_rels/sheet103.xml.rels><?xml version="1.0" encoding="UTF-8" standalone="yes"?>
<Relationships xmlns="http://schemas.openxmlformats.org/package/2006/relationships">
<Relationship Id="rId1" Target="../printerSettings/printerSettings87.bin" Type="http://schemas.openxmlformats.org/officeDocument/2006/relationships/printerSettings"/>
<Relationship Id="rId2" Target="../drawings/drawing5.xml" Type="http://schemas.openxmlformats.org/officeDocument/2006/relationships/drawing"/>
<Relationship Id="rId3" Target="../drawings/vmlDrawing3.vml" Type="http://schemas.openxmlformats.org/officeDocument/2006/relationships/vmlDrawing"/>
<Relationship Id="rId4" Target="../comments3.xml" Type="http://schemas.openxmlformats.org/officeDocument/2006/relationships/comments"/>
</Relationships>

</file>

<file path=xl/worksheets/_rels/sheet104.xml.rels><?xml version="1.0" encoding="UTF-8" standalone="yes"?>
<Relationships xmlns="http://schemas.openxmlformats.org/package/2006/relationships">
<Relationship Id="rId1" Target="../printerSettings/printerSettings88.bin" Type="http://schemas.openxmlformats.org/officeDocument/2006/relationships/printerSettings"/>
<Relationship Id="rId2" Target="../drawings/drawing6.xml" Type="http://schemas.openxmlformats.org/officeDocument/2006/relationships/drawing"/>
</Relationships>

</file>

<file path=xl/worksheets/_rels/sheet108.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109.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110.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111.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112.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113.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115.xml.rels><?xml version="1.0" encoding="UTF-8" standalone="yes"?>
<Relationships xmlns="http://schemas.openxmlformats.org/package/2006/relationships">
<Relationship Id="rId1" Target="../printerSettings/printerSettings95.bin" Type="http://schemas.openxmlformats.org/officeDocument/2006/relationships/printerSettings"/>
</Relationships>

</file>

<file path=xl/worksheets/_rels/sheet116.xml.rels><?xml version="1.0" encoding="UTF-8" standalone="yes"?>
<Relationships xmlns="http://schemas.openxmlformats.org/package/2006/relationships">
<Relationship Id="rId1" Target="../printerSettings/printerSettings96.bin" Type="http://schemas.openxmlformats.org/officeDocument/2006/relationships/printerSettings"/>
</Relationships>

</file>

<file path=xl/worksheets/_rels/sheet117.xml.rels><?xml version="1.0" encoding="UTF-8" standalone="yes"?>
<Relationships xmlns="http://schemas.openxmlformats.org/package/2006/relationships">
<Relationship Id="rId1" Target="../printerSettings/printerSettings97.bin" Type="http://schemas.openxmlformats.org/officeDocument/2006/relationships/printerSettings"/>
</Relationships>

</file>

<file path=xl/worksheets/_rels/sheet119.xml.rels><?xml version="1.0" encoding="UTF-8" standalone="yes"?>
<Relationships xmlns="http://schemas.openxmlformats.org/package/2006/relationships">
<Relationship Id="rId1" Target="../printerSettings/printerSettings98.bin" Type="http://schemas.openxmlformats.org/officeDocument/2006/relationships/printerSettings"/>
</Relationships>

</file>

<file path=xl/worksheets/_rels/sheet120.xml.rels><?xml version="1.0" encoding="UTF-8" standalone="yes"?>
<Relationships xmlns="http://schemas.openxmlformats.org/package/2006/relationships">
<Relationship Id="rId1" Target="../printerSettings/printerSettings99.bin" Type="http://schemas.openxmlformats.org/officeDocument/2006/relationships/printerSettings"/>
</Relationships>

</file>

<file path=xl/worksheets/_rels/sheet121.xml.rels><?xml version="1.0" encoding="UTF-8" standalone="yes"?>
<Relationships xmlns="http://schemas.openxmlformats.org/package/2006/relationships">
<Relationship Id="rId1" Target="../printerSettings/printerSettings100.bin" Type="http://schemas.openxmlformats.org/officeDocument/2006/relationships/printerSettings"/>
</Relationships>

</file>

<file path=xl/worksheets/_rels/sheet122.xml.rels><?xml version="1.0" encoding="UTF-8" standalone="yes"?>
<Relationships xmlns="http://schemas.openxmlformats.org/package/2006/relationships">
<Relationship Id="rId1" Target="../printerSettings/printerSettings101.bin" Type="http://schemas.openxmlformats.org/officeDocument/2006/relationships/printerSettings"/>
</Relationships>

</file>

<file path=xl/worksheets/_rels/sheet123.xml.rels><?xml version="1.0" encoding="UTF-8" standalone="yes"?>
<Relationships xmlns="http://schemas.openxmlformats.org/package/2006/relationships">
<Relationship Id="rId1" Target="../printerSettings/printerSettings102.bin" Type="http://schemas.openxmlformats.org/officeDocument/2006/relationships/printerSettings"/>
</Relationships>

</file>

<file path=xl/worksheets/_rels/sheet124.xml.rels><?xml version="1.0" encoding="UTF-8" standalone="yes"?>
<Relationships xmlns="http://schemas.openxmlformats.org/package/2006/relationships">
<Relationship Id="rId1" Target="../printerSettings/printerSettings103.bin" Type="http://schemas.openxmlformats.org/officeDocument/2006/relationships/printerSettings"/>
</Relationships>

</file>

<file path=xl/worksheets/_rels/sheet125.xml.rels><?xml version="1.0" encoding="UTF-8" standalone="yes"?>
<Relationships xmlns="http://schemas.openxmlformats.org/package/2006/relationships">
<Relationship Id="rId1" Target="../printerSettings/printerSettings104.bin" Type="http://schemas.openxmlformats.org/officeDocument/2006/relationships/printerSettings"/>
</Relationships>

</file>

<file path=xl/worksheets/_rels/sheet126.xml.rels><?xml version="1.0" encoding="UTF-8" standalone="yes"?>
<Relationships xmlns="http://schemas.openxmlformats.org/package/2006/relationships">
<Relationship Id="rId1" Target="../printerSettings/printerSettings105.bin" Type="http://schemas.openxmlformats.org/officeDocument/2006/relationships/printerSettings"/>
</Relationships>

</file>

<file path=xl/worksheets/_rels/sheet127.xml.rels><?xml version="1.0" encoding="UTF-8" standalone="yes"?>
<Relationships xmlns="http://schemas.openxmlformats.org/package/2006/relationships">
<Relationship Id="rId1" Target="../printerSettings/printerSettings106.bin" Type="http://schemas.openxmlformats.org/officeDocument/2006/relationships/printerSettings"/>
</Relationships>

</file>

<file path=xl/worksheets/_rels/sheet128.xml.rels><?xml version="1.0" encoding="UTF-8" standalone="yes"?>
<Relationships xmlns="http://schemas.openxmlformats.org/package/2006/relationships">
<Relationship Id="rId1" Target="../printerSettings/printerSettings107.bin" Type="http://schemas.openxmlformats.org/officeDocument/2006/relationships/printerSettings"/>
</Relationships>

</file>

<file path=xl/worksheets/_rels/sheet129.xml.rels><?xml version="1.0" encoding="UTF-8" standalone="yes"?>
<Relationships xmlns="http://schemas.openxmlformats.org/package/2006/relationships">
<Relationship Id="rId1" Target="../printerSettings/printerSettings108.bin" Type="http://schemas.openxmlformats.org/officeDocument/2006/relationships/printerSettings"/>
</Relationships>

</file>

<file path=xl/worksheets/_rels/sheet130.xml.rels><?xml version="1.0" encoding="UTF-8" standalone="yes"?>
<Relationships xmlns="http://schemas.openxmlformats.org/package/2006/relationships">
<Relationship Id="rId1" Target="../printerSettings/printerSettings109.bin" Type="http://schemas.openxmlformats.org/officeDocument/2006/relationships/printerSettings"/>
</Relationships>

</file>

<file path=xl/worksheets/_rels/sheet131.xml.rels><?xml version="1.0" encoding="UTF-8" standalone="yes"?>
<Relationships xmlns="http://schemas.openxmlformats.org/package/2006/relationships">
<Relationship Id="rId1" Target="../printerSettings/printerSettings110.bin" Type="http://schemas.openxmlformats.org/officeDocument/2006/relationships/printerSettings"/>
</Relationships>

</file>

<file path=xl/worksheets/_rels/sheet132.xml.rels><?xml version="1.0" encoding="UTF-8" standalone="yes"?>
<Relationships xmlns="http://schemas.openxmlformats.org/package/2006/relationships">
<Relationship Id="rId1" Target="../printerSettings/printerSettings111.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0:E34"/>
  <sheetViews>
    <sheetView workbookViewId="0"/>
  </sheetViews>
  <sheetFormatPr defaultRowHeight="15"/>
  <cols>
    <col min="1" max="5" style="759" width="9.140625" collapsed="false"/>
    <col min="6" max="16384" style="759" width="9.140625" collapsed="true"/>
  </cols>
  <sheetData>
    <row customHeight="1" ht="27" r="10"/>
    <row customHeight="1" ht="41.25" r="11"/>
    <row customHeight="1" ht="51.75" r="33"/>
    <row customHeight="1" ht="19.5" r="34"/>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B1:DE6"/>
  <sheetViews>
    <sheetView workbookViewId="0">
      <selection activeCell="Q13" sqref="Q12:Q13"/>
    </sheetView>
  </sheetViews>
  <sheetFormatPr defaultRowHeight="14.25"/>
  <cols>
    <col min="1" max="1" customWidth="true" style="725" width="5.140625" collapsed="true"/>
    <col min="2" max="2" customWidth="true" style="754" width="14.28515625" collapsed="true"/>
    <col min="3" max="3" customWidth="true" style="725" width="8.140625" collapsed="true"/>
    <col min="4" max="4" customWidth="true" style="725" width="17.0" collapsed="true"/>
    <col min="5" max="5" customWidth="true" style="725" width="8.28515625" collapsed="true"/>
    <col min="6" max="6" bestFit="true" customWidth="true" style="725" width="14.28515625" collapsed="true"/>
    <col min="7" max="7" customWidth="true" style="725" width="7.0" collapsed="true"/>
    <col min="8" max="8" customWidth="true" style="725" width="17.0" collapsed="true"/>
    <col min="9" max="9" customWidth="true" style="725" width="6.7109375" collapsed="true"/>
    <col min="10" max="10" customWidth="true" style="725" width="14.5703125" collapsed="true"/>
    <col min="11" max="11" customWidth="true" style="725" width="7.85546875" collapsed="true"/>
    <col min="12" max="12" bestFit="true" customWidth="true" style="725" width="14.7109375" collapsed="true"/>
    <col min="13" max="13" customWidth="true" style="725" width="6.140625" collapsed="true"/>
    <col min="14" max="14" customWidth="true" style="725" width="12.42578125" collapsed="true"/>
    <col min="15" max="15" customWidth="true" style="725" width="5.5703125" collapsed="true"/>
    <col min="16" max="19" bestFit="true" customWidth="true" style="725" width="14.7109375" collapsed="true"/>
    <col min="20" max="20" bestFit="true" customWidth="true" style="725" width="16.0" collapsed="true"/>
    <col min="21" max="21" bestFit="true" customWidth="true" style="725" width="13.0" collapsed="true"/>
    <col min="22" max="22" bestFit="true" customWidth="true" style="725" width="13.5703125" collapsed="true"/>
    <col min="23" max="25" bestFit="true" customWidth="true" style="725" width="16.0" collapsed="true"/>
    <col min="26" max="26" customWidth="true" style="725" width="15.85546875" collapsed="true"/>
    <col min="27" max="28" style="752" width="9.140625" collapsed="true"/>
    <col min="29" max="38" customWidth="true" style="725" width="15.85546875" collapsed="true"/>
    <col min="39" max="40" style="752" width="9.140625" collapsed="true"/>
    <col min="41" max="52" customWidth="true" style="725" width="15.85546875" collapsed="true"/>
    <col min="53" max="53" bestFit="true" customWidth="true" style="725" width="16.85546875" collapsed="true"/>
    <col min="54" max="54" bestFit="true" customWidth="true" style="725" width="14.0" collapsed="true"/>
    <col min="55" max="55" customWidth="true" style="725" width="15.140625" collapsed="true"/>
    <col min="56" max="56" customWidth="true" style="725" width="19.140625" collapsed="true"/>
    <col min="57" max="57" customWidth="true" style="725" width="9.7109375" collapsed="true"/>
    <col min="58" max="58" customWidth="true" style="725" width="14.28515625" collapsed="true"/>
    <col min="59" max="59" customWidth="true" style="725" width="14.85546875" collapsed="true"/>
    <col min="60" max="60" bestFit="true" customWidth="true" style="725" width="11.7109375" collapsed="true"/>
    <col min="61" max="62" bestFit="true" customWidth="true" style="725" width="13.42578125" collapsed="true"/>
    <col min="63" max="63" customWidth="true" style="725" width="16.42578125" collapsed="true"/>
    <col min="64" max="64" customWidth="true" style="725" width="15.28515625" collapsed="true"/>
    <col min="65" max="65" customWidth="true" style="725" width="16.85546875" collapsed="true"/>
    <col min="66" max="66" bestFit="true" customWidth="true" style="725" width="16.0" collapsed="true"/>
    <col min="67" max="67" customWidth="true" style="725" width="13.0" collapsed="true"/>
    <col min="68" max="68" customWidth="true" style="725" width="15.5703125" collapsed="true"/>
    <col min="69" max="69" bestFit="true" customWidth="true" style="752" width="26.42578125" collapsed="true"/>
    <col min="70" max="70" customWidth="true" style="752" width="9.28515625" collapsed="true"/>
    <col min="71" max="71" customWidth="true" style="755" width="13.7109375" collapsed="true"/>
    <col min="72" max="72" bestFit="true" customWidth="true" style="752" width="13.42578125" collapsed="true"/>
    <col min="73" max="74" style="752" width="9.140625" collapsed="true"/>
    <col min="75" max="80" style="725" width="9.140625" collapsed="true"/>
    <col min="81" max="81" customWidth="true" style="725" width="12.85546875" collapsed="true"/>
    <col min="82" max="82" style="725" width="9.140625" collapsed="true"/>
    <col min="83" max="83" customWidth="true" style="725" width="14.0" collapsed="true"/>
    <col min="84" max="86" style="725" width="9.140625" collapsed="true"/>
    <col min="87" max="87" bestFit="true" customWidth="true" style="725" width="14.42578125" collapsed="true"/>
    <col min="88" max="88" style="725" width="9.140625" collapsed="true"/>
    <col min="89" max="89" bestFit="true" customWidth="true" style="725" width="18.5703125" collapsed="true"/>
    <col min="90" max="93" style="725" width="9.140625" collapsed="true"/>
    <col min="94" max="94" customWidth="true" style="725" width="10.42578125" collapsed="true"/>
    <col min="95" max="95" customWidth="true" style="725" width="15.0" collapsed="true"/>
    <col min="96" max="103" style="725" width="9.140625" collapsed="true"/>
    <col min="104" max="104" customWidth="true" style="752" width="9.28515625" collapsed="true"/>
    <col min="105" max="105" customWidth="true" style="752" width="13.7109375" collapsed="true"/>
    <col min="106" max="106" bestFit="true" customWidth="true" style="752" width="9.85546875" collapsed="true"/>
    <col min="107" max="107" bestFit="true" customWidth="true" style="752" width="13.42578125" collapsed="true"/>
    <col min="108" max="109" style="752" width="9.140625" collapsed="true"/>
    <col min="110" max="115" style="725" width="9.140625" collapsed="true"/>
    <col min="116" max="116" customWidth="true" style="725" width="12.85546875" collapsed="true"/>
    <col min="117" max="117" style="725" width="9.140625" collapsed="true"/>
    <col min="118" max="118" customWidth="true" style="725" width="14.0" collapsed="true"/>
    <col min="119" max="121" style="725" width="9.140625" collapsed="true"/>
    <col min="122" max="122" bestFit="true" customWidth="true" style="725" width="14.42578125" collapsed="true"/>
    <col min="123" max="123" style="725" width="9.140625" collapsed="true"/>
    <col min="124" max="124" bestFit="true" customWidth="true" style="725" width="18.5703125" collapsed="true"/>
    <col min="125" max="128" style="725" width="9.140625" collapsed="true"/>
    <col min="129" max="129" customWidth="true" style="725" width="10.42578125" collapsed="true"/>
    <col min="130" max="130" customWidth="true" style="725" width="15.0" collapsed="true"/>
    <col min="131" max="16384" style="725" width="9.140625" collapsed="true"/>
  </cols>
  <sheetData>
    <row customFormat="1" r="1" s="761" spans="2:109">
      <c r="B1" s="760" t="s">
        <v>2626</v>
      </c>
      <c r="D1" s="760" t="s">
        <v>2627</v>
      </c>
      <c r="F1" s="760" t="s">
        <v>2628</v>
      </c>
      <c r="H1" s="760" t="s">
        <v>2658</v>
      </c>
      <c r="J1" s="760" t="s">
        <v>2659</v>
      </c>
      <c r="L1" s="760" t="s">
        <v>2660</v>
      </c>
      <c r="N1" s="760" t="s">
        <v>35</v>
      </c>
      <c r="P1" s="760" t="s">
        <v>2656</v>
      </c>
      <c r="R1" s="761">
        <f>IF(negtgel!K3-negtgel!G3-negtgel!H3&gt;1920000,192000,0)</f>
        <v>0</v>
      </c>
      <c r="AA1" s="762"/>
      <c r="AB1" s="762"/>
      <c r="AM1" s="762"/>
      <c r="AN1" s="762"/>
      <c r="BQ1" s="762"/>
      <c r="BR1" s="762"/>
      <c r="BS1" s="763"/>
      <c r="BT1" s="762"/>
      <c r="BU1" s="762"/>
      <c r="BV1" s="762"/>
      <c r="BW1" s="762"/>
      <c r="BX1" s="762"/>
      <c r="BY1" s="762"/>
      <c r="BZ1" s="764"/>
      <c r="CA1" s="764"/>
      <c r="CB1" s="764"/>
      <c r="CC1" s="764"/>
      <c r="CD1" s="764"/>
      <c r="CE1" s="764"/>
      <c r="CF1" s="764"/>
      <c r="CG1" s="764"/>
      <c r="CH1" s="764"/>
      <c r="CI1" s="764"/>
      <c r="CJ1" s="764"/>
      <c r="CK1" s="764"/>
      <c r="CL1" s="764"/>
      <c r="CM1" s="764"/>
      <c r="CN1" s="764"/>
      <c r="CO1" s="764"/>
      <c r="CP1" s="764"/>
      <c r="CQ1" s="764"/>
      <c r="CR1" s="764"/>
      <c r="CS1" s="764"/>
      <c r="CT1" s="764"/>
      <c r="CU1" s="764"/>
      <c r="CV1" s="764"/>
      <c r="CW1" s="764"/>
      <c r="CX1" s="764"/>
      <c r="CY1" s="764"/>
      <c r="CZ1" s="765"/>
      <c r="DA1" s="765"/>
      <c r="DB1" s="765"/>
      <c r="DC1" s="765"/>
      <c r="DD1" s="765"/>
      <c r="DE1" s="765"/>
    </row>
    <row customFormat="1" ht="15" r="2" s="761" spans="2:109">
      <c r="B2" s="760" t="s">
        <v>2661</v>
      </c>
      <c r="D2" s="760" t="s">
        <v>2662</v>
      </c>
      <c r="F2" s="760" t="s">
        <v>2663</v>
      </c>
      <c r="H2" s="760" t="s">
        <v>2664</v>
      </c>
      <c r="J2" s="760" t="s">
        <v>2665</v>
      </c>
      <c r="L2" s="760" t="s">
        <v>2666</v>
      </c>
      <c r="N2" s="766"/>
      <c r="P2" s="760" t="s">
        <v>1209</v>
      </c>
      <c r="BS2" s="763"/>
      <c r="CZ2" s="765"/>
      <c r="DA2" s="765"/>
      <c r="DB2" s="765"/>
      <c r="DC2" s="765"/>
      <c r="DD2" s="765"/>
      <c r="DE2" s="765"/>
    </row>
    <row customFormat="1" ht="15" r="3" s="761" spans="2:109">
      <c r="B3" s="760" t="s">
        <v>2667</v>
      </c>
      <c r="D3" s="760" t="s">
        <v>2668</v>
      </c>
      <c r="F3" s="760" t="s">
        <v>2669</v>
      </c>
      <c r="H3" s="760" t="s">
        <v>2670</v>
      </c>
      <c r="J3" s="760" t="s">
        <v>2671</v>
      </c>
      <c r="L3" s="760" t="s">
        <v>2642</v>
      </c>
      <c r="N3" s="760" t="s">
        <v>2672</v>
      </c>
      <c r="P3" s="766" t="s">
        <v>2673</v>
      </c>
      <c r="AA3" s="765"/>
      <c r="AB3" s="765"/>
      <c r="AM3" s="765"/>
      <c r="AN3" s="765"/>
      <c r="BS3" s="763"/>
      <c r="BT3" s="767"/>
      <c r="BU3" s="765"/>
      <c r="BV3" s="762"/>
      <c r="CZ3" s="765"/>
      <c r="DA3" s="765"/>
      <c r="DB3" s="765"/>
      <c r="DC3" s="765"/>
      <c r="DD3" s="765"/>
      <c r="DE3" s="765"/>
    </row>
    <row customFormat="1" ht="15" r="4" s="761" spans="2:109">
      <c r="B4" s="760" t="s">
        <v>2674</v>
      </c>
      <c r="D4" s="760" t="s">
        <v>2675</v>
      </c>
      <c r="F4" s="760" t="s">
        <v>2676</v>
      </c>
      <c r="H4" s="760" t="s">
        <v>2677</v>
      </c>
      <c r="J4" s="760" t="s">
        <v>2678</v>
      </c>
      <c r="L4" s="766" t="s">
        <v>2679</v>
      </c>
      <c r="N4" s="760" t="s">
        <v>2680</v>
      </c>
      <c r="P4" s="760" t="s">
        <v>2681</v>
      </c>
      <c r="AA4" s="765"/>
      <c r="AB4" s="765"/>
      <c r="AM4" s="765"/>
      <c r="AN4" s="765"/>
      <c r="BS4" s="763"/>
      <c r="BT4" s="767"/>
      <c r="BU4" s="765"/>
      <c r="BV4" s="762"/>
      <c r="CZ4" s="765"/>
      <c r="DA4" s="765"/>
      <c r="DB4" s="765"/>
      <c r="DC4" s="765"/>
      <c r="DD4" s="765"/>
      <c r="DE4" s="765"/>
    </row>
    <row customFormat="1" r="5" s="761" spans="2:109">
      <c r="B5" s="760" t="s">
        <v>2682</v>
      </c>
      <c r="D5" s="760" t="s">
        <v>2683</v>
      </c>
      <c r="F5" s="760" t="s">
        <v>2684</v>
      </c>
      <c r="H5" s="760" t="s">
        <v>2685</v>
      </c>
      <c r="J5" s="760" t="s">
        <v>2686</v>
      </c>
      <c r="L5" s="1479" t="s">
        <v>3153</v>
      </c>
      <c r="N5" s="760" t="s">
        <v>2687</v>
      </c>
      <c r="P5" s="760" t="s">
        <v>2688</v>
      </c>
      <c r="AA5" s="765"/>
      <c r="AB5" s="765"/>
      <c r="AM5" s="765"/>
      <c r="AN5" s="765"/>
      <c r="BQ5" s="765"/>
      <c r="BR5" s="765"/>
      <c r="BS5" s="763"/>
      <c r="BT5" s="765"/>
      <c r="BU5" s="765"/>
      <c r="BV5" s="765"/>
      <c r="CZ5" s="765"/>
      <c r="DA5" s="765"/>
      <c r="DB5" s="765"/>
      <c r="DC5" s="765"/>
      <c r="DD5" s="765"/>
      <c r="DE5" s="765"/>
    </row>
    <row customFormat="1" r="6" s="724" spans="2:109">
      <c r="B6" s="768"/>
      <c r="AA6" s="769"/>
      <c r="AB6" s="769"/>
      <c r="AM6" s="769"/>
      <c r="AN6" s="769"/>
      <c r="BQ6" s="769"/>
      <c r="BR6" s="769"/>
      <c r="BS6" s="770"/>
      <c r="BT6" s="769"/>
      <c r="BU6" s="769"/>
      <c r="BV6" s="769"/>
      <c r="CZ6" s="769"/>
      <c r="DA6" s="769"/>
      <c r="DB6" s="769"/>
      <c r="DC6" s="769"/>
      <c r="DD6" s="769"/>
      <c r="DE6" s="769"/>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DH6291"/>
  <sheetViews>
    <sheetView workbookViewId="0" zoomScale="85" zoomScaleNormal="85">
      <pane activePane="bottomRight" state="frozen" topLeftCell="G3" xSplit="1" ySplit="2"/>
      <selection activeCell="D20" sqref="D20"/>
      <selection activeCell="D20" pane="topRight" sqref="D20"/>
      <selection activeCell="D20" pane="bottomLeft" sqref="D20"/>
      <selection activeCell="Q8" pane="bottomRight" sqref="Q8"/>
    </sheetView>
  </sheetViews>
  <sheetFormatPr defaultRowHeight="15"/>
  <cols>
    <col min="1" max="1" customWidth="true" style="725" width="6.7109375" collapsed="true"/>
    <col min="2" max="2" bestFit="true" customWidth="true" style="771" width="10.85546875" collapsed="true"/>
    <col min="3" max="3" customWidth="true" style="725" width="13.140625" collapsed="true"/>
    <col min="4" max="4" customWidth="true" style="755" width="14.42578125" collapsed="true"/>
    <col min="5" max="5" bestFit="true" customWidth="true" style="725" width="14.28515625" collapsed="true"/>
    <col min="6" max="6" customWidth="true" style="725" width="13.140625" collapsed="true"/>
    <col min="7" max="7" customWidth="true" style="725" width="13.5703125" collapsed="true"/>
    <col min="8" max="8" customWidth="true" style="725" width="13.140625" collapsed="true"/>
    <col min="9" max="9" customWidth="true" style="725" width="12.85546875" collapsed="true"/>
    <col min="10" max="10" customWidth="true" style="725" width="13.85546875" collapsed="true"/>
    <col min="11" max="11" bestFit="true" customWidth="true" style="725" width="14.28515625" collapsed="true"/>
    <col min="12" max="13" bestFit="true" customWidth="true" style="725" width="13.28515625" collapsed="true"/>
    <col min="14" max="16" customWidth="true" style="725" width="15.42578125" collapsed="false"/>
    <col min="17" max="17" customWidth="true" style="725" width="15.0" collapsed="false"/>
    <col min="18" max="18" customWidth="true" style="725" width="12.42578125" collapsed="true"/>
    <col min="19" max="19" customWidth="true" style="725" width="8.42578125" collapsed="false"/>
    <col min="20" max="20" customWidth="true" style="725" width="13.28515625" collapsed="false"/>
    <col min="21" max="21" customWidth="true" style="725" width="10.140625" collapsed="true"/>
    <col min="22" max="22" customWidth="true" style="725" width="10.0" collapsed="true"/>
    <col min="23" max="23" customWidth="true" style="725" width="18.140625" collapsed="true"/>
    <col min="24" max="24" customWidth="true" style="725" width="10.42578125" collapsed="true"/>
    <col min="25" max="27" style="725" width="9.140625" collapsed="true"/>
    <col min="28" max="28" customWidth="true" style="725" width="9.28515625" collapsed="true"/>
    <col min="29" max="29" customWidth="true" style="725" width="11.42578125" collapsed="true"/>
    <col min="30" max="30" customWidth="true" style="725" width="9.85546875" collapsed="true"/>
    <col min="31" max="34" style="725" width="9.140625" collapsed="true"/>
    <col min="35" max="35" customWidth="true" style="725" width="10.140625" collapsed="true"/>
    <col min="36" max="36" customWidth="true" style="725" width="11.0" collapsed="true"/>
    <col min="37" max="37" style="725" width="9.140625" collapsed="true"/>
    <col min="38" max="38" customWidth="true" style="725" width="10.140625" collapsed="true"/>
    <col min="39" max="39" customWidth="true" style="725" width="10.28515625" collapsed="true"/>
    <col min="40" max="41" style="725" width="9.140625" collapsed="true"/>
    <col min="42" max="42" customWidth="true" style="725" width="10.28515625" collapsed="true"/>
    <col min="43" max="49" style="725" width="9.140625" collapsed="true"/>
    <col min="50" max="50" bestFit="true" customWidth="true" style="725" width="14.28515625" collapsed="true"/>
    <col min="51" max="76" style="725" width="9.140625" collapsed="true"/>
    <col min="77" max="77" style="755" width="9.140625" collapsed="true"/>
    <col min="78" max="84" style="752" width="9.140625" collapsed="true"/>
    <col min="111" max="112" style="725" width="9.140625" collapsed="false"/>
    <col min="113" max="16384" style="725" width="9.140625" collapsed="true"/>
  </cols>
  <sheetData>
    <row r="2">
      <c r="A2" t="s" s="2208">
        <v>59</v>
      </c>
      <c r="B2" t="s" s="2208">
        <v>1881</v>
      </c>
      <c r="C2" t="s" s="2208">
        <v>2650</v>
      </c>
      <c r="D2" t="s" s="2208">
        <v>2651</v>
      </c>
      <c r="E2" t="s" s="2208">
        <v>1234</v>
      </c>
      <c r="F2" t="s" s="2208">
        <v>1234</v>
      </c>
      <c r="G2" t="s" s="2208">
        <v>1202</v>
      </c>
      <c r="H2" t="s" s="2208">
        <v>2628</v>
      </c>
      <c r="I2" t="s" s="2208">
        <v>2689</v>
      </c>
      <c r="J2" t="s" s="2208">
        <v>2690</v>
      </c>
      <c r="K2" t="s" s="2208">
        <v>1208</v>
      </c>
      <c r="L2" t="s" s="2208">
        <v>35</v>
      </c>
      <c r="M2" t="s" s="2208">
        <v>2656</v>
      </c>
      <c r="N2" t="s" s="2208">
        <v>1869</v>
      </c>
      <c r="O2" t="s" s="2208">
        <v>2691</v>
      </c>
      <c r="P2" t="s" s="2208">
        <v>2692</v>
      </c>
      <c r="Q2" t="s" s="2208">
        <v>2693</v>
      </c>
      <c r="R2" t="s" s="2208">
        <v>2694</v>
      </c>
      <c r="S2" t="s" s="2208">
        <v>3780</v>
      </c>
      <c r="T2" t="s" s="2208">
        <v>3135</v>
      </c>
      <c r="U2" t="s" s="2207">
        <v>649</v>
      </c>
      <c r="V2" t="s" s="2207">
        <v>3765</v>
      </c>
      <c r="W2" t="s" s="2207">
        <v>79</v>
      </c>
      <c r="X2" t="s" s="2207">
        <v>623</v>
      </c>
      <c r="Y2" t="s" s="2207">
        <v>2625</v>
      </c>
      <c r="Z2" t="s" s="2207">
        <v>3766</v>
      </c>
      <c r="AA2" t="s" s="2207">
        <v>3767</v>
      </c>
      <c r="AB2" t="s" s="2207">
        <v>3768</v>
      </c>
      <c r="AC2" t="s" s="2207">
        <v>3769</v>
      </c>
      <c r="AD2" t="s" s="2207">
        <v>3770</v>
      </c>
      <c r="AE2" t="s" s="2207">
        <v>3771</v>
      </c>
      <c r="AF2" t="s" s="2207">
        <v>3772</v>
      </c>
      <c r="AG2" t="s" s="2207">
        <v>3773</v>
      </c>
      <c r="AH2" t="s" s="2207">
        <v>3774</v>
      </c>
      <c r="AI2" t="s" s="2207">
        <v>3775</v>
      </c>
      <c r="AJ2" t="s" s="2207">
        <v>2627</v>
      </c>
      <c r="AK2" t="s" s="2207">
        <v>1207</v>
      </c>
      <c r="AL2" t="s" s="2207">
        <v>3776</v>
      </c>
      <c r="AM2" t="s" s="2207">
        <v>3777</v>
      </c>
      <c r="AN2" t="s" s="2207">
        <v>3778</v>
      </c>
      <c r="AO2" t="s" s="2207">
        <v>3779</v>
      </c>
      <c r="AP2" t="s" s="2207">
        <v>35</v>
      </c>
      <c r="AQ2" t="s" s="2207">
        <v>2673</v>
      </c>
    </row>
    <row r="3">
      <c r="A3" t="n">
        <v>1.0</v>
      </c>
      <c r="B3">
        <f>IF((K3-G3-H3&gt;2400000),10,(L3/(K3-G3-H3)*100))</f>
      </c>
      <c r="C3">
        <f>IF(N3&gt;2400000,240000,(N3*S3)/100)</f>
      </c>
      <c r="D3">
        <f>IF(S3=0,0,IF((N3-I3)&gt;2400000,((((((N3-I3-J3)-240000))*0.1+(I3+J3)*0.1)))-7000,((((((N3-I3-J3)-(N3-I3-J3)*S3/100)))*0.1+(I3+J3)*0.1)-7000)))</f>
      </c>
      <c r="E3">
        <f>C3-O3</f>
      </c>
      <c r="F3">
        <f>D3-P3</f>
      </c>
      <c r="G3">
        <f>SUMIF(negtgel!U$2:BL$2,'Tsalin uzuulelt'!B$1,negtgel!U3:BL3) + SUMIF(negtgel!U$2:BL$2,'Tsalin uzuulelt'!B$2,negtgel!U3:BL3)+SUMIF(negtgel!U$2:BL$2,'Tsalin uzuulelt'!B$3,negtgel!U3:BL3)+SUMIF(negtgel!U$2:BL$2,'Tsalin uzuulelt'!B$4,negtgel!U3:BL3)+SUMIF(negtgel!U$2:BL$2,'Tsalin uzuulelt'!B$5,negtgel!U3:BL3)</f>
      </c>
      <c r="H3">
        <f>SUMIF(negtgel!U$2:BL$2,'Tsalin uzuulelt'!F$1,negtgel!U3:BL3) + SUMIF(negtgel!U$2:BL$2,'Tsalin uzuulelt'!F$2,negtgel!U3:BL3)+SUMIF(negtgel!U$2:BL$2,'Tsalin uzuulelt'!F$3,negtgel!U3:BL3)+SUMIF(negtgel!U$2:BL$2,'Tsalin uzuulelt'!F$4,negtgel!U3:BL3)+SUMIF(negtgel!U$2:BL$2,'Tsalin uzuulelt'!F$5,negtgel!U3:BL3)</f>
      </c>
      <c r="I3">
        <f>SUMIF(negtgel!U$2:BL$2,'Tsalin uzuulelt'!H$1,negtgel!U3:BL3) + SUMIF(negtgel!U$2:BL$2,'Tsalin uzuulelt'!H$2,negtgel!U3:BL3)+SUMIF(negtgel!U$2:BL$2,'Tsalin uzuulelt'!H$3,negtgel!U3:BL3)+SUMIF(negtgel!U$2:BL$2,'Tsalin uzuulelt'!H$4,negtgel!U3:BL3)+SUMIF(negtgel!U$2:BL$2,'Tsalin uzuulelt'!H$5,negtgel!U3:BL3)</f>
      </c>
      <c r="J3">
        <f>SUMIF(negtgel!U$2:BL$2,'Tsalin uzuulelt'!J$1,negtgel!U3:BL3) + SUMIF(negtgel!U$2:BL$2,'Tsalin uzuulelt'!J$2,negtgel!U3:BL3)+SUMIF(negtgel!U$2:BL$2,'Tsalin uzuulelt'!J$3,negtgel!U3:BL3)+SUMIF(negtgel!U$2:BL$2,'Tsalin uzuulelt'!J$4,negtgel!U3:BL3)+SUMIF(negtgel!U$2:BL$2,'Tsalin uzuulelt'!J$5,negtgel!U3:BL3)</f>
      </c>
      <c r="K3">
        <f>SUMIF(negtgel!U$2:BL$2,'Tsalin uzuulelt'!L$1,negtgel!U3:BL3) + SUMIF(negtgel!U$2:BL$2,'Tsalin uzuulelt'!L$2,negtgel!U3:BL3)+SUMIF(negtgel!U$2:BL$2,'Tsalin uzuulelt'!L$3,negtgel!U3:BL3)+SUMIF(negtgel!U$2:BL$2,'Tsalin uzuulelt'!L$4,negtgel!U3:BL3)+SUMIF(negtgel!U$2:BL$2,'Tsalin uzuulelt'!L$5,negtgel!U3:BL3)</f>
      </c>
      <c r="L3">
        <f>SUMIF(negtgel!U$2:BL$2,'Tsalin uzuulelt'!N$1,negtgel!U3:BL3) + SUMIF(negtgel!U$2:BL$2,'Tsalin uzuulelt'!N$2,negtgel!U3:BL3)+SUMIF(negtgel!U$2:BL$2,'Tsalin uzuulelt'!N$3,negtgel!U3:BL3)+SUMIF(negtgel!U$2:BL$2,'Tsalin uzuulelt'!N$4,negtgel!U3:BL3)+SUMIF(negtgel!U$2:BL$2,'Tsalin uzuulelt'!N$5,negtgel!U3:BL3)</f>
      </c>
      <c r="M3">
        <f>SUMIF(negtgel!U$2:BL$2,'Tsalin uzuulelt'!P$1,negtgel!U3:BL3) + SUMIF(negtgel!U$2:BL$2,'Tsalin uzuulelt'!P$2,negtgel!U3:BL3)+ SUMIF(negtgel!U$2:BL$2,'Tsalin uzuulelt'!P$3,negtgel!U3:BL3)+ SUMIF(negtgel!U$2:BL$2,'Tsalin uzuulelt'!P$4,negtgel!U3:BL3)+ SUMIF(negtgel!U$2:BL$2,'Tsalin uzuulelt'!P$5,negtgel!U3:BL3)</f>
      </c>
      <c r="N3">
        <f>IF(ISNUMBER(U3*1)=CF3,0,K3-H3-G3)</f>
      </c>
      <c r="O3">
        <f>IF(ISNUMBER(U3*1)=CF3,0,L3)</f>
      </c>
      <c r="P3">
        <f>IF(ISNUMBER(U3*1)=CF3,0,M3)</f>
      </c>
      <c r="Q3">
        <f>IF(N3&gt;2400000,N3,0)</f>
      </c>
      <c r="R3">
        <f>IF(L3/Q3*100&lt;3,2,10)</f>
      </c>
      <c r="S3">
        <f>IF(CH3=0,0,IF(B3&gt;9,10,IF(B3&gt;8,B3,IF(B3&gt;7.7,7.8,IF(B3&gt;3,B3,IF(B3&gt;1.5,2))))))</f>
      </c>
      <c r="T3">
        <f>IF(Q3=0,S3,R3)</f>
      </c>
      <c r="U3" t="s">
        <v>3781</v>
      </c>
      <c r="V3"/>
      <c r="W3"/>
      <c r="X3"/>
      <c r="Y3"/>
      <c r="Z3"/>
      <c r="AA3"/>
      <c r="AB3"/>
      <c r="AC3"/>
      <c r="AD3"/>
      <c r="AE3"/>
      <c r="AF3"/>
      <c r="AG3"/>
      <c r="AH3"/>
      <c r="AI3"/>
      <c r="AJ3"/>
      <c r="AK3"/>
      <c r="AL3"/>
      <c r="AM3"/>
      <c r="AN3"/>
      <c r="AO3"/>
      <c r="AP3"/>
      <c r="AQ3"/>
      <c r="CH3">
        <f>IFERROR(U3*1,0)</f>
      </c>
    </row>
    <row r="4">
      <c r="A4" t="n">
        <v>1.0</v>
      </c>
      <c r="B4">
        <f>IF((K4-G4-H4&gt;2400000),10,(L4/(K4-G4-H4)*100))</f>
      </c>
      <c r="C4">
        <f>IF(N4&gt;2400000,240000,(N4*S4)/100)</f>
      </c>
      <c r="D4">
        <f>IF(S4=0,0,IF((N4-I4)&gt;2400000,((((((N4-I4-J4)-240000))*0.1+(I4+J4)*0.1)))-7000,((((((N4-I4-J4)-(N4-I4-J4)*S4/100)))*0.1+(I4+J4)*0.1)-7000)))</f>
      </c>
      <c r="E4">
        <f>C4-O4</f>
      </c>
      <c r="F4">
        <f>D4-P4</f>
      </c>
      <c r="G4">
        <f>SUMIF(negtgel!U$2:BL$2,'Tsalin uzuulelt'!B$1,negtgel!U4:BL4) + SUMIF(negtgel!U$2:BL$2,'Tsalin uzuulelt'!B$2,negtgel!U4:BL4)+SUMIF(negtgel!U$2:BL$2,'Tsalin uzuulelt'!B$3,negtgel!U4:BL4)+SUMIF(negtgel!U$2:BL$2,'Tsalin uzuulelt'!B$4,negtgel!U4:BL4)+SUMIF(negtgel!U$2:BL$2,'Tsalin uzuulelt'!B$5,negtgel!U4:BL4)</f>
      </c>
      <c r="H4">
        <f>SUMIF(negtgel!U$2:BL$2,'Tsalin uzuulelt'!F$1,negtgel!U4:BL4) + SUMIF(negtgel!U$2:BL$2,'Tsalin uzuulelt'!F$2,negtgel!U4:BL4)+SUMIF(negtgel!U$2:BL$2,'Tsalin uzuulelt'!F$3,negtgel!U4:BL4)+SUMIF(negtgel!U$2:BL$2,'Tsalin uzuulelt'!F$4,negtgel!U4:BL4)+SUMIF(negtgel!U$2:BL$2,'Tsalin uzuulelt'!F$5,negtgel!U4:BL4)</f>
      </c>
      <c r="I4">
        <f>SUMIF(negtgel!U$2:BL$2,'Tsalin uzuulelt'!H$1,negtgel!U4:BL4) + SUMIF(negtgel!U$2:BL$2,'Tsalin uzuulelt'!H$2,negtgel!U4:BL4)+SUMIF(negtgel!U$2:BL$2,'Tsalin uzuulelt'!H$3,negtgel!U4:BL4)+SUMIF(negtgel!U$2:BL$2,'Tsalin uzuulelt'!H$4,negtgel!U4:BL4)+SUMIF(negtgel!U$2:BL$2,'Tsalin uzuulelt'!H$5,negtgel!U4:BL4)</f>
      </c>
      <c r="J4">
        <f>SUMIF(negtgel!U$2:BL$2,'Tsalin uzuulelt'!J$1,negtgel!U4:BL4) + SUMIF(negtgel!U$2:BL$2,'Tsalin uzuulelt'!J$2,negtgel!U4:BL4)+SUMIF(negtgel!U$2:BL$2,'Tsalin uzuulelt'!J$3,negtgel!U4:BL4)+SUMIF(negtgel!U$2:BL$2,'Tsalin uzuulelt'!J$4,negtgel!U4:BL4)+SUMIF(negtgel!U$2:BL$2,'Tsalin uzuulelt'!J$5,negtgel!U4:BL4)</f>
      </c>
      <c r="K4">
        <f>SUMIF(negtgel!U$2:BL$2,'Tsalin uzuulelt'!L$1,negtgel!U4:BL4) + SUMIF(negtgel!U$2:BL$2,'Tsalin uzuulelt'!L$2,negtgel!U4:BL4)+SUMIF(negtgel!U$2:BL$2,'Tsalin uzuulelt'!L$3,negtgel!U4:BL4)+SUMIF(negtgel!U$2:BL$2,'Tsalin uzuulelt'!L$4,negtgel!U4:BL4)+SUMIF(negtgel!U$2:BL$2,'Tsalin uzuulelt'!L$5,negtgel!U4:BL4)</f>
      </c>
      <c r="L4">
        <f>SUMIF(negtgel!U$2:BL$2,'Tsalin uzuulelt'!N$1,negtgel!U4:BL4) + SUMIF(negtgel!U$2:BL$2,'Tsalin uzuulelt'!N$2,negtgel!U4:BL4)+SUMIF(negtgel!U$2:BL$2,'Tsalin uzuulelt'!N$3,negtgel!U4:BL4)+SUMIF(negtgel!U$2:BL$2,'Tsalin uzuulelt'!N$4,negtgel!U4:BL4)+SUMIF(negtgel!U$2:BL$2,'Tsalin uzuulelt'!N$5,negtgel!U4:BL4)</f>
      </c>
      <c r="M4">
        <f>SUMIF(negtgel!U$2:BL$2,'Tsalin uzuulelt'!P$1,negtgel!U4:BL4) + SUMIF(negtgel!U$2:BL$2,'Tsalin uzuulelt'!P$2,negtgel!U4:BL4)+ SUMIF(negtgel!U$2:BL$2,'Tsalin uzuulelt'!P$3,negtgel!U4:BL4)+ SUMIF(negtgel!U$2:BL$2,'Tsalin uzuulelt'!P$4,negtgel!U4:BL4)+ SUMIF(negtgel!U$2:BL$2,'Tsalin uzuulelt'!P$5,negtgel!U4:BL4)</f>
      </c>
      <c r="N4">
        <f>IF(ISNUMBER(U4*1)=CF4,0,K4-H4-G4)</f>
      </c>
      <c r="O4">
        <f>IF(ISNUMBER(U4*1)=CF4,0,L4)</f>
      </c>
      <c r="P4">
        <f>IF(ISNUMBER(U4*1)=CF4,0,M4)</f>
      </c>
      <c r="Q4">
        <f>IF(N4&gt;2400000,N4,0)</f>
      </c>
      <c r="R4">
        <f>IF(L4/Q4*100&lt;3,2,10)</f>
      </c>
      <c r="S4">
        <f>IF(CH4=0,0,IF(B4&gt;9,10,IF(B4&gt;8,B4,IF(B4&gt;7.7,7.8,IF(B4&gt;3,B4,IF(B4&gt;1.5,2))))))</f>
      </c>
      <c r="T4">
        <f>IF(Q4=0,S4,R4)</f>
      </c>
      <c r="U4" t="n">
        <v>20.0</v>
      </c>
      <c r="V4" t="s">
        <v>3782</v>
      </c>
      <c r="W4" t="s">
        <v>3783</v>
      </c>
      <c r="X4" t="n">
        <v>864211.0</v>
      </c>
      <c r="Y4" t="n">
        <v>864211.0</v>
      </c>
      <c r="Z4" t="n">
        <v>216053.0</v>
      </c>
      <c r="AA4" t="n">
        <v>216053.0</v>
      </c>
      <c r="AB4" t="n">
        <v>0.0</v>
      </c>
      <c r="AC4" t="n">
        <v>0.0</v>
      </c>
      <c r="AD4" t="n">
        <v>0.0</v>
      </c>
      <c r="AE4" t="n">
        <v>0.0</v>
      </c>
      <c r="AF4" t="n">
        <v>66000.0</v>
      </c>
      <c r="AG4" t="n">
        <v>0.0</v>
      </c>
      <c r="AH4" t="n">
        <v>0.0</v>
      </c>
      <c r="AI4" t="n">
        <v>0.0</v>
      </c>
      <c r="AJ4" t="n">
        <v>0.0</v>
      </c>
      <c r="AK4" t="n">
        <v>0.0</v>
      </c>
      <c r="AL4" t="n">
        <v>0.0</v>
      </c>
      <c r="AM4" t="n">
        <v>0.0</v>
      </c>
      <c r="AN4" t="n">
        <v>0.0</v>
      </c>
      <c r="AO4" t="n">
        <v>1362317.0</v>
      </c>
      <c r="AP4" t="n">
        <v>136232.0</v>
      </c>
      <c r="AQ4" t="n">
        <v>116268.5</v>
      </c>
      <c r="CH4">
        <f>IFERROR(U4*1,0)</f>
      </c>
    </row>
    <row r="5">
      <c r="A5" t="n">
        <v>1.0</v>
      </c>
      <c r="B5">
        <f>IF((K5-G5-H5&gt;2400000),10,(L5/(K5-G5-H5)*100))</f>
      </c>
      <c r="C5">
        <f>IF(N5&gt;2400000,240000,(N5*S5)/100)</f>
      </c>
      <c r="D5">
        <f>IF(S5=0,0,IF((N5-I5)&gt;2400000,((((((N5-I5-J5)-240000))*0.1+(I5+J5)*0.1)))-7000,((((((N5-I5-J5)-(N5-I5-J5)*S5/100)))*0.1+(I5+J5)*0.1)-7000)))</f>
      </c>
      <c r="E5">
        <f>C5-O5</f>
      </c>
      <c r="F5">
        <f>D5-P5</f>
      </c>
      <c r="G5">
        <f>SUMIF(negtgel!U$2:BL$2,'Tsalin uzuulelt'!B$1,negtgel!U5:BL5) + SUMIF(negtgel!U$2:BL$2,'Tsalin uzuulelt'!B$2,negtgel!U5:BL5)+SUMIF(negtgel!U$2:BL$2,'Tsalin uzuulelt'!B$3,negtgel!U5:BL5)+SUMIF(negtgel!U$2:BL$2,'Tsalin uzuulelt'!B$4,negtgel!U5:BL5)+SUMIF(negtgel!U$2:BL$2,'Tsalin uzuulelt'!B$5,negtgel!U5:BL5)</f>
      </c>
      <c r="H5">
        <f>SUMIF(negtgel!U$2:BL$2,'Tsalin uzuulelt'!F$1,negtgel!U5:BL5) + SUMIF(negtgel!U$2:BL$2,'Tsalin uzuulelt'!F$2,negtgel!U5:BL5)+SUMIF(negtgel!U$2:BL$2,'Tsalin uzuulelt'!F$3,negtgel!U5:BL5)+SUMIF(negtgel!U$2:BL$2,'Tsalin uzuulelt'!F$4,negtgel!U5:BL5)+SUMIF(negtgel!U$2:BL$2,'Tsalin uzuulelt'!F$5,negtgel!U5:BL5)</f>
      </c>
      <c r="I5">
        <f>SUMIF(negtgel!U$2:BL$2,'Tsalin uzuulelt'!H$1,negtgel!U5:BL5) + SUMIF(negtgel!U$2:BL$2,'Tsalin uzuulelt'!H$2,negtgel!U5:BL5)+SUMIF(negtgel!U$2:BL$2,'Tsalin uzuulelt'!H$3,negtgel!U5:BL5)+SUMIF(negtgel!U$2:BL$2,'Tsalin uzuulelt'!H$4,negtgel!U5:BL5)+SUMIF(negtgel!U$2:BL$2,'Tsalin uzuulelt'!H$5,negtgel!U5:BL5)</f>
      </c>
      <c r="J5">
        <f>SUMIF(negtgel!U$2:BL$2,'Tsalin uzuulelt'!J$1,negtgel!U5:BL5) + SUMIF(negtgel!U$2:BL$2,'Tsalin uzuulelt'!J$2,negtgel!U5:BL5)+SUMIF(negtgel!U$2:BL$2,'Tsalin uzuulelt'!J$3,negtgel!U5:BL5)+SUMIF(negtgel!U$2:BL$2,'Tsalin uzuulelt'!J$4,negtgel!U5:BL5)+SUMIF(negtgel!U$2:BL$2,'Tsalin uzuulelt'!J$5,negtgel!U5:BL5)</f>
      </c>
      <c r="K5">
        <f>SUMIF(negtgel!U$2:BL$2,'Tsalin uzuulelt'!L$1,negtgel!U5:BL5) + SUMIF(negtgel!U$2:BL$2,'Tsalin uzuulelt'!L$2,negtgel!U5:BL5)+SUMIF(negtgel!U$2:BL$2,'Tsalin uzuulelt'!L$3,negtgel!U5:BL5)+SUMIF(negtgel!U$2:BL$2,'Tsalin uzuulelt'!L$4,negtgel!U5:BL5)+SUMIF(negtgel!U$2:BL$2,'Tsalin uzuulelt'!L$5,negtgel!U5:BL5)</f>
      </c>
      <c r="L5">
        <f>SUMIF(negtgel!U$2:BL$2,'Tsalin uzuulelt'!N$1,negtgel!U5:BL5) + SUMIF(negtgel!U$2:BL$2,'Tsalin uzuulelt'!N$2,negtgel!U5:BL5)+SUMIF(negtgel!U$2:BL$2,'Tsalin uzuulelt'!N$3,negtgel!U5:BL5)+SUMIF(negtgel!U$2:BL$2,'Tsalin uzuulelt'!N$4,negtgel!U5:BL5)+SUMIF(negtgel!U$2:BL$2,'Tsalin uzuulelt'!N$5,negtgel!U5:BL5)</f>
      </c>
      <c r="M5">
        <f>SUMIF(negtgel!U$2:BL$2,'Tsalin uzuulelt'!P$1,negtgel!U5:BL5) + SUMIF(negtgel!U$2:BL$2,'Tsalin uzuulelt'!P$2,negtgel!U5:BL5)+ SUMIF(negtgel!U$2:BL$2,'Tsalin uzuulelt'!P$3,negtgel!U5:BL5)+ SUMIF(negtgel!U$2:BL$2,'Tsalin uzuulelt'!P$4,negtgel!U5:BL5)+ SUMIF(negtgel!U$2:BL$2,'Tsalin uzuulelt'!P$5,negtgel!U5:BL5)</f>
      </c>
      <c r="N5">
        <f>IF(ISNUMBER(U5*1)=CF5,0,K5-H5-G5)</f>
      </c>
      <c r="O5">
        <f>IF(ISNUMBER(U5*1)=CF5,0,L5)</f>
      </c>
      <c r="P5">
        <f>IF(ISNUMBER(U5*1)=CF5,0,M5)</f>
      </c>
      <c r="Q5">
        <f>IF(N5&gt;2400000,N5,0)</f>
      </c>
      <c r="R5">
        <f>IF(L5/Q5*100&lt;3,2,10)</f>
      </c>
      <c r="S5">
        <f>IF(CH5=0,0,IF(B5&gt;9,10,IF(B5&gt;8,B5,IF(B5&gt;7.7,7.8,IF(B5&gt;3,B5,IF(B5&gt;1.5,2))))))</f>
      </c>
      <c r="T5">
        <f>IF(Q5=0,S5,R5)</f>
      </c>
      <c r="U5" t="n">
        <v>21.0</v>
      </c>
      <c r="V5" t="s">
        <v>3784</v>
      </c>
      <c r="W5" t="s">
        <v>3785</v>
      </c>
      <c r="X5" t="n">
        <v>757359.0</v>
      </c>
      <c r="Y5" t="n">
        <v>757359.0</v>
      </c>
      <c r="Z5" t="n">
        <v>113604.0</v>
      </c>
      <c r="AA5" t="n">
        <v>166619.0</v>
      </c>
      <c r="AB5" t="n">
        <v>0.0</v>
      </c>
      <c r="AC5" t="n">
        <v>113604.0</v>
      </c>
      <c r="AD5" t="n">
        <v>0.0</v>
      </c>
      <c r="AE5" t="n">
        <v>0.0</v>
      </c>
      <c r="AF5" t="n">
        <v>66000.0</v>
      </c>
      <c r="AG5" t="n">
        <v>0.0</v>
      </c>
      <c r="AH5" t="n">
        <v>0.0</v>
      </c>
      <c r="AI5" t="n">
        <v>0.0</v>
      </c>
      <c r="AJ5" t="n">
        <v>0.0</v>
      </c>
      <c r="AK5" t="n">
        <v>0.0</v>
      </c>
      <c r="AL5" t="n">
        <v>0.0</v>
      </c>
      <c r="AM5" t="n">
        <v>0.0</v>
      </c>
      <c r="AN5" t="n">
        <v>0.0</v>
      </c>
      <c r="AO5" t="n">
        <v>1217186.0</v>
      </c>
      <c r="AP5" t="n">
        <v>121718.0</v>
      </c>
      <c r="AQ5" t="n">
        <v>103206.7</v>
      </c>
      <c r="CH5">
        <f>IFERROR(U5*1,0)</f>
      </c>
    </row>
    <row r="6">
      <c r="A6" t="n">
        <v>1.0</v>
      </c>
      <c r="B6">
        <f>IF((K6-G6-H6&gt;2400000),10,(L6/(K6-G6-H6)*100))</f>
      </c>
      <c r="C6">
        <f>IF(N6&gt;2400000,240000,(N6*S6)/100)</f>
      </c>
      <c r="D6">
        <f>IF(S6=0,0,IF((N6-I6)&gt;2400000,((((((N6-I6-J6)-240000))*0.1+(I6+J6)*0.1)))-7000,((((((N6-I6-J6)-(N6-I6-J6)*S6/100)))*0.1+(I6+J6)*0.1)-7000)))</f>
      </c>
      <c r="E6">
        <f>C6-O6</f>
      </c>
      <c r="F6">
        <f>D6-P6</f>
      </c>
      <c r="G6">
        <f>SUMIF(negtgel!U$2:BL$2,'Tsalin uzuulelt'!B$1,negtgel!U6:BL6) + SUMIF(negtgel!U$2:BL$2,'Tsalin uzuulelt'!B$2,negtgel!U6:BL6)+SUMIF(negtgel!U$2:BL$2,'Tsalin uzuulelt'!B$3,negtgel!U6:BL6)+SUMIF(negtgel!U$2:BL$2,'Tsalin uzuulelt'!B$4,negtgel!U6:BL6)+SUMIF(negtgel!U$2:BL$2,'Tsalin uzuulelt'!B$5,negtgel!U6:BL6)</f>
      </c>
      <c r="H6">
        <f>SUMIF(negtgel!U$2:BL$2,'Tsalin uzuulelt'!F$1,negtgel!U6:BL6) + SUMIF(negtgel!U$2:BL$2,'Tsalin uzuulelt'!F$2,negtgel!U6:BL6)+SUMIF(negtgel!U$2:BL$2,'Tsalin uzuulelt'!F$3,negtgel!U6:BL6)+SUMIF(negtgel!U$2:BL$2,'Tsalin uzuulelt'!F$4,negtgel!U6:BL6)+SUMIF(negtgel!U$2:BL$2,'Tsalin uzuulelt'!F$5,negtgel!U6:BL6)</f>
      </c>
      <c r="I6">
        <f>SUMIF(negtgel!U$2:BL$2,'Tsalin uzuulelt'!H$1,negtgel!U6:BL6) + SUMIF(negtgel!U$2:BL$2,'Tsalin uzuulelt'!H$2,negtgel!U6:BL6)+SUMIF(negtgel!U$2:BL$2,'Tsalin uzuulelt'!H$3,negtgel!U6:BL6)+SUMIF(negtgel!U$2:BL$2,'Tsalin uzuulelt'!H$4,negtgel!U6:BL6)+SUMIF(negtgel!U$2:BL$2,'Tsalin uzuulelt'!H$5,negtgel!U6:BL6)</f>
      </c>
      <c r="J6">
        <f>SUMIF(negtgel!U$2:BL$2,'Tsalin uzuulelt'!J$1,negtgel!U6:BL6) + SUMIF(negtgel!U$2:BL$2,'Tsalin uzuulelt'!J$2,negtgel!U6:BL6)+SUMIF(negtgel!U$2:BL$2,'Tsalin uzuulelt'!J$3,negtgel!U6:BL6)+SUMIF(negtgel!U$2:BL$2,'Tsalin uzuulelt'!J$4,negtgel!U6:BL6)+SUMIF(negtgel!U$2:BL$2,'Tsalin uzuulelt'!J$5,negtgel!U6:BL6)</f>
      </c>
      <c r="K6">
        <f>SUMIF(negtgel!U$2:BL$2,'Tsalin uzuulelt'!L$1,negtgel!U6:BL6) + SUMIF(negtgel!U$2:BL$2,'Tsalin uzuulelt'!L$2,negtgel!U6:BL6)+SUMIF(negtgel!U$2:BL$2,'Tsalin uzuulelt'!L$3,negtgel!U6:BL6)+SUMIF(negtgel!U$2:BL$2,'Tsalin uzuulelt'!L$4,negtgel!U6:BL6)+SUMIF(negtgel!U$2:BL$2,'Tsalin uzuulelt'!L$5,negtgel!U6:BL6)</f>
      </c>
      <c r="L6">
        <f>SUMIF(negtgel!U$2:BL$2,'Tsalin uzuulelt'!N$1,negtgel!U6:BL6) + SUMIF(negtgel!U$2:BL$2,'Tsalin uzuulelt'!N$2,negtgel!U6:BL6)+SUMIF(negtgel!U$2:BL$2,'Tsalin uzuulelt'!N$3,negtgel!U6:BL6)+SUMIF(negtgel!U$2:BL$2,'Tsalin uzuulelt'!N$4,negtgel!U6:BL6)+SUMIF(negtgel!U$2:BL$2,'Tsalin uzuulelt'!N$5,negtgel!U6:BL6)</f>
      </c>
      <c r="M6">
        <f>SUMIF(negtgel!U$2:BL$2,'Tsalin uzuulelt'!P$1,negtgel!U6:BL6) + SUMIF(negtgel!U$2:BL$2,'Tsalin uzuulelt'!P$2,negtgel!U6:BL6)+ SUMIF(negtgel!U$2:BL$2,'Tsalin uzuulelt'!P$3,negtgel!U6:BL6)+ SUMIF(negtgel!U$2:BL$2,'Tsalin uzuulelt'!P$4,negtgel!U6:BL6)+ SUMIF(negtgel!U$2:BL$2,'Tsalin uzuulelt'!P$5,negtgel!U6:BL6)</f>
      </c>
      <c r="N6">
        <f>IF(ISNUMBER(U6*1)=CF6,0,K6-H6-G6)</f>
      </c>
      <c r="O6">
        <f>IF(ISNUMBER(U6*1)=CF6,0,L6)</f>
      </c>
      <c r="P6">
        <f>IF(ISNUMBER(U6*1)=CF6,0,M6)</f>
      </c>
      <c r="Q6">
        <f>IF(N6&gt;2400000,N6,0)</f>
      </c>
      <c r="R6">
        <f>IF(L6/Q6*100&lt;3,2,10)</f>
      </c>
      <c r="S6">
        <f>IF(CH6=0,0,IF(B6&gt;9,10,IF(B6&gt;8,B6,IF(B6&gt;7.7,7.8,IF(B6&gt;3,B6,IF(B6&gt;1.5,2))))))</f>
      </c>
      <c r="T6">
        <f>IF(Q6=0,S6,R6)</f>
      </c>
      <c r="U6" t="n">
        <v>22.0</v>
      </c>
      <c r="V6" t="s">
        <v>3786</v>
      </c>
      <c r="W6" t="s">
        <v>3785</v>
      </c>
      <c r="X6" t="n">
        <v>627465.0</v>
      </c>
      <c r="Y6" t="n">
        <v>627465.0</v>
      </c>
      <c r="Z6" t="n">
        <v>31373.0</v>
      </c>
      <c r="AA6" t="n">
        <v>0.0</v>
      </c>
      <c r="AB6" t="n">
        <v>0.0</v>
      </c>
      <c r="AC6" t="n">
        <v>0.0</v>
      </c>
      <c r="AD6" t="n">
        <v>0.0</v>
      </c>
      <c r="AE6" t="n">
        <v>0.0</v>
      </c>
      <c r="AF6" t="n">
        <v>66000.0</v>
      </c>
      <c r="AG6" t="n">
        <v>0.0</v>
      </c>
      <c r="AH6" t="n">
        <v>0.0</v>
      </c>
      <c r="AI6" t="n">
        <v>0.0</v>
      </c>
      <c r="AJ6" t="n">
        <v>0.0</v>
      </c>
      <c r="AK6" t="n">
        <v>0.0</v>
      </c>
      <c r="AL6" t="n">
        <v>0.0</v>
      </c>
      <c r="AM6" t="n">
        <v>0.0</v>
      </c>
      <c r="AN6" t="n">
        <v>0.0</v>
      </c>
      <c r="AO6" t="n">
        <v>724838.0</v>
      </c>
      <c r="AP6" t="n">
        <v>72485.0</v>
      </c>
      <c r="AQ6" t="n">
        <v>58895.4</v>
      </c>
      <c r="CH6">
        <f>IFERROR(U6*1,0)</f>
      </c>
    </row>
    <row r="7">
      <c r="A7" t="n">
        <v>1.0</v>
      </c>
      <c r="B7">
        <f>IF((K7-G7-H7&gt;2400000),10,(L7/(K7-G7-H7)*100))</f>
      </c>
      <c r="C7">
        <f>IF(N7&gt;2400000,240000,(N7*S7)/100)</f>
      </c>
      <c r="D7">
        <f>IF(S7=0,0,IF((N7-I7)&gt;2400000,((((((N7-I7-J7)-240000))*0.1+(I7+J7)*0.1)))-7000,((((((N7-I7-J7)-(N7-I7-J7)*S7/100)))*0.1+(I7+J7)*0.1)-7000)))</f>
      </c>
      <c r="E7">
        <f>C7-O7</f>
      </c>
      <c r="F7">
        <f>D7-P7</f>
      </c>
      <c r="G7">
        <f>SUMIF(negtgel!U$2:BL$2,'Tsalin uzuulelt'!B$1,negtgel!U7:BL7) + SUMIF(negtgel!U$2:BL$2,'Tsalin uzuulelt'!B$2,negtgel!U7:BL7)+SUMIF(negtgel!U$2:BL$2,'Tsalin uzuulelt'!B$3,negtgel!U7:BL7)+SUMIF(negtgel!U$2:BL$2,'Tsalin uzuulelt'!B$4,negtgel!U7:BL7)+SUMIF(negtgel!U$2:BL$2,'Tsalin uzuulelt'!B$5,negtgel!U7:BL7)</f>
      </c>
      <c r="H7">
        <f>SUMIF(negtgel!U$2:BL$2,'Tsalin uzuulelt'!F$1,negtgel!U7:BL7) + SUMIF(negtgel!U$2:BL$2,'Tsalin uzuulelt'!F$2,negtgel!U7:BL7)+SUMIF(negtgel!U$2:BL$2,'Tsalin uzuulelt'!F$3,negtgel!U7:BL7)+SUMIF(negtgel!U$2:BL$2,'Tsalin uzuulelt'!F$4,negtgel!U7:BL7)+SUMIF(negtgel!U$2:BL$2,'Tsalin uzuulelt'!F$5,negtgel!U7:BL7)</f>
      </c>
      <c r="I7">
        <f>SUMIF(negtgel!U$2:BL$2,'Tsalin uzuulelt'!H$1,negtgel!U7:BL7) + SUMIF(negtgel!U$2:BL$2,'Tsalin uzuulelt'!H$2,negtgel!U7:BL7)+SUMIF(negtgel!U$2:BL$2,'Tsalin uzuulelt'!H$3,negtgel!U7:BL7)+SUMIF(negtgel!U$2:BL$2,'Tsalin uzuulelt'!H$4,negtgel!U7:BL7)+SUMIF(negtgel!U$2:BL$2,'Tsalin uzuulelt'!H$5,negtgel!U7:BL7)</f>
      </c>
      <c r="J7">
        <f>SUMIF(negtgel!U$2:BL$2,'Tsalin uzuulelt'!J$1,negtgel!U7:BL7) + SUMIF(negtgel!U$2:BL$2,'Tsalin uzuulelt'!J$2,negtgel!U7:BL7)+SUMIF(negtgel!U$2:BL$2,'Tsalin uzuulelt'!J$3,negtgel!U7:BL7)+SUMIF(negtgel!U$2:BL$2,'Tsalin uzuulelt'!J$4,negtgel!U7:BL7)+SUMIF(negtgel!U$2:BL$2,'Tsalin uzuulelt'!J$5,negtgel!U7:BL7)</f>
      </c>
      <c r="K7">
        <f>SUMIF(negtgel!U$2:BL$2,'Tsalin uzuulelt'!L$1,negtgel!U7:BL7) + SUMIF(negtgel!U$2:BL$2,'Tsalin uzuulelt'!L$2,negtgel!U7:BL7)+SUMIF(negtgel!U$2:BL$2,'Tsalin uzuulelt'!L$3,negtgel!U7:BL7)+SUMIF(negtgel!U$2:BL$2,'Tsalin uzuulelt'!L$4,negtgel!U7:BL7)+SUMIF(negtgel!U$2:BL$2,'Tsalin uzuulelt'!L$5,negtgel!U7:BL7)</f>
      </c>
      <c r="L7">
        <f>SUMIF(negtgel!U$2:BL$2,'Tsalin uzuulelt'!N$1,negtgel!U7:BL7) + SUMIF(negtgel!U$2:BL$2,'Tsalin uzuulelt'!N$2,negtgel!U7:BL7)+SUMIF(negtgel!U$2:BL$2,'Tsalin uzuulelt'!N$3,negtgel!U7:BL7)+SUMIF(negtgel!U$2:BL$2,'Tsalin uzuulelt'!N$4,negtgel!U7:BL7)+SUMIF(negtgel!U$2:BL$2,'Tsalin uzuulelt'!N$5,negtgel!U7:BL7)</f>
      </c>
      <c r="M7">
        <f>SUMIF(negtgel!U$2:BL$2,'Tsalin uzuulelt'!P$1,negtgel!U7:BL7) + SUMIF(negtgel!U$2:BL$2,'Tsalin uzuulelt'!P$2,negtgel!U7:BL7)+ SUMIF(negtgel!U$2:BL$2,'Tsalin uzuulelt'!P$3,negtgel!U7:BL7)+ SUMIF(negtgel!U$2:BL$2,'Tsalin uzuulelt'!P$4,negtgel!U7:BL7)+ SUMIF(negtgel!U$2:BL$2,'Tsalin uzuulelt'!P$5,negtgel!U7:BL7)</f>
      </c>
      <c r="N7">
        <f>IF(ISNUMBER(U7*1)=CF7,0,K7-H7-G7)</f>
      </c>
      <c r="O7">
        <f>IF(ISNUMBER(U7*1)=CF7,0,L7)</f>
      </c>
      <c r="P7">
        <f>IF(ISNUMBER(U7*1)=CF7,0,M7)</f>
      </c>
      <c r="Q7">
        <f>IF(N7&gt;2400000,N7,0)</f>
      </c>
      <c r="R7">
        <f>IF(L7/Q7*100&lt;3,2,10)</f>
      </c>
      <c r="S7">
        <f>IF(CH7=0,0,IF(B7&gt;9,10,IF(B7&gt;8,B7,IF(B7&gt;7.7,7.8,IF(B7&gt;3,B7,IF(B7&gt;1.5,2))))))</f>
      </c>
      <c r="T7">
        <f>IF(Q7=0,S7,R7)</f>
      </c>
      <c r="U7" t="s">
        <v>3787</v>
      </c>
      <c r="V7"/>
      <c r="W7"/>
      <c r="X7" t="n">
        <v>1.3337125E7</v>
      </c>
      <c r="Y7" t="n">
        <v>1.1946462E7</v>
      </c>
      <c r="Z7" t="n">
        <v>1359389.0</v>
      </c>
      <c r="AA7" t="n">
        <v>1486467.0</v>
      </c>
      <c r="AB7" t="n">
        <v>744013.0</v>
      </c>
      <c r="AC7" t="n">
        <v>353315.0</v>
      </c>
      <c r="AD7" t="n">
        <v>778470.0</v>
      </c>
      <c r="AE7" t="n">
        <v>0.0</v>
      </c>
      <c r="AF7" t="n">
        <v>1317000.0</v>
      </c>
      <c r="AG7" t="n">
        <v>0.0</v>
      </c>
      <c r="AH7" t="n">
        <v>0.0</v>
      </c>
      <c r="AI7" t="n">
        <v>0.0</v>
      </c>
      <c r="AJ7" t="n">
        <v>0.0</v>
      </c>
      <c r="AK7" t="n">
        <v>0.0</v>
      </c>
      <c r="AL7" t="n">
        <v>0.0</v>
      </c>
      <c r="AM7" t="n">
        <v>0.0</v>
      </c>
      <c r="AN7" t="n">
        <v>0.0</v>
      </c>
      <c r="AO7" t="n">
        <v>1.8131591E7</v>
      </c>
      <c r="AP7" t="n">
        <v>1813160.0</v>
      </c>
      <c r="AQ7" t="n">
        <v>1498013.1</v>
      </c>
      <c r="CH7">
        <f>IFERROR(U7*1,0)</f>
      </c>
    </row>
    <row r="8">
      <c r="A8" t="n">
        <v>1.0</v>
      </c>
      <c r="B8">
        <f>IF((K8-G8-H8&gt;2400000),10,(L8/(K8-G8-H8)*100))</f>
      </c>
      <c r="C8">
        <f>IF(N8&gt;2400000,240000,(N8*S8)/100)</f>
      </c>
      <c r="D8">
        <f>IF(S8=0,0,IF((N8-I8)&gt;2400000,((((((N8-I8-J8)-240000))*0.1+(I8+J8)*0.1)))-7000,((((((N8-I8-J8)-(N8-I8-J8)*S8/100)))*0.1+(I8+J8)*0.1)-7000)))</f>
      </c>
      <c r="E8">
        <f>C8-O8</f>
      </c>
      <c r="F8">
        <f>D8-P8</f>
      </c>
      <c r="G8">
        <f>SUMIF(negtgel!U$2:BL$2,'Tsalin uzuulelt'!B$1,negtgel!U8:BL8) + SUMIF(negtgel!U$2:BL$2,'Tsalin uzuulelt'!B$2,negtgel!U8:BL8)+SUMIF(negtgel!U$2:BL$2,'Tsalin uzuulelt'!B$3,negtgel!U8:BL8)+SUMIF(negtgel!U$2:BL$2,'Tsalin uzuulelt'!B$4,negtgel!U8:BL8)+SUMIF(negtgel!U$2:BL$2,'Tsalin uzuulelt'!B$5,negtgel!U8:BL8)</f>
      </c>
      <c r="H8">
        <f>SUMIF(negtgel!U$2:BL$2,'Tsalin uzuulelt'!F$1,negtgel!U8:BL8) + SUMIF(negtgel!U$2:BL$2,'Tsalin uzuulelt'!F$2,negtgel!U8:BL8)+SUMIF(negtgel!U$2:BL$2,'Tsalin uzuulelt'!F$3,negtgel!U8:BL8)+SUMIF(negtgel!U$2:BL$2,'Tsalin uzuulelt'!F$4,negtgel!U8:BL8)+SUMIF(negtgel!U$2:BL$2,'Tsalin uzuulelt'!F$5,negtgel!U8:BL8)</f>
      </c>
      <c r="I8">
        <f>SUMIF(negtgel!U$2:BL$2,'Tsalin uzuulelt'!H$1,negtgel!U8:BL8) + SUMIF(negtgel!U$2:BL$2,'Tsalin uzuulelt'!H$2,negtgel!U8:BL8)+SUMIF(negtgel!U$2:BL$2,'Tsalin uzuulelt'!H$3,negtgel!U8:BL8)+SUMIF(negtgel!U$2:BL$2,'Tsalin uzuulelt'!H$4,negtgel!U8:BL8)+SUMIF(negtgel!U$2:BL$2,'Tsalin uzuulelt'!H$5,negtgel!U8:BL8)</f>
      </c>
      <c r="J8">
        <f>SUMIF(negtgel!U$2:BL$2,'Tsalin uzuulelt'!J$1,negtgel!U8:BL8) + SUMIF(negtgel!U$2:BL$2,'Tsalin uzuulelt'!J$2,negtgel!U8:BL8)+SUMIF(negtgel!U$2:BL$2,'Tsalin uzuulelt'!J$3,negtgel!U8:BL8)+SUMIF(negtgel!U$2:BL$2,'Tsalin uzuulelt'!J$4,negtgel!U8:BL8)+SUMIF(negtgel!U$2:BL$2,'Tsalin uzuulelt'!J$5,negtgel!U8:BL8)</f>
      </c>
      <c r="K8">
        <f>SUMIF(negtgel!U$2:BL$2,'Tsalin uzuulelt'!L$1,negtgel!U8:BL8) + SUMIF(negtgel!U$2:BL$2,'Tsalin uzuulelt'!L$2,negtgel!U8:BL8)+SUMIF(negtgel!U$2:BL$2,'Tsalin uzuulelt'!L$3,negtgel!U8:BL8)+SUMIF(negtgel!U$2:BL$2,'Tsalin uzuulelt'!L$4,negtgel!U8:BL8)+SUMIF(negtgel!U$2:BL$2,'Tsalin uzuulelt'!L$5,negtgel!U8:BL8)</f>
      </c>
      <c r="L8">
        <f>SUMIF(negtgel!U$2:BL$2,'Tsalin uzuulelt'!N$1,negtgel!U8:BL8) + SUMIF(negtgel!U$2:BL$2,'Tsalin uzuulelt'!N$2,negtgel!U8:BL8)+SUMIF(negtgel!U$2:BL$2,'Tsalin uzuulelt'!N$3,negtgel!U8:BL8)+SUMIF(negtgel!U$2:BL$2,'Tsalin uzuulelt'!N$4,negtgel!U8:BL8)+SUMIF(negtgel!U$2:BL$2,'Tsalin uzuulelt'!N$5,negtgel!U8:BL8)</f>
      </c>
      <c r="M8">
        <f>SUMIF(negtgel!U$2:BL$2,'Tsalin uzuulelt'!P$1,negtgel!U8:BL8) + SUMIF(negtgel!U$2:BL$2,'Tsalin uzuulelt'!P$2,negtgel!U8:BL8)+ SUMIF(negtgel!U$2:BL$2,'Tsalin uzuulelt'!P$3,negtgel!U8:BL8)+ SUMIF(negtgel!U$2:BL$2,'Tsalin uzuulelt'!P$4,negtgel!U8:BL8)+ SUMIF(negtgel!U$2:BL$2,'Tsalin uzuulelt'!P$5,negtgel!U8:BL8)</f>
      </c>
      <c r="N8">
        <f>IF(ISNUMBER(U8*1)=CF8,0,K8-H8-G8)</f>
      </c>
      <c r="O8">
        <f>IF(ISNUMBER(U8*1)=CF8,0,L8)</f>
      </c>
      <c r="P8">
        <f>IF(ISNUMBER(U8*1)=CF8,0,M8)</f>
      </c>
      <c r="Q8">
        <f>IF(N8&gt;2400000,N8,0)</f>
      </c>
      <c r="R8">
        <f>IF(L8/Q8*100&lt;3,2,10)</f>
      </c>
      <c r="S8">
        <f>IF(CH8=0,0,IF(B8&gt;9,10,IF(B8&gt;8,B8,IF(B8&gt;7.7,7.8,IF(B8&gt;3,B8,IF(B8&gt;1.5,2))))))</f>
      </c>
      <c r="T8">
        <f>IF(Q8=0,S8,R8)</f>
      </c>
      <c r="U8" t="s">
        <v>3788</v>
      </c>
      <c r="V8"/>
      <c r="W8"/>
      <c r="X8"/>
      <c r="Y8"/>
      <c r="Z8"/>
      <c r="AA8"/>
      <c r="AB8"/>
      <c r="AC8"/>
      <c r="AD8"/>
      <c r="AE8"/>
      <c r="AF8"/>
      <c r="AG8"/>
      <c r="AH8"/>
      <c r="AI8"/>
      <c r="AJ8"/>
      <c r="AK8"/>
      <c r="AL8"/>
      <c r="AM8"/>
      <c r="AN8"/>
      <c r="AO8"/>
      <c r="AP8"/>
      <c r="AQ8"/>
      <c r="CH8">
        <f>IFERROR(U8*1,0)</f>
      </c>
    </row>
    <row r="9">
      <c r="A9" t="n">
        <v>1.0</v>
      </c>
      <c r="B9">
        <f>IF((K9-G9-H9&gt;2400000),10,(L9/(K9-G9-H9)*100))</f>
      </c>
      <c r="C9">
        <f>IF(N9&gt;2400000,240000,(N9*S9)/100)</f>
      </c>
      <c r="D9">
        <f>IF(S9=0,0,IF((N9-I9)&gt;2400000,((((((N9-I9-J9)-240000))*0.1+(I9+J9)*0.1)))-7000,((((((N9-I9-J9)-(N9-I9-J9)*S9/100)))*0.1+(I9+J9)*0.1)-7000)))</f>
      </c>
      <c r="E9">
        <f>C9-O9</f>
      </c>
      <c r="F9">
        <f>D9-P9</f>
      </c>
      <c r="G9">
        <f>SUMIF(negtgel!U$2:BL$2,'Tsalin uzuulelt'!B$1,negtgel!U9:BL9) + SUMIF(negtgel!U$2:BL$2,'Tsalin uzuulelt'!B$2,negtgel!U9:BL9)+SUMIF(negtgel!U$2:BL$2,'Tsalin uzuulelt'!B$3,negtgel!U9:BL9)+SUMIF(negtgel!U$2:BL$2,'Tsalin uzuulelt'!B$4,negtgel!U9:BL9)+SUMIF(negtgel!U$2:BL$2,'Tsalin uzuulelt'!B$5,negtgel!U9:BL9)</f>
      </c>
      <c r="H9">
        <f>SUMIF(negtgel!U$2:BL$2,'Tsalin uzuulelt'!F$1,negtgel!U9:BL9) + SUMIF(negtgel!U$2:BL$2,'Tsalin uzuulelt'!F$2,negtgel!U9:BL9)+SUMIF(negtgel!U$2:BL$2,'Tsalin uzuulelt'!F$3,negtgel!U9:BL9)+SUMIF(negtgel!U$2:BL$2,'Tsalin uzuulelt'!F$4,negtgel!U9:BL9)+SUMIF(negtgel!U$2:BL$2,'Tsalin uzuulelt'!F$5,negtgel!U9:BL9)</f>
      </c>
      <c r="I9">
        <f>SUMIF(negtgel!U$2:BL$2,'Tsalin uzuulelt'!H$1,negtgel!U9:BL9) + SUMIF(negtgel!U$2:BL$2,'Tsalin uzuulelt'!H$2,negtgel!U9:BL9)+SUMIF(negtgel!U$2:BL$2,'Tsalin uzuulelt'!H$3,negtgel!U9:BL9)+SUMIF(negtgel!U$2:BL$2,'Tsalin uzuulelt'!H$4,negtgel!U9:BL9)+SUMIF(negtgel!U$2:BL$2,'Tsalin uzuulelt'!H$5,negtgel!U9:BL9)</f>
      </c>
      <c r="J9">
        <f>SUMIF(negtgel!U$2:BL$2,'Tsalin uzuulelt'!J$1,negtgel!U9:BL9) + SUMIF(negtgel!U$2:BL$2,'Tsalin uzuulelt'!J$2,negtgel!U9:BL9)+SUMIF(negtgel!U$2:BL$2,'Tsalin uzuulelt'!J$3,negtgel!U9:BL9)+SUMIF(negtgel!U$2:BL$2,'Tsalin uzuulelt'!J$4,negtgel!U9:BL9)+SUMIF(negtgel!U$2:BL$2,'Tsalin uzuulelt'!J$5,negtgel!U9:BL9)</f>
      </c>
      <c r="K9">
        <f>SUMIF(negtgel!U$2:BL$2,'Tsalin uzuulelt'!L$1,negtgel!U9:BL9) + SUMIF(negtgel!U$2:BL$2,'Tsalin uzuulelt'!L$2,negtgel!U9:BL9)+SUMIF(negtgel!U$2:BL$2,'Tsalin uzuulelt'!L$3,negtgel!U9:BL9)+SUMIF(negtgel!U$2:BL$2,'Tsalin uzuulelt'!L$4,negtgel!U9:BL9)+SUMIF(negtgel!U$2:BL$2,'Tsalin uzuulelt'!L$5,negtgel!U9:BL9)</f>
      </c>
      <c r="L9">
        <f>SUMIF(negtgel!U$2:BL$2,'Tsalin uzuulelt'!N$1,negtgel!U9:BL9) + SUMIF(negtgel!U$2:BL$2,'Tsalin uzuulelt'!N$2,negtgel!U9:BL9)+SUMIF(negtgel!U$2:BL$2,'Tsalin uzuulelt'!N$3,negtgel!U9:BL9)+SUMIF(negtgel!U$2:BL$2,'Tsalin uzuulelt'!N$4,negtgel!U9:BL9)+SUMIF(negtgel!U$2:BL$2,'Tsalin uzuulelt'!N$5,negtgel!U9:BL9)</f>
      </c>
      <c r="M9">
        <f>SUMIF(negtgel!U$2:BL$2,'Tsalin uzuulelt'!P$1,negtgel!U9:BL9) + SUMIF(negtgel!U$2:BL$2,'Tsalin uzuulelt'!P$2,negtgel!U9:BL9)+ SUMIF(negtgel!U$2:BL$2,'Tsalin uzuulelt'!P$3,negtgel!U9:BL9)+ SUMIF(negtgel!U$2:BL$2,'Tsalin uzuulelt'!P$4,negtgel!U9:BL9)+ SUMIF(negtgel!U$2:BL$2,'Tsalin uzuulelt'!P$5,negtgel!U9:BL9)</f>
      </c>
      <c r="N9">
        <f>IF(ISNUMBER(U9*1)=CF9,0,K9-H9-G9)</f>
      </c>
      <c r="O9">
        <f>IF(ISNUMBER(U9*1)=CF9,0,L9)</f>
      </c>
      <c r="P9">
        <f>IF(ISNUMBER(U9*1)=CF9,0,M9)</f>
      </c>
      <c r="Q9">
        <f>IF(N9&gt;2400000,N9,0)</f>
      </c>
      <c r="R9">
        <f>IF(L9/Q9*100&lt;3,2,10)</f>
      </c>
      <c r="S9">
        <f>IF(CH9=0,0,IF(B9&gt;9,10,IF(B9&gt;8,B9,IF(B9&gt;7.7,7.8,IF(B9&gt;3,B9,IF(B9&gt;1.5,2))))))</f>
      </c>
      <c r="T9">
        <f>IF(Q9=0,S9,R9)</f>
      </c>
      <c r="U9" t="n">
        <v>23.0</v>
      </c>
      <c r="V9" t="s">
        <v>3789</v>
      </c>
      <c r="W9" t="s">
        <v>3790</v>
      </c>
      <c r="X9" t="n">
        <v>613669.0</v>
      </c>
      <c r="Y9" t="n">
        <v>613669.0</v>
      </c>
      <c r="Z9" t="n">
        <v>61367.0</v>
      </c>
      <c r="AA9" t="n">
        <v>92050.0</v>
      </c>
      <c r="AB9" t="n">
        <v>0.0</v>
      </c>
      <c r="AC9" t="n">
        <v>0.0</v>
      </c>
      <c r="AD9" t="n">
        <v>0.0</v>
      </c>
      <c r="AE9" t="n">
        <v>0.0</v>
      </c>
      <c r="AF9" t="n">
        <v>66000.0</v>
      </c>
      <c r="AG9" t="n">
        <v>0.0</v>
      </c>
      <c r="AH9" t="n">
        <v>0.0</v>
      </c>
      <c r="AI9" t="n">
        <v>0.0</v>
      </c>
      <c r="AJ9" t="n">
        <v>0.0</v>
      </c>
      <c r="AK9" t="n">
        <v>0.0</v>
      </c>
      <c r="AL9" t="n">
        <v>0.0</v>
      </c>
      <c r="AM9" t="n">
        <v>0.0</v>
      </c>
      <c r="AN9" t="n">
        <v>0.0</v>
      </c>
      <c r="AO9" t="n">
        <v>833086.0</v>
      </c>
      <c r="AP9" t="n">
        <v>83309.0</v>
      </c>
      <c r="AQ9" t="n">
        <v>68637.7</v>
      </c>
      <c r="CH9">
        <f>IFERROR(U9*1,0)</f>
      </c>
    </row>
    <row r="10">
      <c r="A10" t="n">
        <v>1.0</v>
      </c>
      <c r="B10">
        <f>IF((K10-G10-H10&gt;2400000),10,(L10/(K10-G10-H10)*100))</f>
      </c>
      <c r="C10">
        <f>IF(N10&gt;2400000,240000,(N10*S10)/100)</f>
      </c>
      <c r="D10">
        <f>IF(S10=0,0,IF((N10-I10)&gt;2400000,((((((N10-I10-J10)-240000))*0.1+(I10+J10)*0.1)))-7000,((((((N10-I10-J10)-(N10-I10-J10)*S10/100)))*0.1+(I10+J10)*0.1)-7000)))</f>
      </c>
      <c r="E10">
        <f>C10-O10</f>
      </c>
      <c r="F10">
        <f>D10-P10</f>
      </c>
      <c r="G10">
        <f>SUMIF(negtgel!U$2:BL$2,'Tsalin uzuulelt'!B$1,negtgel!U10:BL10) + SUMIF(negtgel!U$2:BL$2,'Tsalin uzuulelt'!B$2,negtgel!U10:BL10)+SUMIF(negtgel!U$2:BL$2,'Tsalin uzuulelt'!B$3,negtgel!U10:BL10)+SUMIF(negtgel!U$2:BL$2,'Tsalin uzuulelt'!B$4,negtgel!U10:BL10)+SUMIF(negtgel!U$2:BL$2,'Tsalin uzuulelt'!B$5,negtgel!U10:BL10)</f>
      </c>
      <c r="H10">
        <f>SUMIF(negtgel!U$2:BL$2,'Tsalin uzuulelt'!F$1,negtgel!U10:BL10) + SUMIF(negtgel!U$2:BL$2,'Tsalin uzuulelt'!F$2,negtgel!U10:BL10)+SUMIF(negtgel!U$2:BL$2,'Tsalin uzuulelt'!F$3,negtgel!U10:BL10)+SUMIF(negtgel!U$2:BL$2,'Tsalin uzuulelt'!F$4,negtgel!U10:BL10)+SUMIF(negtgel!U$2:BL$2,'Tsalin uzuulelt'!F$5,negtgel!U10:BL10)</f>
      </c>
      <c r="I10">
        <f>SUMIF(negtgel!U$2:BL$2,'Tsalin uzuulelt'!H$1,negtgel!U10:BL10) + SUMIF(negtgel!U$2:BL$2,'Tsalin uzuulelt'!H$2,negtgel!U10:BL10)+SUMIF(negtgel!U$2:BL$2,'Tsalin uzuulelt'!H$3,negtgel!U10:BL10)+SUMIF(negtgel!U$2:BL$2,'Tsalin uzuulelt'!H$4,negtgel!U10:BL10)+SUMIF(negtgel!U$2:BL$2,'Tsalin uzuulelt'!H$5,negtgel!U10:BL10)</f>
      </c>
      <c r="J10">
        <f>SUMIF(negtgel!U$2:BL$2,'Tsalin uzuulelt'!J$1,negtgel!U10:BL10) + SUMIF(negtgel!U$2:BL$2,'Tsalin uzuulelt'!J$2,negtgel!U10:BL10)+SUMIF(negtgel!U$2:BL$2,'Tsalin uzuulelt'!J$3,negtgel!U10:BL10)+SUMIF(negtgel!U$2:BL$2,'Tsalin uzuulelt'!J$4,negtgel!U10:BL10)+SUMIF(negtgel!U$2:BL$2,'Tsalin uzuulelt'!J$5,negtgel!U10:BL10)</f>
      </c>
      <c r="K10">
        <f>SUMIF(negtgel!U$2:BL$2,'Tsalin uzuulelt'!L$1,negtgel!U10:BL10) + SUMIF(negtgel!U$2:BL$2,'Tsalin uzuulelt'!L$2,negtgel!U10:BL10)+SUMIF(negtgel!U$2:BL$2,'Tsalin uzuulelt'!L$3,negtgel!U10:BL10)+SUMIF(negtgel!U$2:BL$2,'Tsalin uzuulelt'!L$4,negtgel!U10:BL10)+SUMIF(negtgel!U$2:BL$2,'Tsalin uzuulelt'!L$5,negtgel!U10:BL10)</f>
      </c>
      <c r="L10">
        <f>SUMIF(negtgel!U$2:BL$2,'Tsalin uzuulelt'!N$1,negtgel!U10:BL10) + SUMIF(negtgel!U$2:BL$2,'Tsalin uzuulelt'!N$2,negtgel!U10:BL10)+SUMIF(negtgel!U$2:BL$2,'Tsalin uzuulelt'!N$3,negtgel!U10:BL10)+SUMIF(negtgel!U$2:BL$2,'Tsalin uzuulelt'!N$4,negtgel!U10:BL10)+SUMIF(negtgel!U$2:BL$2,'Tsalin uzuulelt'!N$5,negtgel!U10:BL10)</f>
      </c>
      <c r="M10">
        <f>SUMIF(negtgel!U$2:BL$2,'Tsalin uzuulelt'!P$1,negtgel!U10:BL10) + SUMIF(negtgel!U$2:BL$2,'Tsalin uzuulelt'!P$2,negtgel!U10:BL10)+ SUMIF(negtgel!U$2:BL$2,'Tsalin uzuulelt'!P$3,negtgel!U10:BL10)+ SUMIF(negtgel!U$2:BL$2,'Tsalin uzuulelt'!P$4,negtgel!U10:BL10)+ SUMIF(negtgel!U$2:BL$2,'Tsalin uzuulelt'!P$5,negtgel!U10:BL10)</f>
      </c>
      <c r="N10">
        <f>IF(ISNUMBER(U10*1)=CF10,0,K10-H10-G10)</f>
      </c>
      <c r="O10">
        <f>IF(ISNUMBER(U10*1)=CF10,0,L10)</f>
      </c>
      <c r="P10">
        <f>IF(ISNUMBER(U10*1)=CF10,0,M10)</f>
      </c>
      <c r="Q10">
        <f>IF(N10&gt;2400000,N10,0)</f>
      </c>
      <c r="R10">
        <f>IF(L10/Q10*100&lt;3,2,10)</f>
      </c>
      <c r="S10">
        <f>IF(CH10=0,0,IF(B10&gt;9,10,IF(B10&gt;8,B10,IF(B10&gt;7.7,7.8,IF(B10&gt;3,B10,IF(B10&gt;1.5,2))))))</f>
      </c>
      <c r="T10">
        <f>IF(Q10=0,S10,R10)</f>
      </c>
      <c r="U10" t="n">
        <v>24.0</v>
      </c>
      <c r="V10" t="s">
        <v>3791</v>
      </c>
      <c r="W10" t="s">
        <v>3792</v>
      </c>
      <c r="X10" t="n">
        <v>535584.0</v>
      </c>
      <c r="Y10" t="n">
        <v>535584.0</v>
      </c>
      <c r="Z10" t="n">
        <v>0.0</v>
      </c>
      <c r="AA10" t="n">
        <v>0.0</v>
      </c>
      <c r="AB10" t="n">
        <v>0.0</v>
      </c>
      <c r="AC10" t="n">
        <v>0.0</v>
      </c>
      <c r="AD10" t="n">
        <v>0.0</v>
      </c>
      <c r="AE10" t="n">
        <v>0.0</v>
      </c>
      <c r="AF10" t="n">
        <v>66000.0</v>
      </c>
      <c r="AG10" t="n">
        <v>0.0</v>
      </c>
      <c r="AH10" t="n">
        <v>0.0</v>
      </c>
      <c r="AI10" t="n">
        <v>0.0</v>
      </c>
      <c r="AJ10" t="n">
        <v>0.0</v>
      </c>
      <c r="AK10" t="n">
        <v>0.0</v>
      </c>
      <c r="AL10" t="n">
        <v>0.0</v>
      </c>
      <c r="AM10" t="n">
        <v>0.0</v>
      </c>
      <c r="AN10" t="n">
        <v>0.0</v>
      </c>
      <c r="AO10" t="n">
        <v>601584.0</v>
      </c>
      <c r="AP10" t="n">
        <v>60159.0</v>
      </c>
      <c r="AQ10" t="n">
        <v>47802.6</v>
      </c>
      <c r="CH10">
        <f>IFERROR(U10*1,0)</f>
      </c>
    </row>
    <row r="11">
      <c r="A11" t="n">
        <v>1.0</v>
      </c>
      <c r="B11">
        <f>IF((K11-G11-H11&gt;2400000),10,(L11/(K11-G11-H11)*100))</f>
      </c>
      <c r="C11">
        <f>IF(N11&gt;2400000,240000,(N11*S11)/100)</f>
      </c>
      <c r="D11">
        <f>IF(S11=0,0,IF((N11-I11)&gt;2400000,((((((N11-I11-J11)-240000))*0.1+(I11+J11)*0.1)))-7000,((((((N11-I11-J11)-(N11-I11-J11)*S11/100)))*0.1+(I11+J11)*0.1)-7000)))</f>
      </c>
      <c r="E11">
        <f>C11-O11</f>
      </c>
      <c r="F11">
        <f>D11-P11</f>
      </c>
      <c r="G11">
        <f>SUMIF(negtgel!U$2:BL$2,'Tsalin uzuulelt'!B$1,negtgel!U11:BL11) + SUMIF(negtgel!U$2:BL$2,'Tsalin uzuulelt'!B$2,negtgel!U11:BL11)+SUMIF(negtgel!U$2:BL$2,'Tsalin uzuulelt'!B$3,negtgel!U11:BL11)+SUMIF(negtgel!U$2:BL$2,'Tsalin uzuulelt'!B$4,negtgel!U11:BL11)+SUMIF(negtgel!U$2:BL$2,'Tsalin uzuulelt'!B$5,negtgel!U11:BL11)</f>
      </c>
      <c r="H11">
        <f>SUMIF(negtgel!U$2:BL$2,'Tsalin uzuulelt'!F$1,negtgel!U11:BL11) + SUMIF(negtgel!U$2:BL$2,'Tsalin uzuulelt'!F$2,negtgel!U11:BL11)+SUMIF(negtgel!U$2:BL$2,'Tsalin uzuulelt'!F$3,negtgel!U11:BL11)+SUMIF(negtgel!U$2:BL$2,'Tsalin uzuulelt'!F$4,negtgel!U11:BL11)+SUMIF(negtgel!U$2:BL$2,'Tsalin uzuulelt'!F$5,negtgel!U11:BL11)</f>
      </c>
      <c r="I11">
        <f>SUMIF(negtgel!U$2:BL$2,'Tsalin uzuulelt'!H$1,negtgel!U11:BL11) + SUMIF(negtgel!U$2:BL$2,'Tsalin uzuulelt'!H$2,negtgel!U11:BL11)+SUMIF(negtgel!U$2:BL$2,'Tsalin uzuulelt'!H$3,negtgel!U11:BL11)+SUMIF(negtgel!U$2:BL$2,'Tsalin uzuulelt'!H$4,negtgel!U11:BL11)+SUMIF(negtgel!U$2:BL$2,'Tsalin uzuulelt'!H$5,negtgel!U11:BL11)</f>
      </c>
      <c r="J11">
        <f>SUMIF(negtgel!U$2:BL$2,'Tsalin uzuulelt'!J$1,negtgel!U11:BL11) + SUMIF(negtgel!U$2:BL$2,'Tsalin uzuulelt'!J$2,negtgel!U11:BL11)+SUMIF(negtgel!U$2:BL$2,'Tsalin uzuulelt'!J$3,negtgel!U11:BL11)+SUMIF(negtgel!U$2:BL$2,'Tsalin uzuulelt'!J$4,negtgel!U11:BL11)+SUMIF(negtgel!U$2:BL$2,'Tsalin uzuulelt'!J$5,negtgel!U11:BL11)</f>
      </c>
      <c r="K11">
        <f>SUMIF(negtgel!U$2:BL$2,'Tsalin uzuulelt'!L$1,negtgel!U11:BL11) + SUMIF(negtgel!U$2:BL$2,'Tsalin uzuulelt'!L$2,negtgel!U11:BL11)+SUMIF(negtgel!U$2:BL$2,'Tsalin uzuulelt'!L$3,negtgel!U11:BL11)+SUMIF(negtgel!U$2:BL$2,'Tsalin uzuulelt'!L$4,negtgel!U11:BL11)+SUMIF(negtgel!U$2:BL$2,'Tsalin uzuulelt'!L$5,negtgel!U11:BL11)</f>
      </c>
      <c r="L11">
        <f>SUMIF(negtgel!U$2:BL$2,'Tsalin uzuulelt'!N$1,negtgel!U11:BL11) + SUMIF(negtgel!U$2:BL$2,'Tsalin uzuulelt'!N$2,negtgel!U11:BL11)+SUMIF(negtgel!U$2:BL$2,'Tsalin uzuulelt'!N$3,negtgel!U11:BL11)+SUMIF(negtgel!U$2:BL$2,'Tsalin uzuulelt'!N$4,negtgel!U11:BL11)+SUMIF(negtgel!U$2:BL$2,'Tsalin uzuulelt'!N$5,negtgel!U11:BL11)</f>
      </c>
      <c r="M11">
        <f>SUMIF(negtgel!U$2:BL$2,'Tsalin uzuulelt'!P$1,negtgel!U11:BL11) + SUMIF(negtgel!U$2:BL$2,'Tsalin uzuulelt'!P$2,negtgel!U11:BL11)+ SUMIF(negtgel!U$2:BL$2,'Tsalin uzuulelt'!P$3,negtgel!U11:BL11)+ SUMIF(negtgel!U$2:BL$2,'Tsalin uzuulelt'!P$4,negtgel!U11:BL11)+ SUMIF(negtgel!U$2:BL$2,'Tsalin uzuulelt'!P$5,negtgel!U11:BL11)</f>
      </c>
      <c r="N11">
        <f>IF(ISNUMBER(U11*1)=CF11,0,K11-H11-G11)</f>
      </c>
      <c r="O11">
        <f>IF(ISNUMBER(U11*1)=CF11,0,L11)</f>
      </c>
      <c r="P11">
        <f>IF(ISNUMBER(U11*1)=CF11,0,M11)</f>
      </c>
      <c r="Q11">
        <f>IF(N11&gt;2400000,N11,0)</f>
      </c>
      <c r="R11">
        <f>IF(L11/Q11*100&lt;3,2,10)</f>
      </c>
      <c r="S11">
        <f>IF(CH11=0,0,IF(B11&gt;9,10,IF(B11&gt;8,B11,IF(B11&gt;7.7,7.8,IF(B11&gt;3,B11,IF(B11&gt;1.5,2))))))</f>
      </c>
      <c r="T11">
        <f>IF(Q11=0,S11,R11)</f>
      </c>
      <c r="U11" t="n">
        <v>25.0</v>
      </c>
      <c r="V11" t="s">
        <v>3793</v>
      </c>
      <c r="W11" t="s">
        <v>3790</v>
      </c>
      <c r="X11" t="n">
        <v>645556.0</v>
      </c>
      <c r="Y11" t="n">
        <v>322778.0</v>
      </c>
      <c r="Z11" t="n">
        <v>48417.0</v>
      </c>
      <c r="AA11" t="n">
        <v>0.0</v>
      </c>
      <c r="AB11" t="n">
        <v>0.0</v>
      </c>
      <c r="AC11" t="n">
        <v>0.0</v>
      </c>
      <c r="AD11" t="n">
        <v>0.0</v>
      </c>
      <c r="AE11" t="n">
        <v>0.0</v>
      </c>
      <c r="AF11" t="n">
        <v>33000.0</v>
      </c>
      <c r="AG11" t="n">
        <v>0.0</v>
      </c>
      <c r="AH11" t="n">
        <v>0.0</v>
      </c>
      <c r="AI11" t="n">
        <v>0.0</v>
      </c>
      <c r="AJ11" t="n">
        <v>0.0</v>
      </c>
      <c r="AK11" t="n">
        <v>0.0</v>
      </c>
      <c r="AL11" t="n">
        <v>0.0</v>
      </c>
      <c r="AM11" t="n">
        <v>0.0</v>
      </c>
      <c r="AN11" t="n">
        <v>0.0</v>
      </c>
      <c r="AO11" t="n">
        <v>404195.0</v>
      </c>
      <c r="AP11" t="n">
        <v>40420.0</v>
      </c>
      <c r="AQ11" t="n">
        <v>29707.6</v>
      </c>
      <c r="CH11">
        <f>IFERROR(U11*1,0)</f>
      </c>
    </row>
    <row r="12">
      <c r="A12" t="n">
        <v>1.0</v>
      </c>
      <c r="B12">
        <f>IF((K12-G12-H12&gt;2400000),10,(L12/(K12-G12-H12)*100))</f>
      </c>
      <c r="C12">
        <f>IF(N12&gt;2400000,240000,(N12*S12)/100)</f>
      </c>
      <c r="D12">
        <f>IF(S12=0,0,IF((N12-I12)&gt;2400000,((((((N12-I12-J12)-240000))*0.1+(I12+J12)*0.1)))-7000,((((((N12-I12-J12)-(N12-I12-J12)*S12/100)))*0.1+(I12+J12)*0.1)-7000)))</f>
      </c>
      <c r="E12">
        <f>C12-O12</f>
      </c>
      <c r="F12">
        <f>D12-P12</f>
      </c>
      <c r="G12">
        <f>SUMIF(negtgel!U$2:BL$2,'Tsalin uzuulelt'!B$1,negtgel!U12:BL12) + SUMIF(negtgel!U$2:BL$2,'Tsalin uzuulelt'!B$2,negtgel!U12:BL12)+SUMIF(negtgel!U$2:BL$2,'Tsalin uzuulelt'!B$3,negtgel!U12:BL12)+SUMIF(negtgel!U$2:BL$2,'Tsalin uzuulelt'!B$4,negtgel!U12:BL12)+SUMIF(negtgel!U$2:BL$2,'Tsalin uzuulelt'!B$5,negtgel!U12:BL12)</f>
      </c>
      <c r="H12">
        <f>SUMIF(negtgel!U$2:BL$2,'Tsalin uzuulelt'!F$1,negtgel!U12:BL12) + SUMIF(negtgel!U$2:BL$2,'Tsalin uzuulelt'!F$2,negtgel!U12:BL12)+SUMIF(negtgel!U$2:BL$2,'Tsalin uzuulelt'!F$3,negtgel!U12:BL12)+SUMIF(negtgel!U$2:BL$2,'Tsalin uzuulelt'!F$4,negtgel!U12:BL12)+SUMIF(negtgel!U$2:BL$2,'Tsalin uzuulelt'!F$5,negtgel!U12:BL12)</f>
      </c>
      <c r="I12">
        <f>SUMIF(negtgel!U$2:BL$2,'Tsalin uzuulelt'!H$1,negtgel!U12:BL12) + SUMIF(negtgel!U$2:BL$2,'Tsalin uzuulelt'!H$2,negtgel!U12:BL12)+SUMIF(negtgel!U$2:BL$2,'Tsalin uzuulelt'!H$3,negtgel!U12:BL12)+SUMIF(negtgel!U$2:BL$2,'Tsalin uzuulelt'!H$4,negtgel!U12:BL12)+SUMIF(negtgel!U$2:BL$2,'Tsalin uzuulelt'!H$5,negtgel!U12:BL12)</f>
      </c>
      <c r="J12">
        <f>SUMIF(negtgel!U$2:BL$2,'Tsalin uzuulelt'!J$1,negtgel!U12:BL12) + SUMIF(negtgel!U$2:BL$2,'Tsalin uzuulelt'!J$2,negtgel!U12:BL12)+SUMIF(negtgel!U$2:BL$2,'Tsalin uzuulelt'!J$3,negtgel!U12:BL12)+SUMIF(negtgel!U$2:BL$2,'Tsalin uzuulelt'!J$4,negtgel!U12:BL12)+SUMIF(negtgel!U$2:BL$2,'Tsalin uzuulelt'!J$5,negtgel!U12:BL12)</f>
      </c>
      <c r="K12">
        <f>SUMIF(negtgel!U$2:BL$2,'Tsalin uzuulelt'!L$1,negtgel!U12:BL12) + SUMIF(negtgel!U$2:BL$2,'Tsalin uzuulelt'!L$2,negtgel!U12:BL12)+SUMIF(negtgel!U$2:BL$2,'Tsalin uzuulelt'!L$3,negtgel!U12:BL12)+SUMIF(negtgel!U$2:BL$2,'Tsalin uzuulelt'!L$4,negtgel!U12:BL12)+SUMIF(negtgel!U$2:BL$2,'Tsalin uzuulelt'!L$5,negtgel!U12:BL12)</f>
      </c>
      <c r="L12">
        <f>SUMIF(negtgel!U$2:BL$2,'Tsalin uzuulelt'!N$1,negtgel!U12:BL12) + SUMIF(negtgel!U$2:BL$2,'Tsalin uzuulelt'!N$2,negtgel!U12:BL12)+SUMIF(negtgel!U$2:BL$2,'Tsalin uzuulelt'!N$3,negtgel!U12:BL12)+SUMIF(negtgel!U$2:BL$2,'Tsalin uzuulelt'!N$4,negtgel!U12:BL12)+SUMIF(negtgel!U$2:BL$2,'Tsalin uzuulelt'!N$5,negtgel!U12:BL12)</f>
      </c>
      <c r="M12">
        <f>SUMIF(negtgel!U$2:BL$2,'Tsalin uzuulelt'!P$1,negtgel!U12:BL12) + SUMIF(negtgel!U$2:BL$2,'Tsalin uzuulelt'!P$2,negtgel!U12:BL12)+ SUMIF(negtgel!U$2:BL$2,'Tsalin uzuulelt'!P$3,negtgel!U12:BL12)+ SUMIF(negtgel!U$2:BL$2,'Tsalin uzuulelt'!P$4,negtgel!U12:BL12)+ SUMIF(negtgel!U$2:BL$2,'Tsalin uzuulelt'!P$5,negtgel!U12:BL12)</f>
      </c>
      <c r="N12">
        <f>IF(ISNUMBER(U12*1)=CF12,0,K12-H12-G12)</f>
      </c>
      <c r="O12">
        <f>IF(ISNUMBER(U12*1)=CF12,0,L12)</f>
      </c>
      <c r="P12">
        <f>IF(ISNUMBER(U12*1)=CF12,0,M12)</f>
      </c>
      <c r="Q12">
        <f>IF(N12&gt;2400000,N12,0)</f>
      </c>
      <c r="R12">
        <f>IF(L12/Q12*100&lt;3,2,10)</f>
      </c>
      <c r="S12">
        <f>IF(CH12=0,0,IF(B12&gt;9,10,IF(B12&gt;8,B12,IF(B12&gt;7.7,7.8,IF(B12&gt;3,B12,IF(B12&gt;1.5,2))))))</f>
      </c>
      <c r="T12">
        <f>IF(Q12=0,S12,R12)</f>
      </c>
      <c r="U12" t="n">
        <v>26.0</v>
      </c>
      <c r="V12" t="s">
        <v>3794</v>
      </c>
      <c r="W12" t="s">
        <v>3792</v>
      </c>
      <c r="X12" t="n">
        <v>496912.0</v>
      </c>
      <c r="Y12" t="n">
        <v>496912.0</v>
      </c>
      <c r="Z12" t="n">
        <v>0.0</v>
      </c>
      <c r="AA12" t="n">
        <v>0.0</v>
      </c>
      <c r="AB12" t="n">
        <v>0.0</v>
      </c>
      <c r="AC12" t="n">
        <v>0.0</v>
      </c>
      <c r="AD12" t="n">
        <v>0.0</v>
      </c>
      <c r="AE12" t="n">
        <v>0.0</v>
      </c>
      <c r="AF12" t="n">
        <v>66000.0</v>
      </c>
      <c r="AG12" t="n">
        <v>0.0</v>
      </c>
      <c r="AH12" t="n">
        <v>0.0</v>
      </c>
      <c r="AI12" t="n">
        <v>0.0</v>
      </c>
      <c r="AJ12" t="n">
        <v>0.0</v>
      </c>
      <c r="AK12" t="n">
        <v>0.0</v>
      </c>
      <c r="AL12" t="n">
        <v>0.0</v>
      </c>
      <c r="AM12" t="n">
        <v>0.0</v>
      </c>
      <c r="AN12" t="n">
        <v>0.0</v>
      </c>
      <c r="AO12" t="n">
        <v>562912.0</v>
      </c>
      <c r="AP12" t="n">
        <v>56291.0</v>
      </c>
      <c r="AQ12" t="n">
        <v>44322.1</v>
      </c>
      <c r="CH12">
        <f>IFERROR(U12*1,0)</f>
      </c>
    </row>
    <row r="13">
      <c r="A13" t="n">
        <v>1.0</v>
      </c>
      <c r="B13">
        <f>IF((K13-G13-H13&gt;2400000),10,(L13/(K13-G13-H13)*100))</f>
      </c>
      <c r="C13">
        <f>IF(N13&gt;2400000,240000,(N13*S13)/100)</f>
      </c>
      <c r="D13">
        <f>IF(S13=0,0,IF((N13-I13)&gt;2400000,((((((N13-I13-J13)-240000))*0.1+(I13+J13)*0.1)))-7000,((((((N13-I13-J13)-(N13-I13-J13)*S13/100)))*0.1+(I13+J13)*0.1)-7000)))</f>
      </c>
      <c r="E13">
        <f>C13-O13</f>
      </c>
      <c r="F13">
        <f>D13-P13</f>
      </c>
      <c r="G13">
        <f>SUMIF(negtgel!U$2:BL$2,'Tsalin uzuulelt'!B$1,negtgel!U13:BL13) + SUMIF(negtgel!U$2:BL$2,'Tsalin uzuulelt'!B$2,negtgel!U13:BL13)+SUMIF(negtgel!U$2:BL$2,'Tsalin uzuulelt'!B$3,negtgel!U13:BL13)+SUMIF(negtgel!U$2:BL$2,'Tsalin uzuulelt'!B$4,negtgel!U13:BL13)+SUMIF(negtgel!U$2:BL$2,'Tsalin uzuulelt'!B$5,negtgel!U13:BL13)</f>
      </c>
      <c r="H13">
        <f>SUMIF(negtgel!U$2:BL$2,'Tsalin uzuulelt'!F$1,negtgel!U13:BL13) + SUMIF(negtgel!U$2:BL$2,'Tsalin uzuulelt'!F$2,negtgel!U13:BL13)+SUMIF(negtgel!U$2:BL$2,'Tsalin uzuulelt'!F$3,negtgel!U13:BL13)+SUMIF(negtgel!U$2:BL$2,'Tsalin uzuulelt'!F$4,negtgel!U13:BL13)+SUMIF(negtgel!U$2:BL$2,'Tsalin uzuulelt'!F$5,negtgel!U13:BL13)</f>
      </c>
      <c r="I13">
        <f>SUMIF(negtgel!U$2:BL$2,'Tsalin uzuulelt'!H$1,negtgel!U13:BL13) + SUMIF(negtgel!U$2:BL$2,'Tsalin uzuulelt'!H$2,negtgel!U13:BL13)+SUMIF(negtgel!U$2:BL$2,'Tsalin uzuulelt'!H$3,negtgel!U13:BL13)+SUMIF(negtgel!U$2:BL$2,'Tsalin uzuulelt'!H$4,negtgel!U13:BL13)+SUMIF(negtgel!U$2:BL$2,'Tsalin uzuulelt'!H$5,negtgel!U13:BL13)</f>
      </c>
      <c r="J13">
        <f>SUMIF(negtgel!U$2:BL$2,'Tsalin uzuulelt'!J$1,negtgel!U13:BL13) + SUMIF(negtgel!U$2:BL$2,'Tsalin uzuulelt'!J$2,negtgel!U13:BL13)+SUMIF(negtgel!U$2:BL$2,'Tsalin uzuulelt'!J$3,negtgel!U13:BL13)+SUMIF(negtgel!U$2:BL$2,'Tsalin uzuulelt'!J$4,negtgel!U13:BL13)+SUMIF(negtgel!U$2:BL$2,'Tsalin uzuulelt'!J$5,negtgel!U13:BL13)</f>
      </c>
      <c r="K13">
        <f>SUMIF(negtgel!U$2:BL$2,'Tsalin uzuulelt'!L$1,negtgel!U13:BL13) + SUMIF(negtgel!U$2:BL$2,'Tsalin uzuulelt'!L$2,negtgel!U13:BL13)+SUMIF(negtgel!U$2:BL$2,'Tsalin uzuulelt'!L$3,negtgel!U13:BL13)+SUMIF(negtgel!U$2:BL$2,'Tsalin uzuulelt'!L$4,negtgel!U13:BL13)+SUMIF(negtgel!U$2:BL$2,'Tsalin uzuulelt'!L$5,negtgel!U13:BL13)</f>
      </c>
      <c r="L13">
        <f>SUMIF(negtgel!U$2:BL$2,'Tsalin uzuulelt'!N$1,negtgel!U13:BL13) + SUMIF(negtgel!U$2:BL$2,'Tsalin uzuulelt'!N$2,negtgel!U13:BL13)+SUMIF(negtgel!U$2:BL$2,'Tsalin uzuulelt'!N$3,negtgel!U13:BL13)+SUMIF(negtgel!U$2:BL$2,'Tsalin uzuulelt'!N$4,negtgel!U13:BL13)+SUMIF(negtgel!U$2:BL$2,'Tsalin uzuulelt'!N$5,negtgel!U13:BL13)</f>
      </c>
      <c r="M13">
        <f>SUMIF(negtgel!U$2:BL$2,'Tsalin uzuulelt'!P$1,negtgel!U13:BL13) + SUMIF(negtgel!U$2:BL$2,'Tsalin uzuulelt'!P$2,negtgel!U13:BL13)+ SUMIF(negtgel!U$2:BL$2,'Tsalin uzuulelt'!P$3,negtgel!U13:BL13)+ SUMIF(negtgel!U$2:BL$2,'Tsalin uzuulelt'!P$4,negtgel!U13:BL13)+ SUMIF(negtgel!U$2:BL$2,'Tsalin uzuulelt'!P$5,negtgel!U13:BL13)</f>
      </c>
      <c r="N13">
        <f>IF(ISNUMBER(U13*1)=CF13,0,K13-H13-G13)</f>
      </c>
      <c r="O13">
        <f>IF(ISNUMBER(U13*1)=CF13,0,L13)</f>
      </c>
      <c r="P13">
        <f>IF(ISNUMBER(U13*1)=CF13,0,M13)</f>
      </c>
      <c r="Q13">
        <f>IF(N13&gt;2400000,N13,0)</f>
      </c>
      <c r="R13">
        <f>IF(L13/Q13*100&lt;3,2,10)</f>
      </c>
      <c r="S13">
        <f>IF(CH13=0,0,IF(B13&gt;9,10,IF(B13&gt;8,B13,IF(B13&gt;7.7,7.8,IF(B13&gt;3,B13,IF(B13&gt;1.5,2))))))</f>
      </c>
      <c r="T13">
        <f>IF(Q13=0,S13,R13)</f>
      </c>
      <c r="U13" t="n">
        <v>49.0</v>
      </c>
      <c r="V13" t="s">
        <v>3795</v>
      </c>
      <c r="W13" t="s">
        <v>3790</v>
      </c>
      <c r="X13" t="n">
        <v>613669.0</v>
      </c>
      <c r="Y13" t="n">
        <v>111576.0</v>
      </c>
      <c r="Z13" t="n">
        <v>16736.0</v>
      </c>
      <c r="AA13" t="n">
        <v>22315.0</v>
      </c>
      <c r="AB13" t="n">
        <v>0.0</v>
      </c>
      <c r="AC13" t="n">
        <v>0.0</v>
      </c>
      <c r="AD13" t="n">
        <v>0.0</v>
      </c>
      <c r="AE13" t="n">
        <v>0.0</v>
      </c>
      <c r="AF13" t="n">
        <v>12000.0</v>
      </c>
      <c r="AG13" t="n">
        <v>0.0</v>
      </c>
      <c r="AH13" t="n">
        <v>0.0</v>
      </c>
      <c r="AI13" t="n">
        <v>0.0</v>
      </c>
      <c r="AJ13" t="n">
        <v>0.0</v>
      </c>
      <c r="AK13" t="n">
        <v>0.0</v>
      </c>
      <c r="AL13" t="n">
        <v>0.0</v>
      </c>
      <c r="AM13" t="n">
        <v>0.0</v>
      </c>
      <c r="AN13" t="n">
        <v>0.0</v>
      </c>
      <c r="AO13" t="n">
        <v>162627.0</v>
      </c>
      <c r="AP13" t="n">
        <v>16263.0</v>
      </c>
      <c r="AQ13" t="n">
        <v>7756.4</v>
      </c>
      <c r="CH13">
        <f>IFERROR(U13*1,0)</f>
      </c>
    </row>
    <row r="14">
      <c r="A14" t="n">
        <v>1.0</v>
      </c>
      <c r="B14">
        <f>IF((K14-G14-H14&gt;2400000),10,(L14/(K14-G14-H14)*100))</f>
      </c>
      <c r="C14">
        <f>IF(N14&gt;2400000,240000,(N14*S14)/100)</f>
      </c>
      <c r="D14">
        <f>IF(S14=0,0,IF((N14-I14)&gt;2400000,((((((N14-I14-J14)-240000))*0.1+(I14+J14)*0.1)))-7000,((((((N14-I14-J14)-(N14-I14-J14)*S14/100)))*0.1+(I14+J14)*0.1)-7000)))</f>
      </c>
      <c r="E14">
        <f>C14-O14</f>
      </c>
      <c r="F14">
        <f>D14-P14</f>
      </c>
      <c r="G14">
        <f>SUMIF(negtgel!U$2:BL$2,'Tsalin uzuulelt'!B$1,negtgel!U14:BL14) + SUMIF(negtgel!U$2:BL$2,'Tsalin uzuulelt'!B$2,negtgel!U14:BL14)+SUMIF(negtgel!U$2:BL$2,'Tsalin uzuulelt'!B$3,negtgel!U14:BL14)+SUMIF(negtgel!U$2:BL$2,'Tsalin uzuulelt'!B$4,negtgel!U14:BL14)+SUMIF(negtgel!U$2:BL$2,'Tsalin uzuulelt'!B$5,negtgel!U14:BL14)</f>
      </c>
      <c r="H14">
        <f>SUMIF(negtgel!U$2:BL$2,'Tsalin uzuulelt'!F$1,negtgel!U14:BL14) + SUMIF(negtgel!U$2:BL$2,'Tsalin uzuulelt'!F$2,negtgel!U14:BL14)+SUMIF(negtgel!U$2:BL$2,'Tsalin uzuulelt'!F$3,negtgel!U14:BL14)+SUMIF(negtgel!U$2:BL$2,'Tsalin uzuulelt'!F$4,negtgel!U14:BL14)+SUMIF(negtgel!U$2:BL$2,'Tsalin uzuulelt'!F$5,negtgel!U14:BL14)</f>
      </c>
      <c r="I14">
        <f>SUMIF(negtgel!U$2:BL$2,'Tsalin uzuulelt'!H$1,negtgel!U14:BL14) + SUMIF(negtgel!U$2:BL$2,'Tsalin uzuulelt'!H$2,negtgel!U14:BL14)+SUMIF(negtgel!U$2:BL$2,'Tsalin uzuulelt'!H$3,negtgel!U14:BL14)+SUMIF(negtgel!U$2:BL$2,'Tsalin uzuulelt'!H$4,negtgel!U14:BL14)+SUMIF(negtgel!U$2:BL$2,'Tsalin uzuulelt'!H$5,negtgel!U14:BL14)</f>
      </c>
      <c r="J14">
        <f>SUMIF(negtgel!U$2:BL$2,'Tsalin uzuulelt'!J$1,negtgel!U14:BL14) + SUMIF(negtgel!U$2:BL$2,'Tsalin uzuulelt'!J$2,negtgel!U14:BL14)+SUMIF(negtgel!U$2:BL$2,'Tsalin uzuulelt'!J$3,negtgel!U14:BL14)+SUMIF(negtgel!U$2:BL$2,'Tsalin uzuulelt'!J$4,negtgel!U14:BL14)+SUMIF(negtgel!U$2:BL$2,'Tsalin uzuulelt'!J$5,negtgel!U14:BL14)</f>
      </c>
      <c r="K14">
        <f>SUMIF(negtgel!U$2:BL$2,'Tsalin uzuulelt'!L$1,negtgel!U14:BL14) + SUMIF(negtgel!U$2:BL$2,'Tsalin uzuulelt'!L$2,negtgel!U14:BL14)+SUMIF(negtgel!U$2:BL$2,'Tsalin uzuulelt'!L$3,negtgel!U14:BL14)+SUMIF(negtgel!U$2:BL$2,'Tsalin uzuulelt'!L$4,negtgel!U14:BL14)+SUMIF(negtgel!U$2:BL$2,'Tsalin uzuulelt'!L$5,negtgel!U14:BL14)</f>
      </c>
      <c r="L14">
        <f>SUMIF(negtgel!U$2:BL$2,'Tsalin uzuulelt'!N$1,negtgel!U14:BL14) + SUMIF(negtgel!U$2:BL$2,'Tsalin uzuulelt'!N$2,negtgel!U14:BL14)+SUMIF(negtgel!U$2:BL$2,'Tsalin uzuulelt'!N$3,negtgel!U14:BL14)+SUMIF(negtgel!U$2:BL$2,'Tsalin uzuulelt'!N$4,negtgel!U14:BL14)+SUMIF(negtgel!U$2:BL$2,'Tsalin uzuulelt'!N$5,negtgel!U14:BL14)</f>
      </c>
      <c r="M14">
        <f>SUMIF(negtgel!U$2:BL$2,'Tsalin uzuulelt'!P$1,negtgel!U14:BL14) + SUMIF(negtgel!U$2:BL$2,'Tsalin uzuulelt'!P$2,negtgel!U14:BL14)+ SUMIF(negtgel!U$2:BL$2,'Tsalin uzuulelt'!P$3,negtgel!U14:BL14)+ SUMIF(negtgel!U$2:BL$2,'Tsalin uzuulelt'!P$4,negtgel!U14:BL14)+ SUMIF(negtgel!U$2:BL$2,'Tsalin uzuulelt'!P$5,negtgel!U14:BL14)</f>
      </c>
      <c r="N14">
        <f>IF(ISNUMBER(U14*1)=CF14,0,K14-H14-G14)</f>
      </c>
      <c r="O14">
        <f>IF(ISNUMBER(U14*1)=CF14,0,L14)</f>
      </c>
      <c r="P14">
        <f>IF(ISNUMBER(U14*1)=CF14,0,M14)</f>
      </c>
      <c r="Q14">
        <f>IF(N14&gt;2400000,N14,0)</f>
      </c>
      <c r="R14">
        <f>IF(L14/Q14*100&lt;3,2,10)</f>
      </c>
      <c r="S14">
        <f>IF(CH14=0,0,IF(B14&gt;9,10,IF(B14&gt;8,B14,IF(B14&gt;7.7,7.8,IF(B14&gt;3,B14,IF(B14&gt;1.5,2))))))</f>
      </c>
      <c r="T14">
        <f>IF(Q14=0,S14,R14)</f>
      </c>
      <c r="U14" t="n">
        <v>50.0</v>
      </c>
      <c r="V14" t="s">
        <v>3796</v>
      </c>
      <c r="W14" t="s">
        <v>3792</v>
      </c>
      <c r="X14" t="n">
        <v>496912.0</v>
      </c>
      <c r="Y14" t="n">
        <v>496912.0</v>
      </c>
      <c r="Z14" t="n">
        <v>0.0</v>
      </c>
      <c r="AA14" t="n">
        <v>0.0</v>
      </c>
      <c r="AB14" t="n">
        <v>0.0</v>
      </c>
      <c r="AC14" t="n">
        <v>0.0</v>
      </c>
      <c r="AD14" t="n">
        <v>0.0</v>
      </c>
      <c r="AE14" t="n">
        <v>0.0</v>
      </c>
      <c r="AF14" t="n">
        <v>66000.0</v>
      </c>
      <c r="AG14" t="n">
        <v>0.0</v>
      </c>
      <c r="AH14" t="n">
        <v>0.0</v>
      </c>
      <c r="AI14" t="n">
        <v>0.0</v>
      </c>
      <c r="AJ14" t="n">
        <v>0.0</v>
      </c>
      <c r="AK14" t="n">
        <v>0.0</v>
      </c>
      <c r="AL14" t="n">
        <v>0.0</v>
      </c>
      <c r="AM14" t="n">
        <v>0.0</v>
      </c>
      <c r="AN14" t="n">
        <v>0.0</v>
      </c>
      <c r="AO14" t="n">
        <v>562912.0</v>
      </c>
      <c r="AP14" t="n">
        <v>56291.0</v>
      </c>
      <c r="AQ14" t="n">
        <v>44322.1</v>
      </c>
      <c r="CH14">
        <f>IFERROR(U14*1,0)</f>
      </c>
    </row>
    <row r="15">
      <c r="A15" t="n">
        <v>1.0</v>
      </c>
      <c r="B15">
        <f>IF((K15-G15-H15&gt;2400000),10,(L15/(K15-G15-H15)*100))</f>
      </c>
      <c r="C15">
        <f>IF(N15&gt;2400000,240000,(N15*S15)/100)</f>
      </c>
      <c r="D15">
        <f>IF(S15=0,0,IF((N15-I15)&gt;2400000,((((((N15-I15-J15)-240000))*0.1+(I15+J15)*0.1)))-7000,((((((N15-I15-J15)-(N15-I15-J15)*S15/100)))*0.1+(I15+J15)*0.1)-7000)))</f>
      </c>
      <c r="E15">
        <f>C15-O15</f>
      </c>
      <c r="F15">
        <f>D15-P15</f>
      </c>
      <c r="G15">
        <f>SUMIF(negtgel!U$2:BL$2,'Tsalin uzuulelt'!B$1,negtgel!U15:BL15) + SUMIF(negtgel!U$2:BL$2,'Tsalin uzuulelt'!B$2,negtgel!U15:BL15)+SUMIF(negtgel!U$2:BL$2,'Tsalin uzuulelt'!B$3,negtgel!U15:BL15)+SUMIF(negtgel!U$2:BL$2,'Tsalin uzuulelt'!B$4,negtgel!U15:BL15)+SUMIF(negtgel!U$2:BL$2,'Tsalin uzuulelt'!B$5,negtgel!U15:BL15)</f>
      </c>
      <c r="H15">
        <f>SUMIF(negtgel!U$2:BL$2,'Tsalin uzuulelt'!F$1,negtgel!U15:BL15) + SUMIF(negtgel!U$2:BL$2,'Tsalin uzuulelt'!F$2,negtgel!U15:BL15)+SUMIF(negtgel!U$2:BL$2,'Tsalin uzuulelt'!F$3,negtgel!U15:BL15)+SUMIF(negtgel!U$2:BL$2,'Tsalin uzuulelt'!F$4,negtgel!U15:BL15)+SUMIF(negtgel!U$2:BL$2,'Tsalin uzuulelt'!F$5,negtgel!U15:BL15)</f>
      </c>
      <c r="I15">
        <f>SUMIF(negtgel!U$2:BL$2,'Tsalin uzuulelt'!H$1,negtgel!U15:BL15) + SUMIF(negtgel!U$2:BL$2,'Tsalin uzuulelt'!H$2,negtgel!U15:BL15)+SUMIF(negtgel!U$2:BL$2,'Tsalin uzuulelt'!H$3,negtgel!U15:BL15)+SUMIF(negtgel!U$2:BL$2,'Tsalin uzuulelt'!H$4,negtgel!U15:BL15)+SUMIF(negtgel!U$2:BL$2,'Tsalin uzuulelt'!H$5,negtgel!U15:BL15)</f>
      </c>
      <c r="J15">
        <f>SUMIF(negtgel!U$2:BL$2,'Tsalin uzuulelt'!J$1,negtgel!U15:BL15) + SUMIF(negtgel!U$2:BL$2,'Tsalin uzuulelt'!J$2,negtgel!U15:BL15)+SUMIF(negtgel!U$2:BL$2,'Tsalin uzuulelt'!J$3,negtgel!U15:BL15)+SUMIF(negtgel!U$2:BL$2,'Tsalin uzuulelt'!J$4,negtgel!U15:BL15)+SUMIF(negtgel!U$2:BL$2,'Tsalin uzuulelt'!J$5,negtgel!U15:BL15)</f>
      </c>
      <c r="K15">
        <f>SUMIF(negtgel!U$2:BL$2,'Tsalin uzuulelt'!L$1,negtgel!U15:BL15) + SUMIF(negtgel!U$2:BL$2,'Tsalin uzuulelt'!L$2,negtgel!U15:BL15)+SUMIF(negtgel!U$2:BL$2,'Tsalin uzuulelt'!L$3,negtgel!U15:BL15)+SUMIF(negtgel!U$2:BL$2,'Tsalin uzuulelt'!L$4,negtgel!U15:BL15)+SUMIF(negtgel!U$2:BL$2,'Tsalin uzuulelt'!L$5,negtgel!U15:BL15)</f>
      </c>
      <c r="L15">
        <f>SUMIF(negtgel!U$2:BL$2,'Tsalin uzuulelt'!N$1,negtgel!U15:BL15) + SUMIF(negtgel!U$2:BL$2,'Tsalin uzuulelt'!N$2,negtgel!U15:BL15)+SUMIF(negtgel!U$2:BL$2,'Tsalin uzuulelt'!N$3,negtgel!U15:BL15)+SUMIF(negtgel!U$2:BL$2,'Tsalin uzuulelt'!N$4,negtgel!U15:BL15)+SUMIF(negtgel!U$2:BL$2,'Tsalin uzuulelt'!N$5,negtgel!U15:BL15)</f>
      </c>
      <c r="M15">
        <f>SUMIF(negtgel!U$2:BL$2,'Tsalin uzuulelt'!P$1,negtgel!U15:BL15) + SUMIF(negtgel!U$2:BL$2,'Tsalin uzuulelt'!P$2,negtgel!U15:BL15)+ SUMIF(negtgel!U$2:BL$2,'Tsalin uzuulelt'!P$3,negtgel!U15:BL15)+ SUMIF(negtgel!U$2:BL$2,'Tsalin uzuulelt'!P$4,negtgel!U15:BL15)+ SUMIF(negtgel!U$2:BL$2,'Tsalin uzuulelt'!P$5,negtgel!U15:BL15)</f>
      </c>
      <c r="N15">
        <f>IF(ISNUMBER(U15*1)=CF15,0,K15-H15-G15)</f>
      </c>
      <c r="O15">
        <f>IF(ISNUMBER(U15*1)=CF15,0,L15)</f>
      </c>
      <c r="P15">
        <f>IF(ISNUMBER(U15*1)=CF15,0,M15)</f>
      </c>
      <c r="Q15">
        <f>IF(N15&gt;2400000,N15,0)</f>
      </c>
      <c r="R15">
        <f>IF(L15/Q15*100&lt;3,2,10)</f>
      </c>
      <c r="S15">
        <f>IF(CH15=0,0,IF(B15&gt;9,10,IF(B15&gt;8,B15,IF(B15&gt;7.7,7.8,IF(B15&gt;3,B15,IF(B15&gt;1.5,2))))))</f>
      </c>
      <c r="T15">
        <f>IF(Q15=0,S15,R15)</f>
      </c>
      <c r="U15" t="n">
        <v>51.0</v>
      </c>
      <c r="V15" t="s">
        <v>3797</v>
      </c>
      <c r="W15" t="s">
        <v>3790</v>
      </c>
      <c r="X15" t="n">
        <v>580710.0</v>
      </c>
      <c r="Y15" t="n">
        <v>580710.0</v>
      </c>
      <c r="Z15" t="n">
        <v>29036.0</v>
      </c>
      <c r="AA15" t="n">
        <v>87106.0</v>
      </c>
      <c r="AB15" t="n">
        <v>0.0</v>
      </c>
      <c r="AC15" t="n">
        <v>0.0</v>
      </c>
      <c r="AD15" t="n">
        <v>0.0</v>
      </c>
      <c r="AE15" t="n">
        <v>0.0</v>
      </c>
      <c r="AF15" t="n">
        <v>66000.0</v>
      </c>
      <c r="AG15" t="n">
        <v>0.0</v>
      </c>
      <c r="AH15" t="n">
        <v>0.0</v>
      </c>
      <c r="AI15" t="n">
        <v>0.0</v>
      </c>
      <c r="AJ15" t="n">
        <v>0.0</v>
      </c>
      <c r="AK15" t="n">
        <v>0.0</v>
      </c>
      <c r="AL15" t="n">
        <v>0.0</v>
      </c>
      <c r="AM15" t="n">
        <v>0.0</v>
      </c>
      <c r="AN15" t="n">
        <v>0.0</v>
      </c>
      <c r="AO15" t="n">
        <v>762852.0</v>
      </c>
      <c r="AP15" t="n">
        <v>76286.0</v>
      </c>
      <c r="AQ15" t="n">
        <v>62316.7</v>
      </c>
      <c r="CH15">
        <f>IFERROR(U15*1,0)</f>
      </c>
    </row>
    <row r="16">
      <c r="A16" t="n">
        <v>1.0</v>
      </c>
      <c r="B16">
        <f>IF((K16-G16-H16&gt;2400000),10,(L16/(K16-G16-H16)*100))</f>
      </c>
      <c r="C16">
        <f>IF(N16&gt;2400000,240000,(N16*S16)/100)</f>
      </c>
      <c r="D16">
        <f>IF(S16=0,0,IF((N16-I16)&gt;2400000,((((((N16-I16-J16)-240000))*0.1+(I16+J16)*0.1)))-7000,((((((N16-I16-J16)-(N16-I16-J16)*S16/100)))*0.1+(I16+J16)*0.1)-7000)))</f>
      </c>
      <c r="E16">
        <f>C16-O16</f>
      </c>
      <c r="F16">
        <f>D16-P16</f>
      </c>
      <c r="G16">
        <f>SUMIF(negtgel!U$2:BL$2,'Tsalin uzuulelt'!B$1,negtgel!U16:BL16) + SUMIF(negtgel!U$2:BL$2,'Tsalin uzuulelt'!B$2,negtgel!U16:BL16)+SUMIF(negtgel!U$2:BL$2,'Tsalin uzuulelt'!B$3,negtgel!U16:BL16)+SUMIF(negtgel!U$2:BL$2,'Tsalin uzuulelt'!B$4,negtgel!U16:BL16)+SUMIF(negtgel!U$2:BL$2,'Tsalin uzuulelt'!B$5,negtgel!U16:BL16)</f>
      </c>
      <c r="H16">
        <f>SUMIF(negtgel!U$2:BL$2,'Tsalin uzuulelt'!F$1,negtgel!U16:BL16) + SUMIF(negtgel!U$2:BL$2,'Tsalin uzuulelt'!F$2,negtgel!U16:BL16)+SUMIF(negtgel!U$2:BL$2,'Tsalin uzuulelt'!F$3,negtgel!U16:BL16)+SUMIF(negtgel!U$2:BL$2,'Tsalin uzuulelt'!F$4,negtgel!U16:BL16)+SUMIF(negtgel!U$2:BL$2,'Tsalin uzuulelt'!F$5,negtgel!U16:BL16)</f>
      </c>
      <c r="I16">
        <f>SUMIF(negtgel!U$2:BL$2,'Tsalin uzuulelt'!H$1,negtgel!U16:BL16) + SUMIF(negtgel!U$2:BL$2,'Tsalin uzuulelt'!H$2,negtgel!U16:BL16)+SUMIF(negtgel!U$2:BL$2,'Tsalin uzuulelt'!H$3,negtgel!U16:BL16)+SUMIF(negtgel!U$2:BL$2,'Tsalin uzuulelt'!H$4,negtgel!U16:BL16)+SUMIF(negtgel!U$2:BL$2,'Tsalin uzuulelt'!H$5,negtgel!U16:BL16)</f>
      </c>
      <c r="J16">
        <f>SUMIF(negtgel!U$2:BL$2,'Tsalin uzuulelt'!J$1,negtgel!U16:BL16) + SUMIF(negtgel!U$2:BL$2,'Tsalin uzuulelt'!J$2,negtgel!U16:BL16)+SUMIF(negtgel!U$2:BL$2,'Tsalin uzuulelt'!J$3,negtgel!U16:BL16)+SUMIF(negtgel!U$2:BL$2,'Tsalin uzuulelt'!J$4,negtgel!U16:BL16)+SUMIF(negtgel!U$2:BL$2,'Tsalin uzuulelt'!J$5,negtgel!U16:BL16)</f>
      </c>
      <c r="K16">
        <f>SUMIF(negtgel!U$2:BL$2,'Tsalin uzuulelt'!L$1,negtgel!U16:BL16) + SUMIF(negtgel!U$2:BL$2,'Tsalin uzuulelt'!L$2,negtgel!U16:BL16)+SUMIF(negtgel!U$2:BL$2,'Tsalin uzuulelt'!L$3,negtgel!U16:BL16)+SUMIF(negtgel!U$2:BL$2,'Tsalin uzuulelt'!L$4,negtgel!U16:BL16)+SUMIF(negtgel!U$2:BL$2,'Tsalin uzuulelt'!L$5,negtgel!U16:BL16)</f>
      </c>
      <c r="L16">
        <f>SUMIF(negtgel!U$2:BL$2,'Tsalin uzuulelt'!N$1,negtgel!U16:BL16) + SUMIF(negtgel!U$2:BL$2,'Tsalin uzuulelt'!N$2,negtgel!U16:BL16)+SUMIF(negtgel!U$2:BL$2,'Tsalin uzuulelt'!N$3,negtgel!U16:BL16)+SUMIF(negtgel!U$2:BL$2,'Tsalin uzuulelt'!N$4,negtgel!U16:BL16)+SUMIF(negtgel!U$2:BL$2,'Tsalin uzuulelt'!N$5,negtgel!U16:BL16)</f>
      </c>
      <c r="M16">
        <f>SUMIF(negtgel!U$2:BL$2,'Tsalin uzuulelt'!P$1,negtgel!U16:BL16) + SUMIF(negtgel!U$2:BL$2,'Tsalin uzuulelt'!P$2,negtgel!U16:BL16)+ SUMIF(negtgel!U$2:BL$2,'Tsalin uzuulelt'!P$3,negtgel!U16:BL16)+ SUMIF(negtgel!U$2:BL$2,'Tsalin uzuulelt'!P$4,negtgel!U16:BL16)+ SUMIF(negtgel!U$2:BL$2,'Tsalin uzuulelt'!P$5,negtgel!U16:BL16)</f>
      </c>
      <c r="N16">
        <f>IF(ISNUMBER(U16*1)=CF16,0,K16-H16-G16)</f>
      </c>
      <c r="O16">
        <f>IF(ISNUMBER(U16*1)=CF16,0,L16)</f>
      </c>
      <c r="P16">
        <f>IF(ISNUMBER(U16*1)=CF16,0,M16)</f>
      </c>
      <c r="Q16">
        <f>IF(N16&gt;2400000,N16,0)</f>
      </c>
      <c r="R16">
        <f>IF(L16/Q16*100&lt;3,2,10)</f>
      </c>
      <c r="S16">
        <f>IF(CH16=0,0,IF(B16&gt;9,10,IF(B16&gt;8,B16,IF(B16&gt;7.7,7.8,IF(B16&gt;3,B16,IF(B16&gt;1.5,2))))))</f>
      </c>
      <c r="T16">
        <f>IF(Q16=0,S16,R16)</f>
      </c>
      <c r="U16" t="n">
        <v>52.0</v>
      </c>
      <c r="V16" t="s">
        <v>3798</v>
      </c>
      <c r="W16" t="s">
        <v>3792</v>
      </c>
      <c r="X16" t="n">
        <v>496912.0</v>
      </c>
      <c r="Y16" t="n">
        <v>496912.0</v>
      </c>
      <c r="Z16" t="n">
        <v>0.0</v>
      </c>
      <c r="AA16" t="n">
        <v>0.0</v>
      </c>
      <c r="AB16" t="n">
        <v>0.0</v>
      </c>
      <c r="AC16" t="n">
        <v>0.0</v>
      </c>
      <c r="AD16" t="n">
        <v>0.0</v>
      </c>
      <c r="AE16" t="n">
        <v>0.0</v>
      </c>
      <c r="AF16" t="n">
        <v>66000.0</v>
      </c>
      <c r="AG16" t="n">
        <v>0.0</v>
      </c>
      <c r="AH16" t="n">
        <v>0.0</v>
      </c>
      <c r="AI16" t="n">
        <v>0.0</v>
      </c>
      <c r="AJ16" t="n">
        <v>0.0</v>
      </c>
      <c r="AK16" t="n">
        <v>0.0</v>
      </c>
      <c r="AL16" t="n">
        <v>0.0</v>
      </c>
      <c r="AM16" t="n">
        <v>0.0</v>
      </c>
      <c r="AN16" t="n">
        <v>0.0</v>
      </c>
      <c r="AO16" t="n">
        <v>562912.0</v>
      </c>
      <c r="AP16" t="n">
        <v>56291.0</v>
      </c>
      <c r="AQ16" t="n">
        <v>44322.1</v>
      </c>
      <c r="CH16">
        <f>IFERROR(U16*1,0)</f>
      </c>
    </row>
    <row r="17">
      <c r="A17" t="n">
        <v>1.0</v>
      </c>
      <c r="B17">
        <f>IF((K17-G17-H17&gt;2400000),10,(L17/(K17-G17-H17)*100))</f>
      </c>
      <c r="C17">
        <f>IF(N17&gt;2400000,240000,(N17*S17)/100)</f>
      </c>
      <c r="D17">
        <f>IF(S17=0,0,IF((N17-I17)&gt;2400000,((((((N17-I17-J17)-240000))*0.1+(I17+J17)*0.1)))-7000,((((((N17-I17-J17)-(N17-I17-J17)*S17/100)))*0.1+(I17+J17)*0.1)-7000)))</f>
      </c>
      <c r="E17">
        <f>C17-O17</f>
      </c>
      <c r="F17">
        <f>D17-P17</f>
      </c>
      <c r="G17">
        <f>SUMIF(negtgel!U$2:BL$2,'Tsalin uzuulelt'!B$1,negtgel!U17:BL17) + SUMIF(negtgel!U$2:BL$2,'Tsalin uzuulelt'!B$2,negtgel!U17:BL17)+SUMIF(negtgel!U$2:BL$2,'Tsalin uzuulelt'!B$3,negtgel!U17:BL17)+SUMIF(negtgel!U$2:BL$2,'Tsalin uzuulelt'!B$4,negtgel!U17:BL17)+SUMIF(negtgel!U$2:BL$2,'Tsalin uzuulelt'!B$5,negtgel!U17:BL17)</f>
      </c>
      <c r="H17">
        <f>SUMIF(negtgel!U$2:BL$2,'Tsalin uzuulelt'!F$1,negtgel!U17:BL17) + SUMIF(negtgel!U$2:BL$2,'Tsalin uzuulelt'!F$2,negtgel!U17:BL17)+SUMIF(negtgel!U$2:BL$2,'Tsalin uzuulelt'!F$3,negtgel!U17:BL17)+SUMIF(negtgel!U$2:BL$2,'Tsalin uzuulelt'!F$4,negtgel!U17:BL17)+SUMIF(negtgel!U$2:BL$2,'Tsalin uzuulelt'!F$5,negtgel!U17:BL17)</f>
      </c>
      <c r="I17">
        <f>SUMIF(negtgel!U$2:BL$2,'Tsalin uzuulelt'!H$1,negtgel!U17:BL17) + SUMIF(negtgel!U$2:BL$2,'Tsalin uzuulelt'!H$2,negtgel!U17:BL17)+SUMIF(negtgel!U$2:BL$2,'Tsalin uzuulelt'!H$3,negtgel!U17:BL17)+SUMIF(negtgel!U$2:BL$2,'Tsalin uzuulelt'!H$4,negtgel!U17:BL17)+SUMIF(negtgel!U$2:BL$2,'Tsalin uzuulelt'!H$5,negtgel!U17:BL17)</f>
      </c>
      <c r="J17">
        <f>SUMIF(negtgel!U$2:BL$2,'Tsalin uzuulelt'!J$1,negtgel!U17:BL17) + SUMIF(negtgel!U$2:BL$2,'Tsalin uzuulelt'!J$2,negtgel!U17:BL17)+SUMIF(negtgel!U$2:BL$2,'Tsalin uzuulelt'!J$3,negtgel!U17:BL17)+SUMIF(negtgel!U$2:BL$2,'Tsalin uzuulelt'!J$4,negtgel!U17:BL17)+SUMIF(negtgel!U$2:BL$2,'Tsalin uzuulelt'!J$5,negtgel!U17:BL17)</f>
      </c>
      <c r="K17">
        <f>SUMIF(negtgel!U$2:BL$2,'Tsalin uzuulelt'!L$1,negtgel!U17:BL17) + SUMIF(negtgel!U$2:BL$2,'Tsalin uzuulelt'!L$2,negtgel!U17:BL17)+SUMIF(negtgel!U$2:BL$2,'Tsalin uzuulelt'!L$3,negtgel!U17:BL17)+SUMIF(negtgel!U$2:BL$2,'Tsalin uzuulelt'!L$4,negtgel!U17:BL17)+SUMIF(negtgel!U$2:BL$2,'Tsalin uzuulelt'!L$5,negtgel!U17:BL17)</f>
      </c>
      <c r="L17">
        <f>SUMIF(negtgel!U$2:BL$2,'Tsalin uzuulelt'!N$1,negtgel!U17:BL17) + SUMIF(negtgel!U$2:BL$2,'Tsalin uzuulelt'!N$2,negtgel!U17:BL17)+SUMIF(negtgel!U$2:BL$2,'Tsalin uzuulelt'!N$3,negtgel!U17:BL17)+SUMIF(negtgel!U$2:BL$2,'Tsalin uzuulelt'!N$4,negtgel!U17:BL17)+SUMIF(negtgel!U$2:BL$2,'Tsalin uzuulelt'!N$5,negtgel!U17:BL17)</f>
      </c>
      <c r="M17">
        <f>SUMIF(negtgel!U$2:BL$2,'Tsalin uzuulelt'!P$1,negtgel!U17:BL17) + SUMIF(negtgel!U$2:BL$2,'Tsalin uzuulelt'!P$2,negtgel!U17:BL17)+ SUMIF(negtgel!U$2:BL$2,'Tsalin uzuulelt'!P$3,negtgel!U17:BL17)+ SUMIF(negtgel!U$2:BL$2,'Tsalin uzuulelt'!P$4,negtgel!U17:BL17)+ SUMIF(negtgel!U$2:BL$2,'Tsalin uzuulelt'!P$5,negtgel!U17:BL17)</f>
      </c>
      <c r="N17">
        <f>IF(ISNUMBER(U17*1)=CF17,0,K17-H17-G17)</f>
      </c>
      <c r="O17">
        <f>IF(ISNUMBER(U17*1)=CF17,0,L17)</f>
      </c>
      <c r="P17">
        <f>IF(ISNUMBER(U17*1)=CF17,0,M17)</f>
      </c>
      <c r="Q17">
        <f>IF(N17&gt;2400000,N17,0)</f>
      </c>
      <c r="R17">
        <f>IF(L17/Q17*100&lt;3,2,10)</f>
      </c>
      <c r="S17">
        <f>IF(CH17=0,0,IF(B17&gt;9,10,IF(B17&gt;8,B17,IF(B17&gt;7.7,7.8,IF(B17&gt;3,B17,IF(B17&gt;1.5,2))))))</f>
      </c>
      <c r="T17">
        <f>IF(Q17=0,S17,R17)</f>
      </c>
      <c r="U17" t="n">
        <v>53.0</v>
      </c>
      <c r="V17" t="s">
        <v>3799</v>
      </c>
      <c r="W17" t="s">
        <v>3785</v>
      </c>
      <c r="X17" t="n">
        <v>795935.0</v>
      </c>
      <c r="Y17" t="n">
        <v>795935.0</v>
      </c>
      <c r="Z17" t="n">
        <v>119390.0</v>
      </c>
      <c r="AA17" t="n">
        <v>159187.0</v>
      </c>
      <c r="AB17" t="n">
        <v>0.0</v>
      </c>
      <c r="AC17" t="n">
        <v>0.0</v>
      </c>
      <c r="AD17" t="n">
        <v>0.0</v>
      </c>
      <c r="AE17" t="n">
        <v>0.0</v>
      </c>
      <c r="AF17" t="n">
        <v>66000.0</v>
      </c>
      <c r="AG17" t="n">
        <v>0.0</v>
      </c>
      <c r="AH17" t="n">
        <v>0.0</v>
      </c>
      <c r="AI17" t="n">
        <v>0.0</v>
      </c>
      <c r="AJ17" t="n">
        <v>0.0</v>
      </c>
      <c r="AK17" t="n">
        <v>0.0</v>
      </c>
      <c r="AL17" t="n">
        <v>0.0</v>
      </c>
      <c r="AM17" t="n">
        <v>0.0</v>
      </c>
      <c r="AN17" t="n">
        <v>0.0</v>
      </c>
      <c r="AO17" t="n">
        <v>1140512.0</v>
      </c>
      <c r="AP17" t="n">
        <v>114051.0</v>
      </c>
      <c r="AQ17" t="n">
        <v>96306.1</v>
      </c>
      <c r="CH17">
        <f>IFERROR(U17*1,0)</f>
      </c>
    </row>
    <row r="18">
      <c r="A18" t="n">
        <v>1.0</v>
      </c>
      <c r="B18">
        <f>IF((K18-G18-H18&gt;2400000),10,(L18/(K18-G18-H18)*100))</f>
      </c>
      <c r="C18">
        <f>IF(N18&gt;2400000,240000,(N18*S18)/100)</f>
      </c>
      <c r="D18">
        <f>IF(S18=0,0,IF((N18-I18)&gt;2400000,((((((N18-I18-J18)-240000))*0.1+(I18+J18)*0.1)))-7000,((((((N18-I18-J18)-(N18-I18-J18)*S18/100)))*0.1+(I18+J18)*0.1)-7000)))</f>
      </c>
      <c r="E18">
        <f>C18-O18</f>
      </c>
      <c r="F18">
        <f>D18-P18</f>
      </c>
      <c r="G18">
        <f>SUMIF(negtgel!U$2:BL$2,'Tsalin uzuulelt'!B$1,negtgel!U18:BL18) + SUMIF(negtgel!U$2:BL$2,'Tsalin uzuulelt'!B$2,negtgel!U18:BL18)+SUMIF(negtgel!U$2:BL$2,'Tsalin uzuulelt'!B$3,negtgel!U18:BL18)+SUMIF(negtgel!U$2:BL$2,'Tsalin uzuulelt'!B$4,negtgel!U18:BL18)+SUMIF(negtgel!U$2:BL$2,'Tsalin uzuulelt'!B$5,negtgel!U18:BL18)</f>
      </c>
      <c r="H18">
        <f>SUMIF(negtgel!U$2:BL$2,'Tsalin uzuulelt'!F$1,negtgel!U18:BL18) + SUMIF(negtgel!U$2:BL$2,'Tsalin uzuulelt'!F$2,negtgel!U18:BL18)+SUMIF(negtgel!U$2:BL$2,'Tsalin uzuulelt'!F$3,negtgel!U18:BL18)+SUMIF(negtgel!U$2:BL$2,'Tsalin uzuulelt'!F$4,negtgel!U18:BL18)+SUMIF(negtgel!U$2:BL$2,'Tsalin uzuulelt'!F$5,negtgel!U18:BL18)</f>
      </c>
      <c r="I18">
        <f>SUMIF(negtgel!U$2:BL$2,'Tsalin uzuulelt'!H$1,negtgel!U18:BL18) + SUMIF(negtgel!U$2:BL$2,'Tsalin uzuulelt'!H$2,negtgel!U18:BL18)+SUMIF(negtgel!U$2:BL$2,'Tsalin uzuulelt'!H$3,negtgel!U18:BL18)+SUMIF(negtgel!U$2:BL$2,'Tsalin uzuulelt'!H$4,negtgel!U18:BL18)+SUMIF(negtgel!U$2:BL$2,'Tsalin uzuulelt'!H$5,negtgel!U18:BL18)</f>
      </c>
      <c r="J18">
        <f>SUMIF(negtgel!U$2:BL$2,'Tsalin uzuulelt'!J$1,negtgel!U18:BL18) + SUMIF(negtgel!U$2:BL$2,'Tsalin uzuulelt'!J$2,negtgel!U18:BL18)+SUMIF(negtgel!U$2:BL$2,'Tsalin uzuulelt'!J$3,negtgel!U18:BL18)+SUMIF(negtgel!U$2:BL$2,'Tsalin uzuulelt'!J$4,negtgel!U18:BL18)+SUMIF(negtgel!U$2:BL$2,'Tsalin uzuulelt'!J$5,negtgel!U18:BL18)</f>
      </c>
      <c r="K18">
        <f>SUMIF(negtgel!U$2:BL$2,'Tsalin uzuulelt'!L$1,negtgel!U18:BL18) + SUMIF(negtgel!U$2:BL$2,'Tsalin uzuulelt'!L$2,negtgel!U18:BL18)+SUMIF(negtgel!U$2:BL$2,'Tsalin uzuulelt'!L$3,negtgel!U18:BL18)+SUMIF(negtgel!U$2:BL$2,'Tsalin uzuulelt'!L$4,negtgel!U18:BL18)+SUMIF(negtgel!U$2:BL$2,'Tsalin uzuulelt'!L$5,negtgel!U18:BL18)</f>
      </c>
      <c r="L18">
        <f>SUMIF(negtgel!U$2:BL$2,'Tsalin uzuulelt'!N$1,negtgel!U18:BL18) + SUMIF(negtgel!U$2:BL$2,'Tsalin uzuulelt'!N$2,negtgel!U18:BL18)+SUMIF(negtgel!U$2:BL$2,'Tsalin uzuulelt'!N$3,negtgel!U18:BL18)+SUMIF(negtgel!U$2:BL$2,'Tsalin uzuulelt'!N$4,negtgel!U18:BL18)+SUMIF(negtgel!U$2:BL$2,'Tsalin uzuulelt'!N$5,negtgel!U18:BL18)</f>
      </c>
      <c r="M18">
        <f>SUMIF(negtgel!U$2:BL$2,'Tsalin uzuulelt'!P$1,negtgel!U18:BL18) + SUMIF(negtgel!U$2:BL$2,'Tsalin uzuulelt'!P$2,negtgel!U18:BL18)+ SUMIF(negtgel!U$2:BL$2,'Tsalin uzuulelt'!P$3,negtgel!U18:BL18)+ SUMIF(negtgel!U$2:BL$2,'Tsalin uzuulelt'!P$4,negtgel!U18:BL18)+ SUMIF(negtgel!U$2:BL$2,'Tsalin uzuulelt'!P$5,negtgel!U18:BL18)</f>
      </c>
      <c r="N18">
        <f>IF(ISNUMBER(U18*1)=CF18,0,K18-H18-G18)</f>
      </c>
      <c r="O18">
        <f>IF(ISNUMBER(U18*1)=CF18,0,L18)</f>
      </c>
      <c r="P18">
        <f>IF(ISNUMBER(U18*1)=CF18,0,M18)</f>
      </c>
      <c r="Q18">
        <f>IF(N18&gt;2400000,N18,0)</f>
      </c>
      <c r="R18">
        <f>IF(L18/Q18*100&lt;3,2,10)</f>
      </c>
      <c r="S18">
        <f>IF(CH18=0,0,IF(B18&gt;9,10,IF(B18&gt;8,B18,IF(B18&gt;7.7,7.8,IF(B18&gt;3,B18,IF(B18&gt;1.5,2))))))</f>
      </c>
      <c r="T18">
        <f>IF(Q18=0,S18,R18)</f>
      </c>
      <c r="U18" t="n">
        <v>54.0</v>
      </c>
      <c r="V18" t="s">
        <v>3800</v>
      </c>
      <c r="W18" t="s">
        <v>3790</v>
      </c>
      <c r="X18" t="n">
        <v>613669.0</v>
      </c>
      <c r="Y18" t="n">
        <v>613669.0</v>
      </c>
      <c r="Z18" t="n">
        <v>92050.0</v>
      </c>
      <c r="AA18" t="n">
        <v>122734.0</v>
      </c>
      <c r="AB18" t="n">
        <v>0.0</v>
      </c>
      <c r="AC18" t="n">
        <v>0.0</v>
      </c>
      <c r="AD18" t="n">
        <v>0.0</v>
      </c>
      <c r="AE18" t="n">
        <v>0.0</v>
      </c>
      <c r="AF18" t="n">
        <v>66000.0</v>
      </c>
      <c r="AG18" t="n">
        <v>0.0</v>
      </c>
      <c r="AH18" t="n">
        <v>0.0</v>
      </c>
      <c r="AI18" t="n">
        <v>0.0</v>
      </c>
      <c r="AJ18" t="n">
        <v>0.0</v>
      </c>
      <c r="AK18" t="n">
        <v>0.0</v>
      </c>
      <c r="AL18" t="n">
        <v>0.0</v>
      </c>
      <c r="AM18" t="n">
        <v>0.0</v>
      </c>
      <c r="AN18" t="n">
        <v>0.0</v>
      </c>
      <c r="AO18" t="n">
        <v>894453.0</v>
      </c>
      <c r="AP18" t="n">
        <v>89446.0</v>
      </c>
      <c r="AQ18" t="n">
        <v>74160.8</v>
      </c>
      <c r="CH18">
        <f>IFERROR(U18*1,0)</f>
      </c>
    </row>
    <row r="19">
      <c r="A19" t="n">
        <v>1.0</v>
      </c>
      <c r="B19">
        <f>IF((K19-G19-H19&gt;2400000),10,(L19/(K19-G19-H19)*100))</f>
      </c>
      <c r="C19">
        <f>IF(N19&gt;2400000,240000,(N19*S19)/100)</f>
      </c>
      <c r="D19">
        <f>IF(S19=0,0,IF((N19-I19)&gt;2400000,((((((N19-I19-J19)-240000))*0.1+(I19+J19)*0.1)))-7000,((((((N19-I19-J19)-(N19-I19-J19)*S19/100)))*0.1+(I19+J19)*0.1)-7000)))</f>
      </c>
      <c r="E19">
        <f>C19-O19</f>
      </c>
      <c r="F19">
        <f>D19-P19</f>
      </c>
      <c r="G19">
        <f>SUMIF(negtgel!U$2:BL$2,'Tsalin uzuulelt'!B$1,negtgel!U19:BL19) + SUMIF(negtgel!U$2:BL$2,'Tsalin uzuulelt'!B$2,negtgel!U19:BL19)+SUMIF(negtgel!U$2:BL$2,'Tsalin uzuulelt'!B$3,negtgel!U19:BL19)+SUMIF(negtgel!U$2:BL$2,'Tsalin uzuulelt'!B$4,negtgel!U19:BL19)+SUMIF(negtgel!U$2:BL$2,'Tsalin uzuulelt'!B$5,negtgel!U19:BL19)</f>
      </c>
      <c r="H19">
        <f>SUMIF(negtgel!U$2:BL$2,'Tsalin uzuulelt'!F$1,negtgel!U19:BL19) + SUMIF(negtgel!U$2:BL$2,'Tsalin uzuulelt'!F$2,negtgel!U19:BL19)+SUMIF(negtgel!U$2:BL$2,'Tsalin uzuulelt'!F$3,negtgel!U19:BL19)+SUMIF(negtgel!U$2:BL$2,'Tsalin uzuulelt'!F$4,negtgel!U19:BL19)+SUMIF(negtgel!U$2:BL$2,'Tsalin uzuulelt'!F$5,negtgel!U19:BL19)</f>
      </c>
      <c r="I19">
        <f>SUMIF(negtgel!U$2:BL$2,'Tsalin uzuulelt'!H$1,negtgel!U19:BL19) + SUMIF(negtgel!U$2:BL$2,'Tsalin uzuulelt'!H$2,negtgel!U19:BL19)+SUMIF(negtgel!U$2:BL$2,'Tsalin uzuulelt'!H$3,negtgel!U19:BL19)+SUMIF(negtgel!U$2:BL$2,'Tsalin uzuulelt'!H$4,negtgel!U19:BL19)+SUMIF(negtgel!U$2:BL$2,'Tsalin uzuulelt'!H$5,negtgel!U19:BL19)</f>
      </c>
      <c r="J19">
        <f>SUMIF(negtgel!U$2:BL$2,'Tsalin uzuulelt'!J$1,negtgel!U19:BL19) + SUMIF(negtgel!U$2:BL$2,'Tsalin uzuulelt'!J$2,negtgel!U19:BL19)+SUMIF(negtgel!U$2:BL$2,'Tsalin uzuulelt'!J$3,negtgel!U19:BL19)+SUMIF(negtgel!U$2:BL$2,'Tsalin uzuulelt'!J$4,negtgel!U19:BL19)+SUMIF(negtgel!U$2:BL$2,'Tsalin uzuulelt'!J$5,negtgel!U19:BL19)</f>
      </c>
      <c r="K19">
        <f>SUMIF(negtgel!U$2:BL$2,'Tsalin uzuulelt'!L$1,negtgel!U19:BL19) + SUMIF(negtgel!U$2:BL$2,'Tsalin uzuulelt'!L$2,negtgel!U19:BL19)+SUMIF(negtgel!U$2:BL$2,'Tsalin uzuulelt'!L$3,negtgel!U19:BL19)+SUMIF(negtgel!U$2:BL$2,'Tsalin uzuulelt'!L$4,negtgel!U19:BL19)+SUMIF(negtgel!U$2:BL$2,'Tsalin uzuulelt'!L$5,negtgel!U19:BL19)</f>
      </c>
      <c r="L19">
        <f>SUMIF(negtgel!U$2:BL$2,'Tsalin uzuulelt'!N$1,negtgel!U19:BL19) + SUMIF(negtgel!U$2:BL$2,'Tsalin uzuulelt'!N$2,negtgel!U19:BL19)+SUMIF(negtgel!U$2:BL$2,'Tsalin uzuulelt'!N$3,negtgel!U19:BL19)+SUMIF(negtgel!U$2:BL$2,'Tsalin uzuulelt'!N$4,negtgel!U19:BL19)+SUMIF(negtgel!U$2:BL$2,'Tsalin uzuulelt'!N$5,negtgel!U19:BL19)</f>
      </c>
      <c r="M19">
        <f>SUMIF(negtgel!U$2:BL$2,'Tsalin uzuulelt'!P$1,negtgel!U19:BL19) + SUMIF(negtgel!U$2:BL$2,'Tsalin uzuulelt'!P$2,negtgel!U19:BL19)+ SUMIF(negtgel!U$2:BL$2,'Tsalin uzuulelt'!P$3,negtgel!U19:BL19)+ SUMIF(negtgel!U$2:BL$2,'Tsalin uzuulelt'!P$4,negtgel!U19:BL19)+ SUMIF(negtgel!U$2:BL$2,'Tsalin uzuulelt'!P$5,negtgel!U19:BL19)</f>
      </c>
      <c r="N19">
        <f>IF(ISNUMBER(U19*1)=CF19,0,K19-H19-G19)</f>
      </c>
      <c r="O19">
        <f>IF(ISNUMBER(U19*1)=CF19,0,L19)</f>
      </c>
      <c r="P19">
        <f>IF(ISNUMBER(U19*1)=CF19,0,M19)</f>
      </c>
      <c r="Q19">
        <f>IF(N19&gt;2400000,N19,0)</f>
      </c>
      <c r="R19">
        <f>IF(L19/Q19*100&lt;3,2,10)</f>
      </c>
      <c r="S19">
        <f>IF(CH19=0,0,IF(B19&gt;9,10,IF(B19&gt;8,B19,IF(B19&gt;7.7,7.8,IF(B19&gt;3,B19,IF(B19&gt;1.5,2))))))</f>
      </c>
      <c r="T19">
        <f>IF(Q19=0,S19,R19)</f>
      </c>
      <c r="U19" t="n">
        <v>55.0</v>
      </c>
      <c r="V19" t="s">
        <v>3801</v>
      </c>
      <c r="W19" t="s">
        <v>3790</v>
      </c>
      <c r="X19" t="n">
        <v>580710.0</v>
      </c>
      <c r="Y19" t="n">
        <v>580710.0</v>
      </c>
      <c r="Z19" t="n">
        <v>0.0</v>
      </c>
      <c r="AA19" t="n">
        <v>0.0</v>
      </c>
      <c r="AB19" t="n">
        <v>0.0</v>
      </c>
      <c r="AC19" t="n">
        <v>0.0</v>
      </c>
      <c r="AD19" t="n">
        <v>0.0</v>
      </c>
      <c r="AE19" t="n">
        <v>0.0</v>
      </c>
      <c r="AF19" t="n">
        <v>66000.0</v>
      </c>
      <c r="AG19" t="n">
        <v>0.0</v>
      </c>
      <c r="AH19" t="n">
        <v>0.0</v>
      </c>
      <c r="AI19" t="n">
        <v>0.0</v>
      </c>
      <c r="AJ19" t="n">
        <v>0.0</v>
      </c>
      <c r="AK19" t="n">
        <v>0.0</v>
      </c>
      <c r="AL19" t="n">
        <v>0.0</v>
      </c>
      <c r="AM19" t="n">
        <v>0.0</v>
      </c>
      <c r="AN19" t="n">
        <v>0.0</v>
      </c>
      <c r="AO19" t="n">
        <v>646710.0</v>
      </c>
      <c r="AP19" t="n">
        <v>64671.0</v>
      </c>
      <c r="AQ19" t="n">
        <v>51863.9</v>
      </c>
      <c r="CH19">
        <f>IFERROR(U19*1,0)</f>
      </c>
    </row>
    <row r="20">
      <c r="A20" t="n">
        <v>1.0</v>
      </c>
      <c r="B20">
        <f>IF((K20-G20-H20&gt;2400000),10,(L20/(K20-G20-H20)*100))</f>
      </c>
      <c r="C20">
        <f>IF(N20&gt;2400000,240000,(N20*S20)/100)</f>
      </c>
      <c r="D20">
        <f>IF(S20=0,0,IF((N20-I20)&gt;2400000,((((((N20-I20-J20)-240000))*0.1+(I20+J20)*0.1)))-7000,((((((N20-I20-J20)-(N20-I20-J20)*S20/100)))*0.1+(I20+J20)*0.1)-7000)))</f>
      </c>
      <c r="E20">
        <f>C20-O20</f>
      </c>
      <c r="F20">
        <f>D20-P20</f>
      </c>
      <c r="G20">
        <f>SUMIF(negtgel!U$2:BL$2,'Tsalin uzuulelt'!B$1,negtgel!U20:BL20) + SUMIF(negtgel!U$2:BL$2,'Tsalin uzuulelt'!B$2,negtgel!U20:BL20)+SUMIF(negtgel!U$2:BL$2,'Tsalin uzuulelt'!B$3,negtgel!U20:BL20)+SUMIF(negtgel!U$2:BL$2,'Tsalin uzuulelt'!B$4,negtgel!U20:BL20)+SUMIF(negtgel!U$2:BL$2,'Tsalin uzuulelt'!B$5,negtgel!U20:BL20)</f>
      </c>
      <c r="H20">
        <f>SUMIF(negtgel!U$2:BL$2,'Tsalin uzuulelt'!F$1,negtgel!U20:BL20) + SUMIF(negtgel!U$2:BL$2,'Tsalin uzuulelt'!F$2,negtgel!U20:BL20)+SUMIF(negtgel!U$2:BL$2,'Tsalin uzuulelt'!F$3,negtgel!U20:BL20)+SUMIF(negtgel!U$2:BL$2,'Tsalin uzuulelt'!F$4,negtgel!U20:BL20)+SUMIF(negtgel!U$2:BL$2,'Tsalin uzuulelt'!F$5,negtgel!U20:BL20)</f>
      </c>
      <c r="I20">
        <f>SUMIF(negtgel!U$2:BL$2,'Tsalin uzuulelt'!H$1,negtgel!U20:BL20) + SUMIF(negtgel!U$2:BL$2,'Tsalin uzuulelt'!H$2,negtgel!U20:BL20)+SUMIF(negtgel!U$2:BL$2,'Tsalin uzuulelt'!H$3,negtgel!U20:BL20)+SUMIF(negtgel!U$2:BL$2,'Tsalin uzuulelt'!H$4,negtgel!U20:BL20)+SUMIF(negtgel!U$2:BL$2,'Tsalin uzuulelt'!H$5,negtgel!U20:BL20)</f>
      </c>
      <c r="J20">
        <f>SUMIF(negtgel!U$2:BL$2,'Tsalin uzuulelt'!J$1,negtgel!U20:BL20) + SUMIF(negtgel!U$2:BL$2,'Tsalin uzuulelt'!J$2,negtgel!U20:BL20)+SUMIF(negtgel!U$2:BL$2,'Tsalin uzuulelt'!J$3,negtgel!U20:BL20)+SUMIF(negtgel!U$2:BL$2,'Tsalin uzuulelt'!J$4,negtgel!U20:BL20)+SUMIF(negtgel!U$2:BL$2,'Tsalin uzuulelt'!J$5,negtgel!U20:BL20)</f>
      </c>
      <c r="K20">
        <f>SUMIF(negtgel!U$2:BL$2,'Tsalin uzuulelt'!L$1,negtgel!U20:BL20) + SUMIF(negtgel!U$2:BL$2,'Tsalin uzuulelt'!L$2,negtgel!U20:BL20)+SUMIF(negtgel!U$2:BL$2,'Tsalin uzuulelt'!L$3,negtgel!U20:BL20)+SUMIF(negtgel!U$2:BL$2,'Tsalin uzuulelt'!L$4,negtgel!U20:BL20)+SUMIF(negtgel!U$2:BL$2,'Tsalin uzuulelt'!L$5,negtgel!U20:BL20)</f>
      </c>
      <c r="L20">
        <f>SUMIF(negtgel!U$2:BL$2,'Tsalin uzuulelt'!N$1,negtgel!U20:BL20) + SUMIF(negtgel!U$2:BL$2,'Tsalin uzuulelt'!N$2,negtgel!U20:BL20)+SUMIF(negtgel!U$2:BL$2,'Tsalin uzuulelt'!N$3,negtgel!U20:BL20)+SUMIF(negtgel!U$2:BL$2,'Tsalin uzuulelt'!N$4,negtgel!U20:BL20)+SUMIF(negtgel!U$2:BL$2,'Tsalin uzuulelt'!N$5,negtgel!U20:BL20)</f>
      </c>
      <c r="M20">
        <f>SUMIF(negtgel!U$2:BL$2,'Tsalin uzuulelt'!P$1,negtgel!U20:BL20) + SUMIF(negtgel!U$2:BL$2,'Tsalin uzuulelt'!P$2,negtgel!U20:BL20)+ SUMIF(negtgel!U$2:BL$2,'Tsalin uzuulelt'!P$3,negtgel!U20:BL20)+ SUMIF(negtgel!U$2:BL$2,'Tsalin uzuulelt'!P$4,negtgel!U20:BL20)+ SUMIF(negtgel!U$2:BL$2,'Tsalin uzuulelt'!P$5,negtgel!U20:BL20)</f>
      </c>
      <c r="N20">
        <f>IF(ISNUMBER(U20*1)=CF20,0,K20-H20-G20)</f>
      </c>
      <c r="O20">
        <f>IF(ISNUMBER(U20*1)=CF20,0,L20)</f>
      </c>
      <c r="P20">
        <f>IF(ISNUMBER(U20*1)=CF20,0,M20)</f>
      </c>
      <c r="Q20">
        <f>IF(N20&gt;2400000,N20,0)</f>
      </c>
      <c r="R20">
        <f>IF(L20/Q20*100&lt;3,2,10)</f>
      </c>
      <c r="S20">
        <f>IF(CH20=0,0,IF(B20&gt;9,10,IF(B20&gt;8,B20,IF(B20&gt;7.7,7.8,IF(B20&gt;3,B20,IF(B20&gt;1.5,2))))))</f>
      </c>
      <c r="T20">
        <f>IF(Q20=0,S20,R20)</f>
      </c>
      <c r="U20" t="n">
        <v>56.0</v>
      </c>
      <c r="V20" t="s">
        <v>3802</v>
      </c>
      <c r="W20" t="s">
        <v>3792</v>
      </c>
      <c r="X20" t="n">
        <v>496912.0</v>
      </c>
      <c r="Y20" t="n">
        <v>496912.0</v>
      </c>
      <c r="Z20" t="n">
        <v>0.0</v>
      </c>
      <c r="AA20" t="n">
        <v>0.0</v>
      </c>
      <c r="AB20" t="n">
        <v>0.0</v>
      </c>
      <c r="AC20" t="n">
        <v>0.0</v>
      </c>
      <c r="AD20" t="n">
        <v>0.0</v>
      </c>
      <c r="AE20" t="n">
        <v>0.0</v>
      </c>
      <c r="AF20" t="n">
        <v>66000.0</v>
      </c>
      <c r="AG20" t="n">
        <v>0.0</v>
      </c>
      <c r="AH20" t="n">
        <v>0.0</v>
      </c>
      <c r="AI20" t="n">
        <v>0.0</v>
      </c>
      <c r="AJ20" t="n">
        <v>0.0</v>
      </c>
      <c r="AK20" t="n">
        <v>0.0</v>
      </c>
      <c r="AL20" t="n">
        <v>0.0</v>
      </c>
      <c r="AM20" t="n">
        <v>0.0</v>
      </c>
      <c r="AN20" t="n">
        <v>0.0</v>
      </c>
      <c r="AO20" t="n">
        <v>562912.0</v>
      </c>
      <c r="AP20" t="n">
        <v>56291.0</v>
      </c>
      <c r="AQ20" t="n">
        <v>44322.1</v>
      </c>
      <c r="CH20">
        <f>IFERROR(U20*1,0)</f>
      </c>
    </row>
    <row r="21">
      <c r="A21" t="n">
        <v>1.0</v>
      </c>
      <c r="B21">
        <f>IF((K21-G21-H21&gt;2400000),10,(L21/(K21-G21-H21)*100))</f>
      </c>
      <c r="C21">
        <f>IF(N21&gt;2400000,240000,(N21*S21)/100)</f>
      </c>
      <c r="D21">
        <f>IF(S21=0,0,IF((N21-I21)&gt;2400000,((((((N21-I21-J21)-240000))*0.1+(I21+J21)*0.1)))-7000,((((((N21-I21-J21)-(N21-I21-J21)*S21/100)))*0.1+(I21+J21)*0.1)-7000)))</f>
      </c>
      <c r="E21">
        <f>C21-O21</f>
      </c>
      <c r="F21">
        <f>D21-P21</f>
      </c>
      <c r="G21">
        <f>SUMIF(negtgel!U$2:BL$2,'Tsalin uzuulelt'!B$1,negtgel!U21:BL21) + SUMIF(negtgel!U$2:BL$2,'Tsalin uzuulelt'!B$2,negtgel!U21:BL21)+SUMIF(negtgel!U$2:BL$2,'Tsalin uzuulelt'!B$3,negtgel!U21:BL21)+SUMIF(negtgel!U$2:BL$2,'Tsalin uzuulelt'!B$4,negtgel!U21:BL21)+SUMIF(negtgel!U$2:BL$2,'Tsalin uzuulelt'!B$5,negtgel!U21:BL21)</f>
      </c>
      <c r="H21">
        <f>SUMIF(negtgel!U$2:BL$2,'Tsalin uzuulelt'!F$1,negtgel!U21:BL21) + SUMIF(negtgel!U$2:BL$2,'Tsalin uzuulelt'!F$2,negtgel!U21:BL21)+SUMIF(negtgel!U$2:BL$2,'Tsalin uzuulelt'!F$3,negtgel!U21:BL21)+SUMIF(negtgel!U$2:BL$2,'Tsalin uzuulelt'!F$4,negtgel!U21:BL21)+SUMIF(negtgel!U$2:BL$2,'Tsalin uzuulelt'!F$5,negtgel!U21:BL21)</f>
      </c>
      <c r="I21">
        <f>SUMIF(negtgel!U$2:BL$2,'Tsalin uzuulelt'!H$1,negtgel!U21:BL21) + SUMIF(negtgel!U$2:BL$2,'Tsalin uzuulelt'!H$2,negtgel!U21:BL21)+SUMIF(negtgel!U$2:BL$2,'Tsalin uzuulelt'!H$3,negtgel!U21:BL21)+SUMIF(negtgel!U$2:BL$2,'Tsalin uzuulelt'!H$4,negtgel!U21:BL21)+SUMIF(negtgel!U$2:BL$2,'Tsalin uzuulelt'!H$5,negtgel!U21:BL21)</f>
      </c>
      <c r="J21">
        <f>SUMIF(negtgel!U$2:BL$2,'Tsalin uzuulelt'!J$1,negtgel!U21:BL21) + SUMIF(negtgel!U$2:BL$2,'Tsalin uzuulelt'!J$2,negtgel!U21:BL21)+SUMIF(negtgel!U$2:BL$2,'Tsalin uzuulelt'!J$3,negtgel!U21:BL21)+SUMIF(negtgel!U$2:BL$2,'Tsalin uzuulelt'!J$4,negtgel!U21:BL21)+SUMIF(negtgel!U$2:BL$2,'Tsalin uzuulelt'!J$5,negtgel!U21:BL21)</f>
      </c>
      <c r="K21">
        <f>SUMIF(negtgel!U$2:BL$2,'Tsalin uzuulelt'!L$1,negtgel!U21:BL21) + SUMIF(negtgel!U$2:BL$2,'Tsalin uzuulelt'!L$2,negtgel!U21:BL21)+SUMIF(negtgel!U$2:BL$2,'Tsalin uzuulelt'!L$3,negtgel!U21:BL21)+SUMIF(negtgel!U$2:BL$2,'Tsalin uzuulelt'!L$4,negtgel!U21:BL21)+SUMIF(negtgel!U$2:BL$2,'Tsalin uzuulelt'!L$5,negtgel!U21:BL21)</f>
      </c>
      <c r="L21">
        <f>SUMIF(negtgel!U$2:BL$2,'Tsalin uzuulelt'!N$1,negtgel!U21:BL21) + SUMIF(negtgel!U$2:BL$2,'Tsalin uzuulelt'!N$2,negtgel!U21:BL21)+SUMIF(negtgel!U$2:BL$2,'Tsalin uzuulelt'!N$3,negtgel!U21:BL21)+SUMIF(negtgel!U$2:BL$2,'Tsalin uzuulelt'!N$4,negtgel!U21:BL21)+SUMIF(negtgel!U$2:BL$2,'Tsalin uzuulelt'!N$5,negtgel!U21:BL21)</f>
      </c>
      <c r="M21">
        <f>SUMIF(negtgel!U$2:BL$2,'Tsalin uzuulelt'!P$1,negtgel!U21:BL21) + SUMIF(negtgel!U$2:BL$2,'Tsalin uzuulelt'!P$2,negtgel!U21:BL21)+ SUMIF(negtgel!U$2:BL$2,'Tsalin uzuulelt'!P$3,negtgel!U21:BL21)+ SUMIF(negtgel!U$2:BL$2,'Tsalin uzuulelt'!P$4,negtgel!U21:BL21)+ SUMIF(negtgel!U$2:BL$2,'Tsalin uzuulelt'!P$5,negtgel!U21:BL21)</f>
      </c>
      <c r="N21">
        <f>IF(ISNUMBER(U21*1)=CF21,0,K21-H21-G21)</f>
      </c>
      <c r="O21">
        <f>IF(ISNUMBER(U21*1)=CF21,0,L21)</f>
      </c>
      <c r="P21">
        <f>IF(ISNUMBER(U21*1)=CF21,0,M21)</f>
      </c>
      <c r="Q21">
        <f>IF(N21&gt;2400000,N21,0)</f>
      </c>
      <c r="R21">
        <f>IF(L21/Q21*100&lt;3,2,10)</f>
      </c>
      <c r="S21">
        <f>IF(CH21=0,0,IF(B21&gt;9,10,IF(B21&gt;8,B21,IF(B21&gt;7.7,7.8,IF(B21&gt;3,B21,IF(B21&gt;1.5,2))))))</f>
      </c>
      <c r="T21">
        <f>IF(Q21=0,S21,R21)</f>
      </c>
      <c r="U21" t="n">
        <v>57.0</v>
      </c>
      <c r="V21" t="s">
        <v>3803</v>
      </c>
      <c r="W21" t="s">
        <v>3790</v>
      </c>
      <c r="X21" t="n">
        <v>733863.0</v>
      </c>
      <c r="Y21" t="n">
        <v>733863.0</v>
      </c>
      <c r="Z21" t="n">
        <v>146773.0</v>
      </c>
      <c r="AA21" t="n">
        <v>146773.0</v>
      </c>
      <c r="AB21" t="n">
        <v>0.0</v>
      </c>
      <c r="AC21" t="n">
        <v>110079.0</v>
      </c>
      <c r="AD21" t="n">
        <v>0.0</v>
      </c>
      <c r="AE21" t="n">
        <v>0.0</v>
      </c>
      <c r="AF21" t="n">
        <v>66000.0</v>
      </c>
      <c r="AG21" t="n">
        <v>0.0</v>
      </c>
      <c r="AH21" t="n">
        <v>0.0</v>
      </c>
      <c r="AI21" t="n">
        <v>0.0</v>
      </c>
      <c r="AJ21" t="n">
        <v>0.0</v>
      </c>
      <c r="AK21" t="n">
        <v>0.0</v>
      </c>
      <c r="AL21" t="n">
        <v>0.0</v>
      </c>
      <c r="AM21" t="n">
        <v>0.0</v>
      </c>
      <c r="AN21" t="n">
        <v>0.0</v>
      </c>
      <c r="AO21" t="n">
        <v>1203488.0</v>
      </c>
      <c r="AP21" t="n">
        <v>120349.0</v>
      </c>
      <c r="AQ21" t="n">
        <v>101973.9</v>
      </c>
      <c r="CH21">
        <f>IFERROR(U21*1,0)</f>
      </c>
    </row>
    <row r="22">
      <c r="A22" t="n">
        <v>1.0</v>
      </c>
      <c r="B22">
        <f>IF((K22-G22-H22&gt;2400000),10,(L22/(K22-G22-H22)*100))</f>
      </c>
      <c r="C22">
        <f>IF(N22&gt;2400000,240000,(N22*S22)/100)</f>
      </c>
      <c r="D22">
        <f>IF(S22=0,0,IF((N22-I22)&gt;2400000,((((((N22-I22-J22)-240000))*0.1+(I22+J22)*0.1)))-7000,((((((N22-I22-J22)-(N22-I22-J22)*S22/100)))*0.1+(I22+J22)*0.1)-7000)))</f>
      </c>
      <c r="E22">
        <f>C22-O22</f>
      </c>
      <c r="F22">
        <f>D22-P22</f>
      </c>
      <c r="G22">
        <f>SUMIF(negtgel!U$2:BL$2,'Tsalin uzuulelt'!B$1,negtgel!U22:BL22) + SUMIF(negtgel!U$2:BL$2,'Tsalin uzuulelt'!B$2,negtgel!U22:BL22)+SUMIF(negtgel!U$2:BL$2,'Tsalin uzuulelt'!B$3,negtgel!U22:BL22)+SUMIF(negtgel!U$2:BL$2,'Tsalin uzuulelt'!B$4,negtgel!U22:BL22)+SUMIF(negtgel!U$2:BL$2,'Tsalin uzuulelt'!B$5,negtgel!U22:BL22)</f>
      </c>
      <c r="H22">
        <f>SUMIF(negtgel!U$2:BL$2,'Tsalin uzuulelt'!F$1,negtgel!U22:BL22) + SUMIF(negtgel!U$2:BL$2,'Tsalin uzuulelt'!F$2,negtgel!U22:BL22)+SUMIF(negtgel!U$2:BL$2,'Tsalin uzuulelt'!F$3,negtgel!U22:BL22)+SUMIF(negtgel!U$2:BL$2,'Tsalin uzuulelt'!F$4,negtgel!U22:BL22)+SUMIF(negtgel!U$2:BL$2,'Tsalin uzuulelt'!F$5,negtgel!U22:BL22)</f>
      </c>
      <c r="I22">
        <f>SUMIF(negtgel!U$2:BL$2,'Tsalin uzuulelt'!H$1,negtgel!U22:BL22) + SUMIF(negtgel!U$2:BL$2,'Tsalin uzuulelt'!H$2,negtgel!U22:BL22)+SUMIF(negtgel!U$2:BL$2,'Tsalin uzuulelt'!H$3,negtgel!U22:BL22)+SUMIF(negtgel!U$2:BL$2,'Tsalin uzuulelt'!H$4,negtgel!U22:BL22)+SUMIF(negtgel!U$2:BL$2,'Tsalin uzuulelt'!H$5,negtgel!U22:BL22)</f>
      </c>
      <c r="J22">
        <f>SUMIF(negtgel!U$2:BL$2,'Tsalin uzuulelt'!J$1,negtgel!U22:BL22) + SUMIF(negtgel!U$2:BL$2,'Tsalin uzuulelt'!J$2,negtgel!U22:BL22)+SUMIF(negtgel!U$2:BL$2,'Tsalin uzuulelt'!J$3,negtgel!U22:BL22)+SUMIF(negtgel!U$2:BL$2,'Tsalin uzuulelt'!J$4,negtgel!U22:BL22)+SUMIF(negtgel!U$2:BL$2,'Tsalin uzuulelt'!J$5,negtgel!U22:BL22)</f>
      </c>
      <c r="K22">
        <f>SUMIF(negtgel!U$2:BL$2,'Tsalin uzuulelt'!L$1,negtgel!U22:BL22) + SUMIF(negtgel!U$2:BL$2,'Tsalin uzuulelt'!L$2,negtgel!U22:BL22)+SUMIF(negtgel!U$2:BL$2,'Tsalin uzuulelt'!L$3,negtgel!U22:BL22)+SUMIF(negtgel!U$2:BL$2,'Tsalin uzuulelt'!L$4,negtgel!U22:BL22)+SUMIF(negtgel!U$2:BL$2,'Tsalin uzuulelt'!L$5,negtgel!U22:BL22)</f>
      </c>
      <c r="L22">
        <f>SUMIF(negtgel!U$2:BL$2,'Tsalin uzuulelt'!N$1,negtgel!U22:BL22) + SUMIF(negtgel!U$2:BL$2,'Tsalin uzuulelt'!N$2,negtgel!U22:BL22)+SUMIF(negtgel!U$2:BL$2,'Tsalin uzuulelt'!N$3,negtgel!U22:BL22)+SUMIF(negtgel!U$2:BL$2,'Tsalin uzuulelt'!N$4,negtgel!U22:BL22)+SUMIF(negtgel!U$2:BL$2,'Tsalin uzuulelt'!N$5,negtgel!U22:BL22)</f>
      </c>
      <c r="M22">
        <f>SUMIF(negtgel!U$2:BL$2,'Tsalin uzuulelt'!P$1,negtgel!U22:BL22) + SUMIF(negtgel!U$2:BL$2,'Tsalin uzuulelt'!P$2,negtgel!U22:BL22)+ SUMIF(negtgel!U$2:BL$2,'Tsalin uzuulelt'!P$3,negtgel!U22:BL22)+ SUMIF(negtgel!U$2:BL$2,'Tsalin uzuulelt'!P$4,negtgel!U22:BL22)+ SUMIF(negtgel!U$2:BL$2,'Tsalin uzuulelt'!P$5,negtgel!U22:BL22)</f>
      </c>
      <c r="N22">
        <f>IF(ISNUMBER(U22*1)=CF22,0,K22-H22-G22)</f>
      </c>
      <c r="O22">
        <f>IF(ISNUMBER(U22*1)=CF22,0,L22)</f>
      </c>
      <c r="P22">
        <f>IF(ISNUMBER(U22*1)=CF22,0,M22)</f>
      </c>
      <c r="Q22">
        <f>IF(N22&gt;2400000,N22,0)</f>
      </c>
      <c r="R22">
        <f>IF(L22/Q22*100&lt;3,2,10)</f>
      </c>
      <c r="S22">
        <f>IF(CH22=0,0,IF(B22&gt;9,10,IF(B22&gt;8,B22,IF(B22&gt;7.7,7.8,IF(B22&gt;3,B22,IF(B22&gt;1.5,2))))))</f>
      </c>
      <c r="T22">
        <f>IF(Q22=0,S22,R22)</f>
      </c>
      <c r="U22" t="s">
        <v>3787</v>
      </c>
      <c r="V22"/>
      <c r="W22"/>
      <c r="X22" t="n">
        <v>6667438.0</v>
      </c>
      <c r="Y22" t="n">
        <v>6165345.0</v>
      </c>
      <c r="Z22" t="n">
        <v>534636.0</v>
      </c>
      <c r="AA22" t="n">
        <v>760708.0</v>
      </c>
      <c r="AB22" t="n">
        <v>0.0</v>
      </c>
      <c r="AC22" t="n">
        <v>211694.0</v>
      </c>
      <c r="AD22" t="n">
        <v>0.0</v>
      </c>
      <c r="AE22" t="n">
        <v>0.0</v>
      </c>
      <c r="AF22" t="n">
        <v>672000.0</v>
      </c>
      <c r="AG22" t="n">
        <v>0.0</v>
      </c>
      <c r="AH22" t="n">
        <v>0.0</v>
      </c>
      <c r="AI22" t="n">
        <v>0.0</v>
      </c>
      <c r="AJ22" t="n">
        <v>0.0</v>
      </c>
      <c r="AK22" t="n">
        <v>0.0</v>
      </c>
      <c r="AL22" t="n">
        <v>0.0</v>
      </c>
      <c r="AM22" t="n">
        <v>0.0</v>
      </c>
      <c r="AN22" t="n">
        <v>0.0</v>
      </c>
      <c r="AO22" t="n">
        <v>8344383.0</v>
      </c>
      <c r="AP22" t="n">
        <v>834440.0</v>
      </c>
      <c r="AQ22" t="n">
        <v>680714.6</v>
      </c>
      <c r="CH22">
        <f>IFERROR(U22*1,0)</f>
      </c>
    </row>
    <row r="23">
      <c r="A23" t="n">
        <v>1.0</v>
      </c>
      <c r="B23">
        <f>IF((K23-G23-H23&gt;2400000),10,(L23/(K23-G23-H23)*100))</f>
      </c>
      <c r="C23">
        <f>IF(N23&gt;2400000,240000,(N23*S23)/100)</f>
      </c>
      <c r="D23">
        <f>IF(S23=0,0,IF((N23-I23)&gt;2400000,((((((N23-I23-J23)-240000))*0.1+(I23+J23)*0.1)))-7000,((((((N23-I23-J23)-(N23-I23-J23)*S23/100)))*0.1+(I23+J23)*0.1)-7000)))</f>
      </c>
      <c r="E23">
        <f>C23-O23</f>
      </c>
      <c r="F23">
        <f>D23-P23</f>
      </c>
      <c r="G23">
        <f>SUMIF(negtgel!U$2:BL$2,'Tsalin uzuulelt'!B$1,negtgel!U23:BL23) + SUMIF(negtgel!U$2:BL$2,'Tsalin uzuulelt'!B$2,negtgel!U23:BL23)+SUMIF(negtgel!U$2:BL$2,'Tsalin uzuulelt'!B$3,negtgel!U23:BL23)+SUMIF(negtgel!U$2:BL$2,'Tsalin uzuulelt'!B$4,negtgel!U23:BL23)+SUMIF(negtgel!U$2:BL$2,'Tsalin uzuulelt'!B$5,negtgel!U23:BL23)</f>
      </c>
      <c r="H23">
        <f>SUMIF(negtgel!U$2:BL$2,'Tsalin uzuulelt'!F$1,negtgel!U23:BL23) + SUMIF(negtgel!U$2:BL$2,'Tsalin uzuulelt'!F$2,negtgel!U23:BL23)+SUMIF(negtgel!U$2:BL$2,'Tsalin uzuulelt'!F$3,negtgel!U23:BL23)+SUMIF(negtgel!U$2:BL$2,'Tsalin uzuulelt'!F$4,negtgel!U23:BL23)+SUMIF(negtgel!U$2:BL$2,'Tsalin uzuulelt'!F$5,negtgel!U23:BL23)</f>
      </c>
      <c r="I23">
        <f>SUMIF(negtgel!U$2:BL$2,'Tsalin uzuulelt'!H$1,negtgel!U23:BL23) + SUMIF(negtgel!U$2:BL$2,'Tsalin uzuulelt'!H$2,negtgel!U23:BL23)+SUMIF(negtgel!U$2:BL$2,'Tsalin uzuulelt'!H$3,negtgel!U23:BL23)+SUMIF(negtgel!U$2:BL$2,'Tsalin uzuulelt'!H$4,negtgel!U23:BL23)+SUMIF(negtgel!U$2:BL$2,'Tsalin uzuulelt'!H$5,negtgel!U23:BL23)</f>
      </c>
      <c r="J23">
        <f>SUMIF(negtgel!U$2:BL$2,'Tsalin uzuulelt'!J$1,negtgel!U23:BL23) + SUMIF(negtgel!U$2:BL$2,'Tsalin uzuulelt'!J$2,negtgel!U23:BL23)+SUMIF(negtgel!U$2:BL$2,'Tsalin uzuulelt'!J$3,negtgel!U23:BL23)+SUMIF(negtgel!U$2:BL$2,'Tsalin uzuulelt'!J$4,negtgel!U23:BL23)+SUMIF(negtgel!U$2:BL$2,'Tsalin uzuulelt'!J$5,negtgel!U23:BL23)</f>
      </c>
      <c r="K23">
        <f>SUMIF(negtgel!U$2:BL$2,'Tsalin uzuulelt'!L$1,negtgel!U23:BL23) + SUMIF(negtgel!U$2:BL$2,'Tsalin uzuulelt'!L$2,negtgel!U23:BL23)+SUMIF(negtgel!U$2:BL$2,'Tsalin uzuulelt'!L$3,negtgel!U23:BL23)+SUMIF(negtgel!U$2:BL$2,'Tsalin uzuulelt'!L$4,negtgel!U23:BL23)+SUMIF(negtgel!U$2:BL$2,'Tsalin uzuulelt'!L$5,negtgel!U23:BL23)</f>
      </c>
      <c r="L23">
        <f>SUMIF(negtgel!U$2:BL$2,'Tsalin uzuulelt'!N$1,negtgel!U23:BL23) + SUMIF(negtgel!U$2:BL$2,'Tsalin uzuulelt'!N$2,negtgel!U23:BL23)+SUMIF(negtgel!U$2:BL$2,'Tsalin uzuulelt'!N$3,negtgel!U23:BL23)+SUMIF(negtgel!U$2:BL$2,'Tsalin uzuulelt'!N$4,negtgel!U23:BL23)+SUMIF(negtgel!U$2:BL$2,'Tsalin uzuulelt'!N$5,negtgel!U23:BL23)</f>
      </c>
      <c r="M23">
        <f>SUMIF(negtgel!U$2:BL$2,'Tsalin uzuulelt'!P$1,negtgel!U23:BL23) + SUMIF(negtgel!U$2:BL$2,'Tsalin uzuulelt'!P$2,negtgel!U23:BL23)+ SUMIF(negtgel!U$2:BL$2,'Tsalin uzuulelt'!P$3,negtgel!U23:BL23)+ SUMIF(negtgel!U$2:BL$2,'Tsalin uzuulelt'!P$4,negtgel!U23:BL23)+ SUMIF(negtgel!U$2:BL$2,'Tsalin uzuulelt'!P$5,negtgel!U23:BL23)</f>
      </c>
      <c r="N23">
        <f>IF(ISNUMBER(U23*1)=CF23,0,K23-H23-G23)</f>
      </c>
      <c r="O23">
        <f>IF(ISNUMBER(U23*1)=CF23,0,L23)</f>
      </c>
      <c r="P23">
        <f>IF(ISNUMBER(U23*1)=CF23,0,M23)</f>
      </c>
      <c r="Q23">
        <f>IF(N23&gt;2400000,N23,0)</f>
      </c>
      <c r="R23">
        <f>IF(L23/Q23*100&lt;3,2,10)</f>
      </c>
      <c r="S23">
        <f>IF(CH23=0,0,IF(B23&gt;9,10,IF(B23&gt;8,B23,IF(B23&gt;7.7,7.8,IF(B23&gt;3,B23,IF(B23&gt;1.5,2))))))</f>
      </c>
      <c r="T23">
        <f>IF(Q23=0,S23,R23)</f>
      </c>
      <c r="U23" t="s">
        <v>3804</v>
      </c>
      <c r="V23"/>
      <c r="W23"/>
      <c r="X23"/>
      <c r="Y23"/>
      <c r="Z23"/>
      <c r="AA23"/>
      <c r="AB23"/>
      <c r="AC23"/>
      <c r="AD23"/>
      <c r="AE23"/>
      <c r="AF23"/>
      <c r="AG23"/>
      <c r="AH23"/>
      <c r="AI23"/>
      <c r="AJ23"/>
      <c r="AK23"/>
      <c r="AL23"/>
      <c r="AM23"/>
      <c r="AN23"/>
      <c r="AO23"/>
      <c r="AP23"/>
      <c r="AQ23"/>
      <c r="CH23">
        <f>IFERROR(U23*1,0)</f>
      </c>
    </row>
    <row r="24">
      <c r="A24" t="n">
        <v>1.0</v>
      </c>
      <c r="B24">
        <f>IF((K24-G24-H24&gt;2400000),10,(L24/(K24-G24-H24)*100))</f>
      </c>
      <c r="C24">
        <f>IF(N24&gt;2400000,240000,(N24*S24)/100)</f>
      </c>
      <c r="D24">
        <f>IF(S24=0,0,IF((N24-I24)&gt;2400000,((((((N24-I24-J24)-240000))*0.1+(I24+J24)*0.1)))-7000,((((((N24-I24-J24)-(N24-I24-J24)*S24/100)))*0.1+(I24+J24)*0.1)-7000)))</f>
      </c>
      <c r="E24">
        <f>C24-O24</f>
      </c>
      <c r="F24">
        <f>D24-P24</f>
      </c>
      <c r="G24">
        <f>SUMIF(negtgel!U$2:BL$2,'Tsalin uzuulelt'!B$1,negtgel!U24:BL24) + SUMIF(negtgel!U$2:BL$2,'Tsalin uzuulelt'!B$2,negtgel!U24:BL24)+SUMIF(negtgel!U$2:BL$2,'Tsalin uzuulelt'!B$3,negtgel!U24:BL24)+SUMIF(negtgel!U$2:BL$2,'Tsalin uzuulelt'!B$4,negtgel!U24:BL24)+SUMIF(negtgel!U$2:BL$2,'Tsalin uzuulelt'!B$5,negtgel!U24:BL24)</f>
      </c>
      <c r="H24">
        <f>SUMIF(negtgel!U$2:BL$2,'Tsalin uzuulelt'!F$1,negtgel!U24:BL24) + SUMIF(negtgel!U$2:BL$2,'Tsalin uzuulelt'!F$2,negtgel!U24:BL24)+SUMIF(negtgel!U$2:BL$2,'Tsalin uzuulelt'!F$3,negtgel!U24:BL24)+SUMIF(negtgel!U$2:BL$2,'Tsalin uzuulelt'!F$4,negtgel!U24:BL24)+SUMIF(negtgel!U$2:BL$2,'Tsalin uzuulelt'!F$5,negtgel!U24:BL24)</f>
      </c>
      <c r="I24">
        <f>SUMIF(negtgel!U$2:BL$2,'Tsalin uzuulelt'!H$1,negtgel!U24:BL24) + SUMIF(negtgel!U$2:BL$2,'Tsalin uzuulelt'!H$2,negtgel!U24:BL24)+SUMIF(negtgel!U$2:BL$2,'Tsalin uzuulelt'!H$3,negtgel!U24:BL24)+SUMIF(negtgel!U$2:BL$2,'Tsalin uzuulelt'!H$4,negtgel!U24:BL24)+SUMIF(negtgel!U$2:BL$2,'Tsalin uzuulelt'!H$5,negtgel!U24:BL24)</f>
      </c>
      <c r="J24">
        <f>SUMIF(negtgel!U$2:BL$2,'Tsalin uzuulelt'!J$1,negtgel!U24:BL24) + SUMIF(negtgel!U$2:BL$2,'Tsalin uzuulelt'!J$2,negtgel!U24:BL24)+SUMIF(negtgel!U$2:BL$2,'Tsalin uzuulelt'!J$3,negtgel!U24:BL24)+SUMIF(negtgel!U$2:BL$2,'Tsalin uzuulelt'!J$4,negtgel!U24:BL24)+SUMIF(negtgel!U$2:BL$2,'Tsalin uzuulelt'!J$5,negtgel!U24:BL24)</f>
      </c>
      <c r="K24">
        <f>SUMIF(negtgel!U$2:BL$2,'Tsalin uzuulelt'!L$1,negtgel!U24:BL24) + SUMIF(negtgel!U$2:BL$2,'Tsalin uzuulelt'!L$2,negtgel!U24:BL24)+SUMIF(negtgel!U$2:BL$2,'Tsalin uzuulelt'!L$3,negtgel!U24:BL24)+SUMIF(negtgel!U$2:BL$2,'Tsalin uzuulelt'!L$4,negtgel!U24:BL24)+SUMIF(negtgel!U$2:BL$2,'Tsalin uzuulelt'!L$5,negtgel!U24:BL24)</f>
      </c>
      <c r="L24">
        <f>SUMIF(negtgel!U$2:BL$2,'Tsalin uzuulelt'!N$1,negtgel!U24:BL24) + SUMIF(negtgel!U$2:BL$2,'Tsalin uzuulelt'!N$2,negtgel!U24:BL24)+SUMIF(negtgel!U$2:BL$2,'Tsalin uzuulelt'!N$3,negtgel!U24:BL24)+SUMIF(negtgel!U$2:BL$2,'Tsalin uzuulelt'!N$4,negtgel!U24:BL24)+SUMIF(negtgel!U$2:BL$2,'Tsalin uzuulelt'!N$5,negtgel!U24:BL24)</f>
      </c>
      <c r="M24">
        <f>SUMIF(negtgel!U$2:BL$2,'Tsalin uzuulelt'!P$1,negtgel!U24:BL24) + SUMIF(negtgel!U$2:BL$2,'Tsalin uzuulelt'!P$2,negtgel!U24:BL24)+ SUMIF(negtgel!U$2:BL$2,'Tsalin uzuulelt'!P$3,negtgel!U24:BL24)+ SUMIF(negtgel!U$2:BL$2,'Tsalin uzuulelt'!P$4,negtgel!U24:BL24)+ SUMIF(negtgel!U$2:BL$2,'Tsalin uzuulelt'!P$5,negtgel!U24:BL24)</f>
      </c>
      <c r="N24">
        <f>IF(ISNUMBER(U24*1)=CF24,0,K24-H24-G24)</f>
      </c>
      <c r="O24">
        <f>IF(ISNUMBER(U24*1)=CF24,0,L24)</f>
      </c>
      <c r="P24">
        <f>IF(ISNUMBER(U24*1)=CF24,0,M24)</f>
      </c>
      <c r="Q24">
        <f>IF(N24&gt;2400000,N24,0)</f>
      </c>
      <c r="R24">
        <f>IF(L24/Q24*100&lt;3,2,10)</f>
      </c>
      <c r="S24">
        <f>IF(CH24=0,0,IF(B24&gt;9,10,IF(B24&gt;8,B24,IF(B24&gt;7.7,7.8,IF(B24&gt;3,B24,IF(B24&gt;1.5,2))))))</f>
      </c>
      <c r="T24">
        <f>IF(Q24=0,S24,R24)</f>
      </c>
      <c r="U24" t="n">
        <v>58.0</v>
      </c>
      <c r="V24" t="s">
        <v>3805</v>
      </c>
      <c r="W24" t="s">
        <v>3790</v>
      </c>
      <c r="X24" t="n">
        <v>613669.0</v>
      </c>
      <c r="Y24" t="n">
        <v>613669.0</v>
      </c>
      <c r="Z24" t="n">
        <v>61367.0</v>
      </c>
      <c r="AA24" t="n">
        <v>92050.0</v>
      </c>
      <c r="AB24" t="n">
        <v>0.0</v>
      </c>
      <c r="AC24" t="n">
        <v>0.0</v>
      </c>
      <c r="AD24" t="n">
        <v>0.0</v>
      </c>
      <c r="AE24" t="n">
        <v>0.0</v>
      </c>
      <c r="AF24" t="n">
        <v>66000.0</v>
      </c>
      <c r="AG24" t="n">
        <v>0.0</v>
      </c>
      <c r="AH24" t="n">
        <v>0.0</v>
      </c>
      <c r="AI24" t="n">
        <v>0.0</v>
      </c>
      <c r="AJ24" t="n">
        <v>0.0</v>
      </c>
      <c r="AK24" t="n">
        <v>0.0</v>
      </c>
      <c r="AL24" t="n">
        <v>158374.0</v>
      </c>
      <c r="AM24" t="n">
        <v>0.0</v>
      </c>
      <c r="AN24" t="n">
        <v>0.0</v>
      </c>
      <c r="AO24" t="n">
        <v>991460.0</v>
      </c>
      <c r="AP24" t="n">
        <v>83309.0</v>
      </c>
      <c r="AQ24" t="n">
        <v>68637.7</v>
      </c>
      <c r="CH24">
        <f>IFERROR(U24*1,0)</f>
      </c>
    </row>
    <row r="25">
      <c r="A25" t="n">
        <v>1.0</v>
      </c>
      <c r="B25">
        <f>IF((K25-G25-H25&gt;2400000),10,(L25/(K25-G25-H25)*100))</f>
      </c>
      <c r="C25">
        <f>IF(N25&gt;2400000,240000,(N25*S25)/100)</f>
      </c>
      <c r="D25">
        <f>IF(S25=0,0,IF((N25-I25)&gt;2400000,((((((N25-I25-J25)-240000))*0.1+(I25+J25)*0.1)))-7000,((((((N25-I25-J25)-(N25-I25-J25)*S25/100)))*0.1+(I25+J25)*0.1)-7000)))</f>
      </c>
      <c r="E25">
        <f>C25-O25</f>
      </c>
      <c r="F25">
        <f>D25-P25</f>
      </c>
      <c r="G25">
        <f>SUMIF(negtgel!U$2:BL$2,'Tsalin uzuulelt'!B$1,negtgel!U25:BL25) + SUMIF(negtgel!U$2:BL$2,'Tsalin uzuulelt'!B$2,negtgel!U25:BL25)+SUMIF(negtgel!U$2:BL$2,'Tsalin uzuulelt'!B$3,negtgel!U25:BL25)+SUMIF(negtgel!U$2:BL$2,'Tsalin uzuulelt'!B$4,negtgel!U25:BL25)+SUMIF(negtgel!U$2:BL$2,'Tsalin uzuulelt'!B$5,negtgel!U25:BL25)</f>
      </c>
      <c r="H25">
        <f>SUMIF(negtgel!U$2:BL$2,'Tsalin uzuulelt'!F$1,negtgel!U25:BL25) + SUMIF(negtgel!U$2:BL$2,'Tsalin uzuulelt'!F$2,negtgel!U25:BL25)+SUMIF(negtgel!U$2:BL$2,'Tsalin uzuulelt'!F$3,negtgel!U25:BL25)+SUMIF(negtgel!U$2:BL$2,'Tsalin uzuulelt'!F$4,negtgel!U25:BL25)+SUMIF(negtgel!U$2:BL$2,'Tsalin uzuulelt'!F$5,negtgel!U25:BL25)</f>
      </c>
      <c r="I25">
        <f>SUMIF(negtgel!U$2:BL$2,'Tsalin uzuulelt'!H$1,negtgel!U25:BL25) + SUMIF(negtgel!U$2:BL$2,'Tsalin uzuulelt'!H$2,negtgel!U25:BL25)+SUMIF(negtgel!U$2:BL$2,'Tsalin uzuulelt'!H$3,negtgel!U25:BL25)+SUMIF(negtgel!U$2:BL$2,'Tsalin uzuulelt'!H$4,negtgel!U25:BL25)+SUMIF(negtgel!U$2:BL$2,'Tsalin uzuulelt'!H$5,negtgel!U25:BL25)</f>
      </c>
      <c r="J25">
        <f>SUMIF(negtgel!U$2:BL$2,'Tsalin uzuulelt'!J$1,negtgel!U25:BL25) + SUMIF(negtgel!U$2:BL$2,'Tsalin uzuulelt'!J$2,negtgel!U25:BL25)+SUMIF(negtgel!U$2:BL$2,'Tsalin uzuulelt'!J$3,negtgel!U25:BL25)+SUMIF(negtgel!U$2:BL$2,'Tsalin uzuulelt'!J$4,negtgel!U25:BL25)+SUMIF(negtgel!U$2:BL$2,'Tsalin uzuulelt'!J$5,negtgel!U25:BL25)</f>
      </c>
      <c r="K25">
        <f>SUMIF(negtgel!U$2:BL$2,'Tsalin uzuulelt'!L$1,negtgel!U25:BL25) + SUMIF(negtgel!U$2:BL$2,'Tsalin uzuulelt'!L$2,negtgel!U25:BL25)+SUMIF(negtgel!U$2:BL$2,'Tsalin uzuulelt'!L$3,negtgel!U25:BL25)+SUMIF(negtgel!U$2:BL$2,'Tsalin uzuulelt'!L$4,negtgel!U25:BL25)+SUMIF(negtgel!U$2:BL$2,'Tsalin uzuulelt'!L$5,negtgel!U25:BL25)</f>
      </c>
      <c r="L25">
        <f>SUMIF(negtgel!U$2:BL$2,'Tsalin uzuulelt'!N$1,negtgel!U25:BL25) + SUMIF(negtgel!U$2:BL$2,'Tsalin uzuulelt'!N$2,negtgel!U25:BL25)+SUMIF(negtgel!U$2:BL$2,'Tsalin uzuulelt'!N$3,negtgel!U25:BL25)+SUMIF(negtgel!U$2:BL$2,'Tsalin uzuulelt'!N$4,negtgel!U25:BL25)+SUMIF(negtgel!U$2:BL$2,'Tsalin uzuulelt'!N$5,negtgel!U25:BL25)</f>
      </c>
      <c r="M25">
        <f>SUMIF(negtgel!U$2:BL$2,'Tsalin uzuulelt'!P$1,negtgel!U25:BL25) + SUMIF(negtgel!U$2:BL$2,'Tsalin uzuulelt'!P$2,negtgel!U25:BL25)+ SUMIF(negtgel!U$2:BL$2,'Tsalin uzuulelt'!P$3,negtgel!U25:BL25)+ SUMIF(negtgel!U$2:BL$2,'Tsalin uzuulelt'!P$4,negtgel!U25:BL25)+ SUMIF(negtgel!U$2:BL$2,'Tsalin uzuulelt'!P$5,negtgel!U25:BL25)</f>
      </c>
      <c r="N25">
        <f>IF(ISNUMBER(U25*1)=CF25,0,K25-H25-G25)</f>
      </c>
      <c r="O25">
        <f>IF(ISNUMBER(U25*1)=CF25,0,L25)</f>
      </c>
      <c r="P25">
        <f>IF(ISNUMBER(U25*1)=CF25,0,M25)</f>
      </c>
      <c r="Q25">
        <f>IF(N25&gt;2400000,N25,0)</f>
      </c>
      <c r="R25">
        <f>IF(L25/Q25*100&lt;3,2,10)</f>
      </c>
      <c r="S25">
        <f>IF(CH25=0,0,IF(B25&gt;9,10,IF(B25&gt;8,B25,IF(B25&gt;7.7,7.8,IF(B25&gt;3,B25,IF(B25&gt;1.5,2))))))</f>
      </c>
      <c r="T25">
        <f>IF(Q25=0,S25,R25)</f>
      </c>
      <c r="U25" t="n">
        <v>59.0</v>
      </c>
      <c r="V25" t="s">
        <v>3806</v>
      </c>
      <c r="W25" t="s">
        <v>3790</v>
      </c>
      <c r="X25" t="n">
        <v>580710.0</v>
      </c>
      <c r="Y25" t="n">
        <v>52792.0</v>
      </c>
      <c r="Z25" t="n">
        <v>2640.0</v>
      </c>
      <c r="AA25" t="n">
        <v>7919.0</v>
      </c>
      <c r="AB25" t="n">
        <v>0.0</v>
      </c>
      <c r="AC25" t="n">
        <v>0.0</v>
      </c>
      <c r="AD25" t="n">
        <v>0.0</v>
      </c>
      <c r="AE25" t="n">
        <v>0.0</v>
      </c>
      <c r="AF25" t="n">
        <v>6000.0</v>
      </c>
      <c r="AG25" t="n">
        <v>0.0</v>
      </c>
      <c r="AH25" t="n">
        <v>0.0</v>
      </c>
      <c r="AI25" t="n">
        <v>0.0</v>
      </c>
      <c r="AJ25" t="n">
        <v>0.0</v>
      </c>
      <c r="AK25" t="n">
        <v>0.0</v>
      </c>
      <c r="AL25" t="n">
        <v>0.0</v>
      </c>
      <c r="AM25" t="n">
        <v>0.0</v>
      </c>
      <c r="AN25" t="n">
        <v>0.0</v>
      </c>
      <c r="AO25" t="n">
        <v>69351.0</v>
      </c>
      <c r="AP25" t="n">
        <v>6936.0</v>
      </c>
      <c r="AQ25" t="n">
        <v>0.0</v>
      </c>
      <c r="CH25">
        <f>IFERROR(U25*1,0)</f>
      </c>
    </row>
    <row r="26">
      <c r="A26" t="n">
        <v>1.0</v>
      </c>
      <c r="B26">
        <f>IF((K26-G26-H26&gt;2400000),10,(L26/(K26-G26-H26)*100))</f>
      </c>
      <c r="C26">
        <f>IF(N26&gt;2400000,240000,(N26*S26)/100)</f>
      </c>
      <c r="D26">
        <f>IF(S26=0,0,IF((N26-I26)&gt;2400000,((((((N26-I26-J26)-240000))*0.1+(I26+J26)*0.1)))-7000,((((((N26-I26-J26)-(N26-I26-J26)*S26/100)))*0.1+(I26+J26)*0.1)-7000)))</f>
      </c>
      <c r="E26">
        <f>C26-O26</f>
      </c>
      <c r="F26">
        <f>D26-P26</f>
      </c>
      <c r="G26">
        <f>SUMIF(negtgel!U$2:BL$2,'Tsalin uzuulelt'!B$1,negtgel!U26:BL26) + SUMIF(negtgel!U$2:BL$2,'Tsalin uzuulelt'!B$2,negtgel!U26:BL26)+SUMIF(negtgel!U$2:BL$2,'Tsalin uzuulelt'!B$3,negtgel!U26:BL26)+SUMIF(negtgel!U$2:BL$2,'Tsalin uzuulelt'!B$4,negtgel!U26:BL26)+SUMIF(negtgel!U$2:BL$2,'Tsalin uzuulelt'!B$5,negtgel!U26:BL26)</f>
      </c>
      <c r="H26">
        <f>SUMIF(negtgel!U$2:BL$2,'Tsalin uzuulelt'!F$1,negtgel!U26:BL26) + SUMIF(negtgel!U$2:BL$2,'Tsalin uzuulelt'!F$2,negtgel!U26:BL26)+SUMIF(negtgel!U$2:BL$2,'Tsalin uzuulelt'!F$3,negtgel!U26:BL26)+SUMIF(negtgel!U$2:BL$2,'Tsalin uzuulelt'!F$4,negtgel!U26:BL26)+SUMIF(negtgel!U$2:BL$2,'Tsalin uzuulelt'!F$5,negtgel!U26:BL26)</f>
      </c>
      <c r="I26">
        <f>SUMIF(negtgel!U$2:BL$2,'Tsalin uzuulelt'!H$1,negtgel!U26:BL26) + SUMIF(negtgel!U$2:BL$2,'Tsalin uzuulelt'!H$2,negtgel!U26:BL26)+SUMIF(negtgel!U$2:BL$2,'Tsalin uzuulelt'!H$3,negtgel!U26:BL26)+SUMIF(negtgel!U$2:BL$2,'Tsalin uzuulelt'!H$4,negtgel!U26:BL26)+SUMIF(negtgel!U$2:BL$2,'Tsalin uzuulelt'!H$5,negtgel!U26:BL26)</f>
      </c>
      <c r="J26">
        <f>SUMIF(negtgel!U$2:BL$2,'Tsalin uzuulelt'!J$1,negtgel!U26:BL26) + SUMIF(negtgel!U$2:BL$2,'Tsalin uzuulelt'!J$2,negtgel!U26:BL26)+SUMIF(negtgel!U$2:BL$2,'Tsalin uzuulelt'!J$3,negtgel!U26:BL26)+SUMIF(negtgel!U$2:BL$2,'Tsalin uzuulelt'!J$4,negtgel!U26:BL26)+SUMIF(negtgel!U$2:BL$2,'Tsalin uzuulelt'!J$5,negtgel!U26:BL26)</f>
      </c>
      <c r="K26">
        <f>SUMIF(negtgel!U$2:BL$2,'Tsalin uzuulelt'!L$1,negtgel!U26:BL26) + SUMIF(negtgel!U$2:BL$2,'Tsalin uzuulelt'!L$2,negtgel!U26:BL26)+SUMIF(negtgel!U$2:BL$2,'Tsalin uzuulelt'!L$3,negtgel!U26:BL26)+SUMIF(negtgel!U$2:BL$2,'Tsalin uzuulelt'!L$4,negtgel!U26:BL26)+SUMIF(negtgel!U$2:BL$2,'Tsalin uzuulelt'!L$5,negtgel!U26:BL26)</f>
      </c>
      <c r="L26">
        <f>SUMIF(negtgel!U$2:BL$2,'Tsalin uzuulelt'!N$1,negtgel!U26:BL26) + SUMIF(negtgel!U$2:BL$2,'Tsalin uzuulelt'!N$2,negtgel!U26:BL26)+SUMIF(negtgel!U$2:BL$2,'Tsalin uzuulelt'!N$3,negtgel!U26:BL26)+SUMIF(negtgel!U$2:BL$2,'Tsalin uzuulelt'!N$4,negtgel!U26:BL26)+SUMIF(negtgel!U$2:BL$2,'Tsalin uzuulelt'!N$5,negtgel!U26:BL26)</f>
      </c>
      <c r="M26">
        <f>SUMIF(negtgel!U$2:BL$2,'Tsalin uzuulelt'!P$1,negtgel!U26:BL26) + SUMIF(negtgel!U$2:BL$2,'Tsalin uzuulelt'!P$2,negtgel!U26:BL26)+ SUMIF(negtgel!U$2:BL$2,'Tsalin uzuulelt'!P$3,negtgel!U26:BL26)+ SUMIF(negtgel!U$2:BL$2,'Tsalin uzuulelt'!P$4,negtgel!U26:BL26)+ SUMIF(negtgel!U$2:BL$2,'Tsalin uzuulelt'!P$5,negtgel!U26:BL26)</f>
      </c>
      <c r="N26">
        <f>IF(ISNUMBER(U26*1)=CF26,0,K26-H26-G26)</f>
      </c>
      <c r="O26">
        <f>IF(ISNUMBER(U26*1)=CF26,0,L26)</f>
      </c>
      <c r="P26">
        <f>IF(ISNUMBER(U26*1)=CF26,0,M26)</f>
      </c>
      <c r="Q26">
        <f>IF(N26&gt;2400000,N26,0)</f>
      </c>
      <c r="R26">
        <f>IF(L26/Q26*100&lt;3,2,10)</f>
      </c>
      <c r="S26">
        <f>IF(CH26=0,0,IF(B26&gt;9,10,IF(B26&gt;8,B26,IF(B26&gt;7.7,7.8,IF(B26&gt;3,B26,IF(B26&gt;1.5,2))))))</f>
      </c>
      <c r="T26">
        <f>IF(Q26=0,S26,R26)</f>
      </c>
      <c r="U26" t="n">
        <v>68.0</v>
      </c>
      <c r="V26" t="s">
        <v>3807</v>
      </c>
      <c r="W26" t="s">
        <v>3790</v>
      </c>
      <c r="X26" t="n">
        <v>580710.0</v>
      </c>
      <c r="Y26" t="n">
        <v>580710.0</v>
      </c>
      <c r="Z26" t="n">
        <v>58071.0</v>
      </c>
      <c r="AA26" t="n">
        <v>87106.0</v>
      </c>
      <c r="AB26" t="n">
        <v>0.0</v>
      </c>
      <c r="AC26" t="n">
        <v>0.0</v>
      </c>
      <c r="AD26" t="n">
        <v>0.0</v>
      </c>
      <c r="AE26" t="n">
        <v>0.0</v>
      </c>
      <c r="AF26" t="n">
        <v>66000.0</v>
      </c>
      <c r="AG26" t="n">
        <v>0.0</v>
      </c>
      <c r="AH26" t="n">
        <v>0.0</v>
      </c>
      <c r="AI26" t="n">
        <v>0.0</v>
      </c>
      <c r="AJ26" t="n">
        <v>0.0</v>
      </c>
      <c r="AK26" t="n">
        <v>0.0</v>
      </c>
      <c r="AL26" t="n">
        <v>110659.0</v>
      </c>
      <c r="AM26" t="n">
        <v>0.0</v>
      </c>
      <c r="AN26" t="n">
        <v>0.0</v>
      </c>
      <c r="AO26" t="n">
        <v>902546.0</v>
      </c>
      <c r="AP26" t="n">
        <v>79189.0</v>
      </c>
      <c r="AQ26" t="n">
        <v>64929.8</v>
      </c>
      <c r="CH26">
        <f>IFERROR(U26*1,0)</f>
      </c>
    </row>
    <row r="27">
      <c r="A27" t="n">
        <v>1.0</v>
      </c>
      <c r="B27">
        <f>IF((K27-G27-H27&gt;2400000),10,(L27/(K27-G27-H27)*100))</f>
      </c>
      <c r="C27">
        <f>IF(N27&gt;2400000,240000,(N27*S27)/100)</f>
      </c>
      <c r="D27">
        <f>IF(S27=0,0,IF((N27-I27)&gt;2400000,((((((N27-I27-J27)-240000))*0.1+(I27+J27)*0.1)))-7000,((((((N27-I27-J27)-(N27-I27-J27)*S27/100)))*0.1+(I27+J27)*0.1)-7000)))</f>
      </c>
      <c r="E27">
        <f>C27-O27</f>
      </c>
      <c r="F27">
        <f>D27-P27</f>
      </c>
      <c r="G27">
        <f>SUMIF(negtgel!U$2:BL$2,'Tsalin uzuulelt'!B$1,negtgel!U27:BL27) + SUMIF(negtgel!U$2:BL$2,'Tsalin uzuulelt'!B$2,negtgel!U27:BL27)+SUMIF(negtgel!U$2:BL$2,'Tsalin uzuulelt'!B$3,negtgel!U27:BL27)+SUMIF(negtgel!U$2:BL$2,'Tsalin uzuulelt'!B$4,negtgel!U27:BL27)+SUMIF(negtgel!U$2:BL$2,'Tsalin uzuulelt'!B$5,negtgel!U27:BL27)</f>
      </c>
      <c r="H27">
        <f>SUMIF(negtgel!U$2:BL$2,'Tsalin uzuulelt'!F$1,negtgel!U27:BL27) + SUMIF(negtgel!U$2:BL$2,'Tsalin uzuulelt'!F$2,negtgel!U27:BL27)+SUMIF(negtgel!U$2:BL$2,'Tsalin uzuulelt'!F$3,negtgel!U27:BL27)+SUMIF(negtgel!U$2:BL$2,'Tsalin uzuulelt'!F$4,negtgel!U27:BL27)+SUMIF(negtgel!U$2:BL$2,'Tsalin uzuulelt'!F$5,negtgel!U27:BL27)</f>
      </c>
      <c r="I27">
        <f>SUMIF(negtgel!U$2:BL$2,'Tsalin uzuulelt'!H$1,negtgel!U27:BL27) + SUMIF(negtgel!U$2:BL$2,'Tsalin uzuulelt'!H$2,negtgel!U27:BL27)+SUMIF(negtgel!U$2:BL$2,'Tsalin uzuulelt'!H$3,negtgel!U27:BL27)+SUMIF(negtgel!U$2:BL$2,'Tsalin uzuulelt'!H$4,negtgel!U27:BL27)+SUMIF(negtgel!U$2:BL$2,'Tsalin uzuulelt'!H$5,negtgel!U27:BL27)</f>
      </c>
      <c r="J27">
        <f>SUMIF(negtgel!U$2:BL$2,'Tsalin uzuulelt'!J$1,negtgel!U27:BL27) + SUMIF(negtgel!U$2:BL$2,'Tsalin uzuulelt'!J$2,negtgel!U27:BL27)+SUMIF(negtgel!U$2:BL$2,'Tsalin uzuulelt'!J$3,negtgel!U27:BL27)+SUMIF(negtgel!U$2:BL$2,'Tsalin uzuulelt'!J$4,negtgel!U27:BL27)+SUMIF(negtgel!U$2:BL$2,'Tsalin uzuulelt'!J$5,negtgel!U27:BL27)</f>
      </c>
      <c r="K27">
        <f>SUMIF(negtgel!U$2:BL$2,'Tsalin uzuulelt'!L$1,negtgel!U27:BL27) + SUMIF(negtgel!U$2:BL$2,'Tsalin uzuulelt'!L$2,negtgel!U27:BL27)+SUMIF(negtgel!U$2:BL$2,'Tsalin uzuulelt'!L$3,negtgel!U27:BL27)+SUMIF(negtgel!U$2:BL$2,'Tsalin uzuulelt'!L$4,negtgel!U27:BL27)+SUMIF(negtgel!U$2:BL$2,'Tsalin uzuulelt'!L$5,negtgel!U27:BL27)</f>
      </c>
      <c r="L27">
        <f>SUMIF(negtgel!U$2:BL$2,'Tsalin uzuulelt'!N$1,negtgel!U27:BL27) + SUMIF(negtgel!U$2:BL$2,'Tsalin uzuulelt'!N$2,negtgel!U27:BL27)+SUMIF(negtgel!U$2:BL$2,'Tsalin uzuulelt'!N$3,negtgel!U27:BL27)+SUMIF(negtgel!U$2:BL$2,'Tsalin uzuulelt'!N$4,negtgel!U27:BL27)+SUMIF(negtgel!U$2:BL$2,'Tsalin uzuulelt'!N$5,negtgel!U27:BL27)</f>
      </c>
      <c r="M27">
        <f>SUMIF(negtgel!U$2:BL$2,'Tsalin uzuulelt'!P$1,negtgel!U27:BL27) + SUMIF(negtgel!U$2:BL$2,'Tsalin uzuulelt'!P$2,negtgel!U27:BL27)+ SUMIF(negtgel!U$2:BL$2,'Tsalin uzuulelt'!P$3,negtgel!U27:BL27)+ SUMIF(negtgel!U$2:BL$2,'Tsalin uzuulelt'!P$4,negtgel!U27:BL27)+ SUMIF(negtgel!U$2:BL$2,'Tsalin uzuulelt'!P$5,negtgel!U27:BL27)</f>
      </c>
      <c r="N27">
        <f>IF(ISNUMBER(U27*1)=CF27,0,K27-H27-G27)</f>
      </c>
      <c r="O27">
        <f>IF(ISNUMBER(U27*1)=CF27,0,L27)</f>
      </c>
      <c r="P27">
        <f>IF(ISNUMBER(U27*1)=CF27,0,M27)</f>
      </c>
      <c r="Q27">
        <f>IF(N27&gt;2400000,N27,0)</f>
      </c>
      <c r="R27">
        <f>IF(L27/Q27*100&lt;3,2,10)</f>
      </c>
      <c r="S27">
        <f>IF(CH27=0,0,IF(B27&gt;9,10,IF(B27&gt;8,B27,IF(B27&gt;7.7,7.8,IF(B27&gt;3,B27,IF(B27&gt;1.5,2))))))</f>
      </c>
      <c r="T27">
        <f>IF(Q27=0,S27,R27)</f>
      </c>
      <c r="U27" t="n">
        <v>69.0</v>
      </c>
      <c r="V27" t="s">
        <v>3808</v>
      </c>
      <c r="W27" t="s">
        <v>3790</v>
      </c>
      <c r="X27" t="n">
        <v>580710.0</v>
      </c>
      <c r="Y27" t="n">
        <v>316751.0</v>
      </c>
      <c r="Z27" t="n">
        <v>15838.0</v>
      </c>
      <c r="AA27" t="n">
        <v>47513.0</v>
      </c>
      <c r="AB27" t="n">
        <v>0.0</v>
      </c>
      <c r="AC27" t="n">
        <v>0.0</v>
      </c>
      <c r="AD27" t="n">
        <v>0.0</v>
      </c>
      <c r="AE27" t="n">
        <v>0.0</v>
      </c>
      <c r="AF27" t="n">
        <v>36000.0</v>
      </c>
      <c r="AG27" t="n">
        <v>0.0</v>
      </c>
      <c r="AH27" t="n">
        <v>0.0</v>
      </c>
      <c r="AI27" t="n">
        <v>0.0</v>
      </c>
      <c r="AJ27" t="n">
        <v>0.0</v>
      </c>
      <c r="AK27" t="n">
        <v>0.0</v>
      </c>
      <c r="AL27" t="n">
        <v>0.0</v>
      </c>
      <c r="AM27" t="n">
        <v>0.0</v>
      </c>
      <c r="AN27" t="n">
        <v>0.0</v>
      </c>
      <c r="AO27" t="n">
        <v>416102.0</v>
      </c>
      <c r="AP27" t="n">
        <v>41610.0</v>
      </c>
      <c r="AQ27" t="n">
        <v>30809.2</v>
      </c>
      <c r="CH27">
        <f>IFERROR(U27*1,0)</f>
      </c>
    </row>
    <row r="28">
      <c r="A28" t="n">
        <v>1.0</v>
      </c>
      <c r="B28">
        <f>IF((K28-G28-H28&gt;2400000),10,(L28/(K28-G28-H28)*100))</f>
      </c>
      <c r="C28">
        <f>IF(N28&gt;2400000,240000,(N28*S28)/100)</f>
      </c>
      <c r="D28">
        <f>IF(S28=0,0,IF((N28-I28)&gt;2400000,((((((N28-I28-J28)-240000))*0.1+(I28+J28)*0.1)))-7000,((((((N28-I28-J28)-(N28-I28-J28)*S28/100)))*0.1+(I28+J28)*0.1)-7000)))</f>
      </c>
      <c r="E28">
        <f>C28-O28</f>
      </c>
      <c r="F28">
        <f>D28-P28</f>
      </c>
      <c r="G28">
        <f>SUMIF(negtgel!U$2:BL$2,'Tsalin uzuulelt'!B$1,negtgel!U28:BL28) + SUMIF(negtgel!U$2:BL$2,'Tsalin uzuulelt'!B$2,negtgel!U28:BL28)+SUMIF(negtgel!U$2:BL$2,'Tsalin uzuulelt'!B$3,negtgel!U28:BL28)+SUMIF(negtgel!U$2:BL$2,'Tsalin uzuulelt'!B$4,negtgel!U28:BL28)+SUMIF(negtgel!U$2:BL$2,'Tsalin uzuulelt'!B$5,negtgel!U28:BL28)</f>
      </c>
      <c r="H28">
        <f>SUMIF(negtgel!U$2:BL$2,'Tsalin uzuulelt'!F$1,negtgel!U28:BL28) + SUMIF(negtgel!U$2:BL$2,'Tsalin uzuulelt'!F$2,negtgel!U28:BL28)+SUMIF(negtgel!U$2:BL$2,'Tsalin uzuulelt'!F$3,negtgel!U28:BL28)+SUMIF(negtgel!U$2:BL$2,'Tsalin uzuulelt'!F$4,negtgel!U28:BL28)+SUMIF(negtgel!U$2:BL$2,'Tsalin uzuulelt'!F$5,negtgel!U28:BL28)</f>
      </c>
      <c r="I28">
        <f>SUMIF(negtgel!U$2:BL$2,'Tsalin uzuulelt'!H$1,negtgel!U28:BL28) + SUMIF(negtgel!U$2:BL$2,'Tsalin uzuulelt'!H$2,negtgel!U28:BL28)+SUMIF(negtgel!U$2:BL$2,'Tsalin uzuulelt'!H$3,negtgel!U28:BL28)+SUMIF(negtgel!U$2:BL$2,'Tsalin uzuulelt'!H$4,negtgel!U28:BL28)+SUMIF(negtgel!U$2:BL$2,'Tsalin uzuulelt'!H$5,negtgel!U28:BL28)</f>
      </c>
      <c r="J28">
        <f>SUMIF(negtgel!U$2:BL$2,'Tsalin uzuulelt'!J$1,negtgel!U28:BL28) + SUMIF(negtgel!U$2:BL$2,'Tsalin uzuulelt'!J$2,negtgel!U28:BL28)+SUMIF(negtgel!U$2:BL$2,'Tsalin uzuulelt'!J$3,negtgel!U28:BL28)+SUMIF(negtgel!U$2:BL$2,'Tsalin uzuulelt'!J$4,negtgel!U28:BL28)+SUMIF(negtgel!U$2:BL$2,'Tsalin uzuulelt'!J$5,negtgel!U28:BL28)</f>
      </c>
      <c r="K28">
        <f>SUMIF(negtgel!U$2:BL$2,'Tsalin uzuulelt'!L$1,negtgel!U28:BL28) + SUMIF(negtgel!U$2:BL$2,'Tsalin uzuulelt'!L$2,negtgel!U28:BL28)+SUMIF(negtgel!U$2:BL$2,'Tsalin uzuulelt'!L$3,negtgel!U28:BL28)+SUMIF(negtgel!U$2:BL$2,'Tsalin uzuulelt'!L$4,negtgel!U28:BL28)+SUMIF(negtgel!U$2:BL$2,'Tsalin uzuulelt'!L$5,negtgel!U28:BL28)</f>
      </c>
      <c r="L28">
        <f>SUMIF(negtgel!U$2:BL$2,'Tsalin uzuulelt'!N$1,negtgel!U28:BL28) + SUMIF(negtgel!U$2:BL$2,'Tsalin uzuulelt'!N$2,negtgel!U28:BL28)+SUMIF(negtgel!U$2:BL$2,'Tsalin uzuulelt'!N$3,negtgel!U28:BL28)+SUMIF(negtgel!U$2:BL$2,'Tsalin uzuulelt'!N$4,negtgel!U28:BL28)+SUMIF(negtgel!U$2:BL$2,'Tsalin uzuulelt'!N$5,negtgel!U28:BL28)</f>
      </c>
      <c r="M28">
        <f>SUMIF(negtgel!U$2:BL$2,'Tsalin uzuulelt'!P$1,negtgel!U28:BL28) + SUMIF(negtgel!U$2:BL$2,'Tsalin uzuulelt'!P$2,negtgel!U28:BL28)+ SUMIF(negtgel!U$2:BL$2,'Tsalin uzuulelt'!P$3,negtgel!U28:BL28)+ SUMIF(negtgel!U$2:BL$2,'Tsalin uzuulelt'!P$4,negtgel!U28:BL28)+ SUMIF(negtgel!U$2:BL$2,'Tsalin uzuulelt'!P$5,negtgel!U28:BL28)</f>
      </c>
      <c r="N28">
        <f>IF(ISNUMBER(U28*1)=CF28,0,K28-H28-G28)</f>
      </c>
      <c r="O28">
        <f>IF(ISNUMBER(U28*1)=CF28,0,L28)</f>
      </c>
      <c r="P28">
        <f>IF(ISNUMBER(U28*1)=CF28,0,M28)</f>
      </c>
      <c r="Q28">
        <f>IF(N28&gt;2400000,N28,0)</f>
      </c>
      <c r="R28">
        <f>IF(L28/Q28*100&lt;3,2,10)</f>
      </c>
      <c r="S28">
        <f>IF(CH28=0,0,IF(B28&gt;9,10,IF(B28&gt;8,B28,IF(B28&gt;7.7,7.8,IF(B28&gt;3,B28,IF(B28&gt;1.5,2))))))</f>
      </c>
      <c r="T28">
        <f>IF(Q28=0,S28,R28)</f>
      </c>
      <c r="U28" t="n">
        <v>70.0</v>
      </c>
      <c r="V28" t="s">
        <v>3809</v>
      </c>
      <c r="W28" t="s">
        <v>3790</v>
      </c>
      <c r="X28" t="n">
        <v>580710.0</v>
      </c>
      <c r="Y28" t="n">
        <v>580710.0</v>
      </c>
      <c r="Z28" t="n">
        <v>29036.0</v>
      </c>
      <c r="AA28" t="n">
        <v>87106.0</v>
      </c>
      <c r="AB28" t="n">
        <v>0.0</v>
      </c>
      <c r="AC28" t="n">
        <v>0.0</v>
      </c>
      <c r="AD28" t="n">
        <v>0.0</v>
      </c>
      <c r="AE28" t="n">
        <v>0.0</v>
      </c>
      <c r="AF28" t="n">
        <v>66000.0</v>
      </c>
      <c r="AG28" t="n">
        <v>0.0</v>
      </c>
      <c r="AH28" t="n">
        <v>0.0</v>
      </c>
      <c r="AI28" t="n">
        <v>0.0</v>
      </c>
      <c r="AJ28" t="n">
        <v>0.0</v>
      </c>
      <c r="AK28" t="n">
        <v>0.0</v>
      </c>
      <c r="AL28" t="n">
        <v>0.0</v>
      </c>
      <c r="AM28" t="n">
        <v>0.0</v>
      </c>
      <c r="AN28" t="n">
        <v>0.0</v>
      </c>
      <c r="AO28" t="n">
        <v>762852.0</v>
      </c>
      <c r="AP28" t="n">
        <v>76286.0</v>
      </c>
      <c r="AQ28" t="n">
        <v>62316.7</v>
      </c>
      <c r="CH28">
        <f>IFERROR(U28*1,0)</f>
      </c>
    </row>
    <row r="29">
      <c r="A29" t="n">
        <v>1.0</v>
      </c>
      <c r="B29">
        <f>IF((K29-G29-H29&gt;2400000),10,(L29/(K29-G29-H29)*100))</f>
      </c>
      <c r="C29">
        <f>IF(N29&gt;2400000,240000,(N29*S29)/100)</f>
      </c>
      <c r="D29">
        <f>IF(S29=0,0,IF((N29-I29)&gt;2400000,((((((N29-I29-J29)-240000))*0.1+(I29+J29)*0.1)))-7000,((((((N29-I29-J29)-(N29-I29-J29)*S29/100)))*0.1+(I29+J29)*0.1)-7000)))</f>
      </c>
      <c r="E29">
        <f>C29-O29</f>
      </c>
      <c r="F29">
        <f>D29-P29</f>
      </c>
      <c r="G29">
        <f>SUMIF(negtgel!U$2:BL$2,'Tsalin uzuulelt'!B$1,negtgel!U29:BL29) + SUMIF(negtgel!U$2:BL$2,'Tsalin uzuulelt'!B$2,negtgel!U29:BL29)+SUMIF(negtgel!U$2:BL$2,'Tsalin uzuulelt'!B$3,negtgel!U29:BL29)+SUMIF(negtgel!U$2:BL$2,'Tsalin uzuulelt'!B$4,negtgel!U29:BL29)+SUMIF(negtgel!U$2:BL$2,'Tsalin uzuulelt'!B$5,negtgel!U29:BL29)</f>
      </c>
      <c r="H29">
        <f>SUMIF(negtgel!U$2:BL$2,'Tsalin uzuulelt'!F$1,negtgel!U29:BL29) + SUMIF(negtgel!U$2:BL$2,'Tsalin uzuulelt'!F$2,negtgel!U29:BL29)+SUMIF(negtgel!U$2:BL$2,'Tsalin uzuulelt'!F$3,negtgel!U29:BL29)+SUMIF(negtgel!U$2:BL$2,'Tsalin uzuulelt'!F$4,negtgel!U29:BL29)+SUMIF(negtgel!U$2:BL$2,'Tsalin uzuulelt'!F$5,negtgel!U29:BL29)</f>
      </c>
      <c r="I29">
        <f>SUMIF(negtgel!U$2:BL$2,'Tsalin uzuulelt'!H$1,negtgel!U29:BL29) + SUMIF(negtgel!U$2:BL$2,'Tsalin uzuulelt'!H$2,negtgel!U29:BL29)+SUMIF(negtgel!U$2:BL$2,'Tsalin uzuulelt'!H$3,negtgel!U29:BL29)+SUMIF(negtgel!U$2:BL$2,'Tsalin uzuulelt'!H$4,negtgel!U29:BL29)+SUMIF(negtgel!U$2:BL$2,'Tsalin uzuulelt'!H$5,negtgel!U29:BL29)</f>
      </c>
      <c r="J29">
        <f>SUMIF(negtgel!U$2:BL$2,'Tsalin uzuulelt'!J$1,negtgel!U29:BL29) + SUMIF(negtgel!U$2:BL$2,'Tsalin uzuulelt'!J$2,negtgel!U29:BL29)+SUMIF(negtgel!U$2:BL$2,'Tsalin uzuulelt'!J$3,negtgel!U29:BL29)+SUMIF(negtgel!U$2:BL$2,'Tsalin uzuulelt'!J$4,negtgel!U29:BL29)+SUMIF(negtgel!U$2:BL$2,'Tsalin uzuulelt'!J$5,negtgel!U29:BL29)</f>
      </c>
      <c r="K29">
        <f>SUMIF(negtgel!U$2:BL$2,'Tsalin uzuulelt'!L$1,negtgel!U29:BL29) + SUMIF(negtgel!U$2:BL$2,'Tsalin uzuulelt'!L$2,negtgel!U29:BL29)+SUMIF(negtgel!U$2:BL$2,'Tsalin uzuulelt'!L$3,negtgel!U29:BL29)+SUMIF(negtgel!U$2:BL$2,'Tsalin uzuulelt'!L$4,negtgel!U29:BL29)+SUMIF(negtgel!U$2:BL$2,'Tsalin uzuulelt'!L$5,negtgel!U29:BL29)</f>
      </c>
      <c r="L29">
        <f>SUMIF(negtgel!U$2:BL$2,'Tsalin uzuulelt'!N$1,negtgel!U29:BL29) + SUMIF(negtgel!U$2:BL$2,'Tsalin uzuulelt'!N$2,negtgel!U29:BL29)+SUMIF(negtgel!U$2:BL$2,'Tsalin uzuulelt'!N$3,negtgel!U29:BL29)+SUMIF(negtgel!U$2:BL$2,'Tsalin uzuulelt'!N$4,negtgel!U29:BL29)+SUMIF(negtgel!U$2:BL$2,'Tsalin uzuulelt'!N$5,negtgel!U29:BL29)</f>
      </c>
      <c r="M29">
        <f>SUMIF(negtgel!U$2:BL$2,'Tsalin uzuulelt'!P$1,negtgel!U29:BL29) + SUMIF(negtgel!U$2:BL$2,'Tsalin uzuulelt'!P$2,negtgel!U29:BL29)+ SUMIF(negtgel!U$2:BL$2,'Tsalin uzuulelt'!P$3,negtgel!U29:BL29)+ SUMIF(negtgel!U$2:BL$2,'Tsalin uzuulelt'!P$4,negtgel!U29:BL29)+ SUMIF(negtgel!U$2:BL$2,'Tsalin uzuulelt'!P$5,negtgel!U29:BL29)</f>
      </c>
      <c r="N29">
        <f>IF(ISNUMBER(U29*1)=CF29,0,K29-H29-G29)</f>
      </c>
      <c r="O29">
        <f>IF(ISNUMBER(U29*1)=CF29,0,L29)</f>
      </c>
      <c r="P29">
        <f>IF(ISNUMBER(U29*1)=CF29,0,M29)</f>
      </c>
      <c r="Q29">
        <f>IF(N29&gt;2400000,N29,0)</f>
      </c>
      <c r="R29">
        <f>IF(L29/Q29*100&lt;3,2,10)</f>
      </c>
      <c r="S29">
        <f>IF(CH29=0,0,IF(B29&gt;9,10,IF(B29&gt;8,B29,IF(B29&gt;7.7,7.8,IF(B29&gt;3,B29,IF(B29&gt;1.5,2))))))</f>
      </c>
      <c r="T29">
        <f>IF(Q29=0,S29,R29)</f>
      </c>
      <c r="U29" t="n">
        <v>71.0</v>
      </c>
      <c r="V29" t="s">
        <v>3810</v>
      </c>
      <c r="W29" t="s">
        <v>3792</v>
      </c>
      <c r="X29" t="n">
        <v>496912.0</v>
      </c>
      <c r="Y29" t="n">
        <v>496912.0</v>
      </c>
      <c r="Z29" t="n">
        <v>0.0</v>
      </c>
      <c r="AA29" t="n">
        <v>0.0</v>
      </c>
      <c r="AB29" t="n">
        <v>0.0</v>
      </c>
      <c r="AC29" t="n">
        <v>0.0</v>
      </c>
      <c r="AD29" t="n">
        <v>0.0</v>
      </c>
      <c r="AE29" t="n">
        <v>0.0</v>
      </c>
      <c r="AF29" t="n">
        <v>66000.0</v>
      </c>
      <c r="AG29" t="n">
        <v>0.0</v>
      </c>
      <c r="AH29" t="n">
        <v>0.0</v>
      </c>
      <c r="AI29" t="n">
        <v>0.0</v>
      </c>
      <c r="AJ29" t="n">
        <v>0.0</v>
      </c>
      <c r="AK29" t="n">
        <v>0.0</v>
      </c>
      <c r="AL29" t="n">
        <v>0.0</v>
      </c>
      <c r="AM29" t="n">
        <v>0.0</v>
      </c>
      <c r="AN29" t="n">
        <v>0.0</v>
      </c>
      <c r="AO29" t="n">
        <v>562912.0</v>
      </c>
      <c r="AP29" t="n">
        <v>56291.0</v>
      </c>
      <c r="AQ29" t="n">
        <v>44322.1</v>
      </c>
      <c r="CH29">
        <f>IFERROR(U29*1,0)</f>
      </c>
    </row>
    <row r="30">
      <c r="A30" t="n">
        <v>1.0</v>
      </c>
      <c r="B30">
        <f>IF((K30-G30-H30&gt;2400000),10,(L30/(K30-G30-H30)*100))</f>
      </c>
      <c r="C30">
        <f>IF(N30&gt;2400000,240000,(N30*S30)/100)</f>
      </c>
      <c r="D30">
        <f>IF(S30=0,0,IF((N30-I30)&gt;2400000,((((((N30-I30-J30)-240000))*0.1+(I30+J30)*0.1)))-7000,((((((N30-I30-J30)-(N30-I30-J30)*S30/100)))*0.1+(I30+J30)*0.1)-7000)))</f>
      </c>
      <c r="E30">
        <f>C30-O30</f>
      </c>
      <c r="F30">
        <f>D30-P30</f>
      </c>
      <c r="G30">
        <f>SUMIF(negtgel!U$2:BL$2,'Tsalin uzuulelt'!B$1,negtgel!U30:BL30) + SUMIF(negtgel!U$2:BL$2,'Tsalin uzuulelt'!B$2,negtgel!U30:BL30)+SUMIF(negtgel!U$2:BL$2,'Tsalin uzuulelt'!B$3,negtgel!U30:BL30)+SUMIF(negtgel!U$2:BL$2,'Tsalin uzuulelt'!B$4,negtgel!U30:BL30)+SUMIF(negtgel!U$2:BL$2,'Tsalin uzuulelt'!B$5,negtgel!U30:BL30)</f>
      </c>
      <c r="H30">
        <f>SUMIF(negtgel!U$2:BL$2,'Tsalin uzuulelt'!F$1,negtgel!U30:BL30) + SUMIF(negtgel!U$2:BL$2,'Tsalin uzuulelt'!F$2,negtgel!U30:BL30)+SUMIF(negtgel!U$2:BL$2,'Tsalin uzuulelt'!F$3,negtgel!U30:BL30)+SUMIF(negtgel!U$2:BL$2,'Tsalin uzuulelt'!F$4,negtgel!U30:BL30)+SUMIF(negtgel!U$2:BL$2,'Tsalin uzuulelt'!F$5,negtgel!U30:BL30)</f>
      </c>
      <c r="I30">
        <f>SUMIF(negtgel!U$2:BL$2,'Tsalin uzuulelt'!H$1,negtgel!U30:BL30) + SUMIF(negtgel!U$2:BL$2,'Tsalin uzuulelt'!H$2,negtgel!U30:BL30)+SUMIF(negtgel!U$2:BL$2,'Tsalin uzuulelt'!H$3,negtgel!U30:BL30)+SUMIF(negtgel!U$2:BL$2,'Tsalin uzuulelt'!H$4,negtgel!U30:BL30)+SUMIF(negtgel!U$2:BL$2,'Tsalin uzuulelt'!H$5,negtgel!U30:BL30)</f>
      </c>
      <c r="J30">
        <f>SUMIF(negtgel!U$2:BL$2,'Tsalin uzuulelt'!J$1,negtgel!U30:BL30) + SUMIF(negtgel!U$2:BL$2,'Tsalin uzuulelt'!J$2,negtgel!U30:BL30)+SUMIF(negtgel!U$2:BL$2,'Tsalin uzuulelt'!J$3,negtgel!U30:BL30)+SUMIF(negtgel!U$2:BL$2,'Tsalin uzuulelt'!J$4,negtgel!U30:BL30)+SUMIF(negtgel!U$2:BL$2,'Tsalin uzuulelt'!J$5,negtgel!U30:BL30)</f>
      </c>
      <c r="K30">
        <f>SUMIF(negtgel!U$2:BL$2,'Tsalin uzuulelt'!L$1,negtgel!U30:BL30) + SUMIF(negtgel!U$2:BL$2,'Tsalin uzuulelt'!L$2,negtgel!U30:BL30)+SUMIF(negtgel!U$2:BL$2,'Tsalin uzuulelt'!L$3,negtgel!U30:BL30)+SUMIF(negtgel!U$2:BL$2,'Tsalin uzuulelt'!L$4,negtgel!U30:BL30)+SUMIF(negtgel!U$2:BL$2,'Tsalin uzuulelt'!L$5,negtgel!U30:BL30)</f>
      </c>
      <c r="L30">
        <f>SUMIF(negtgel!U$2:BL$2,'Tsalin uzuulelt'!N$1,negtgel!U30:BL30) + SUMIF(negtgel!U$2:BL$2,'Tsalin uzuulelt'!N$2,negtgel!U30:BL30)+SUMIF(negtgel!U$2:BL$2,'Tsalin uzuulelt'!N$3,negtgel!U30:BL30)+SUMIF(negtgel!U$2:BL$2,'Tsalin uzuulelt'!N$4,negtgel!U30:BL30)+SUMIF(negtgel!U$2:BL$2,'Tsalin uzuulelt'!N$5,negtgel!U30:BL30)</f>
      </c>
      <c r="M30">
        <f>SUMIF(negtgel!U$2:BL$2,'Tsalin uzuulelt'!P$1,negtgel!U30:BL30) + SUMIF(negtgel!U$2:BL$2,'Tsalin uzuulelt'!P$2,negtgel!U30:BL30)+ SUMIF(negtgel!U$2:BL$2,'Tsalin uzuulelt'!P$3,negtgel!U30:BL30)+ SUMIF(negtgel!U$2:BL$2,'Tsalin uzuulelt'!P$4,negtgel!U30:BL30)+ SUMIF(negtgel!U$2:BL$2,'Tsalin uzuulelt'!P$5,negtgel!U30:BL30)</f>
      </c>
      <c r="N30">
        <f>IF(ISNUMBER(U30*1)=CF30,0,K30-H30-G30)</f>
      </c>
      <c r="O30">
        <f>IF(ISNUMBER(U30*1)=CF30,0,L30)</f>
      </c>
      <c r="P30">
        <f>IF(ISNUMBER(U30*1)=CF30,0,M30)</f>
      </c>
      <c r="Q30">
        <f>IF(N30&gt;2400000,N30,0)</f>
      </c>
      <c r="R30">
        <f>IF(L30/Q30*100&lt;3,2,10)</f>
      </c>
      <c r="S30">
        <f>IF(CH30=0,0,IF(B30&gt;9,10,IF(B30&gt;8,B30,IF(B30&gt;7.7,7.8,IF(B30&gt;3,B30,IF(B30&gt;1.5,2))))))</f>
      </c>
      <c r="T30">
        <f>IF(Q30=0,S30,R30)</f>
      </c>
      <c r="U30" t="n">
        <v>72.0</v>
      </c>
      <c r="V30" t="s">
        <v>3811</v>
      </c>
      <c r="W30" t="s">
        <v>3790</v>
      </c>
      <c r="X30" t="n">
        <v>580710.0</v>
      </c>
      <c r="Y30" t="n">
        <v>52792.0</v>
      </c>
      <c r="Z30" t="n">
        <v>5279.0</v>
      </c>
      <c r="AA30" t="n">
        <v>8975.0</v>
      </c>
      <c r="AB30" t="n">
        <v>0.0</v>
      </c>
      <c r="AC30" t="n">
        <v>0.0</v>
      </c>
      <c r="AD30" t="n">
        <v>0.0</v>
      </c>
      <c r="AE30" t="n">
        <v>0.0</v>
      </c>
      <c r="AF30" t="n">
        <v>6000.0</v>
      </c>
      <c r="AG30" t="n">
        <v>0.0</v>
      </c>
      <c r="AH30" t="n">
        <v>0.0</v>
      </c>
      <c r="AI30" t="n">
        <v>0.0</v>
      </c>
      <c r="AJ30" t="n">
        <v>0.0</v>
      </c>
      <c r="AK30" t="n">
        <v>0.0</v>
      </c>
      <c r="AL30" t="n">
        <v>0.0</v>
      </c>
      <c r="AM30" t="n">
        <v>0.0</v>
      </c>
      <c r="AN30" t="n">
        <v>0.0</v>
      </c>
      <c r="AO30" t="n">
        <v>73046.0</v>
      </c>
      <c r="AP30" t="n">
        <v>7304.0</v>
      </c>
      <c r="AQ30" t="n">
        <v>0.0</v>
      </c>
      <c r="CH30">
        <f>IFERROR(U30*1,0)</f>
      </c>
    </row>
    <row r="31">
      <c r="A31" t="n">
        <v>1.0</v>
      </c>
      <c r="B31">
        <f>IF((K31-G31-H31&gt;2400000),10,(L31/(K31-G31-H31)*100))</f>
      </c>
      <c r="C31">
        <f>IF(N31&gt;2400000,240000,(N31*S31)/100)</f>
      </c>
      <c r="D31">
        <f>IF(S31=0,0,IF((N31-I31)&gt;2400000,((((((N31-I31-J31)-240000))*0.1+(I31+J31)*0.1)))-7000,((((((N31-I31-J31)-(N31-I31-J31)*S31/100)))*0.1+(I31+J31)*0.1)-7000)))</f>
      </c>
      <c r="E31">
        <f>C31-O31</f>
      </c>
      <c r="F31">
        <f>D31-P31</f>
      </c>
      <c r="G31">
        <f>SUMIF(negtgel!U$2:BL$2,'Tsalin uzuulelt'!B$1,negtgel!U31:BL31) + SUMIF(negtgel!U$2:BL$2,'Tsalin uzuulelt'!B$2,negtgel!U31:BL31)+SUMIF(negtgel!U$2:BL$2,'Tsalin uzuulelt'!B$3,negtgel!U31:BL31)+SUMIF(negtgel!U$2:BL$2,'Tsalin uzuulelt'!B$4,negtgel!U31:BL31)+SUMIF(negtgel!U$2:BL$2,'Tsalin uzuulelt'!B$5,negtgel!U31:BL31)</f>
      </c>
      <c r="H31">
        <f>SUMIF(negtgel!U$2:BL$2,'Tsalin uzuulelt'!F$1,negtgel!U31:BL31) + SUMIF(negtgel!U$2:BL$2,'Tsalin uzuulelt'!F$2,negtgel!U31:BL31)+SUMIF(negtgel!U$2:BL$2,'Tsalin uzuulelt'!F$3,negtgel!U31:BL31)+SUMIF(negtgel!U$2:BL$2,'Tsalin uzuulelt'!F$4,negtgel!U31:BL31)+SUMIF(negtgel!U$2:BL$2,'Tsalin uzuulelt'!F$5,negtgel!U31:BL31)</f>
      </c>
      <c r="I31">
        <f>SUMIF(negtgel!U$2:BL$2,'Tsalin uzuulelt'!H$1,negtgel!U31:BL31) + SUMIF(negtgel!U$2:BL$2,'Tsalin uzuulelt'!H$2,negtgel!U31:BL31)+SUMIF(negtgel!U$2:BL$2,'Tsalin uzuulelt'!H$3,negtgel!U31:BL31)+SUMIF(negtgel!U$2:BL$2,'Tsalin uzuulelt'!H$4,negtgel!U31:BL31)+SUMIF(negtgel!U$2:BL$2,'Tsalin uzuulelt'!H$5,negtgel!U31:BL31)</f>
      </c>
      <c r="J31">
        <f>SUMIF(negtgel!U$2:BL$2,'Tsalin uzuulelt'!J$1,negtgel!U31:BL31) + SUMIF(negtgel!U$2:BL$2,'Tsalin uzuulelt'!J$2,negtgel!U31:BL31)+SUMIF(negtgel!U$2:BL$2,'Tsalin uzuulelt'!J$3,negtgel!U31:BL31)+SUMIF(negtgel!U$2:BL$2,'Tsalin uzuulelt'!J$4,negtgel!U31:BL31)+SUMIF(negtgel!U$2:BL$2,'Tsalin uzuulelt'!J$5,negtgel!U31:BL31)</f>
      </c>
      <c r="K31">
        <f>SUMIF(negtgel!U$2:BL$2,'Tsalin uzuulelt'!L$1,negtgel!U31:BL31) + SUMIF(negtgel!U$2:BL$2,'Tsalin uzuulelt'!L$2,negtgel!U31:BL31)+SUMIF(negtgel!U$2:BL$2,'Tsalin uzuulelt'!L$3,negtgel!U31:BL31)+SUMIF(negtgel!U$2:BL$2,'Tsalin uzuulelt'!L$4,negtgel!U31:BL31)+SUMIF(negtgel!U$2:BL$2,'Tsalin uzuulelt'!L$5,negtgel!U31:BL31)</f>
      </c>
      <c r="L31">
        <f>SUMIF(negtgel!U$2:BL$2,'Tsalin uzuulelt'!N$1,negtgel!U31:BL31) + SUMIF(negtgel!U$2:BL$2,'Tsalin uzuulelt'!N$2,negtgel!U31:BL31)+SUMIF(negtgel!U$2:BL$2,'Tsalin uzuulelt'!N$3,negtgel!U31:BL31)+SUMIF(negtgel!U$2:BL$2,'Tsalin uzuulelt'!N$4,negtgel!U31:BL31)+SUMIF(negtgel!U$2:BL$2,'Tsalin uzuulelt'!N$5,negtgel!U31:BL31)</f>
      </c>
      <c r="M31">
        <f>SUMIF(negtgel!U$2:BL$2,'Tsalin uzuulelt'!P$1,negtgel!U31:BL31) + SUMIF(negtgel!U$2:BL$2,'Tsalin uzuulelt'!P$2,negtgel!U31:BL31)+ SUMIF(negtgel!U$2:BL$2,'Tsalin uzuulelt'!P$3,negtgel!U31:BL31)+ SUMIF(negtgel!U$2:BL$2,'Tsalin uzuulelt'!P$4,negtgel!U31:BL31)+ SUMIF(negtgel!U$2:BL$2,'Tsalin uzuulelt'!P$5,negtgel!U31:BL31)</f>
      </c>
      <c r="N31">
        <f>IF(ISNUMBER(U31*1)=CF31,0,K31-H31-G31)</f>
      </c>
      <c r="O31">
        <f>IF(ISNUMBER(U31*1)=CF31,0,L31)</f>
      </c>
      <c r="P31">
        <f>IF(ISNUMBER(U31*1)=CF31,0,M31)</f>
      </c>
      <c r="Q31">
        <f>IF(N31&gt;2400000,N31,0)</f>
      </c>
      <c r="R31">
        <f>IF(L31/Q31*100&lt;3,2,10)</f>
      </c>
      <c r="S31">
        <f>IF(CH31=0,0,IF(B31&gt;9,10,IF(B31&gt;8,B31,IF(B31&gt;7.7,7.8,IF(B31&gt;3,B31,IF(B31&gt;1.5,2))))))</f>
      </c>
      <c r="T31">
        <f>IF(Q31=0,S31,R31)</f>
      </c>
      <c r="U31" t="n">
        <v>73.0</v>
      </c>
      <c r="V31" t="s">
        <v>3812</v>
      </c>
      <c r="W31" t="s">
        <v>3790</v>
      </c>
      <c r="X31" t="n">
        <v>580710.0</v>
      </c>
      <c r="Y31" t="n">
        <v>580710.0</v>
      </c>
      <c r="Z31" t="n">
        <v>29036.0</v>
      </c>
      <c r="AA31" t="n">
        <v>87106.0</v>
      </c>
      <c r="AB31" t="n">
        <v>0.0</v>
      </c>
      <c r="AC31" t="n">
        <v>0.0</v>
      </c>
      <c r="AD31" t="n">
        <v>0.0</v>
      </c>
      <c r="AE31" t="n">
        <v>0.0</v>
      </c>
      <c r="AF31" t="n">
        <v>66000.0</v>
      </c>
      <c r="AG31" t="n">
        <v>0.0</v>
      </c>
      <c r="AH31" t="n">
        <v>0.0</v>
      </c>
      <c r="AI31" t="n">
        <v>0.0</v>
      </c>
      <c r="AJ31" t="n">
        <v>0.0</v>
      </c>
      <c r="AK31" t="n">
        <v>0.0</v>
      </c>
      <c r="AL31" t="n">
        <v>0.0</v>
      </c>
      <c r="AM31" t="n">
        <v>0.0</v>
      </c>
      <c r="AN31" t="n">
        <v>0.0</v>
      </c>
      <c r="AO31" t="n">
        <v>762852.0</v>
      </c>
      <c r="AP31" t="n">
        <v>76286.0</v>
      </c>
      <c r="AQ31" t="n">
        <v>62316.7</v>
      </c>
      <c r="CH31">
        <f>IFERROR(U31*1,0)</f>
      </c>
    </row>
    <row r="32">
      <c r="A32" t="n">
        <v>1.0</v>
      </c>
      <c r="B32">
        <f>IF((K32-G32-H32&gt;2400000),10,(L32/(K32-G32-H32)*100))</f>
      </c>
      <c r="C32">
        <f>IF(N32&gt;2400000,240000,(N32*S32)/100)</f>
      </c>
      <c r="D32">
        <f>IF(S32=0,0,IF((N32-I32)&gt;2400000,((((((N32-I32-J32)-240000))*0.1+(I32+J32)*0.1)))-7000,((((((N32-I32-J32)-(N32-I32-J32)*S32/100)))*0.1+(I32+J32)*0.1)-7000)))</f>
      </c>
      <c r="E32">
        <f>C32-O32</f>
      </c>
      <c r="F32">
        <f>D32-P32</f>
      </c>
      <c r="G32">
        <f>SUMIF(negtgel!U$2:BL$2,'Tsalin uzuulelt'!B$1,negtgel!U32:BL32) + SUMIF(negtgel!U$2:BL$2,'Tsalin uzuulelt'!B$2,negtgel!U32:BL32)+SUMIF(negtgel!U$2:BL$2,'Tsalin uzuulelt'!B$3,negtgel!U32:BL32)+SUMIF(negtgel!U$2:BL$2,'Tsalin uzuulelt'!B$4,negtgel!U32:BL32)+SUMIF(negtgel!U$2:BL$2,'Tsalin uzuulelt'!B$5,negtgel!U32:BL32)</f>
      </c>
      <c r="H32">
        <f>SUMIF(negtgel!U$2:BL$2,'Tsalin uzuulelt'!F$1,negtgel!U32:BL32) + SUMIF(negtgel!U$2:BL$2,'Tsalin uzuulelt'!F$2,negtgel!U32:BL32)+SUMIF(negtgel!U$2:BL$2,'Tsalin uzuulelt'!F$3,negtgel!U32:BL32)+SUMIF(negtgel!U$2:BL$2,'Tsalin uzuulelt'!F$4,negtgel!U32:BL32)+SUMIF(negtgel!U$2:BL$2,'Tsalin uzuulelt'!F$5,negtgel!U32:BL32)</f>
      </c>
      <c r="I32">
        <f>SUMIF(negtgel!U$2:BL$2,'Tsalin uzuulelt'!H$1,negtgel!U32:BL32) + SUMIF(negtgel!U$2:BL$2,'Tsalin uzuulelt'!H$2,negtgel!U32:BL32)+SUMIF(negtgel!U$2:BL$2,'Tsalin uzuulelt'!H$3,negtgel!U32:BL32)+SUMIF(negtgel!U$2:BL$2,'Tsalin uzuulelt'!H$4,negtgel!U32:BL32)+SUMIF(negtgel!U$2:BL$2,'Tsalin uzuulelt'!H$5,negtgel!U32:BL32)</f>
      </c>
      <c r="J32">
        <f>SUMIF(negtgel!U$2:BL$2,'Tsalin uzuulelt'!J$1,negtgel!U32:BL32) + SUMIF(negtgel!U$2:BL$2,'Tsalin uzuulelt'!J$2,negtgel!U32:BL32)+SUMIF(negtgel!U$2:BL$2,'Tsalin uzuulelt'!J$3,negtgel!U32:BL32)+SUMIF(negtgel!U$2:BL$2,'Tsalin uzuulelt'!J$4,negtgel!U32:BL32)+SUMIF(negtgel!U$2:BL$2,'Tsalin uzuulelt'!J$5,negtgel!U32:BL32)</f>
      </c>
      <c r="K32">
        <f>SUMIF(negtgel!U$2:BL$2,'Tsalin uzuulelt'!L$1,negtgel!U32:BL32) + SUMIF(negtgel!U$2:BL$2,'Tsalin uzuulelt'!L$2,negtgel!U32:BL32)+SUMIF(negtgel!U$2:BL$2,'Tsalin uzuulelt'!L$3,negtgel!U32:BL32)+SUMIF(negtgel!U$2:BL$2,'Tsalin uzuulelt'!L$4,negtgel!U32:BL32)+SUMIF(negtgel!U$2:BL$2,'Tsalin uzuulelt'!L$5,negtgel!U32:BL32)</f>
      </c>
      <c r="L32">
        <f>SUMIF(negtgel!U$2:BL$2,'Tsalin uzuulelt'!N$1,negtgel!U32:BL32) + SUMIF(negtgel!U$2:BL$2,'Tsalin uzuulelt'!N$2,negtgel!U32:BL32)+SUMIF(negtgel!U$2:BL$2,'Tsalin uzuulelt'!N$3,negtgel!U32:BL32)+SUMIF(negtgel!U$2:BL$2,'Tsalin uzuulelt'!N$4,negtgel!U32:BL32)+SUMIF(negtgel!U$2:BL$2,'Tsalin uzuulelt'!N$5,negtgel!U32:BL32)</f>
      </c>
      <c r="M32">
        <f>SUMIF(negtgel!U$2:BL$2,'Tsalin uzuulelt'!P$1,negtgel!U32:BL32) + SUMIF(negtgel!U$2:BL$2,'Tsalin uzuulelt'!P$2,negtgel!U32:BL32)+ SUMIF(negtgel!U$2:BL$2,'Tsalin uzuulelt'!P$3,negtgel!U32:BL32)+ SUMIF(negtgel!U$2:BL$2,'Tsalin uzuulelt'!P$4,negtgel!U32:BL32)+ SUMIF(negtgel!U$2:BL$2,'Tsalin uzuulelt'!P$5,negtgel!U32:BL32)</f>
      </c>
      <c r="N32">
        <f>IF(ISNUMBER(U32*1)=CF32,0,K32-H32-G32)</f>
      </c>
      <c r="O32">
        <f>IF(ISNUMBER(U32*1)=CF32,0,L32)</f>
      </c>
      <c r="P32">
        <f>IF(ISNUMBER(U32*1)=CF32,0,M32)</f>
      </c>
      <c r="Q32">
        <f>IF(N32&gt;2400000,N32,0)</f>
      </c>
      <c r="R32">
        <f>IF(L32/Q32*100&lt;3,2,10)</f>
      </c>
      <c r="S32">
        <f>IF(CH32=0,0,IF(B32&gt;9,10,IF(B32&gt;8,B32,IF(B32&gt;7.7,7.8,IF(B32&gt;3,B32,IF(B32&gt;1.5,2))))))</f>
      </c>
      <c r="T32">
        <f>IF(Q32=0,S32,R32)</f>
      </c>
      <c r="U32" t="n">
        <v>74.0</v>
      </c>
      <c r="V32" t="s">
        <v>3813</v>
      </c>
      <c r="W32" t="s">
        <v>3790</v>
      </c>
      <c r="X32" t="n">
        <v>580710.0</v>
      </c>
      <c r="Y32" t="n">
        <v>580710.0</v>
      </c>
      <c r="Z32" t="n">
        <v>29036.0</v>
      </c>
      <c r="AA32" t="n">
        <v>87106.0</v>
      </c>
      <c r="AB32" t="n">
        <v>0.0</v>
      </c>
      <c r="AC32" t="n">
        <v>0.0</v>
      </c>
      <c r="AD32" t="n">
        <v>0.0</v>
      </c>
      <c r="AE32" t="n">
        <v>0.0</v>
      </c>
      <c r="AF32" t="n">
        <v>66000.0</v>
      </c>
      <c r="AG32" t="n">
        <v>0.0</v>
      </c>
      <c r="AH32" t="n">
        <v>0.0</v>
      </c>
      <c r="AI32" t="n">
        <v>0.0</v>
      </c>
      <c r="AJ32" t="n">
        <v>0.0</v>
      </c>
      <c r="AK32" t="n">
        <v>0.0</v>
      </c>
      <c r="AL32" t="n">
        <v>0.0</v>
      </c>
      <c r="AM32" t="n">
        <v>0.0</v>
      </c>
      <c r="AN32" t="n">
        <v>0.0</v>
      </c>
      <c r="AO32" t="n">
        <v>762852.0</v>
      </c>
      <c r="AP32" t="n">
        <v>76286.0</v>
      </c>
      <c r="AQ32" t="n">
        <v>62316.7</v>
      </c>
      <c r="CH32">
        <f>IFERROR(U32*1,0)</f>
      </c>
    </row>
    <row r="33">
      <c r="A33" t="n">
        <v>1.0</v>
      </c>
      <c r="B33">
        <f>IF((K33-G33-H33&gt;2400000),10,(L33/(K33-G33-H33)*100))</f>
      </c>
      <c r="C33">
        <f>IF(N33&gt;2400000,240000,(N33*S33)/100)</f>
      </c>
      <c r="D33">
        <f>IF(S33=0,0,IF((N33-I33)&gt;2400000,((((((N33-I33-J33)-240000))*0.1+(I33+J33)*0.1)))-7000,((((((N33-I33-J33)-(N33-I33-J33)*S33/100)))*0.1+(I33+J33)*0.1)-7000)))</f>
      </c>
      <c r="E33">
        <f>C33-O33</f>
      </c>
      <c r="F33">
        <f>D33-P33</f>
      </c>
      <c r="G33">
        <f>SUMIF(negtgel!U$2:BL$2,'Tsalin uzuulelt'!B$1,negtgel!U33:BL33) + SUMIF(negtgel!U$2:BL$2,'Tsalin uzuulelt'!B$2,negtgel!U33:BL33)+SUMIF(negtgel!U$2:BL$2,'Tsalin uzuulelt'!B$3,negtgel!U33:BL33)+SUMIF(negtgel!U$2:BL$2,'Tsalin uzuulelt'!B$4,negtgel!U33:BL33)+SUMIF(negtgel!U$2:BL$2,'Tsalin uzuulelt'!B$5,negtgel!U33:BL33)</f>
      </c>
      <c r="H33">
        <f>SUMIF(negtgel!U$2:BL$2,'Tsalin uzuulelt'!F$1,negtgel!U33:BL33) + SUMIF(negtgel!U$2:BL$2,'Tsalin uzuulelt'!F$2,negtgel!U33:BL33)+SUMIF(negtgel!U$2:BL$2,'Tsalin uzuulelt'!F$3,negtgel!U33:BL33)+SUMIF(negtgel!U$2:BL$2,'Tsalin uzuulelt'!F$4,negtgel!U33:BL33)+SUMIF(negtgel!U$2:BL$2,'Tsalin uzuulelt'!F$5,negtgel!U33:BL33)</f>
      </c>
      <c r="I33">
        <f>SUMIF(negtgel!U$2:BL$2,'Tsalin uzuulelt'!H$1,negtgel!U33:BL33) + SUMIF(negtgel!U$2:BL$2,'Tsalin uzuulelt'!H$2,negtgel!U33:BL33)+SUMIF(negtgel!U$2:BL$2,'Tsalin uzuulelt'!H$3,negtgel!U33:BL33)+SUMIF(negtgel!U$2:BL$2,'Tsalin uzuulelt'!H$4,negtgel!U33:BL33)+SUMIF(negtgel!U$2:BL$2,'Tsalin uzuulelt'!H$5,negtgel!U33:BL33)</f>
      </c>
      <c r="J33">
        <f>SUMIF(negtgel!U$2:BL$2,'Tsalin uzuulelt'!J$1,negtgel!U33:BL33) + SUMIF(negtgel!U$2:BL$2,'Tsalin uzuulelt'!J$2,negtgel!U33:BL33)+SUMIF(negtgel!U$2:BL$2,'Tsalin uzuulelt'!J$3,negtgel!U33:BL33)+SUMIF(negtgel!U$2:BL$2,'Tsalin uzuulelt'!J$4,negtgel!U33:BL33)+SUMIF(negtgel!U$2:BL$2,'Tsalin uzuulelt'!J$5,negtgel!U33:BL33)</f>
      </c>
      <c r="K33">
        <f>SUMIF(negtgel!U$2:BL$2,'Tsalin uzuulelt'!L$1,negtgel!U33:BL33) + SUMIF(negtgel!U$2:BL$2,'Tsalin uzuulelt'!L$2,negtgel!U33:BL33)+SUMIF(negtgel!U$2:BL$2,'Tsalin uzuulelt'!L$3,negtgel!U33:BL33)+SUMIF(negtgel!U$2:BL$2,'Tsalin uzuulelt'!L$4,negtgel!U33:BL33)+SUMIF(negtgel!U$2:BL$2,'Tsalin uzuulelt'!L$5,negtgel!U33:BL33)</f>
      </c>
      <c r="L33">
        <f>SUMIF(negtgel!U$2:BL$2,'Tsalin uzuulelt'!N$1,negtgel!U33:BL33) + SUMIF(negtgel!U$2:BL$2,'Tsalin uzuulelt'!N$2,negtgel!U33:BL33)+SUMIF(negtgel!U$2:BL$2,'Tsalin uzuulelt'!N$3,negtgel!U33:BL33)+SUMIF(negtgel!U$2:BL$2,'Tsalin uzuulelt'!N$4,negtgel!U33:BL33)+SUMIF(negtgel!U$2:BL$2,'Tsalin uzuulelt'!N$5,negtgel!U33:BL33)</f>
      </c>
      <c r="M33">
        <f>SUMIF(negtgel!U$2:BL$2,'Tsalin uzuulelt'!P$1,negtgel!U33:BL33) + SUMIF(negtgel!U$2:BL$2,'Tsalin uzuulelt'!P$2,negtgel!U33:BL33)+ SUMIF(negtgel!U$2:BL$2,'Tsalin uzuulelt'!P$3,negtgel!U33:BL33)+ SUMIF(negtgel!U$2:BL$2,'Tsalin uzuulelt'!P$4,negtgel!U33:BL33)+ SUMIF(negtgel!U$2:BL$2,'Tsalin uzuulelt'!P$5,negtgel!U33:BL33)</f>
      </c>
      <c r="N33">
        <f>IF(ISNUMBER(U33*1)=CF33,0,K33-H33-G33)</f>
      </c>
      <c r="O33">
        <f>IF(ISNUMBER(U33*1)=CF33,0,L33)</f>
      </c>
      <c r="P33">
        <f>IF(ISNUMBER(U33*1)=CF33,0,M33)</f>
      </c>
      <c r="Q33">
        <f>IF(N33&gt;2400000,N33,0)</f>
      </c>
      <c r="R33">
        <f>IF(L33/Q33*100&lt;3,2,10)</f>
      </c>
      <c r="S33">
        <f>IF(CH33=0,0,IF(B33&gt;9,10,IF(B33&gt;8,B33,IF(B33&gt;7.7,7.8,IF(B33&gt;3,B33,IF(B33&gt;1.5,2))))))</f>
      </c>
      <c r="T33">
        <f>IF(Q33=0,S33,R33)</f>
      </c>
      <c r="U33" t="n">
        <v>75.0</v>
      </c>
      <c r="V33" t="s">
        <v>3814</v>
      </c>
      <c r="W33" t="s">
        <v>3792</v>
      </c>
      <c r="X33" t="n">
        <v>500784.0</v>
      </c>
      <c r="Y33" t="n">
        <v>500784.0</v>
      </c>
      <c r="Z33" t="n">
        <v>0.0</v>
      </c>
      <c r="AA33" t="n">
        <v>0.0</v>
      </c>
      <c r="AB33" t="n">
        <v>0.0</v>
      </c>
      <c r="AC33" t="n">
        <v>0.0</v>
      </c>
      <c r="AD33" t="n">
        <v>0.0</v>
      </c>
      <c r="AE33" t="n">
        <v>0.0</v>
      </c>
      <c r="AF33" t="n">
        <v>66000.0</v>
      </c>
      <c r="AG33" t="n">
        <v>0.0</v>
      </c>
      <c r="AH33" t="n">
        <v>0.0</v>
      </c>
      <c r="AI33" t="n">
        <v>0.0</v>
      </c>
      <c r="AJ33" t="n">
        <v>0.0</v>
      </c>
      <c r="AK33" t="n">
        <v>0.0</v>
      </c>
      <c r="AL33" t="n">
        <v>0.0</v>
      </c>
      <c r="AM33" t="n">
        <v>0.0</v>
      </c>
      <c r="AN33" t="n">
        <v>0.0</v>
      </c>
      <c r="AO33" t="n">
        <v>566784.0</v>
      </c>
      <c r="AP33" t="n">
        <v>56679.0</v>
      </c>
      <c r="AQ33" t="n">
        <v>44670.6</v>
      </c>
      <c r="CH33">
        <f>IFERROR(U33*1,0)</f>
      </c>
    </row>
    <row r="34">
      <c r="A34" t="n">
        <v>1.0</v>
      </c>
      <c r="B34">
        <f>IF((K34-G34-H34&gt;2400000),10,(L34/(K34-G34-H34)*100))</f>
      </c>
      <c r="C34">
        <f>IF(N34&gt;2400000,240000,(N34*S34)/100)</f>
      </c>
      <c r="D34">
        <f>IF(S34=0,0,IF((N34-I34)&gt;2400000,((((((N34-I34-J34)-240000))*0.1+(I34+J34)*0.1)))-7000,((((((N34-I34-J34)-(N34-I34-J34)*S34/100)))*0.1+(I34+J34)*0.1)-7000)))</f>
      </c>
      <c r="E34">
        <f>C34-O34</f>
      </c>
      <c r="F34">
        <f>D34-P34</f>
      </c>
      <c r="G34">
        <f>SUMIF(negtgel!U$2:BL$2,'Tsalin uzuulelt'!B$1,negtgel!U34:BL34) + SUMIF(negtgel!U$2:BL$2,'Tsalin uzuulelt'!B$2,negtgel!U34:BL34)+SUMIF(negtgel!U$2:BL$2,'Tsalin uzuulelt'!B$3,negtgel!U34:BL34)+SUMIF(negtgel!U$2:BL$2,'Tsalin uzuulelt'!B$4,negtgel!U34:BL34)+SUMIF(negtgel!U$2:BL$2,'Tsalin uzuulelt'!B$5,negtgel!U34:BL34)</f>
      </c>
      <c r="H34">
        <f>SUMIF(negtgel!U$2:BL$2,'Tsalin uzuulelt'!F$1,negtgel!U34:BL34) + SUMIF(negtgel!U$2:BL$2,'Tsalin uzuulelt'!F$2,negtgel!U34:BL34)+SUMIF(negtgel!U$2:BL$2,'Tsalin uzuulelt'!F$3,negtgel!U34:BL34)+SUMIF(negtgel!U$2:BL$2,'Tsalin uzuulelt'!F$4,negtgel!U34:BL34)+SUMIF(negtgel!U$2:BL$2,'Tsalin uzuulelt'!F$5,negtgel!U34:BL34)</f>
      </c>
      <c r="I34">
        <f>SUMIF(negtgel!U$2:BL$2,'Tsalin uzuulelt'!H$1,negtgel!U34:BL34) + SUMIF(negtgel!U$2:BL$2,'Tsalin uzuulelt'!H$2,negtgel!U34:BL34)+SUMIF(negtgel!U$2:BL$2,'Tsalin uzuulelt'!H$3,negtgel!U34:BL34)+SUMIF(negtgel!U$2:BL$2,'Tsalin uzuulelt'!H$4,negtgel!U34:BL34)+SUMIF(negtgel!U$2:BL$2,'Tsalin uzuulelt'!H$5,negtgel!U34:BL34)</f>
      </c>
      <c r="J34">
        <f>SUMIF(negtgel!U$2:BL$2,'Tsalin uzuulelt'!J$1,negtgel!U34:BL34) + SUMIF(negtgel!U$2:BL$2,'Tsalin uzuulelt'!J$2,negtgel!U34:BL34)+SUMIF(negtgel!U$2:BL$2,'Tsalin uzuulelt'!J$3,negtgel!U34:BL34)+SUMIF(negtgel!U$2:BL$2,'Tsalin uzuulelt'!J$4,negtgel!U34:BL34)+SUMIF(negtgel!U$2:BL$2,'Tsalin uzuulelt'!J$5,negtgel!U34:BL34)</f>
      </c>
      <c r="K34">
        <f>SUMIF(negtgel!U$2:BL$2,'Tsalin uzuulelt'!L$1,negtgel!U34:BL34) + SUMIF(negtgel!U$2:BL$2,'Tsalin uzuulelt'!L$2,negtgel!U34:BL34)+SUMIF(negtgel!U$2:BL$2,'Tsalin uzuulelt'!L$3,negtgel!U34:BL34)+SUMIF(negtgel!U$2:BL$2,'Tsalin uzuulelt'!L$4,negtgel!U34:BL34)+SUMIF(negtgel!U$2:BL$2,'Tsalin uzuulelt'!L$5,negtgel!U34:BL34)</f>
      </c>
      <c r="L34">
        <f>SUMIF(negtgel!U$2:BL$2,'Tsalin uzuulelt'!N$1,negtgel!U34:BL34) + SUMIF(negtgel!U$2:BL$2,'Tsalin uzuulelt'!N$2,negtgel!U34:BL34)+SUMIF(negtgel!U$2:BL$2,'Tsalin uzuulelt'!N$3,negtgel!U34:BL34)+SUMIF(negtgel!U$2:BL$2,'Tsalin uzuulelt'!N$4,negtgel!U34:BL34)+SUMIF(negtgel!U$2:BL$2,'Tsalin uzuulelt'!N$5,negtgel!U34:BL34)</f>
      </c>
      <c r="M34">
        <f>SUMIF(negtgel!U$2:BL$2,'Tsalin uzuulelt'!P$1,negtgel!U34:BL34) + SUMIF(negtgel!U$2:BL$2,'Tsalin uzuulelt'!P$2,negtgel!U34:BL34)+ SUMIF(negtgel!U$2:BL$2,'Tsalin uzuulelt'!P$3,negtgel!U34:BL34)+ SUMIF(negtgel!U$2:BL$2,'Tsalin uzuulelt'!P$4,negtgel!U34:BL34)+ SUMIF(negtgel!U$2:BL$2,'Tsalin uzuulelt'!P$5,negtgel!U34:BL34)</f>
      </c>
      <c r="N34">
        <f>IF(ISNUMBER(U34*1)=CF34,0,K34-H34-G34)</f>
      </c>
      <c r="O34">
        <f>IF(ISNUMBER(U34*1)=CF34,0,L34)</f>
      </c>
      <c r="P34">
        <f>IF(ISNUMBER(U34*1)=CF34,0,M34)</f>
      </c>
      <c r="Q34">
        <f>IF(N34&gt;2400000,N34,0)</f>
      </c>
      <c r="R34">
        <f>IF(L34/Q34*100&lt;3,2,10)</f>
      </c>
      <c r="S34">
        <f>IF(CH34=0,0,IF(B34&gt;9,10,IF(B34&gt;8,B34,IF(B34&gt;7.7,7.8,IF(B34&gt;3,B34,IF(B34&gt;1.5,2))))))</f>
      </c>
      <c r="T34">
        <f>IF(Q34=0,S34,R34)</f>
      </c>
      <c r="U34" t="s">
        <v>3787</v>
      </c>
      <c r="V34"/>
      <c r="W34"/>
      <c r="X34" t="n">
        <v>1.0266028E7</v>
      </c>
      <c r="Y34" t="n">
        <v>6848853.0</v>
      </c>
      <c r="Z34" t="n">
        <v>296304.0</v>
      </c>
      <c r="AA34" t="n">
        <v>648008.0</v>
      </c>
      <c r="AB34" t="n">
        <v>0.0</v>
      </c>
      <c r="AC34" t="n">
        <v>0.0</v>
      </c>
      <c r="AD34" t="n">
        <v>0.0</v>
      </c>
      <c r="AE34" t="n">
        <v>0.0</v>
      </c>
      <c r="AF34" t="n">
        <v>798000.0</v>
      </c>
      <c r="AG34" t="n">
        <v>0.0</v>
      </c>
      <c r="AH34" t="n">
        <v>0.0</v>
      </c>
      <c r="AI34" t="n">
        <v>0.0</v>
      </c>
      <c r="AJ34" t="n">
        <v>460266.0</v>
      </c>
      <c r="AK34" t="n">
        <v>0.0</v>
      </c>
      <c r="AL34" t="n">
        <v>459201.0</v>
      </c>
      <c r="AM34" t="n">
        <v>0.0</v>
      </c>
      <c r="AN34" t="n">
        <v>0.0</v>
      </c>
      <c r="AO34" t="n">
        <v>9510632.0</v>
      </c>
      <c r="AP34" t="n">
        <v>905148.0</v>
      </c>
      <c r="AQ34" t="n">
        <v>698371.4</v>
      </c>
      <c r="CH34">
        <f>IFERROR(U34*1,0)</f>
      </c>
    </row>
    <row r="35">
      <c r="A35" t="n">
        <v>1.0</v>
      </c>
      <c r="B35">
        <f>IF((K35-G35-H35&gt;2400000),10,(L35/(K35-G35-H35)*100))</f>
      </c>
      <c r="C35">
        <f>IF(N35&gt;2400000,240000,(N35*S35)/100)</f>
      </c>
      <c r="D35">
        <f>IF(S35=0,0,IF((N35-I35)&gt;2400000,((((((N35-I35-J35)-240000))*0.1+(I35+J35)*0.1)))-7000,((((((N35-I35-J35)-(N35-I35-J35)*S35/100)))*0.1+(I35+J35)*0.1)-7000)))</f>
      </c>
      <c r="E35">
        <f>C35-O35</f>
      </c>
      <c r="F35">
        <f>D35-P35</f>
      </c>
      <c r="G35">
        <f>SUMIF(negtgel!U$2:BL$2,'Tsalin uzuulelt'!B$1,negtgel!U35:BL35) + SUMIF(negtgel!U$2:BL$2,'Tsalin uzuulelt'!B$2,negtgel!U35:BL35)+SUMIF(negtgel!U$2:BL$2,'Tsalin uzuulelt'!B$3,negtgel!U35:BL35)+SUMIF(negtgel!U$2:BL$2,'Tsalin uzuulelt'!B$4,negtgel!U35:BL35)+SUMIF(negtgel!U$2:BL$2,'Tsalin uzuulelt'!B$5,negtgel!U35:BL35)</f>
      </c>
      <c r="H35">
        <f>SUMIF(negtgel!U$2:BL$2,'Tsalin uzuulelt'!F$1,negtgel!U35:BL35) + SUMIF(negtgel!U$2:BL$2,'Tsalin uzuulelt'!F$2,negtgel!U35:BL35)+SUMIF(negtgel!U$2:BL$2,'Tsalin uzuulelt'!F$3,negtgel!U35:BL35)+SUMIF(negtgel!U$2:BL$2,'Tsalin uzuulelt'!F$4,negtgel!U35:BL35)+SUMIF(negtgel!U$2:BL$2,'Tsalin uzuulelt'!F$5,negtgel!U35:BL35)</f>
      </c>
      <c r="I35">
        <f>SUMIF(negtgel!U$2:BL$2,'Tsalin uzuulelt'!H$1,negtgel!U35:BL35) + SUMIF(negtgel!U$2:BL$2,'Tsalin uzuulelt'!H$2,negtgel!U35:BL35)+SUMIF(negtgel!U$2:BL$2,'Tsalin uzuulelt'!H$3,negtgel!U35:BL35)+SUMIF(negtgel!U$2:BL$2,'Tsalin uzuulelt'!H$4,negtgel!U35:BL35)+SUMIF(negtgel!U$2:BL$2,'Tsalin uzuulelt'!H$5,negtgel!U35:BL35)</f>
      </c>
      <c r="J35">
        <f>SUMIF(negtgel!U$2:BL$2,'Tsalin uzuulelt'!J$1,negtgel!U35:BL35) + SUMIF(negtgel!U$2:BL$2,'Tsalin uzuulelt'!J$2,negtgel!U35:BL35)+SUMIF(negtgel!U$2:BL$2,'Tsalin uzuulelt'!J$3,negtgel!U35:BL35)+SUMIF(negtgel!U$2:BL$2,'Tsalin uzuulelt'!J$4,negtgel!U35:BL35)+SUMIF(negtgel!U$2:BL$2,'Tsalin uzuulelt'!J$5,negtgel!U35:BL35)</f>
      </c>
      <c r="K35">
        <f>SUMIF(negtgel!U$2:BL$2,'Tsalin uzuulelt'!L$1,negtgel!U35:BL35) + SUMIF(negtgel!U$2:BL$2,'Tsalin uzuulelt'!L$2,negtgel!U35:BL35)+SUMIF(negtgel!U$2:BL$2,'Tsalin uzuulelt'!L$3,negtgel!U35:BL35)+SUMIF(negtgel!U$2:BL$2,'Tsalin uzuulelt'!L$4,negtgel!U35:BL35)+SUMIF(negtgel!U$2:BL$2,'Tsalin uzuulelt'!L$5,negtgel!U35:BL35)</f>
      </c>
      <c r="L35">
        <f>SUMIF(negtgel!U$2:BL$2,'Tsalin uzuulelt'!N$1,negtgel!U35:BL35) + SUMIF(negtgel!U$2:BL$2,'Tsalin uzuulelt'!N$2,negtgel!U35:BL35)+SUMIF(negtgel!U$2:BL$2,'Tsalin uzuulelt'!N$3,negtgel!U35:BL35)+SUMIF(negtgel!U$2:BL$2,'Tsalin uzuulelt'!N$4,negtgel!U35:BL35)+SUMIF(negtgel!U$2:BL$2,'Tsalin uzuulelt'!N$5,negtgel!U35:BL35)</f>
      </c>
      <c r="M35">
        <f>SUMIF(negtgel!U$2:BL$2,'Tsalin uzuulelt'!P$1,negtgel!U35:BL35) + SUMIF(negtgel!U$2:BL$2,'Tsalin uzuulelt'!P$2,negtgel!U35:BL35)+ SUMIF(negtgel!U$2:BL$2,'Tsalin uzuulelt'!P$3,negtgel!U35:BL35)+ SUMIF(negtgel!U$2:BL$2,'Tsalin uzuulelt'!P$4,negtgel!U35:BL35)+ SUMIF(negtgel!U$2:BL$2,'Tsalin uzuulelt'!P$5,negtgel!U35:BL35)</f>
      </c>
      <c r="N35">
        <f>IF(ISNUMBER(U35*1)=CF35,0,K35-H35-G35)</f>
      </c>
      <c r="O35">
        <f>IF(ISNUMBER(U35*1)=CF35,0,L35)</f>
      </c>
      <c r="P35">
        <f>IF(ISNUMBER(U35*1)=CF35,0,M35)</f>
      </c>
      <c r="Q35">
        <f>IF(N35&gt;2400000,N35,0)</f>
      </c>
      <c r="R35">
        <f>IF(L35/Q35*100&lt;3,2,10)</f>
      </c>
      <c r="S35">
        <f>IF(CH35=0,0,IF(B35&gt;9,10,IF(B35&gt;8,B35,IF(B35&gt;7.7,7.8,IF(B35&gt;3,B35,IF(B35&gt;1.5,2))))))</f>
      </c>
      <c r="T35">
        <f>IF(Q35=0,S35,R35)</f>
      </c>
      <c r="U35" t="s">
        <v>3815</v>
      </c>
      <c r="V35"/>
      <c r="W35"/>
      <c r="X35"/>
      <c r="Y35"/>
      <c r="Z35"/>
      <c r="AA35"/>
      <c r="AB35"/>
      <c r="AC35"/>
      <c r="AD35"/>
      <c r="AE35"/>
      <c r="AF35"/>
      <c r="AG35"/>
      <c r="AH35"/>
      <c r="AI35"/>
      <c r="AJ35"/>
      <c r="AK35"/>
      <c r="AL35"/>
      <c r="AM35"/>
      <c r="AN35"/>
      <c r="AO35"/>
      <c r="AP35"/>
      <c r="AQ35"/>
      <c r="CH35">
        <f>IFERROR(U35*1,0)</f>
      </c>
    </row>
    <row r="36">
      <c r="A36" t="n">
        <v>1.0</v>
      </c>
      <c r="B36">
        <f>IF((K36-G36-H36&gt;2400000),10,(L36/(K36-G36-H36)*100))</f>
      </c>
      <c r="C36">
        <f>IF(N36&gt;2400000,240000,(N36*S36)/100)</f>
      </c>
      <c r="D36">
        <f>IF(S36=0,0,IF((N36-I36)&gt;2400000,((((((N36-I36-J36)-240000))*0.1+(I36+J36)*0.1)))-7000,((((((N36-I36-J36)-(N36-I36-J36)*S36/100)))*0.1+(I36+J36)*0.1)-7000)))</f>
      </c>
      <c r="E36">
        <f>C36-O36</f>
      </c>
      <c r="F36">
        <f>D36-P36</f>
      </c>
      <c r="G36">
        <f>SUMIF(negtgel!U$2:BL$2,'Tsalin uzuulelt'!B$1,negtgel!U36:BL36) + SUMIF(negtgel!U$2:BL$2,'Tsalin uzuulelt'!B$2,negtgel!U36:BL36)+SUMIF(negtgel!U$2:BL$2,'Tsalin uzuulelt'!B$3,negtgel!U36:BL36)+SUMIF(negtgel!U$2:BL$2,'Tsalin uzuulelt'!B$4,negtgel!U36:BL36)+SUMIF(negtgel!U$2:BL$2,'Tsalin uzuulelt'!B$5,negtgel!U36:BL36)</f>
      </c>
      <c r="H36">
        <f>SUMIF(negtgel!U$2:BL$2,'Tsalin uzuulelt'!F$1,negtgel!U36:BL36) + SUMIF(negtgel!U$2:BL$2,'Tsalin uzuulelt'!F$2,negtgel!U36:BL36)+SUMIF(negtgel!U$2:BL$2,'Tsalin uzuulelt'!F$3,negtgel!U36:BL36)+SUMIF(negtgel!U$2:BL$2,'Tsalin uzuulelt'!F$4,negtgel!U36:BL36)+SUMIF(negtgel!U$2:BL$2,'Tsalin uzuulelt'!F$5,negtgel!U36:BL36)</f>
      </c>
      <c r="I36">
        <f>SUMIF(negtgel!U$2:BL$2,'Tsalin uzuulelt'!H$1,negtgel!U36:BL36) + SUMIF(negtgel!U$2:BL$2,'Tsalin uzuulelt'!H$2,negtgel!U36:BL36)+SUMIF(negtgel!U$2:BL$2,'Tsalin uzuulelt'!H$3,negtgel!U36:BL36)+SUMIF(negtgel!U$2:BL$2,'Tsalin uzuulelt'!H$4,negtgel!U36:BL36)+SUMIF(negtgel!U$2:BL$2,'Tsalin uzuulelt'!H$5,negtgel!U36:BL36)</f>
      </c>
      <c r="J36">
        <f>SUMIF(negtgel!U$2:BL$2,'Tsalin uzuulelt'!J$1,negtgel!U36:BL36) + SUMIF(negtgel!U$2:BL$2,'Tsalin uzuulelt'!J$2,negtgel!U36:BL36)+SUMIF(negtgel!U$2:BL$2,'Tsalin uzuulelt'!J$3,negtgel!U36:BL36)+SUMIF(negtgel!U$2:BL$2,'Tsalin uzuulelt'!J$4,negtgel!U36:BL36)+SUMIF(negtgel!U$2:BL$2,'Tsalin uzuulelt'!J$5,negtgel!U36:BL36)</f>
      </c>
      <c r="K36">
        <f>SUMIF(negtgel!U$2:BL$2,'Tsalin uzuulelt'!L$1,negtgel!U36:BL36) + SUMIF(negtgel!U$2:BL$2,'Tsalin uzuulelt'!L$2,negtgel!U36:BL36)+SUMIF(negtgel!U$2:BL$2,'Tsalin uzuulelt'!L$3,negtgel!U36:BL36)+SUMIF(negtgel!U$2:BL$2,'Tsalin uzuulelt'!L$4,negtgel!U36:BL36)+SUMIF(negtgel!U$2:BL$2,'Tsalin uzuulelt'!L$5,negtgel!U36:BL36)</f>
      </c>
      <c r="L36">
        <f>SUMIF(negtgel!U$2:BL$2,'Tsalin uzuulelt'!N$1,negtgel!U36:BL36) + SUMIF(negtgel!U$2:BL$2,'Tsalin uzuulelt'!N$2,negtgel!U36:BL36)+SUMIF(negtgel!U$2:BL$2,'Tsalin uzuulelt'!N$3,negtgel!U36:BL36)+SUMIF(negtgel!U$2:BL$2,'Tsalin uzuulelt'!N$4,negtgel!U36:BL36)+SUMIF(negtgel!U$2:BL$2,'Tsalin uzuulelt'!N$5,negtgel!U36:BL36)</f>
      </c>
      <c r="M36">
        <f>SUMIF(negtgel!U$2:BL$2,'Tsalin uzuulelt'!P$1,negtgel!U36:BL36) + SUMIF(negtgel!U$2:BL$2,'Tsalin uzuulelt'!P$2,negtgel!U36:BL36)+ SUMIF(negtgel!U$2:BL$2,'Tsalin uzuulelt'!P$3,negtgel!U36:BL36)+ SUMIF(negtgel!U$2:BL$2,'Tsalin uzuulelt'!P$4,negtgel!U36:BL36)+ SUMIF(negtgel!U$2:BL$2,'Tsalin uzuulelt'!P$5,negtgel!U36:BL36)</f>
      </c>
      <c r="N36">
        <f>IF(ISNUMBER(U36*1)=CF36,0,K36-H36-G36)</f>
      </c>
      <c r="O36">
        <f>IF(ISNUMBER(U36*1)=CF36,0,L36)</f>
      </c>
      <c r="P36">
        <f>IF(ISNUMBER(U36*1)=CF36,0,M36)</f>
      </c>
      <c r="Q36">
        <f>IF(N36&gt;2400000,N36,0)</f>
      </c>
      <c r="R36">
        <f>IF(L36/Q36*100&lt;3,2,10)</f>
      </c>
      <c r="S36">
        <f>IF(CH36=0,0,IF(B36&gt;9,10,IF(B36&gt;8,B36,IF(B36&gt;7.7,7.8,IF(B36&gt;3,B36,IF(B36&gt;1.5,2))))))</f>
      </c>
      <c r="T36">
        <f>IF(Q36=0,S36,R36)</f>
      </c>
      <c r="U36" t="n">
        <v>76.0</v>
      </c>
      <c r="V36" t="s">
        <v>3816</v>
      </c>
      <c r="W36" t="s">
        <v>3790</v>
      </c>
      <c r="X36" t="n">
        <v>547759.0</v>
      </c>
      <c r="Y36" t="n">
        <v>473065.0</v>
      </c>
      <c r="Z36" t="n">
        <v>0.0</v>
      </c>
      <c r="AA36" t="n">
        <v>0.0</v>
      </c>
      <c r="AB36" t="n">
        <v>0.0</v>
      </c>
      <c r="AC36" t="n">
        <v>0.0</v>
      </c>
      <c r="AD36" t="n">
        <v>0.0</v>
      </c>
      <c r="AE36" t="n">
        <v>0.0</v>
      </c>
      <c r="AF36" t="n">
        <v>57000.0</v>
      </c>
      <c r="AG36" t="n">
        <v>0.0</v>
      </c>
      <c r="AH36" t="n">
        <v>0.0</v>
      </c>
      <c r="AI36" t="n">
        <v>0.0</v>
      </c>
      <c r="AJ36" t="n">
        <v>0.0</v>
      </c>
      <c r="AK36" t="n">
        <v>0.0</v>
      </c>
      <c r="AL36" t="n">
        <v>0.0</v>
      </c>
      <c r="AM36" t="n">
        <v>0.0</v>
      </c>
      <c r="AN36" t="n">
        <v>0.0</v>
      </c>
      <c r="AO36" t="n">
        <v>530065.0</v>
      </c>
      <c r="AP36" t="n">
        <v>53007.0</v>
      </c>
      <c r="AQ36" t="n">
        <v>41275.8</v>
      </c>
      <c r="CH36">
        <f>IFERROR(U36*1,0)</f>
      </c>
    </row>
    <row r="37">
      <c r="A37" t="n">
        <v>1.0</v>
      </c>
      <c r="B37">
        <f>IF((K37-G37-H37&gt;2400000),10,(L37/(K37-G37-H37)*100))</f>
      </c>
      <c r="C37">
        <f>IF(N37&gt;2400000,240000,(N37*S37)/100)</f>
      </c>
      <c r="D37">
        <f>IF(S37=0,0,IF((N37-I37)&gt;2400000,((((((N37-I37-J37)-240000))*0.1+(I37+J37)*0.1)))-7000,((((((N37-I37-J37)-(N37-I37-J37)*S37/100)))*0.1+(I37+J37)*0.1)-7000)))</f>
      </c>
      <c r="E37">
        <f>C37-O37</f>
      </c>
      <c r="F37">
        <f>D37-P37</f>
      </c>
      <c r="G37">
        <f>SUMIF(negtgel!U$2:BL$2,'Tsalin uzuulelt'!B$1,negtgel!U37:BL37) + SUMIF(negtgel!U$2:BL$2,'Tsalin uzuulelt'!B$2,negtgel!U37:BL37)+SUMIF(negtgel!U$2:BL$2,'Tsalin uzuulelt'!B$3,negtgel!U37:BL37)+SUMIF(negtgel!U$2:BL$2,'Tsalin uzuulelt'!B$4,negtgel!U37:BL37)+SUMIF(negtgel!U$2:BL$2,'Tsalin uzuulelt'!B$5,negtgel!U37:BL37)</f>
      </c>
      <c r="H37">
        <f>SUMIF(negtgel!U$2:BL$2,'Tsalin uzuulelt'!F$1,negtgel!U37:BL37) + SUMIF(negtgel!U$2:BL$2,'Tsalin uzuulelt'!F$2,negtgel!U37:BL37)+SUMIF(negtgel!U$2:BL$2,'Tsalin uzuulelt'!F$3,negtgel!U37:BL37)+SUMIF(negtgel!U$2:BL$2,'Tsalin uzuulelt'!F$4,negtgel!U37:BL37)+SUMIF(negtgel!U$2:BL$2,'Tsalin uzuulelt'!F$5,negtgel!U37:BL37)</f>
      </c>
      <c r="I37">
        <f>SUMIF(negtgel!U$2:BL$2,'Tsalin uzuulelt'!H$1,negtgel!U37:BL37) + SUMIF(negtgel!U$2:BL$2,'Tsalin uzuulelt'!H$2,negtgel!U37:BL37)+SUMIF(negtgel!U$2:BL$2,'Tsalin uzuulelt'!H$3,negtgel!U37:BL37)+SUMIF(negtgel!U$2:BL$2,'Tsalin uzuulelt'!H$4,negtgel!U37:BL37)+SUMIF(negtgel!U$2:BL$2,'Tsalin uzuulelt'!H$5,negtgel!U37:BL37)</f>
      </c>
      <c r="J37">
        <f>SUMIF(negtgel!U$2:BL$2,'Tsalin uzuulelt'!J$1,negtgel!U37:BL37) + SUMIF(negtgel!U$2:BL$2,'Tsalin uzuulelt'!J$2,negtgel!U37:BL37)+SUMIF(negtgel!U$2:BL$2,'Tsalin uzuulelt'!J$3,negtgel!U37:BL37)+SUMIF(negtgel!U$2:BL$2,'Tsalin uzuulelt'!J$4,negtgel!U37:BL37)+SUMIF(negtgel!U$2:BL$2,'Tsalin uzuulelt'!J$5,negtgel!U37:BL37)</f>
      </c>
      <c r="K37">
        <f>SUMIF(negtgel!U$2:BL$2,'Tsalin uzuulelt'!L$1,negtgel!U37:BL37) + SUMIF(negtgel!U$2:BL$2,'Tsalin uzuulelt'!L$2,negtgel!U37:BL37)+SUMIF(negtgel!U$2:BL$2,'Tsalin uzuulelt'!L$3,negtgel!U37:BL37)+SUMIF(negtgel!U$2:BL$2,'Tsalin uzuulelt'!L$4,negtgel!U37:BL37)+SUMIF(negtgel!U$2:BL$2,'Tsalin uzuulelt'!L$5,negtgel!U37:BL37)</f>
      </c>
      <c r="L37">
        <f>SUMIF(negtgel!U$2:BL$2,'Tsalin uzuulelt'!N$1,negtgel!U37:BL37) + SUMIF(negtgel!U$2:BL$2,'Tsalin uzuulelt'!N$2,negtgel!U37:BL37)+SUMIF(negtgel!U$2:BL$2,'Tsalin uzuulelt'!N$3,negtgel!U37:BL37)+SUMIF(negtgel!U$2:BL$2,'Tsalin uzuulelt'!N$4,negtgel!U37:BL37)+SUMIF(negtgel!U$2:BL$2,'Tsalin uzuulelt'!N$5,negtgel!U37:BL37)</f>
      </c>
      <c r="M37">
        <f>SUMIF(negtgel!U$2:BL$2,'Tsalin uzuulelt'!P$1,negtgel!U37:BL37) + SUMIF(negtgel!U$2:BL$2,'Tsalin uzuulelt'!P$2,negtgel!U37:BL37)+ SUMIF(negtgel!U$2:BL$2,'Tsalin uzuulelt'!P$3,negtgel!U37:BL37)+ SUMIF(negtgel!U$2:BL$2,'Tsalin uzuulelt'!P$4,negtgel!U37:BL37)+ SUMIF(negtgel!U$2:BL$2,'Tsalin uzuulelt'!P$5,negtgel!U37:BL37)</f>
      </c>
      <c r="N37">
        <f>IF(ISNUMBER(U37*1)=CF37,0,K37-H37-G37)</f>
      </c>
      <c r="O37">
        <f>IF(ISNUMBER(U37*1)=CF37,0,L37)</f>
      </c>
      <c r="P37">
        <f>IF(ISNUMBER(U37*1)=CF37,0,M37)</f>
      </c>
      <c r="Q37">
        <f>IF(N37&gt;2400000,N37,0)</f>
      </c>
      <c r="R37">
        <f>IF(L37/Q37*100&lt;3,2,10)</f>
      </c>
      <c r="S37">
        <f>IF(CH37=0,0,IF(B37&gt;9,10,IF(B37&gt;8,B37,IF(B37&gt;7.7,7.8,IF(B37&gt;3,B37,IF(B37&gt;1.5,2))))))</f>
      </c>
      <c r="T37">
        <f>IF(Q37=0,S37,R37)</f>
      </c>
      <c r="U37" t="n">
        <v>77.0</v>
      </c>
      <c r="V37" t="s">
        <v>3817</v>
      </c>
      <c r="W37" t="s">
        <v>3790</v>
      </c>
      <c r="X37" t="n">
        <v>677436.0</v>
      </c>
      <c r="Y37" t="n">
        <v>677436.0</v>
      </c>
      <c r="Z37" t="n">
        <v>135487.0</v>
      </c>
      <c r="AA37" t="n">
        <v>135487.0</v>
      </c>
      <c r="AB37" t="n">
        <v>0.0</v>
      </c>
      <c r="AC37" t="n">
        <v>0.0</v>
      </c>
      <c r="AD37" t="n">
        <v>0.0</v>
      </c>
      <c r="AE37" t="n">
        <v>0.0</v>
      </c>
      <c r="AF37" t="n">
        <v>66000.0</v>
      </c>
      <c r="AG37" t="n">
        <v>0.0</v>
      </c>
      <c r="AH37" t="n">
        <v>0.0</v>
      </c>
      <c r="AI37" t="n">
        <v>0.0</v>
      </c>
      <c r="AJ37" t="n">
        <v>0.0</v>
      </c>
      <c r="AK37" t="n">
        <v>0.0</v>
      </c>
      <c r="AL37" t="n">
        <v>0.0</v>
      </c>
      <c r="AM37" t="n">
        <v>0.0</v>
      </c>
      <c r="AN37" t="n">
        <v>0.0</v>
      </c>
      <c r="AO37" t="n">
        <v>1014410.0</v>
      </c>
      <c r="AP37" t="n">
        <v>101441.0</v>
      </c>
      <c r="AQ37" t="n">
        <v>84956.9</v>
      </c>
      <c r="CH37">
        <f>IFERROR(U37*1,0)</f>
      </c>
    </row>
    <row r="38">
      <c r="A38" t="n">
        <v>1.0</v>
      </c>
      <c r="B38">
        <f>IF((K38-G38-H38&gt;2400000),10,(L38/(K38-G38-H38)*100))</f>
      </c>
      <c r="C38">
        <f>IF(N38&gt;2400000,240000,(N38*S38)/100)</f>
      </c>
      <c r="D38">
        <f>IF(S38=0,0,IF((N38-I38)&gt;2400000,((((((N38-I38-J38)-240000))*0.1+(I38+J38)*0.1)))-7000,((((((N38-I38-J38)-(N38-I38-J38)*S38/100)))*0.1+(I38+J38)*0.1)-7000)))</f>
      </c>
      <c r="E38">
        <f>C38-O38</f>
      </c>
      <c r="F38">
        <f>D38-P38</f>
      </c>
      <c r="G38">
        <f>SUMIF(negtgel!U$2:BL$2,'Tsalin uzuulelt'!B$1,negtgel!U38:BL38) + SUMIF(negtgel!U$2:BL$2,'Tsalin uzuulelt'!B$2,negtgel!U38:BL38)+SUMIF(negtgel!U$2:BL$2,'Tsalin uzuulelt'!B$3,negtgel!U38:BL38)+SUMIF(negtgel!U$2:BL$2,'Tsalin uzuulelt'!B$4,negtgel!U38:BL38)+SUMIF(negtgel!U$2:BL$2,'Tsalin uzuulelt'!B$5,negtgel!U38:BL38)</f>
      </c>
      <c r="H38">
        <f>SUMIF(negtgel!U$2:BL$2,'Tsalin uzuulelt'!F$1,negtgel!U38:BL38) + SUMIF(negtgel!U$2:BL$2,'Tsalin uzuulelt'!F$2,negtgel!U38:BL38)+SUMIF(negtgel!U$2:BL$2,'Tsalin uzuulelt'!F$3,negtgel!U38:BL38)+SUMIF(negtgel!U$2:BL$2,'Tsalin uzuulelt'!F$4,negtgel!U38:BL38)+SUMIF(negtgel!U$2:BL$2,'Tsalin uzuulelt'!F$5,negtgel!U38:BL38)</f>
      </c>
      <c r="I38">
        <f>SUMIF(negtgel!U$2:BL$2,'Tsalin uzuulelt'!H$1,negtgel!U38:BL38) + SUMIF(negtgel!U$2:BL$2,'Tsalin uzuulelt'!H$2,negtgel!U38:BL38)+SUMIF(negtgel!U$2:BL$2,'Tsalin uzuulelt'!H$3,negtgel!U38:BL38)+SUMIF(negtgel!U$2:BL$2,'Tsalin uzuulelt'!H$4,negtgel!U38:BL38)+SUMIF(negtgel!U$2:BL$2,'Tsalin uzuulelt'!H$5,negtgel!U38:BL38)</f>
      </c>
      <c r="J38">
        <f>SUMIF(negtgel!U$2:BL$2,'Tsalin uzuulelt'!J$1,negtgel!U38:BL38) + SUMIF(negtgel!U$2:BL$2,'Tsalin uzuulelt'!J$2,negtgel!U38:BL38)+SUMIF(negtgel!U$2:BL$2,'Tsalin uzuulelt'!J$3,negtgel!U38:BL38)+SUMIF(negtgel!U$2:BL$2,'Tsalin uzuulelt'!J$4,negtgel!U38:BL38)+SUMIF(negtgel!U$2:BL$2,'Tsalin uzuulelt'!J$5,negtgel!U38:BL38)</f>
      </c>
      <c r="K38">
        <f>SUMIF(negtgel!U$2:BL$2,'Tsalin uzuulelt'!L$1,negtgel!U38:BL38) + SUMIF(negtgel!U$2:BL$2,'Tsalin uzuulelt'!L$2,negtgel!U38:BL38)+SUMIF(negtgel!U$2:BL$2,'Tsalin uzuulelt'!L$3,negtgel!U38:BL38)+SUMIF(negtgel!U$2:BL$2,'Tsalin uzuulelt'!L$4,negtgel!U38:BL38)+SUMIF(negtgel!U$2:BL$2,'Tsalin uzuulelt'!L$5,negtgel!U38:BL38)</f>
      </c>
      <c r="L38">
        <f>SUMIF(negtgel!U$2:BL$2,'Tsalin uzuulelt'!N$1,negtgel!U38:BL38) + SUMIF(negtgel!U$2:BL$2,'Tsalin uzuulelt'!N$2,negtgel!U38:BL38)+SUMIF(negtgel!U$2:BL$2,'Tsalin uzuulelt'!N$3,negtgel!U38:BL38)+SUMIF(negtgel!U$2:BL$2,'Tsalin uzuulelt'!N$4,negtgel!U38:BL38)+SUMIF(negtgel!U$2:BL$2,'Tsalin uzuulelt'!N$5,negtgel!U38:BL38)</f>
      </c>
      <c r="M38">
        <f>SUMIF(negtgel!U$2:BL$2,'Tsalin uzuulelt'!P$1,negtgel!U38:BL38) + SUMIF(negtgel!U$2:BL$2,'Tsalin uzuulelt'!P$2,negtgel!U38:BL38)+ SUMIF(negtgel!U$2:BL$2,'Tsalin uzuulelt'!P$3,negtgel!U38:BL38)+ SUMIF(negtgel!U$2:BL$2,'Tsalin uzuulelt'!P$4,negtgel!U38:BL38)+ SUMIF(negtgel!U$2:BL$2,'Tsalin uzuulelt'!P$5,negtgel!U38:BL38)</f>
      </c>
      <c r="N38">
        <f>IF(ISNUMBER(U38*1)=CF38,0,K38-H38-G38)</f>
      </c>
      <c r="O38">
        <f>IF(ISNUMBER(U38*1)=CF38,0,L38)</f>
      </c>
      <c r="P38">
        <f>IF(ISNUMBER(U38*1)=CF38,0,M38)</f>
      </c>
      <c r="Q38">
        <f>IF(N38&gt;2400000,N38,0)</f>
      </c>
      <c r="R38">
        <f>IF(L38/Q38*100&lt;3,2,10)</f>
      </c>
      <c r="S38">
        <f>IF(CH38=0,0,IF(B38&gt;9,10,IF(B38&gt;8,B38,IF(B38&gt;7.7,7.8,IF(B38&gt;3,B38,IF(B38&gt;1.5,2))))))</f>
      </c>
      <c r="T38">
        <f>IF(Q38=0,S38,R38)</f>
      </c>
      <c r="U38" t="n">
        <v>78.0</v>
      </c>
      <c r="V38" t="s">
        <v>3818</v>
      </c>
      <c r="W38" t="s">
        <v>3785</v>
      </c>
      <c r="X38" t="n">
        <v>795935.0</v>
      </c>
      <c r="Y38" t="n">
        <v>795935.0</v>
      </c>
      <c r="Z38" t="n">
        <v>159187.0</v>
      </c>
      <c r="AA38" t="n">
        <v>143268.0</v>
      </c>
      <c r="AB38" t="n">
        <v>0.0</v>
      </c>
      <c r="AC38" t="n">
        <v>0.0</v>
      </c>
      <c r="AD38" t="n">
        <v>0.0</v>
      </c>
      <c r="AE38" t="n">
        <v>0.0</v>
      </c>
      <c r="AF38" t="n">
        <v>66000.0</v>
      </c>
      <c r="AG38" t="n">
        <v>0.0</v>
      </c>
      <c r="AH38" t="n">
        <v>0.0</v>
      </c>
      <c r="AI38" t="n">
        <v>0.0</v>
      </c>
      <c r="AJ38" t="n">
        <v>0.0</v>
      </c>
      <c r="AK38" t="n">
        <v>0.0</v>
      </c>
      <c r="AL38" t="n">
        <v>0.0</v>
      </c>
      <c r="AM38" t="n">
        <v>0.0</v>
      </c>
      <c r="AN38" t="n">
        <v>0.0</v>
      </c>
      <c r="AO38" t="n">
        <v>1164390.0</v>
      </c>
      <c r="AP38" t="n">
        <v>116439.0</v>
      </c>
      <c r="AQ38" t="n">
        <v>98455.1</v>
      </c>
      <c r="CH38">
        <f>IFERROR(U38*1,0)</f>
      </c>
    </row>
    <row r="39">
      <c r="A39" t="n">
        <v>1.0</v>
      </c>
      <c r="B39">
        <f>IF((K39-G39-H39&gt;2400000),10,(L39/(K39-G39-H39)*100))</f>
      </c>
      <c r="C39">
        <f>IF(N39&gt;2400000,240000,(N39*S39)/100)</f>
      </c>
      <c r="D39">
        <f>IF(S39=0,0,IF((N39-I39)&gt;2400000,((((((N39-I39-J39)-240000))*0.1+(I39+J39)*0.1)))-7000,((((((N39-I39-J39)-(N39-I39-J39)*S39/100)))*0.1+(I39+J39)*0.1)-7000)))</f>
      </c>
      <c r="E39">
        <f>C39-O39</f>
      </c>
      <c r="F39">
        <f>D39-P39</f>
      </c>
      <c r="G39">
        <f>SUMIF(negtgel!U$2:BL$2,'Tsalin uzuulelt'!B$1,negtgel!U39:BL39) + SUMIF(negtgel!U$2:BL$2,'Tsalin uzuulelt'!B$2,negtgel!U39:BL39)+SUMIF(negtgel!U$2:BL$2,'Tsalin uzuulelt'!B$3,negtgel!U39:BL39)+SUMIF(negtgel!U$2:BL$2,'Tsalin uzuulelt'!B$4,negtgel!U39:BL39)+SUMIF(negtgel!U$2:BL$2,'Tsalin uzuulelt'!B$5,negtgel!U39:BL39)</f>
      </c>
      <c r="H39">
        <f>SUMIF(negtgel!U$2:BL$2,'Tsalin uzuulelt'!F$1,negtgel!U39:BL39) + SUMIF(negtgel!U$2:BL$2,'Tsalin uzuulelt'!F$2,negtgel!U39:BL39)+SUMIF(negtgel!U$2:BL$2,'Tsalin uzuulelt'!F$3,negtgel!U39:BL39)+SUMIF(negtgel!U$2:BL$2,'Tsalin uzuulelt'!F$4,negtgel!U39:BL39)+SUMIF(negtgel!U$2:BL$2,'Tsalin uzuulelt'!F$5,negtgel!U39:BL39)</f>
      </c>
      <c r="I39">
        <f>SUMIF(negtgel!U$2:BL$2,'Tsalin uzuulelt'!H$1,negtgel!U39:BL39) + SUMIF(negtgel!U$2:BL$2,'Tsalin uzuulelt'!H$2,negtgel!U39:BL39)+SUMIF(negtgel!U$2:BL$2,'Tsalin uzuulelt'!H$3,negtgel!U39:BL39)+SUMIF(negtgel!U$2:BL$2,'Tsalin uzuulelt'!H$4,negtgel!U39:BL39)+SUMIF(negtgel!U$2:BL$2,'Tsalin uzuulelt'!H$5,negtgel!U39:BL39)</f>
      </c>
      <c r="J39">
        <f>SUMIF(negtgel!U$2:BL$2,'Tsalin uzuulelt'!J$1,negtgel!U39:BL39) + SUMIF(negtgel!U$2:BL$2,'Tsalin uzuulelt'!J$2,negtgel!U39:BL39)+SUMIF(negtgel!U$2:BL$2,'Tsalin uzuulelt'!J$3,negtgel!U39:BL39)+SUMIF(negtgel!U$2:BL$2,'Tsalin uzuulelt'!J$4,negtgel!U39:BL39)+SUMIF(negtgel!U$2:BL$2,'Tsalin uzuulelt'!J$5,negtgel!U39:BL39)</f>
      </c>
      <c r="K39">
        <f>SUMIF(negtgel!U$2:BL$2,'Tsalin uzuulelt'!L$1,negtgel!U39:BL39) + SUMIF(negtgel!U$2:BL$2,'Tsalin uzuulelt'!L$2,negtgel!U39:BL39)+SUMIF(negtgel!U$2:BL$2,'Tsalin uzuulelt'!L$3,negtgel!U39:BL39)+SUMIF(negtgel!U$2:BL$2,'Tsalin uzuulelt'!L$4,negtgel!U39:BL39)+SUMIF(negtgel!U$2:BL$2,'Tsalin uzuulelt'!L$5,negtgel!U39:BL39)</f>
      </c>
      <c r="L39">
        <f>SUMIF(negtgel!U$2:BL$2,'Tsalin uzuulelt'!N$1,negtgel!U39:BL39) + SUMIF(negtgel!U$2:BL$2,'Tsalin uzuulelt'!N$2,negtgel!U39:BL39)+SUMIF(negtgel!U$2:BL$2,'Tsalin uzuulelt'!N$3,negtgel!U39:BL39)+SUMIF(negtgel!U$2:BL$2,'Tsalin uzuulelt'!N$4,negtgel!U39:BL39)+SUMIF(negtgel!U$2:BL$2,'Tsalin uzuulelt'!N$5,negtgel!U39:BL39)</f>
      </c>
      <c r="M39">
        <f>SUMIF(negtgel!U$2:BL$2,'Tsalin uzuulelt'!P$1,negtgel!U39:BL39) + SUMIF(negtgel!U$2:BL$2,'Tsalin uzuulelt'!P$2,negtgel!U39:BL39)+ SUMIF(negtgel!U$2:BL$2,'Tsalin uzuulelt'!P$3,negtgel!U39:BL39)+ SUMIF(negtgel!U$2:BL$2,'Tsalin uzuulelt'!P$4,negtgel!U39:BL39)+ SUMIF(negtgel!U$2:BL$2,'Tsalin uzuulelt'!P$5,negtgel!U39:BL39)</f>
      </c>
      <c r="N39">
        <f>IF(ISNUMBER(U39*1)=CF39,0,K39-H39-G39)</f>
      </c>
      <c r="O39">
        <f>IF(ISNUMBER(U39*1)=CF39,0,L39)</f>
      </c>
      <c r="P39">
        <f>IF(ISNUMBER(U39*1)=CF39,0,M39)</f>
      </c>
      <c r="Q39">
        <f>IF(N39&gt;2400000,N39,0)</f>
      </c>
      <c r="R39">
        <f>IF(L39/Q39*100&lt;3,2,10)</f>
      </c>
      <c r="S39">
        <f>IF(CH39=0,0,IF(B39&gt;9,10,IF(B39&gt;8,B39,IF(B39&gt;7.7,7.8,IF(B39&gt;3,B39,IF(B39&gt;1.5,2))))))</f>
      </c>
      <c r="T39">
        <f>IF(Q39=0,S39,R39)</f>
      </c>
      <c r="U39" t="n">
        <v>79.0</v>
      </c>
      <c r="V39" t="s">
        <v>3819</v>
      </c>
      <c r="W39" t="s">
        <v>3820</v>
      </c>
      <c r="X39" t="n">
        <v>698795.0</v>
      </c>
      <c r="Y39" t="n">
        <v>476451.0</v>
      </c>
      <c r="Z39" t="n">
        <v>71468.0</v>
      </c>
      <c r="AA39" t="n">
        <v>85761.0</v>
      </c>
      <c r="AB39" t="n">
        <v>0.0</v>
      </c>
      <c r="AC39" t="n">
        <v>0.0</v>
      </c>
      <c r="AD39" t="n">
        <v>0.0</v>
      </c>
      <c r="AE39" t="n">
        <v>0.0</v>
      </c>
      <c r="AF39" t="n">
        <v>45000.0</v>
      </c>
      <c r="AG39" t="n">
        <v>0.0</v>
      </c>
      <c r="AH39" t="n">
        <v>0.0</v>
      </c>
      <c r="AI39" t="n">
        <v>0.0</v>
      </c>
      <c r="AJ39" t="n">
        <v>0.0</v>
      </c>
      <c r="AK39" t="n">
        <v>0.0</v>
      </c>
      <c r="AL39" t="n">
        <v>0.0</v>
      </c>
      <c r="AM39" t="n">
        <v>0.0</v>
      </c>
      <c r="AN39" t="n">
        <v>0.0</v>
      </c>
      <c r="AO39" t="n">
        <v>678680.0</v>
      </c>
      <c r="AP39" t="n">
        <v>67868.0</v>
      </c>
      <c r="AQ39" t="n">
        <v>54531.2</v>
      </c>
      <c r="CH39">
        <f>IFERROR(U39*1,0)</f>
      </c>
    </row>
    <row r="40">
      <c r="A40" t="n">
        <v>1.0</v>
      </c>
      <c r="B40">
        <f>IF((K40-G40-H40&gt;2400000),10,(L40/(K40-G40-H40)*100))</f>
      </c>
      <c r="C40">
        <f>IF(N40&gt;2400000,240000,(N40*S40)/100)</f>
      </c>
      <c r="D40">
        <f>IF(S40=0,0,IF((N40-I40)&gt;2400000,((((((N40-I40-J40)-240000))*0.1+(I40+J40)*0.1)))-7000,((((((N40-I40-J40)-(N40-I40-J40)*S40/100)))*0.1+(I40+J40)*0.1)-7000)))</f>
      </c>
      <c r="E40">
        <f>C40-O40</f>
      </c>
      <c r="F40">
        <f>D40-P40</f>
      </c>
      <c r="G40">
        <f>SUMIF(negtgel!U$2:BL$2,'Tsalin uzuulelt'!B$1,negtgel!U40:BL40) + SUMIF(negtgel!U$2:BL$2,'Tsalin uzuulelt'!B$2,negtgel!U40:BL40)+SUMIF(negtgel!U$2:BL$2,'Tsalin uzuulelt'!B$3,negtgel!U40:BL40)+SUMIF(negtgel!U$2:BL$2,'Tsalin uzuulelt'!B$4,negtgel!U40:BL40)+SUMIF(negtgel!U$2:BL$2,'Tsalin uzuulelt'!B$5,negtgel!U40:BL40)</f>
      </c>
      <c r="H40">
        <f>SUMIF(negtgel!U$2:BL$2,'Tsalin uzuulelt'!F$1,negtgel!U40:BL40) + SUMIF(negtgel!U$2:BL$2,'Tsalin uzuulelt'!F$2,negtgel!U40:BL40)+SUMIF(negtgel!U$2:BL$2,'Tsalin uzuulelt'!F$3,negtgel!U40:BL40)+SUMIF(negtgel!U$2:BL$2,'Tsalin uzuulelt'!F$4,negtgel!U40:BL40)+SUMIF(negtgel!U$2:BL$2,'Tsalin uzuulelt'!F$5,negtgel!U40:BL40)</f>
      </c>
      <c r="I40">
        <f>SUMIF(negtgel!U$2:BL$2,'Tsalin uzuulelt'!H$1,negtgel!U40:BL40) + SUMIF(negtgel!U$2:BL$2,'Tsalin uzuulelt'!H$2,negtgel!U40:BL40)+SUMIF(negtgel!U$2:BL$2,'Tsalin uzuulelt'!H$3,negtgel!U40:BL40)+SUMIF(negtgel!U$2:BL$2,'Tsalin uzuulelt'!H$4,negtgel!U40:BL40)+SUMIF(negtgel!U$2:BL$2,'Tsalin uzuulelt'!H$5,negtgel!U40:BL40)</f>
      </c>
      <c r="J40">
        <f>SUMIF(negtgel!U$2:BL$2,'Tsalin uzuulelt'!J$1,negtgel!U40:BL40) + SUMIF(negtgel!U$2:BL$2,'Tsalin uzuulelt'!J$2,negtgel!U40:BL40)+SUMIF(negtgel!U$2:BL$2,'Tsalin uzuulelt'!J$3,negtgel!U40:BL40)+SUMIF(negtgel!U$2:BL$2,'Tsalin uzuulelt'!J$4,negtgel!U40:BL40)+SUMIF(negtgel!U$2:BL$2,'Tsalin uzuulelt'!J$5,negtgel!U40:BL40)</f>
      </c>
      <c r="K40">
        <f>SUMIF(negtgel!U$2:BL$2,'Tsalin uzuulelt'!L$1,negtgel!U40:BL40) + SUMIF(negtgel!U$2:BL$2,'Tsalin uzuulelt'!L$2,negtgel!U40:BL40)+SUMIF(negtgel!U$2:BL$2,'Tsalin uzuulelt'!L$3,negtgel!U40:BL40)+SUMIF(negtgel!U$2:BL$2,'Tsalin uzuulelt'!L$4,negtgel!U40:BL40)+SUMIF(negtgel!U$2:BL$2,'Tsalin uzuulelt'!L$5,negtgel!U40:BL40)</f>
      </c>
      <c r="L40">
        <f>SUMIF(negtgel!U$2:BL$2,'Tsalin uzuulelt'!N$1,negtgel!U40:BL40) + SUMIF(negtgel!U$2:BL$2,'Tsalin uzuulelt'!N$2,negtgel!U40:BL40)+SUMIF(negtgel!U$2:BL$2,'Tsalin uzuulelt'!N$3,negtgel!U40:BL40)+SUMIF(negtgel!U$2:BL$2,'Tsalin uzuulelt'!N$4,negtgel!U40:BL40)+SUMIF(negtgel!U$2:BL$2,'Tsalin uzuulelt'!N$5,negtgel!U40:BL40)</f>
      </c>
      <c r="M40">
        <f>SUMIF(negtgel!U$2:BL$2,'Tsalin uzuulelt'!P$1,negtgel!U40:BL40) + SUMIF(negtgel!U$2:BL$2,'Tsalin uzuulelt'!P$2,negtgel!U40:BL40)+ SUMIF(negtgel!U$2:BL$2,'Tsalin uzuulelt'!P$3,negtgel!U40:BL40)+ SUMIF(negtgel!U$2:BL$2,'Tsalin uzuulelt'!P$4,negtgel!U40:BL40)+ SUMIF(negtgel!U$2:BL$2,'Tsalin uzuulelt'!P$5,negtgel!U40:BL40)</f>
      </c>
      <c r="N40">
        <f>IF(ISNUMBER(U40*1)=CF40,0,K40-H40-G40)</f>
      </c>
      <c r="O40">
        <f>IF(ISNUMBER(U40*1)=CF40,0,L40)</f>
      </c>
      <c r="P40">
        <f>IF(ISNUMBER(U40*1)=CF40,0,M40)</f>
      </c>
      <c r="Q40">
        <f>IF(N40&gt;2400000,N40,0)</f>
      </c>
      <c r="R40">
        <f>IF(L40/Q40*100&lt;3,2,10)</f>
      </c>
      <c r="S40">
        <f>IF(CH40=0,0,IF(B40&gt;9,10,IF(B40&gt;8,B40,IF(B40&gt;7.7,7.8,IF(B40&gt;3,B40,IF(B40&gt;1.5,2))))))</f>
      </c>
      <c r="T40">
        <f>IF(Q40=0,S40,R40)</f>
      </c>
      <c r="U40" t="n">
        <v>80.0</v>
      </c>
      <c r="V40" t="s">
        <v>3821</v>
      </c>
      <c r="W40" t="s">
        <v>3790</v>
      </c>
      <c r="X40" t="n">
        <v>547759.0</v>
      </c>
      <c r="Y40" t="n">
        <v>473065.0</v>
      </c>
      <c r="Z40" t="n">
        <v>0.0</v>
      </c>
      <c r="AA40" t="n">
        <v>0.0</v>
      </c>
      <c r="AB40" t="n">
        <v>0.0</v>
      </c>
      <c r="AC40" t="n">
        <v>0.0</v>
      </c>
      <c r="AD40" t="n">
        <v>0.0</v>
      </c>
      <c r="AE40" t="n">
        <v>0.0</v>
      </c>
      <c r="AF40" t="n">
        <v>57000.0</v>
      </c>
      <c r="AG40" t="n">
        <v>0.0</v>
      </c>
      <c r="AH40" t="n">
        <v>0.0</v>
      </c>
      <c r="AI40" t="n">
        <v>0.0</v>
      </c>
      <c r="AJ40" t="n">
        <v>0.0</v>
      </c>
      <c r="AK40" t="n">
        <v>0.0</v>
      </c>
      <c r="AL40" t="n">
        <v>0.0</v>
      </c>
      <c r="AM40" t="n">
        <v>0.0</v>
      </c>
      <c r="AN40" t="n">
        <v>0.0</v>
      </c>
      <c r="AO40" t="n">
        <v>530065.0</v>
      </c>
      <c r="AP40" t="n">
        <v>53007.0</v>
      </c>
      <c r="AQ40" t="n">
        <v>41275.8</v>
      </c>
      <c r="CH40">
        <f>IFERROR(U40*1,0)</f>
      </c>
    </row>
    <row r="41">
      <c r="A41" t="n">
        <v>1.0</v>
      </c>
      <c r="B41">
        <f>IF((K41-G41-H41&gt;2400000),10,(L41/(K41-G41-H41)*100))</f>
      </c>
      <c r="C41">
        <f>IF(N41&gt;2400000,240000,(N41*S41)/100)</f>
      </c>
      <c r="D41">
        <f>IF(S41=0,0,IF((N41-I41)&gt;2400000,((((((N41-I41-J41)-240000))*0.1+(I41+J41)*0.1)))-7000,((((((N41-I41-J41)-(N41-I41-J41)*S41/100)))*0.1+(I41+J41)*0.1)-7000)))</f>
      </c>
      <c r="E41">
        <f>C41-O41</f>
      </c>
      <c r="F41">
        <f>D41-P41</f>
      </c>
      <c r="G41">
        <f>SUMIF(negtgel!U$2:BL$2,'Tsalin uzuulelt'!B$1,negtgel!U41:BL41) + SUMIF(negtgel!U$2:BL$2,'Tsalin uzuulelt'!B$2,negtgel!U41:BL41)+SUMIF(negtgel!U$2:BL$2,'Tsalin uzuulelt'!B$3,negtgel!U41:BL41)+SUMIF(negtgel!U$2:BL$2,'Tsalin uzuulelt'!B$4,negtgel!U41:BL41)+SUMIF(negtgel!U$2:BL$2,'Tsalin uzuulelt'!B$5,negtgel!U41:BL41)</f>
      </c>
      <c r="H41">
        <f>SUMIF(negtgel!U$2:BL$2,'Tsalin uzuulelt'!F$1,negtgel!U41:BL41) + SUMIF(negtgel!U$2:BL$2,'Tsalin uzuulelt'!F$2,negtgel!U41:BL41)+SUMIF(negtgel!U$2:BL$2,'Tsalin uzuulelt'!F$3,negtgel!U41:BL41)+SUMIF(negtgel!U$2:BL$2,'Tsalin uzuulelt'!F$4,negtgel!U41:BL41)+SUMIF(negtgel!U$2:BL$2,'Tsalin uzuulelt'!F$5,negtgel!U41:BL41)</f>
      </c>
      <c r="I41">
        <f>SUMIF(negtgel!U$2:BL$2,'Tsalin uzuulelt'!H$1,negtgel!U41:BL41) + SUMIF(negtgel!U$2:BL$2,'Tsalin uzuulelt'!H$2,negtgel!U41:BL41)+SUMIF(negtgel!U$2:BL$2,'Tsalin uzuulelt'!H$3,negtgel!U41:BL41)+SUMIF(negtgel!U$2:BL$2,'Tsalin uzuulelt'!H$4,negtgel!U41:BL41)+SUMIF(negtgel!U$2:BL$2,'Tsalin uzuulelt'!H$5,negtgel!U41:BL41)</f>
      </c>
      <c r="J41">
        <f>SUMIF(negtgel!U$2:BL$2,'Tsalin uzuulelt'!J$1,negtgel!U41:BL41) + SUMIF(negtgel!U$2:BL$2,'Tsalin uzuulelt'!J$2,negtgel!U41:BL41)+SUMIF(negtgel!U$2:BL$2,'Tsalin uzuulelt'!J$3,negtgel!U41:BL41)+SUMIF(negtgel!U$2:BL$2,'Tsalin uzuulelt'!J$4,negtgel!U41:BL41)+SUMIF(negtgel!U$2:BL$2,'Tsalin uzuulelt'!J$5,negtgel!U41:BL41)</f>
      </c>
      <c r="K41">
        <f>SUMIF(negtgel!U$2:BL$2,'Tsalin uzuulelt'!L$1,negtgel!U41:BL41) + SUMIF(negtgel!U$2:BL$2,'Tsalin uzuulelt'!L$2,negtgel!U41:BL41)+SUMIF(negtgel!U$2:BL$2,'Tsalin uzuulelt'!L$3,negtgel!U41:BL41)+SUMIF(negtgel!U$2:BL$2,'Tsalin uzuulelt'!L$4,negtgel!U41:BL41)+SUMIF(negtgel!U$2:BL$2,'Tsalin uzuulelt'!L$5,negtgel!U41:BL41)</f>
      </c>
      <c r="L41">
        <f>SUMIF(negtgel!U$2:BL$2,'Tsalin uzuulelt'!N$1,negtgel!U41:BL41) + SUMIF(negtgel!U$2:BL$2,'Tsalin uzuulelt'!N$2,negtgel!U41:BL41)+SUMIF(negtgel!U$2:BL$2,'Tsalin uzuulelt'!N$3,negtgel!U41:BL41)+SUMIF(negtgel!U$2:BL$2,'Tsalin uzuulelt'!N$4,negtgel!U41:BL41)+SUMIF(negtgel!U$2:BL$2,'Tsalin uzuulelt'!N$5,negtgel!U41:BL41)</f>
      </c>
      <c r="M41">
        <f>SUMIF(negtgel!U$2:BL$2,'Tsalin uzuulelt'!P$1,negtgel!U41:BL41) + SUMIF(negtgel!U$2:BL$2,'Tsalin uzuulelt'!P$2,negtgel!U41:BL41)+ SUMIF(negtgel!U$2:BL$2,'Tsalin uzuulelt'!P$3,negtgel!U41:BL41)+ SUMIF(negtgel!U$2:BL$2,'Tsalin uzuulelt'!P$4,negtgel!U41:BL41)+ SUMIF(negtgel!U$2:BL$2,'Tsalin uzuulelt'!P$5,negtgel!U41:BL41)</f>
      </c>
      <c r="N41">
        <f>IF(ISNUMBER(U41*1)=CF41,0,K41-H41-G41)</f>
      </c>
      <c r="O41">
        <f>IF(ISNUMBER(U41*1)=CF41,0,L41)</f>
      </c>
      <c r="P41">
        <f>IF(ISNUMBER(U41*1)=CF41,0,M41)</f>
      </c>
      <c r="Q41">
        <f>IF(N41&gt;2400000,N41,0)</f>
      </c>
      <c r="R41">
        <f>IF(L41/Q41*100&lt;3,2,10)</f>
      </c>
      <c r="S41">
        <f>IF(CH41=0,0,IF(B41&gt;9,10,IF(B41&gt;8,B41,IF(B41&gt;7.7,7.8,IF(B41&gt;3,B41,IF(B41&gt;1.5,2))))))</f>
      </c>
      <c r="T41">
        <f>IF(Q41=0,S41,R41)</f>
      </c>
      <c r="U41" t="n">
        <v>81.0</v>
      </c>
      <c r="V41" t="s">
        <v>3822</v>
      </c>
      <c r="W41" t="s">
        <v>3823</v>
      </c>
      <c r="X41" t="n">
        <v>539547.0</v>
      </c>
      <c r="Y41" t="n">
        <v>539547.0</v>
      </c>
      <c r="Z41" t="n">
        <v>0.0</v>
      </c>
      <c r="AA41" t="n">
        <v>0.0</v>
      </c>
      <c r="AB41" t="n">
        <v>26977.0</v>
      </c>
      <c r="AC41" t="n">
        <v>0.0</v>
      </c>
      <c r="AD41" t="n">
        <v>0.0</v>
      </c>
      <c r="AE41" t="n">
        <v>0.0</v>
      </c>
      <c r="AF41" t="n">
        <v>66000.0</v>
      </c>
      <c r="AG41" t="n">
        <v>0.0</v>
      </c>
      <c r="AH41" t="n">
        <v>0.0</v>
      </c>
      <c r="AI41" t="n">
        <v>0.0</v>
      </c>
      <c r="AJ41" t="n">
        <v>0.0</v>
      </c>
      <c r="AK41" t="n">
        <v>0.0</v>
      </c>
      <c r="AL41" t="n">
        <v>0.0</v>
      </c>
      <c r="AM41" t="n">
        <v>0.0</v>
      </c>
      <c r="AN41" t="n">
        <v>0.0</v>
      </c>
      <c r="AO41" t="n">
        <v>632524.0</v>
      </c>
      <c r="AP41" t="n">
        <v>63252.0</v>
      </c>
      <c r="AQ41" t="n">
        <v>50587.2</v>
      </c>
      <c r="CH41">
        <f>IFERROR(U41*1,0)</f>
      </c>
    </row>
    <row r="42">
      <c r="A42" t="n">
        <v>1.0</v>
      </c>
      <c r="B42">
        <f>IF((K42-G42-H42&gt;2400000),10,(L42/(K42-G42-H42)*100))</f>
      </c>
      <c r="C42">
        <f>IF(N42&gt;2400000,240000,(N42*S42)/100)</f>
      </c>
      <c r="D42">
        <f>IF(S42=0,0,IF((N42-I42)&gt;2400000,((((((N42-I42-J42)-240000))*0.1+(I42+J42)*0.1)))-7000,((((((N42-I42-J42)-(N42-I42-J42)*S42/100)))*0.1+(I42+J42)*0.1)-7000)))</f>
      </c>
      <c r="E42">
        <f>C42-O42</f>
      </c>
      <c r="F42">
        <f>D42-P42</f>
      </c>
      <c r="G42">
        <f>SUMIF(negtgel!U$2:BL$2,'Tsalin uzuulelt'!B$1,negtgel!U42:BL42) + SUMIF(negtgel!U$2:BL$2,'Tsalin uzuulelt'!B$2,negtgel!U42:BL42)+SUMIF(negtgel!U$2:BL$2,'Tsalin uzuulelt'!B$3,negtgel!U42:BL42)+SUMIF(negtgel!U$2:BL$2,'Tsalin uzuulelt'!B$4,negtgel!U42:BL42)+SUMIF(negtgel!U$2:BL$2,'Tsalin uzuulelt'!B$5,negtgel!U42:BL42)</f>
      </c>
      <c r="H42">
        <f>SUMIF(negtgel!U$2:BL$2,'Tsalin uzuulelt'!F$1,negtgel!U42:BL42) + SUMIF(negtgel!U$2:BL$2,'Tsalin uzuulelt'!F$2,negtgel!U42:BL42)+SUMIF(negtgel!U$2:BL$2,'Tsalin uzuulelt'!F$3,negtgel!U42:BL42)+SUMIF(negtgel!U$2:BL$2,'Tsalin uzuulelt'!F$4,negtgel!U42:BL42)+SUMIF(negtgel!U$2:BL$2,'Tsalin uzuulelt'!F$5,negtgel!U42:BL42)</f>
      </c>
      <c r="I42">
        <f>SUMIF(negtgel!U$2:BL$2,'Tsalin uzuulelt'!H$1,negtgel!U42:BL42) + SUMIF(negtgel!U$2:BL$2,'Tsalin uzuulelt'!H$2,negtgel!U42:BL42)+SUMIF(negtgel!U$2:BL$2,'Tsalin uzuulelt'!H$3,negtgel!U42:BL42)+SUMIF(negtgel!U$2:BL$2,'Tsalin uzuulelt'!H$4,negtgel!U42:BL42)+SUMIF(negtgel!U$2:BL$2,'Tsalin uzuulelt'!H$5,negtgel!U42:BL42)</f>
      </c>
      <c r="J42">
        <f>SUMIF(negtgel!U$2:BL$2,'Tsalin uzuulelt'!J$1,negtgel!U42:BL42) + SUMIF(negtgel!U$2:BL$2,'Tsalin uzuulelt'!J$2,negtgel!U42:BL42)+SUMIF(negtgel!U$2:BL$2,'Tsalin uzuulelt'!J$3,negtgel!U42:BL42)+SUMIF(negtgel!U$2:BL$2,'Tsalin uzuulelt'!J$4,negtgel!U42:BL42)+SUMIF(negtgel!U$2:BL$2,'Tsalin uzuulelt'!J$5,negtgel!U42:BL42)</f>
      </c>
      <c r="K42">
        <f>SUMIF(negtgel!U$2:BL$2,'Tsalin uzuulelt'!L$1,negtgel!U42:BL42) + SUMIF(negtgel!U$2:BL$2,'Tsalin uzuulelt'!L$2,negtgel!U42:BL42)+SUMIF(negtgel!U$2:BL$2,'Tsalin uzuulelt'!L$3,negtgel!U42:BL42)+SUMIF(negtgel!U$2:BL$2,'Tsalin uzuulelt'!L$4,negtgel!U42:BL42)+SUMIF(negtgel!U$2:BL$2,'Tsalin uzuulelt'!L$5,negtgel!U42:BL42)</f>
      </c>
      <c r="L42">
        <f>SUMIF(negtgel!U$2:BL$2,'Tsalin uzuulelt'!N$1,negtgel!U42:BL42) + SUMIF(negtgel!U$2:BL$2,'Tsalin uzuulelt'!N$2,negtgel!U42:BL42)+SUMIF(negtgel!U$2:BL$2,'Tsalin uzuulelt'!N$3,negtgel!U42:BL42)+SUMIF(negtgel!U$2:BL$2,'Tsalin uzuulelt'!N$4,negtgel!U42:BL42)+SUMIF(negtgel!U$2:BL$2,'Tsalin uzuulelt'!N$5,negtgel!U42:BL42)</f>
      </c>
      <c r="M42">
        <f>SUMIF(negtgel!U$2:BL$2,'Tsalin uzuulelt'!P$1,negtgel!U42:BL42) + SUMIF(negtgel!U$2:BL$2,'Tsalin uzuulelt'!P$2,negtgel!U42:BL42)+ SUMIF(negtgel!U$2:BL$2,'Tsalin uzuulelt'!P$3,negtgel!U42:BL42)+ SUMIF(negtgel!U$2:BL$2,'Tsalin uzuulelt'!P$4,negtgel!U42:BL42)+ SUMIF(negtgel!U$2:BL$2,'Tsalin uzuulelt'!P$5,negtgel!U42:BL42)</f>
      </c>
      <c r="N42">
        <f>IF(ISNUMBER(U42*1)=CF42,0,K42-H42-G42)</f>
      </c>
      <c r="O42">
        <f>IF(ISNUMBER(U42*1)=CF42,0,L42)</f>
      </c>
      <c r="P42">
        <f>IF(ISNUMBER(U42*1)=CF42,0,M42)</f>
      </c>
      <c r="Q42">
        <f>IF(N42&gt;2400000,N42,0)</f>
      </c>
      <c r="R42">
        <f>IF(L42/Q42*100&lt;3,2,10)</f>
      </c>
      <c r="S42">
        <f>IF(CH42=0,0,IF(B42&gt;9,10,IF(B42&gt;8,B42,IF(B42&gt;7.7,7.8,IF(B42&gt;3,B42,IF(B42&gt;1.5,2))))))</f>
      </c>
      <c r="T42">
        <f>IF(Q42=0,S42,R42)</f>
      </c>
      <c r="U42" t="n">
        <v>82.0</v>
      </c>
      <c r="V42" t="s">
        <v>3824</v>
      </c>
      <c r="W42" t="s">
        <v>3790</v>
      </c>
      <c r="X42" t="n">
        <v>677436.0</v>
      </c>
      <c r="Y42" t="n">
        <v>677436.0</v>
      </c>
      <c r="Z42" t="n">
        <v>135487.0</v>
      </c>
      <c r="AA42" t="n">
        <v>121938.0</v>
      </c>
      <c r="AB42" t="n">
        <v>0.0</v>
      </c>
      <c r="AC42" t="n">
        <v>101615.0</v>
      </c>
      <c r="AD42" t="n">
        <v>0.0</v>
      </c>
      <c r="AE42" t="n">
        <v>0.0</v>
      </c>
      <c r="AF42" t="n">
        <v>66000.0</v>
      </c>
      <c r="AG42" t="n">
        <v>0.0</v>
      </c>
      <c r="AH42" t="n">
        <v>0.0</v>
      </c>
      <c r="AI42" t="n">
        <v>0.0</v>
      </c>
      <c r="AJ42" t="n">
        <v>0.0</v>
      </c>
      <c r="AK42" t="n">
        <v>0.0</v>
      </c>
      <c r="AL42" t="n">
        <v>0.0</v>
      </c>
      <c r="AM42" t="n">
        <v>0.0</v>
      </c>
      <c r="AN42" t="n">
        <v>0.0</v>
      </c>
      <c r="AO42" t="n">
        <v>1102476.0</v>
      </c>
      <c r="AP42" t="n">
        <v>110248.0</v>
      </c>
      <c r="AQ42" t="n">
        <v>92882.8</v>
      </c>
      <c r="CH42">
        <f>IFERROR(U42*1,0)</f>
      </c>
    </row>
    <row r="43">
      <c r="A43" t="n">
        <v>1.0</v>
      </c>
      <c r="B43">
        <f>IF((K43-G43-H43&gt;2400000),10,(L43/(K43-G43-H43)*100))</f>
      </c>
      <c r="C43">
        <f>IF(N43&gt;2400000,240000,(N43*S43)/100)</f>
      </c>
      <c r="D43">
        <f>IF(S43=0,0,IF((N43-I43)&gt;2400000,((((((N43-I43-J43)-240000))*0.1+(I43+J43)*0.1)))-7000,((((((N43-I43-J43)-(N43-I43-J43)*S43/100)))*0.1+(I43+J43)*0.1)-7000)))</f>
      </c>
      <c r="E43">
        <f>C43-O43</f>
      </c>
      <c r="F43">
        <f>D43-P43</f>
      </c>
      <c r="G43">
        <f>SUMIF(negtgel!U$2:BL$2,'Tsalin uzuulelt'!B$1,negtgel!U43:BL43) + SUMIF(negtgel!U$2:BL$2,'Tsalin uzuulelt'!B$2,negtgel!U43:BL43)+SUMIF(negtgel!U$2:BL$2,'Tsalin uzuulelt'!B$3,negtgel!U43:BL43)+SUMIF(negtgel!U$2:BL$2,'Tsalin uzuulelt'!B$4,negtgel!U43:BL43)+SUMIF(negtgel!U$2:BL$2,'Tsalin uzuulelt'!B$5,negtgel!U43:BL43)</f>
      </c>
      <c r="H43">
        <f>SUMIF(negtgel!U$2:BL$2,'Tsalin uzuulelt'!F$1,negtgel!U43:BL43) + SUMIF(negtgel!U$2:BL$2,'Tsalin uzuulelt'!F$2,negtgel!U43:BL43)+SUMIF(negtgel!U$2:BL$2,'Tsalin uzuulelt'!F$3,negtgel!U43:BL43)+SUMIF(negtgel!U$2:BL$2,'Tsalin uzuulelt'!F$4,negtgel!U43:BL43)+SUMIF(negtgel!U$2:BL$2,'Tsalin uzuulelt'!F$5,negtgel!U43:BL43)</f>
      </c>
      <c r="I43">
        <f>SUMIF(negtgel!U$2:BL$2,'Tsalin uzuulelt'!H$1,negtgel!U43:BL43) + SUMIF(negtgel!U$2:BL$2,'Tsalin uzuulelt'!H$2,negtgel!U43:BL43)+SUMIF(negtgel!U$2:BL$2,'Tsalin uzuulelt'!H$3,negtgel!U43:BL43)+SUMIF(negtgel!U$2:BL$2,'Tsalin uzuulelt'!H$4,negtgel!U43:BL43)+SUMIF(negtgel!U$2:BL$2,'Tsalin uzuulelt'!H$5,negtgel!U43:BL43)</f>
      </c>
      <c r="J43">
        <f>SUMIF(negtgel!U$2:BL$2,'Tsalin uzuulelt'!J$1,negtgel!U43:BL43) + SUMIF(negtgel!U$2:BL$2,'Tsalin uzuulelt'!J$2,negtgel!U43:BL43)+SUMIF(negtgel!U$2:BL$2,'Tsalin uzuulelt'!J$3,negtgel!U43:BL43)+SUMIF(negtgel!U$2:BL$2,'Tsalin uzuulelt'!J$4,negtgel!U43:BL43)+SUMIF(negtgel!U$2:BL$2,'Tsalin uzuulelt'!J$5,negtgel!U43:BL43)</f>
      </c>
      <c r="K43">
        <f>SUMIF(negtgel!U$2:BL$2,'Tsalin uzuulelt'!L$1,negtgel!U43:BL43) + SUMIF(negtgel!U$2:BL$2,'Tsalin uzuulelt'!L$2,negtgel!U43:BL43)+SUMIF(negtgel!U$2:BL$2,'Tsalin uzuulelt'!L$3,negtgel!U43:BL43)+SUMIF(negtgel!U$2:BL$2,'Tsalin uzuulelt'!L$4,negtgel!U43:BL43)+SUMIF(negtgel!U$2:BL$2,'Tsalin uzuulelt'!L$5,negtgel!U43:BL43)</f>
      </c>
      <c r="L43">
        <f>SUMIF(negtgel!U$2:BL$2,'Tsalin uzuulelt'!N$1,negtgel!U43:BL43) + SUMIF(negtgel!U$2:BL$2,'Tsalin uzuulelt'!N$2,negtgel!U43:BL43)+SUMIF(negtgel!U$2:BL$2,'Tsalin uzuulelt'!N$3,negtgel!U43:BL43)+SUMIF(negtgel!U$2:BL$2,'Tsalin uzuulelt'!N$4,negtgel!U43:BL43)+SUMIF(negtgel!U$2:BL$2,'Tsalin uzuulelt'!N$5,negtgel!U43:BL43)</f>
      </c>
      <c r="M43">
        <f>SUMIF(negtgel!U$2:BL$2,'Tsalin uzuulelt'!P$1,negtgel!U43:BL43) + SUMIF(negtgel!U$2:BL$2,'Tsalin uzuulelt'!P$2,negtgel!U43:BL43)+ SUMIF(negtgel!U$2:BL$2,'Tsalin uzuulelt'!P$3,negtgel!U43:BL43)+ SUMIF(negtgel!U$2:BL$2,'Tsalin uzuulelt'!P$4,negtgel!U43:BL43)+ SUMIF(negtgel!U$2:BL$2,'Tsalin uzuulelt'!P$5,negtgel!U43:BL43)</f>
      </c>
      <c r="N43">
        <f>IF(ISNUMBER(U43*1)=CF43,0,K43-H43-G43)</f>
      </c>
      <c r="O43">
        <f>IF(ISNUMBER(U43*1)=CF43,0,L43)</f>
      </c>
      <c r="P43">
        <f>IF(ISNUMBER(U43*1)=CF43,0,M43)</f>
      </c>
      <c r="Q43">
        <f>IF(N43&gt;2400000,N43,0)</f>
      </c>
      <c r="R43">
        <f>IF(L43/Q43*100&lt;3,2,10)</f>
      </c>
      <c r="S43">
        <f>IF(CH43=0,0,IF(B43&gt;9,10,IF(B43&gt;8,B43,IF(B43&gt;7.7,7.8,IF(B43&gt;3,B43,IF(B43&gt;1.5,2))))))</f>
      </c>
      <c r="T43">
        <f>IF(Q43=0,S43,R43)</f>
      </c>
      <c r="U43" t="s">
        <v>3787</v>
      </c>
      <c r="V43"/>
      <c r="W43"/>
      <c r="X43" t="n">
        <v>4484667.0</v>
      </c>
      <c r="Y43" t="n">
        <v>4112935.0</v>
      </c>
      <c r="Z43" t="n">
        <v>501629.0</v>
      </c>
      <c r="AA43" t="n">
        <v>486454.0</v>
      </c>
      <c r="AB43" t="n">
        <v>26977.0</v>
      </c>
      <c r="AC43" t="n">
        <v>101615.0</v>
      </c>
      <c r="AD43" t="n">
        <v>0.0</v>
      </c>
      <c r="AE43" t="n">
        <v>0.0</v>
      </c>
      <c r="AF43" t="n">
        <v>423000.0</v>
      </c>
      <c r="AG43" t="n">
        <v>0.0</v>
      </c>
      <c r="AH43" t="n">
        <v>0.0</v>
      </c>
      <c r="AI43" t="n">
        <v>0.0</v>
      </c>
      <c r="AJ43" t="n">
        <v>0.0</v>
      </c>
      <c r="AK43" t="n">
        <v>0.0</v>
      </c>
      <c r="AL43" t="n">
        <v>0.0</v>
      </c>
      <c r="AM43" t="n">
        <v>0.0</v>
      </c>
      <c r="AN43" t="n">
        <v>0.0</v>
      </c>
      <c r="AO43" t="n">
        <v>5652610.0</v>
      </c>
      <c r="AP43" t="n">
        <v>565262.0</v>
      </c>
      <c r="AQ43" t="n">
        <v>463964.8</v>
      </c>
      <c r="CH43">
        <f>IFERROR(U43*1,0)</f>
      </c>
    </row>
    <row r="44">
      <c r="A44" t="n">
        <v>1.0</v>
      </c>
      <c r="B44">
        <f>IF((K44-G44-H44&gt;2400000),10,(L44/(K44-G44-H44)*100))</f>
      </c>
      <c r="C44">
        <f>IF(N44&gt;2400000,240000,(N44*S44)/100)</f>
      </c>
      <c r="D44">
        <f>IF(S44=0,0,IF((N44-I44)&gt;2400000,((((((N44-I44-J44)-240000))*0.1+(I44+J44)*0.1)))-7000,((((((N44-I44-J44)-(N44-I44-J44)*S44/100)))*0.1+(I44+J44)*0.1)-7000)))</f>
      </c>
      <c r="E44">
        <f>C44-O44</f>
      </c>
      <c r="F44">
        <f>D44-P44</f>
      </c>
      <c r="G44">
        <f>SUMIF(negtgel!U$2:BL$2,'Tsalin uzuulelt'!B$1,negtgel!U44:BL44) + SUMIF(negtgel!U$2:BL$2,'Tsalin uzuulelt'!B$2,negtgel!U44:BL44)+SUMIF(negtgel!U$2:BL$2,'Tsalin uzuulelt'!B$3,negtgel!U44:BL44)+SUMIF(negtgel!U$2:BL$2,'Tsalin uzuulelt'!B$4,negtgel!U44:BL44)+SUMIF(negtgel!U$2:BL$2,'Tsalin uzuulelt'!B$5,negtgel!U44:BL44)</f>
      </c>
      <c r="H44">
        <f>SUMIF(negtgel!U$2:BL$2,'Tsalin uzuulelt'!F$1,negtgel!U44:BL44) + SUMIF(negtgel!U$2:BL$2,'Tsalin uzuulelt'!F$2,negtgel!U44:BL44)+SUMIF(negtgel!U$2:BL$2,'Tsalin uzuulelt'!F$3,negtgel!U44:BL44)+SUMIF(negtgel!U$2:BL$2,'Tsalin uzuulelt'!F$4,negtgel!U44:BL44)+SUMIF(negtgel!U$2:BL$2,'Tsalin uzuulelt'!F$5,negtgel!U44:BL44)</f>
      </c>
      <c r="I44">
        <f>SUMIF(negtgel!U$2:BL$2,'Tsalin uzuulelt'!H$1,negtgel!U44:BL44) + SUMIF(negtgel!U$2:BL$2,'Tsalin uzuulelt'!H$2,negtgel!U44:BL44)+SUMIF(negtgel!U$2:BL$2,'Tsalin uzuulelt'!H$3,negtgel!U44:BL44)+SUMIF(negtgel!U$2:BL$2,'Tsalin uzuulelt'!H$4,negtgel!U44:BL44)+SUMIF(negtgel!U$2:BL$2,'Tsalin uzuulelt'!H$5,negtgel!U44:BL44)</f>
      </c>
      <c r="J44">
        <f>SUMIF(negtgel!U$2:BL$2,'Tsalin uzuulelt'!J$1,negtgel!U44:BL44) + SUMIF(negtgel!U$2:BL$2,'Tsalin uzuulelt'!J$2,negtgel!U44:BL44)+SUMIF(negtgel!U$2:BL$2,'Tsalin uzuulelt'!J$3,negtgel!U44:BL44)+SUMIF(negtgel!U$2:BL$2,'Tsalin uzuulelt'!J$4,negtgel!U44:BL44)+SUMIF(negtgel!U$2:BL$2,'Tsalin uzuulelt'!J$5,negtgel!U44:BL44)</f>
      </c>
      <c r="K44">
        <f>SUMIF(negtgel!U$2:BL$2,'Tsalin uzuulelt'!L$1,negtgel!U44:BL44) + SUMIF(negtgel!U$2:BL$2,'Tsalin uzuulelt'!L$2,negtgel!U44:BL44)+SUMIF(negtgel!U$2:BL$2,'Tsalin uzuulelt'!L$3,negtgel!U44:BL44)+SUMIF(negtgel!U$2:BL$2,'Tsalin uzuulelt'!L$4,negtgel!U44:BL44)+SUMIF(negtgel!U$2:BL$2,'Tsalin uzuulelt'!L$5,negtgel!U44:BL44)</f>
      </c>
      <c r="L44">
        <f>SUMIF(negtgel!U$2:BL$2,'Tsalin uzuulelt'!N$1,negtgel!U44:BL44) + SUMIF(negtgel!U$2:BL$2,'Tsalin uzuulelt'!N$2,negtgel!U44:BL44)+SUMIF(negtgel!U$2:BL$2,'Tsalin uzuulelt'!N$3,negtgel!U44:BL44)+SUMIF(negtgel!U$2:BL$2,'Tsalin uzuulelt'!N$4,negtgel!U44:BL44)+SUMIF(negtgel!U$2:BL$2,'Tsalin uzuulelt'!N$5,negtgel!U44:BL44)</f>
      </c>
      <c r="M44">
        <f>SUMIF(negtgel!U$2:BL$2,'Tsalin uzuulelt'!P$1,negtgel!U44:BL44) + SUMIF(negtgel!U$2:BL$2,'Tsalin uzuulelt'!P$2,negtgel!U44:BL44)+ SUMIF(negtgel!U$2:BL$2,'Tsalin uzuulelt'!P$3,negtgel!U44:BL44)+ SUMIF(negtgel!U$2:BL$2,'Tsalin uzuulelt'!P$4,negtgel!U44:BL44)+ SUMIF(negtgel!U$2:BL$2,'Tsalin uzuulelt'!P$5,negtgel!U44:BL44)</f>
      </c>
      <c r="N44">
        <f>IF(ISNUMBER(U44*1)=CF44,0,K44-H44-G44)</f>
      </c>
      <c r="O44">
        <f>IF(ISNUMBER(U44*1)=CF44,0,L44)</f>
      </c>
      <c r="P44">
        <f>IF(ISNUMBER(U44*1)=CF44,0,M44)</f>
      </c>
      <c r="Q44">
        <f>IF(N44&gt;2400000,N44,0)</f>
      </c>
      <c r="R44">
        <f>IF(L44/Q44*100&lt;3,2,10)</f>
      </c>
      <c r="S44">
        <f>IF(CH44=0,0,IF(B44&gt;9,10,IF(B44&gt;8,B44,IF(B44&gt;7.7,7.8,IF(B44&gt;3,B44,IF(B44&gt;1.5,2))))))</f>
      </c>
      <c r="T44">
        <f>IF(Q44=0,S44,R44)</f>
      </c>
      <c r="U44" t="s">
        <v>3825</v>
      </c>
      <c r="V44"/>
      <c r="W44"/>
      <c r="X44"/>
      <c r="Y44"/>
      <c r="Z44"/>
      <c r="AA44"/>
      <c r="AB44"/>
      <c r="AC44"/>
      <c r="AD44"/>
      <c r="AE44"/>
      <c r="AF44"/>
      <c r="AG44"/>
      <c r="AH44"/>
      <c r="AI44"/>
      <c r="AJ44"/>
      <c r="AK44"/>
      <c r="AL44"/>
      <c r="AM44"/>
      <c r="AN44"/>
      <c r="AO44"/>
      <c r="AP44"/>
      <c r="AQ44"/>
      <c r="CH44">
        <f>IFERROR(U44*1,0)</f>
      </c>
    </row>
    <row r="45">
      <c r="A45" t="n">
        <v>1.0</v>
      </c>
      <c r="B45">
        <f>IF((K45-G45-H45&gt;2400000),10,(L45/(K45-G45-H45)*100))</f>
      </c>
      <c r="C45">
        <f>IF(N45&gt;2400000,240000,(N45*S45)/100)</f>
      </c>
      <c r="D45">
        <f>IF(S45=0,0,IF((N45-I45)&gt;2400000,((((((N45-I45-J45)-240000))*0.1+(I45+J45)*0.1)))-7000,((((((N45-I45-J45)-(N45-I45-J45)*S45/100)))*0.1+(I45+J45)*0.1)-7000)))</f>
      </c>
      <c r="E45">
        <f>C45-O45</f>
      </c>
      <c r="F45">
        <f>D45-P45</f>
      </c>
      <c r="G45">
        <f>SUMIF(negtgel!U$2:BL$2,'Tsalin uzuulelt'!B$1,negtgel!U45:BL45) + SUMIF(negtgel!U$2:BL$2,'Tsalin uzuulelt'!B$2,negtgel!U45:BL45)+SUMIF(negtgel!U$2:BL$2,'Tsalin uzuulelt'!B$3,negtgel!U45:BL45)+SUMIF(negtgel!U$2:BL$2,'Tsalin uzuulelt'!B$4,negtgel!U45:BL45)+SUMIF(negtgel!U$2:BL$2,'Tsalin uzuulelt'!B$5,negtgel!U45:BL45)</f>
      </c>
      <c r="H45">
        <f>SUMIF(negtgel!U$2:BL$2,'Tsalin uzuulelt'!F$1,negtgel!U45:BL45) + SUMIF(negtgel!U$2:BL$2,'Tsalin uzuulelt'!F$2,negtgel!U45:BL45)+SUMIF(negtgel!U$2:BL$2,'Tsalin uzuulelt'!F$3,negtgel!U45:BL45)+SUMIF(negtgel!U$2:BL$2,'Tsalin uzuulelt'!F$4,negtgel!U45:BL45)+SUMIF(negtgel!U$2:BL$2,'Tsalin uzuulelt'!F$5,negtgel!U45:BL45)</f>
      </c>
      <c r="I45">
        <f>SUMIF(negtgel!U$2:BL$2,'Tsalin uzuulelt'!H$1,negtgel!U45:BL45) + SUMIF(negtgel!U$2:BL$2,'Tsalin uzuulelt'!H$2,negtgel!U45:BL45)+SUMIF(negtgel!U$2:BL$2,'Tsalin uzuulelt'!H$3,negtgel!U45:BL45)+SUMIF(negtgel!U$2:BL$2,'Tsalin uzuulelt'!H$4,negtgel!U45:BL45)+SUMIF(negtgel!U$2:BL$2,'Tsalin uzuulelt'!H$5,negtgel!U45:BL45)</f>
      </c>
      <c r="J45">
        <f>SUMIF(negtgel!U$2:BL$2,'Tsalin uzuulelt'!J$1,negtgel!U45:BL45) + SUMIF(negtgel!U$2:BL$2,'Tsalin uzuulelt'!J$2,negtgel!U45:BL45)+SUMIF(negtgel!U$2:BL$2,'Tsalin uzuulelt'!J$3,negtgel!U45:BL45)+SUMIF(negtgel!U$2:BL$2,'Tsalin uzuulelt'!J$4,negtgel!U45:BL45)+SUMIF(negtgel!U$2:BL$2,'Tsalin uzuulelt'!J$5,negtgel!U45:BL45)</f>
      </c>
      <c r="K45">
        <f>SUMIF(negtgel!U$2:BL$2,'Tsalin uzuulelt'!L$1,negtgel!U45:BL45) + SUMIF(negtgel!U$2:BL$2,'Tsalin uzuulelt'!L$2,negtgel!U45:BL45)+SUMIF(negtgel!U$2:BL$2,'Tsalin uzuulelt'!L$3,negtgel!U45:BL45)+SUMIF(negtgel!U$2:BL$2,'Tsalin uzuulelt'!L$4,negtgel!U45:BL45)+SUMIF(negtgel!U$2:BL$2,'Tsalin uzuulelt'!L$5,negtgel!U45:BL45)</f>
      </c>
      <c r="L45">
        <f>SUMIF(negtgel!U$2:BL$2,'Tsalin uzuulelt'!N$1,negtgel!U45:BL45) + SUMIF(negtgel!U$2:BL$2,'Tsalin uzuulelt'!N$2,negtgel!U45:BL45)+SUMIF(negtgel!U$2:BL$2,'Tsalin uzuulelt'!N$3,negtgel!U45:BL45)+SUMIF(negtgel!U$2:BL$2,'Tsalin uzuulelt'!N$4,negtgel!U45:BL45)+SUMIF(negtgel!U$2:BL$2,'Tsalin uzuulelt'!N$5,negtgel!U45:BL45)</f>
      </c>
      <c r="M45">
        <f>SUMIF(negtgel!U$2:BL$2,'Tsalin uzuulelt'!P$1,negtgel!U45:BL45) + SUMIF(negtgel!U$2:BL$2,'Tsalin uzuulelt'!P$2,negtgel!U45:BL45)+ SUMIF(negtgel!U$2:BL$2,'Tsalin uzuulelt'!P$3,negtgel!U45:BL45)+ SUMIF(negtgel!U$2:BL$2,'Tsalin uzuulelt'!P$4,negtgel!U45:BL45)+ SUMIF(negtgel!U$2:BL$2,'Tsalin uzuulelt'!P$5,negtgel!U45:BL45)</f>
      </c>
      <c r="N45">
        <f>IF(ISNUMBER(U45*1)=CF45,0,K45-H45-G45)</f>
      </c>
      <c r="O45">
        <f>IF(ISNUMBER(U45*1)=CF45,0,L45)</f>
      </c>
      <c r="P45">
        <f>IF(ISNUMBER(U45*1)=CF45,0,M45)</f>
      </c>
      <c r="Q45">
        <f>IF(N45&gt;2400000,N45,0)</f>
      </c>
      <c r="R45">
        <f>IF(L45/Q45*100&lt;3,2,10)</f>
      </c>
      <c r="S45">
        <f>IF(CH45=0,0,IF(B45&gt;9,10,IF(B45&gt;8,B45,IF(B45&gt;7.7,7.8,IF(B45&gt;3,B45,IF(B45&gt;1.5,2))))))</f>
      </c>
      <c r="T45">
        <f>IF(Q45=0,S45,R45)</f>
      </c>
      <c r="U45" t="n">
        <v>83.0</v>
      </c>
      <c r="V45" t="s">
        <v>3826</v>
      </c>
      <c r="W45" t="s">
        <v>3790</v>
      </c>
      <c r="X45" t="n">
        <v>547759.0</v>
      </c>
      <c r="Y45" t="n">
        <v>49796.0</v>
      </c>
      <c r="Z45" t="n">
        <v>2490.0</v>
      </c>
      <c r="AA45" t="n">
        <v>0.0</v>
      </c>
      <c r="AB45" t="n">
        <v>0.0</v>
      </c>
      <c r="AC45" t="n">
        <v>0.0</v>
      </c>
      <c r="AD45" t="n">
        <v>0.0</v>
      </c>
      <c r="AE45" t="n">
        <v>0.0</v>
      </c>
      <c r="AF45" t="n">
        <v>6000.0</v>
      </c>
      <c r="AG45" t="n">
        <v>0.0</v>
      </c>
      <c r="AH45" t="n">
        <v>0.0</v>
      </c>
      <c r="AI45" t="n">
        <v>0.0</v>
      </c>
      <c r="AJ45" t="n">
        <v>0.0</v>
      </c>
      <c r="AK45" t="n">
        <v>0.0</v>
      </c>
      <c r="AL45" t="n">
        <v>0.0</v>
      </c>
      <c r="AM45" t="n">
        <v>0.0</v>
      </c>
      <c r="AN45" t="n">
        <v>0.0</v>
      </c>
      <c r="AO45" t="n">
        <v>58286.0</v>
      </c>
      <c r="AP45" t="n">
        <v>5829.0</v>
      </c>
      <c r="AQ45" t="n">
        <v>0.0</v>
      </c>
      <c r="CH45">
        <f>IFERROR(U45*1,0)</f>
      </c>
    </row>
    <row r="46">
      <c r="A46" t="n">
        <v>1.0</v>
      </c>
      <c r="B46">
        <f>IF((K46-G46-H46&gt;2400000),10,(L46/(K46-G46-H46)*100))</f>
      </c>
      <c r="C46">
        <f>IF(N46&gt;2400000,240000,(N46*S46)/100)</f>
      </c>
      <c r="D46">
        <f>IF(S46=0,0,IF((N46-I46)&gt;2400000,((((((N46-I46-J46)-240000))*0.1+(I46+J46)*0.1)))-7000,((((((N46-I46-J46)-(N46-I46-J46)*S46/100)))*0.1+(I46+J46)*0.1)-7000)))</f>
      </c>
      <c r="E46">
        <f>C46-O46</f>
      </c>
      <c r="F46">
        <f>D46-P46</f>
      </c>
      <c r="G46">
        <f>SUMIF(negtgel!U$2:BL$2,'Tsalin uzuulelt'!B$1,negtgel!U46:BL46) + SUMIF(negtgel!U$2:BL$2,'Tsalin uzuulelt'!B$2,negtgel!U46:BL46)+SUMIF(negtgel!U$2:BL$2,'Tsalin uzuulelt'!B$3,negtgel!U46:BL46)+SUMIF(negtgel!U$2:BL$2,'Tsalin uzuulelt'!B$4,negtgel!U46:BL46)+SUMIF(negtgel!U$2:BL$2,'Tsalin uzuulelt'!B$5,negtgel!U46:BL46)</f>
      </c>
      <c r="H46">
        <f>SUMIF(negtgel!U$2:BL$2,'Tsalin uzuulelt'!F$1,negtgel!U46:BL46) + SUMIF(negtgel!U$2:BL$2,'Tsalin uzuulelt'!F$2,negtgel!U46:BL46)+SUMIF(negtgel!U$2:BL$2,'Tsalin uzuulelt'!F$3,negtgel!U46:BL46)+SUMIF(negtgel!U$2:BL$2,'Tsalin uzuulelt'!F$4,negtgel!U46:BL46)+SUMIF(negtgel!U$2:BL$2,'Tsalin uzuulelt'!F$5,negtgel!U46:BL46)</f>
      </c>
      <c r="I46">
        <f>SUMIF(negtgel!U$2:BL$2,'Tsalin uzuulelt'!H$1,negtgel!U46:BL46) + SUMIF(negtgel!U$2:BL$2,'Tsalin uzuulelt'!H$2,negtgel!U46:BL46)+SUMIF(negtgel!U$2:BL$2,'Tsalin uzuulelt'!H$3,negtgel!U46:BL46)+SUMIF(negtgel!U$2:BL$2,'Tsalin uzuulelt'!H$4,negtgel!U46:BL46)+SUMIF(negtgel!U$2:BL$2,'Tsalin uzuulelt'!H$5,negtgel!U46:BL46)</f>
      </c>
      <c r="J46">
        <f>SUMIF(negtgel!U$2:BL$2,'Tsalin uzuulelt'!J$1,negtgel!U46:BL46) + SUMIF(negtgel!U$2:BL$2,'Tsalin uzuulelt'!J$2,negtgel!U46:BL46)+SUMIF(negtgel!U$2:BL$2,'Tsalin uzuulelt'!J$3,negtgel!U46:BL46)+SUMIF(negtgel!U$2:BL$2,'Tsalin uzuulelt'!J$4,negtgel!U46:BL46)+SUMIF(negtgel!U$2:BL$2,'Tsalin uzuulelt'!J$5,negtgel!U46:BL46)</f>
      </c>
      <c r="K46">
        <f>SUMIF(negtgel!U$2:BL$2,'Tsalin uzuulelt'!L$1,negtgel!U46:BL46) + SUMIF(negtgel!U$2:BL$2,'Tsalin uzuulelt'!L$2,negtgel!U46:BL46)+SUMIF(negtgel!U$2:BL$2,'Tsalin uzuulelt'!L$3,negtgel!U46:BL46)+SUMIF(negtgel!U$2:BL$2,'Tsalin uzuulelt'!L$4,negtgel!U46:BL46)+SUMIF(negtgel!U$2:BL$2,'Tsalin uzuulelt'!L$5,negtgel!U46:BL46)</f>
      </c>
      <c r="L46">
        <f>SUMIF(negtgel!U$2:BL$2,'Tsalin uzuulelt'!N$1,negtgel!U46:BL46) + SUMIF(negtgel!U$2:BL$2,'Tsalin uzuulelt'!N$2,negtgel!U46:BL46)+SUMIF(negtgel!U$2:BL$2,'Tsalin uzuulelt'!N$3,negtgel!U46:BL46)+SUMIF(negtgel!U$2:BL$2,'Tsalin uzuulelt'!N$4,negtgel!U46:BL46)+SUMIF(negtgel!U$2:BL$2,'Tsalin uzuulelt'!N$5,negtgel!U46:BL46)</f>
      </c>
      <c r="M46">
        <f>SUMIF(negtgel!U$2:BL$2,'Tsalin uzuulelt'!P$1,negtgel!U46:BL46) + SUMIF(negtgel!U$2:BL$2,'Tsalin uzuulelt'!P$2,negtgel!U46:BL46)+ SUMIF(negtgel!U$2:BL$2,'Tsalin uzuulelt'!P$3,negtgel!U46:BL46)+ SUMIF(negtgel!U$2:BL$2,'Tsalin uzuulelt'!P$4,negtgel!U46:BL46)+ SUMIF(negtgel!U$2:BL$2,'Tsalin uzuulelt'!P$5,negtgel!U46:BL46)</f>
      </c>
      <c r="N46">
        <f>IF(ISNUMBER(U46*1)=CF46,0,K46-H46-G46)</f>
      </c>
      <c r="O46">
        <f>IF(ISNUMBER(U46*1)=CF46,0,L46)</f>
      </c>
      <c r="P46">
        <f>IF(ISNUMBER(U46*1)=CF46,0,M46)</f>
      </c>
      <c r="Q46">
        <f>IF(N46&gt;2400000,N46,0)</f>
      </c>
      <c r="R46">
        <f>IF(L46/Q46*100&lt;3,2,10)</f>
      </c>
      <c r="S46">
        <f>IF(CH46=0,0,IF(B46&gt;9,10,IF(B46&gt;8,B46,IF(B46&gt;7.7,7.8,IF(B46&gt;3,B46,IF(B46&gt;1.5,2))))))</f>
      </c>
      <c r="T46">
        <f>IF(Q46=0,S46,R46)</f>
      </c>
      <c r="U46" t="n">
        <v>84.0</v>
      </c>
      <c r="V46" t="s">
        <v>3827</v>
      </c>
      <c r="W46" t="s">
        <v>3790</v>
      </c>
      <c r="X46" t="n">
        <v>547759.0</v>
      </c>
      <c r="Y46" t="n">
        <v>547759.0</v>
      </c>
      <c r="Z46" t="n">
        <v>0.0</v>
      </c>
      <c r="AA46" t="n">
        <v>0.0</v>
      </c>
      <c r="AB46" t="n">
        <v>0.0</v>
      </c>
      <c r="AC46" t="n">
        <v>0.0</v>
      </c>
      <c r="AD46" t="n">
        <v>0.0</v>
      </c>
      <c r="AE46" t="n">
        <v>0.0</v>
      </c>
      <c r="AF46" t="n">
        <v>66000.0</v>
      </c>
      <c r="AG46" t="n">
        <v>0.0</v>
      </c>
      <c r="AH46" t="n">
        <v>0.0</v>
      </c>
      <c r="AI46" t="n">
        <v>0.0</v>
      </c>
      <c r="AJ46" t="n">
        <v>0.0</v>
      </c>
      <c r="AK46" t="n">
        <v>0.0</v>
      </c>
      <c r="AL46" t="n">
        <v>0.0</v>
      </c>
      <c r="AM46" t="n">
        <v>0.0</v>
      </c>
      <c r="AN46" t="n">
        <v>0.0</v>
      </c>
      <c r="AO46" t="n">
        <v>613759.0</v>
      </c>
      <c r="AP46" t="n">
        <v>61376.0</v>
      </c>
      <c r="AQ46" t="n">
        <v>48898.3</v>
      </c>
      <c r="CH46">
        <f>IFERROR(U46*1,0)</f>
      </c>
    </row>
    <row r="47">
      <c r="A47" t="n">
        <v>1.0</v>
      </c>
      <c r="B47">
        <f>IF((K47-G47-H47&gt;2400000),10,(L47/(K47-G47-H47)*100))</f>
      </c>
      <c r="C47">
        <f>IF(N47&gt;2400000,240000,(N47*S47)/100)</f>
      </c>
      <c r="D47">
        <f>IF(S47=0,0,IF((N47-I47)&gt;2400000,((((((N47-I47-J47)-240000))*0.1+(I47+J47)*0.1)))-7000,((((((N47-I47-J47)-(N47-I47-J47)*S47/100)))*0.1+(I47+J47)*0.1)-7000)))</f>
      </c>
      <c r="E47">
        <f>C47-O47</f>
      </c>
      <c r="F47">
        <f>D47-P47</f>
      </c>
      <c r="G47">
        <f>SUMIF(negtgel!U$2:BL$2,'Tsalin uzuulelt'!B$1,negtgel!U47:BL47) + SUMIF(negtgel!U$2:BL$2,'Tsalin uzuulelt'!B$2,negtgel!U47:BL47)+SUMIF(negtgel!U$2:BL$2,'Tsalin uzuulelt'!B$3,negtgel!U47:BL47)+SUMIF(negtgel!U$2:BL$2,'Tsalin uzuulelt'!B$4,negtgel!U47:BL47)+SUMIF(negtgel!U$2:BL$2,'Tsalin uzuulelt'!B$5,negtgel!U47:BL47)</f>
      </c>
      <c r="H47">
        <f>SUMIF(negtgel!U$2:BL$2,'Tsalin uzuulelt'!F$1,negtgel!U47:BL47) + SUMIF(negtgel!U$2:BL$2,'Tsalin uzuulelt'!F$2,negtgel!U47:BL47)+SUMIF(negtgel!U$2:BL$2,'Tsalin uzuulelt'!F$3,negtgel!U47:BL47)+SUMIF(negtgel!U$2:BL$2,'Tsalin uzuulelt'!F$4,negtgel!U47:BL47)+SUMIF(negtgel!U$2:BL$2,'Tsalin uzuulelt'!F$5,negtgel!U47:BL47)</f>
      </c>
      <c r="I47">
        <f>SUMIF(negtgel!U$2:BL$2,'Tsalin uzuulelt'!H$1,negtgel!U47:BL47) + SUMIF(negtgel!U$2:BL$2,'Tsalin uzuulelt'!H$2,negtgel!U47:BL47)+SUMIF(negtgel!U$2:BL$2,'Tsalin uzuulelt'!H$3,negtgel!U47:BL47)+SUMIF(negtgel!U$2:BL$2,'Tsalin uzuulelt'!H$4,negtgel!U47:BL47)+SUMIF(negtgel!U$2:BL$2,'Tsalin uzuulelt'!H$5,negtgel!U47:BL47)</f>
      </c>
      <c r="J47">
        <f>SUMIF(negtgel!U$2:BL$2,'Tsalin uzuulelt'!J$1,negtgel!U47:BL47) + SUMIF(negtgel!U$2:BL$2,'Tsalin uzuulelt'!J$2,negtgel!U47:BL47)+SUMIF(negtgel!U$2:BL$2,'Tsalin uzuulelt'!J$3,negtgel!U47:BL47)+SUMIF(negtgel!U$2:BL$2,'Tsalin uzuulelt'!J$4,negtgel!U47:BL47)+SUMIF(negtgel!U$2:BL$2,'Tsalin uzuulelt'!J$5,negtgel!U47:BL47)</f>
      </c>
      <c r="K47">
        <f>SUMIF(negtgel!U$2:BL$2,'Tsalin uzuulelt'!L$1,negtgel!U47:BL47) + SUMIF(negtgel!U$2:BL$2,'Tsalin uzuulelt'!L$2,negtgel!U47:BL47)+SUMIF(negtgel!U$2:BL$2,'Tsalin uzuulelt'!L$3,negtgel!U47:BL47)+SUMIF(negtgel!U$2:BL$2,'Tsalin uzuulelt'!L$4,negtgel!U47:BL47)+SUMIF(negtgel!U$2:BL$2,'Tsalin uzuulelt'!L$5,negtgel!U47:BL47)</f>
      </c>
      <c r="L47">
        <f>SUMIF(negtgel!U$2:BL$2,'Tsalin uzuulelt'!N$1,negtgel!U47:BL47) + SUMIF(negtgel!U$2:BL$2,'Tsalin uzuulelt'!N$2,negtgel!U47:BL47)+SUMIF(negtgel!U$2:BL$2,'Tsalin uzuulelt'!N$3,negtgel!U47:BL47)+SUMIF(negtgel!U$2:BL$2,'Tsalin uzuulelt'!N$4,negtgel!U47:BL47)+SUMIF(negtgel!U$2:BL$2,'Tsalin uzuulelt'!N$5,negtgel!U47:BL47)</f>
      </c>
      <c r="M47">
        <f>SUMIF(negtgel!U$2:BL$2,'Tsalin uzuulelt'!P$1,negtgel!U47:BL47) + SUMIF(negtgel!U$2:BL$2,'Tsalin uzuulelt'!P$2,negtgel!U47:BL47)+ SUMIF(negtgel!U$2:BL$2,'Tsalin uzuulelt'!P$3,negtgel!U47:BL47)+ SUMIF(negtgel!U$2:BL$2,'Tsalin uzuulelt'!P$4,negtgel!U47:BL47)+ SUMIF(negtgel!U$2:BL$2,'Tsalin uzuulelt'!P$5,negtgel!U47:BL47)</f>
      </c>
      <c r="N47">
        <f>IF(ISNUMBER(U47*1)=CF47,0,K47-H47-G47)</f>
      </c>
      <c r="O47">
        <f>IF(ISNUMBER(U47*1)=CF47,0,L47)</f>
      </c>
      <c r="P47">
        <f>IF(ISNUMBER(U47*1)=CF47,0,M47)</f>
      </c>
      <c r="Q47">
        <f>IF(N47&gt;2400000,N47,0)</f>
      </c>
      <c r="R47">
        <f>IF(L47/Q47*100&lt;3,2,10)</f>
      </c>
      <c r="S47">
        <f>IF(CH47=0,0,IF(B47&gt;9,10,IF(B47&gt;8,B47,IF(B47&gt;7.7,7.8,IF(B47&gt;3,B47,IF(B47&gt;1.5,2))))))</f>
      </c>
      <c r="T47">
        <f>IF(Q47=0,S47,R47)</f>
      </c>
      <c r="U47" t="n">
        <v>85.0</v>
      </c>
      <c r="V47" t="s">
        <v>3828</v>
      </c>
      <c r="W47" t="s">
        <v>3792</v>
      </c>
      <c r="X47" t="n">
        <v>500784.0</v>
      </c>
      <c r="Y47" t="n">
        <v>500784.0</v>
      </c>
      <c r="Z47" t="n">
        <v>0.0</v>
      </c>
      <c r="AA47" t="n">
        <v>0.0</v>
      </c>
      <c r="AB47" t="n">
        <v>0.0</v>
      </c>
      <c r="AC47" t="n">
        <v>0.0</v>
      </c>
      <c r="AD47" t="n">
        <v>0.0</v>
      </c>
      <c r="AE47" t="n">
        <v>0.0</v>
      </c>
      <c r="AF47" t="n">
        <v>66000.0</v>
      </c>
      <c r="AG47" t="n">
        <v>0.0</v>
      </c>
      <c r="AH47" t="n">
        <v>0.0</v>
      </c>
      <c r="AI47" t="n">
        <v>0.0</v>
      </c>
      <c r="AJ47" t="n">
        <v>0.0</v>
      </c>
      <c r="AK47" t="n">
        <v>0.0</v>
      </c>
      <c r="AL47" t="n">
        <v>0.0</v>
      </c>
      <c r="AM47" t="n">
        <v>0.0</v>
      </c>
      <c r="AN47" t="n">
        <v>0.0</v>
      </c>
      <c r="AO47" t="n">
        <v>566784.0</v>
      </c>
      <c r="AP47" t="n">
        <v>56679.0</v>
      </c>
      <c r="AQ47" t="n">
        <v>44670.6</v>
      </c>
      <c r="CH47">
        <f>IFERROR(U47*1,0)</f>
      </c>
    </row>
    <row r="48">
      <c r="A48" t="n">
        <v>1.0</v>
      </c>
      <c r="B48">
        <f>IF((K48-G48-H48&gt;2400000),10,(L48/(K48-G48-H48)*100))</f>
      </c>
      <c r="C48">
        <f>IF(N48&gt;2400000,240000,(N48*S48)/100)</f>
      </c>
      <c r="D48">
        <f>IF(S48=0,0,IF((N48-I48)&gt;2400000,((((((N48-I48-J48)-240000))*0.1+(I48+J48)*0.1)))-7000,((((((N48-I48-J48)-(N48-I48-J48)*S48/100)))*0.1+(I48+J48)*0.1)-7000)))</f>
      </c>
      <c r="E48">
        <f>C48-O48</f>
      </c>
      <c r="F48">
        <f>D48-P48</f>
      </c>
      <c r="G48">
        <f>SUMIF(negtgel!U$2:BL$2,'Tsalin uzuulelt'!B$1,negtgel!U48:BL48) + SUMIF(negtgel!U$2:BL$2,'Tsalin uzuulelt'!B$2,negtgel!U48:BL48)+SUMIF(negtgel!U$2:BL$2,'Tsalin uzuulelt'!B$3,negtgel!U48:BL48)+SUMIF(negtgel!U$2:BL$2,'Tsalin uzuulelt'!B$4,negtgel!U48:BL48)+SUMIF(negtgel!U$2:BL$2,'Tsalin uzuulelt'!B$5,negtgel!U48:BL48)</f>
      </c>
      <c r="H48">
        <f>SUMIF(negtgel!U$2:BL$2,'Tsalin uzuulelt'!F$1,negtgel!U48:BL48) + SUMIF(negtgel!U$2:BL$2,'Tsalin uzuulelt'!F$2,negtgel!U48:BL48)+SUMIF(negtgel!U$2:BL$2,'Tsalin uzuulelt'!F$3,negtgel!U48:BL48)+SUMIF(negtgel!U$2:BL$2,'Tsalin uzuulelt'!F$4,negtgel!U48:BL48)+SUMIF(negtgel!U$2:BL$2,'Tsalin uzuulelt'!F$5,negtgel!U48:BL48)</f>
      </c>
      <c r="I48">
        <f>SUMIF(negtgel!U$2:BL$2,'Tsalin uzuulelt'!H$1,negtgel!U48:BL48) + SUMIF(negtgel!U$2:BL$2,'Tsalin uzuulelt'!H$2,negtgel!U48:BL48)+SUMIF(negtgel!U$2:BL$2,'Tsalin uzuulelt'!H$3,negtgel!U48:BL48)+SUMIF(negtgel!U$2:BL$2,'Tsalin uzuulelt'!H$4,negtgel!U48:BL48)+SUMIF(negtgel!U$2:BL$2,'Tsalin uzuulelt'!H$5,negtgel!U48:BL48)</f>
      </c>
      <c r="J48">
        <f>SUMIF(negtgel!U$2:BL$2,'Tsalin uzuulelt'!J$1,negtgel!U48:BL48) + SUMIF(negtgel!U$2:BL$2,'Tsalin uzuulelt'!J$2,negtgel!U48:BL48)+SUMIF(negtgel!U$2:BL$2,'Tsalin uzuulelt'!J$3,negtgel!U48:BL48)+SUMIF(negtgel!U$2:BL$2,'Tsalin uzuulelt'!J$4,negtgel!U48:BL48)+SUMIF(negtgel!U$2:BL$2,'Tsalin uzuulelt'!J$5,negtgel!U48:BL48)</f>
      </c>
      <c r="K48">
        <f>SUMIF(negtgel!U$2:BL$2,'Tsalin uzuulelt'!L$1,negtgel!U48:BL48) + SUMIF(negtgel!U$2:BL$2,'Tsalin uzuulelt'!L$2,negtgel!U48:BL48)+SUMIF(negtgel!U$2:BL$2,'Tsalin uzuulelt'!L$3,negtgel!U48:BL48)+SUMIF(negtgel!U$2:BL$2,'Tsalin uzuulelt'!L$4,negtgel!U48:BL48)+SUMIF(negtgel!U$2:BL$2,'Tsalin uzuulelt'!L$5,negtgel!U48:BL48)</f>
      </c>
      <c r="L48">
        <f>SUMIF(negtgel!U$2:BL$2,'Tsalin uzuulelt'!N$1,negtgel!U48:BL48) + SUMIF(negtgel!U$2:BL$2,'Tsalin uzuulelt'!N$2,negtgel!U48:BL48)+SUMIF(negtgel!U$2:BL$2,'Tsalin uzuulelt'!N$3,negtgel!U48:BL48)+SUMIF(negtgel!U$2:BL$2,'Tsalin uzuulelt'!N$4,negtgel!U48:BL48)+SUMIF(negtgel!U$2:BL$2,'Tsalin uzuulelt'!N$5,negtgel!U48:BL48)</f>
      </c>
      <c r="M48">
        <f>SUMIF(negtgel!U$2:BL$2,'Tsalin uzuulelt'!P$1,negtgel!U48:BL48) + SUMIF(negtgel!U$2:BL$2,'Tsalin uzuulelt'!P$2,negtgel!U48:BL48)+ SUMIF(negtgel!U$2:BL$2,'Tsalin uzuulelt'!P$3,negtgel!U48:BL48)+ SUMIF(negtgel!U$2:BL$2,'Tsalin uzuulelt'!P$4,negtgel!U48:BL48)+ SUMIF(negtgel!U$2:BL$2,'Tsalin uzuulelt'!P$5,negtgel!U48:BL48)</f>
      </c>
      <c r="N48">
        <f>IF(ISNUMBER(U48*1)=CF48,0,K48-H48-G48)</f>
      </c>
      <c r="O48">
        <f>IF(ISNUMBER(U48*1)=CF48,0,L48)</f>
      </c>
      <c r="P48">
        <f>IF(ISNUMBER(U48*1)=CF48,0,M48)</f>
      </c>
      <c r="Q48">
        <f>IF(N48&gt;2400000,N48,0)</f>
      </c>
      <c r="R48">
        <f>IF(L48/Q48*100&lt;3,2,10)</f>
      </c>
      <c r="S48">
        <f>IF(CH48=0,0,IF(B48&gt;9,10,IF(B48&gt;8,B48,IF(B48&gt;7.7,7.8,IF(B48&gt;3,B48,IF(B48&gt;1.5,2))))))</f>
      </c>
      <c r="T48">
        <f>IF(Q48=0,S48,R48)</f>
      </c>
      <c r="U48" t="n">
        <v>86.0</v>
      </c>
      <c r="V48" t="s">
        <v>3829</v>
      </c>
      <c r="W48" t="s">
        <v>3792</v>
      </c>
      <c r="X48" t="n">
        <v>496912.0</v>
      </c>
      <c r="Y48" t="n">
        <v>496912.0</v>
      </c>
      <c r="Z48" t="n">
        <v>0.0</v>
      </c>
      <c r="AA48" t="n">
        <v>0.0</v>
      </c>
      <c r="AB48" t="n">
        <v>0.0</v>
      </c>
      <c r="AC48" t="n">
        <v>0.0</v>
      </c>
      <c r="AD48" t="n">
        <v>0.0</v>
      </c>
      <c r="AE48" t="n">
        <v>0.0</v>
      </c>
      <c r="AF48" t="n">
        <v>66000.0</v>
      </c>
      <c r="AG48" t="n">
        <v>0.0</v>
      </c>
      <c r="AH48" t="n">
        <v>0.0</v>
      </c>
      <c r="AI48" t="n">
        <v>0.0</v>
      </c>
      <c r="AJ48" t="n">
        <v>0.0</v>
      </c>
      <c r="AK48" t="n">
        <v>0.0</v>
      </c>
      <c r="AL48" t="n">
        <v>0.0</v>
      </c>
      <c r="AM48" t="n">
        <v>0.0</v>
      </c>
      <c r="AN48" t="n">
        <v>0.0</v>
      </c>
      <c r="AO48" t="n">
        <v>562912.0</v>
      </c>
      <c r="AP48" t="n">
        <v>56291.0</v>
      </c>
      <c r="AQ48" t="n">
        <v>44322.1</v>
      </c>
      <c r="CH48">
        <f>IFERROR(U48*1,0)</f>
      </c>
    </row>
    <row r="49">
      <c r="A49" t="n">
        <v>1.0</v>
      </c>
      <c r="B49">
        <f>IF((K49-G49-H49&gt;2400000),10,(L49/(K49-G49-H49)*100))</f>
      </c>
      <c r="C49">
        <f>IF(N49&gt;2400000,240000,(N49*S49)/100)</f>
      </c>
      <c r="D49">
        <f>IF(S49=0,0,IF((N49-I49)&gt;2400000,((((((N49-I49-J49)-240000))*0.1+(I49+J49)*0.1)))-7000,((((((N49-I49-J49)-(N49-I49-J49)*S49/100)))*0.1+(I49+J49)*0.1)-7000)))</f>
      </c>
      <c r="E49">
        <f>C49-O49</f>
      </c>
      <c r="F49">
        <f>D49-P49</f>
      </c>
      <c r="G49">
        <f>SUMIF(negtgel!U$2:BL$2,'Tsalin uzuulelt'!B$1,negtgel!U49:BL49) + SUMIF(negtgel!U$2:BL$2,'Tsalin uzuulelt'!B$2,negtgel!U49:BL49)+SUMIF(negtgel!U$2:BL$2,'Tsalin uzuulelt'!B$3,negtgel!U49:BL49)+SUMIF(negtgel!U$2:BL$2,'Tsalin uzuulelt'!B$4,negtgel!U49:BL49)+SUMIF(negtgel!U$2:BL$2,'Tsalin uzuulelt'!B$5,negtgel!U49:BL49)</f>
      </c>
      <c r="H49">
        <f>SUMIF(negtgel!U$2:BL$2,'Tsalin uzuulelt'!F$1,negtgel!U49:BL49) + SUMIF(negtgel!U$2:BL$2,'Tsalin uzuulelt'!F$2,negtgel!U49:BL49)+SUMIF(negtgel!U$2:BL$2,'Tsalin uzuulelt'!F$3,negtgel!U49:BL49)+SUMIF(negtgel!U$2:BL$2,'Tsalin uzuulelt'!F$4,negtgel!U49:BL49)+SUMIF(negtgel!U$2:BL$2,'Tsalin uzuulelt'!F$5,negtgel!U49:BL49)</f>
      </c>
      <c r="I49">
        <f>SUMIF(negtgel!U$2:BL$2,'Tsalin uzuulelt'!H$1,negtgel!U49:BL49) + SUMIF(negtgel!U$2:BL$2,'Tsalin uzuulelt'!H$2,negtgel!U49:BL49)+SUMIF(negtgel!U$2:BL$2,'Tsalin uzuulelt'!H$3,negtgel!U49:BL49)+SUMIF(negtgel!U$2:BL$2,'Tsalin uzuulelt'!H$4,negtgel!U49:BL49)+SUMIF(negtgel!U$2:BL$2,'Tsalin uzuulelt'!H$5,negtgel!U49:BL49)</f>
      </c>
      <c r="J49">
        <f>SUMIF(negtgel!U$2:BL$2,'Tsalin uzuulelt'!J$1,negtgel!U49:BL49) + SUMIF(negtgel!U$2:BL$2,'Tsalin uzuulelt'!J$2,negtgel!U49:BL49)+SUMIF(negtgel!U$2:BL$2,'Tsalin uzuulelt'!J$3,negtgel!U49:BL49)+SUMIF(negtgel!U$2:BL$2,'Tsalin uzuulelt'!J$4,negtgel!U49:BL49)+SUMIF(negtgel!U$2:BL$2,'Tsalin uzuulelt'!J$5,negtgel!U49:BL49)</f>
      </c>
      <c r="K49">
        <f>SUMIF(negtgel!U$2:BL$2,'Tsalin uzuulelt'!L$1,negtgel!U49:BL49) + SUMIF(negtgel!U$2:BL$2,'Tsalin uzuulelt'!L$2,negtgel!U49:BL49)+SUMIF(negtgel!U$2:BL$2,'Tsalin uzuulelt'!L$3,negtgel!U49:BL49)+SUMIF(negtgel!U$2:BL$2,'Tsalin uzuulelt'!L$4,negtgel!U49:BL49)+SUMIF(negtgel!U$2:BL$2,'Tsalin uzuulelt'!L$5,negtgel!U49:BL49)</f>
      </c>
      <c r="L49">
        <f>SUMIF(negtgel!U$2:BL$2,'Tsalin uzuulelt'!N$1,negtgel!U49:BL49) + SUMIF(negtgel!U$2:BL$2,'Tsalin uzuulelt'!N$2,negtgel!U49:BL49)+SUMIF(negtgel!U$2:BL$2,'Tsalin uzuulelt'!N$3,negtgel!U49:BL49)+SUMIF(negtgel!U$2:BL$2,'Tsalin uzuulelt'!N$4,negtgel!U49:BL49)+SUMIF(negtgel!U$2:BL$2,'Tsalin uzuulelt'!N$5,negtgel!U49:BL49)</f>
      </c>
      <c r="M49">
        <f>SUMIF(negtgel!U$2:BL$2,'Tsalin uzuulelt'!P$1,negtgel!U49:BL49) + SUMIF(negtgel!U$2:BL$2,'Tsalin uzuulelt'!P$2,negtgel!U49:BL49)+ SUMIF(negtgel!U$2:BL$2,'Tsalin uzuulelt'!P$3,negtgel!U49:BL49)+ SUMIF(negtgel!U$2:BL$2,'Tsalin uzuulelt'!P$4,negtgel!U49:BL49)+ SUMIF(negtgel!U$2:BL$2,'Tsalin uzuulelt'!P$5,negtgel!U49:BL49)</f>
      </c>
      <c r="N49">
        <f>IF(ISNUMBER(U49*1)=CF49,0,K49-H49-G49)</f>
      </c>
      <c r="O49">
        <f>IF(ISNUMBER(U49*1)=CF49,0,L49)</f>
      </c>
      <c r="P49">
        <f>IF(ISNUMBER(U49*1)=CF49,0,M49)</f>
      </c>
      <c r="Q49">
        <f>IF(N49&gt;2400000,N49,0)</f>
      </c>
      <c r="R49">
        <f>IF(L49/Q49*100&lt;3,2,10)</f>
      </c>
      <c r="S49">
        <f>IF(CH49=0,0,IF(B49&gt;9,10,IF(B49&gt;8,B49,IF(B49&gt;7.7,7.8,IF(B49&gt;3,B49,IF(B49&gt;1.5,2))))))</f>
      </c>
      <c r="T49">
        <f>IF(Q49=0,S49,R49)</f>
      </c>
      <c r="U49" t="n">
        <v>87.0</v>
      </c>
      <c r="V49" t="s">
        <v>3830</v>
      </c>
      <c r="W49" t="s">
        <v>3790</v>
      </c>
      <c r="X49" t="n">
        <v>580710.0</v>
      </c>
      <c r="Y49" t="n">
        <v>52792.0</v>
      </c>
      <c r="Z49" t="n">
        <v>2640.0</v>
      </c>
      <c r="AA49" t="n">
        <v>0.0</v>
      </c>
      <c r="AB49" t="n">
        <v>0.0</v>
      </c>
      <c r="AC49" t="n">
        <v>0.0</v>
      </c>
      <c r="AD49" t="n">
        <v>0.0</v>
      </c>
      <c r="AE49" t="n">
        <v>0.0</v>
      </c>
      <c r="AF49" t="n">
        <v>6000.0</v>
      </c>
      <c r="AG49" t="n">
        <v>0.0</v>
      </c>
      <c r="AH49" t="n">
        <v>0.0</v>
      </c>
      <c r="AI49" t="n">
        <v>0.0</v>
      </c>
      <c r="AJ49" t="n">
        <v>0.0</v>
      </c>
      <c r="AK49" t="n">
        <v>0.0</v>
      </c>
      <c r="AL49" t="n">
        <v>0.0</v>
      </c>
      <c r="AM49" t="n">
        <v>0.0</v>
      </c>
      <c r="AN49" t="n">
        <v>0.0</v>
      </c>
      <c r="AO49" t="n">
        <v>61432.0</v>
      </c>
      <c r="AP49" t="n">
        <v>6143.0</v>
      </c>
      <c r="AQ49" t="n">
        <v>0.0</v>
      </c>
      <c r="CH49">
        <f>IFERROR(U49*1,0)</f>
      </c>
    </row>
    <row r="50">
      <c r="A50" t="n">
        <v>1.0</v>
      </c>
      <c r="B50">
        <f>IF((K50-G50-H50&gt;2400000),10,(L50/(K50-G50-H50)*100))</f>
      </c>
      <c r="C50">
        <f>IF(N50&gt;2400000,240000,(N50*S50)/100)</f>
      </c>
      <c r="D50">
        <f>IF(S50=0,0,IF((N50-I50)&gt;2400000,((((((N50-I50-J50)-240000))*0.1+(I50+J50)*0.1)))-7000,((((((N50-I50-J50)-(N50-I50-J50)*S50/100)))*0.1+(I50+J50)*0.1)-7000)))</f>
      </c>
      <c r="E50">
        <f>C50-O50</f>
      </c>
      <c r="F50">
        <f>D50-P50</f>
      </c>
      <c r="G50">
        <f>SUMIF(negtgel!U$2:BL$2,'Tsalin uzuulelt'!B$1,negtgel!U50:BL50) + SUMIF(negtgel!U$2:BL$2,'Tsalin uzuulelt'!B$2,negtgel!U50:BL50)+SUMIF(negtgel!U$2:BL$2,'Tsalin uzuulelt'!B$3,negtgel!U50:BL50)+SUMIF(negtgel!U$2:BL$2,'Tsalin uzuulelt'!B$4,negtgel!U50:BL50)+SUMIF(negtgel!U$2:BL$2,'Tsalin uzuulelt'!B$5,negtgel!U50:BL50)</f>
      </c>
      <c r="H50">
        <f>SUMIF(negtgel!U$2:BL$2,'Tsalin uzuulelt'!F$1,negtgel!U50:BL50) + SUMIF(negtgel!U$2:BL$2,'Tsalin uzuulelt'!F$2,negtgel!U50:BL50)+SUMIF(negtgel!U$2:BL$2,'Tsalin uzuulelt'!F$3,negtgel!U50:BL50)+SUMIF(negtgel!U$2:BL$2,'Tsalin uzuulelt'!F$4,negtgel!U50:BL50)+SUMIF(negtgel!U$2:BL$2,'Tsalin uzuulelt'!F$5,negtgel!U50:BL50)</f>
      </c>
      <c r="I50">
        <f>SUMIF(negtgel!U$2:BL$2,'Tsalin uzuulelt'!H$1,negtgel!U50:BL50) + SUMIF(negtgel!U$2:BL$2,'Tsalin uzuulelt'!H$2,negtgel!U50:BL50)+SUMIF(negtgel!U$2:BL$2,'Tsalin uzuulelt'!H$3,negtgel!U50:BL50)+SUMIF(negtgel!U$2:BL$2,'Tsalin uzuulelt'!H$4,negtgel!U50:BL50)+SUMIF(negtgel!U$2:BL$2,'Tsalin uzuulelt'!H$5,negtgel!U50:BL50)</f>
      </c>
      <c r="J50">
        <f>SUMIF(negtgel!U$2:BL$2,'Tsalin uzuulelt'!J$1,negtgel!U50:BL50) + SUMIF(negtgel!U$2:BL$2,'Tsalin uzuulelt'!J$2,negtgel!U50:BL50)+SUMIF(negtgel!U$2:BL$2,'Tsalin uzuulelt'!J$3,negtgel!U50:BL50)+SUMIF(negtgel!U$2:BL$2,'Tsalin uzuulelt'!J$4,negtgel!U50:BL50)+SUMIF(negtgel!U$2:BL$2,'Tsalin uzuulelt'!J$5,negtgel!U50:BL50)</f>
      </c>
      <c r="K50">
        <f>SUMIF(negtgel!U$2:BL$2,'Tsalin uzuulelt'!L$1,negtgel!U50:BL50) + SUMIF(negtgel!U$2:BL$2,'Tsalin uzuulelt'!L$2,negtgel!U50:BL50)+SUMIF(negtgel!U$2:BL$2,'Tsalin uzuulelt'!L$3,negtgel!U50:BL50)+SUMIF(negtgel!U$2:BL$2,'Tsalin uzuulelt'!L$4,negtgel!U50:BL50)+SUMIF(negtgel!U$2:BL$2,'Tsalin uzuulelt'!L$5,negtgel!U50:BL50)</f>
      </c>
      <c r="L50">
        <f>SUMIF(negtgel!U$2:BL$2,'Tsalin uzuulelt'!N$1,negtgel!U50:BL50) + SUMIF(negtgel!U$2:BL$2,'Tsalin uzuulelt'!N$2,negtgel!U50:BL50)+SUMIF(negtgel!U$2:BL$2,'Tsalin uzuulelt'!N$3,negtgel!U50:BL50)+SUMIF(negtgel!U$2:BL$2,'Tsalin uzuulelt'!N$4,negtgel!U50:BL50)+SUMIF(negtgel!U$2:BL$2,'Tsalin uzuulelt'!N$5,negtgel!U50:BL50)</f>
      </c>
      <c r="M50">
        <f>SUMIF(negtgel!U$2:BL$2,'Tsalin uzuulelt'!P$1,negtgel!U50:BL50) + SUMIF(negtgel!U$2:BL$2,'Tsalin uzuulelt'!P$2,negtgel!U50:BL50)+ SUMIF(negtgel!U$2:BL$2,'Tsalin uzuulelt'!P$3,negtgel!U50:BL50)+ SUMIF(negtgel!U$2:BL$2,'Tsalin uzuulelt'!P$4,negtgel!U50:BL50)+ SUMIF(negtgel!U$2:BL$2,'Tsalin uzuulelt'!P$5,negtgel!U50:BL50)</f>
      </c>
      <c r="N50">
        <f>IF(ISNUMBER(U50*1)=CF50,0,K50-H50-G50)</f>
      </c>
      <c r="O50">
        <f>IF(ISNUMBER(U50*1)=CF50,0,L50)</f>
      </c>
      <c r="P50">
        <f>IF(ISNUMBER(U50*1)=CF50,0,M50)</f>
      </c>
      <c r="Q50">
        <f>IF(N50&gt;2400000,N50,0)</f>
      </c>
      <c r="R50">
        <f>IF(L50/Q50*100&lt;3,2,10)</f>
      </c>
      <c r="S50">
        <f>IF(CH50=0,0,IF(B50&gt;9,10,IF(B50&gt;8,B50,IF(B50&gt;7.7,7.8,IF(B50&gt;3,B50,IF(B50&gt;1.5,2))))))</f>
      </c>
      <c r="T50">
        <f>IF(Q50=0,S50,R50)</f>
      </c>
      <c r="U50" t="n">
        <v>88.0</v>
      </c>
      <c r="V50" t="s">
        <v>3831</v>
      </c>
      <c r="W50" t="s">
        <v>3820</v>
      </c>
      <c r="X50" t="n">
        <v>627465.0</v>
      </c>
      <c r="Y50" t="n">
        <v>627465.0</v>
      </c>
      <c r="Z50" t="n">
        <v>62746.0</v>
      </c>
      <c r="AA50" t="n">
        <v>94120.0</v>
      </c>
      <c r="AB50" t="n">
        <v>0.0</v>
      </c>
      <c r="AC50" t="n">
        <v>0.0</v>
      </c>
      <c r="AD50" t="n">
        <v>0.0</v>
      </c>
      <c r="AE50" t="n">
        <v>0.0</v>
      </c>
      <c r="AF50" t="n">
        <v>66000.0</v>
      </c>
      <c r="AG50" t="n">
        <v>0.0</v>
      </c>
      <c r="AH50" t="n">
        <v>0.0</v>
      </c>
      <c r="AI50" t="n">
        <v>0.0</v>
      </c>
      <c r="AJ50" t="n">
        <v>0.0</v>
      </c>
      <c r="AK50" t="n">
        <v>0.0</v>
      </c>
      <c r="AL50" t="n">
        <v>0.0</v>
      </c>
      <c r="AM50" t="n">
        <v>0.0</v>
      </c>
      <c r="AN50" t="n">
        <v>0.0</v>
      </c>
      <c r="AO50" t="n">
        <v>850331.0</v>
      </c>
      <c r="AP50" t="n">
        <v>85034.0</v>
      </c>
      <c r="AQ50" t="n">
        <v>70189.8</v>
      </c>
      <c r="CH50">
        <f>IFERROR(U50*1,0)</f>
      </c>
    </row>
    <row r="51">
      <c r="A51" t="n">
        <v>1.0</v>
      </c>
      <c r="B51">
        <f>IF((K51-G51-H51&gt;2400000),10,(L51/(K51-G51-H51)*100))</f>
      </c>
      <c r="C51">
        <f>IF(N51&gt;2400000,240000,(N51*S51)/100)</f>
      </c>
      <c r="D51">
        <f>IF(S51=0,0,IF((N51-I51)&gt;2400000,((((((N51-I51-J51)-240000))*0.1+(I51+J51)*0.1)))-7000,((((((N51-I51-J51)-(N51-I51-J51)*S51/100)))*0.1+(I51+J51)*0.1)-7000)))</f>
      </c>
      <c r="E51">
        <f>C51-O51</f>
      </c>
      <c r="F51">
        <f>D51-P51</f>
      </c>
      <c r="G51">
        <f>SUMIF(negtgel!U$2:BL$2,'Tsalin uzuulelt'!B$1,negtgel!U51:BL51) + SUMIF(negtgel!U$2:BL$2,'Tsalin uzuulelt'!B$2,negtgel!U51:BL51)+SUMIF(negtgel!U$2:BL$2,'Tsalin uzuulelt'!B$3,negtgel!U51:BL51)+SUMIF(negtgel!U$2:BL$2,'Tsalin uzuulelt'!B$4,negtgel!U51:BL51)+SUMIF(negtgel!U$2:BL$2,'Tsalin uzuulelt'!B$5,negtgel!U51:BL51)</f>
      </c>
      <c r="H51">
        <f>SUMIF(negtgel!U$2:BL$2,'Tsalin uzuulelt'!F$1,negtgel!U51:BL51) + SUMIF(negtgel!U$2:BL$2,'Tsalin uzuulelt'!F$2,negtgel!U51:BL51)+SUMIF(negtgel!U$2:BL$2,'Tsalin uzuulelt'!F$3,negtgel!U51:BL51)+SUMIF(negtgel!U$2:BL$2,'Tsalin uzuulelt'!F$4,negtgel!U51:BL51)+SUMIF(negtgel!U$2:BL$2,'Tsalin uzuulelt'!F$5,negtgel!U51:BL51)</f>
      </c>
      <c r="I51">
        <f>SUMIF(negtgel!U$2:BL$2,'Tsalin uzuulelt'!H$1,negtgel!U51:BL51) + SUMIF(negtgel!U$2:BL$2,'Tsalin uzuulelt'!H$2,negtgel!U51:BL51)+SUMIF(negtgel!U$2:BL$2,'Tsalin uzuulelt'!H$3,negtgel!U51:BL51)+SUMIF(negtgel!U$2:BL$2,'Tsalin uzuulelt'!H$4,negtgel!U51:BL51)+SUMIF(negtgel!U$2:BL$2,'Tsalin uzuulelt'!H$5,negtgel!U51:BL51)</f>
      </c>
      <c r="J51">
        <f>SUMIF(negtgel!U$2:BL$2,'Tsalin uzuulelt'!J$1,negtgel!U51:BL51) + SUMIF(negtgel!U$2:BL$2,'Tsalin uzuulelt'!J$2,negtgel!U51:BL51)+SUMIF(negtgel!U$2:BL$2,'Tsalin uzuulelt'!J$3,negtgel!U51:BL51)+SUMIF(negtgel!U$2:BL$2,'Tsalin uzuulelt'!J$4,negtgel!U51:BL51)+SUMIF(negtgel!U$2:BL$2,'Tsalin uzuulelt'!J$5,negtgel!U51:BL51)</f>
      </c>
      <c r="K51">
        <f>SUMIF(negtgel!U$2:BL$2,'Tsalin uzuulelt'!L$1,negtgel!U51:BL51) + SUMIF(negtgel!U$2:BL$2,'Tsalin uzuulelt'!L$2,negtgel!U51:BL51)+SUMIF(negtgel!U$2:BL$2,'Tsalin uzuulelt'!L$3,negtgel!U51:BL51)+SUMIF(negtgel!U$2:BL$2,'Tsalin uzuulelt'!L$4,negtgel!U51:BL51)+SUMIF(negtgel!U$2:BL$2,'Tsalin uzuulelt'!L$5,negtgel!U51:BL51)</f>
      </c>
      <c r="L51">
        <f>SUMIF(negtgel!U$2:BL$2,'Tsalin uzuulelt'!N$1,negtgel!U51:BL51) + SUMIF(negtgel!U$2:BL$2,'Tsalin uzuulelt'!N$2,negtgel!U51:BL51)+SUMIF(negtgel!U$2:BL$2,'Tsalin uzuulelt'!N$3,negtgel!U51:BL51)+SUMIF(negtgel!U$2:BL$2,'Tsalin uzuulelt'!N$4,negtgel!U51:BL51)+SUMIF(negtgel!U$2:BL$2,'Tsalin uzuulelt'!N$5,negtgel!U51:BL51)</f>
      </c>
      <c r="M51">
        <f>SUMIF(negtgel!U$2:BL$2,'Tsalin uzuulelt'!P$1,negtgel!U51:BL51) + SUMIF(negtgel!U$2:BL$2,'Tsalin uzuulelt'!P$2,negtgel!U51:BL51)+ SUMIF(negtgel!U$2:BL$2,'Tsalin uzuulelt'!P$3,negtgel!U51:BL51)+ SUMIF(negtgel!U$2:BL$2,'Tsalin uzuulelt'!P$4,negtgel!U51:BL51)+ SUMIF(negtgel!U$2:BL$2,'Tsalin uzuulelt'!P$5,negtgel!U51:BL51)</f>
      </c>
      <c r="N51">
        <f>IF(ISNUMBER(U51*1)=CF51,0,K51-H51-G51)</f>
      </c>
      <c r="O51">
        <f>IF(ISNUMBER(U51*1)=CF51,0,L51)</f>
      </c>
      <c r="P51">
        <f>IF(ISNUMBER(U51*1)=CF51,0,M51)</f>
      </c>
      <c r="Q51">
        <f>IF(N51&gt;2400000,N51,0)</f>
      </c>
      <c r="R51">
        <f>IF(L51/Q51*100&lt;3,2,10)</f>
      </c>
      <c r="S51">
        <f>IF(CH51=0,0,IF(B51&gt;9,10,IF(B51&gt;8,B51,IF(B51&gt;7.7,7.8,IF(B51&gt;3,B51,IF(B51&gt;1.5,2))))))</f>
      </c>
      <c r="T51">
        <f>IF(Q51=0,S51,R51)</f>
      </c>
      <c r="U51" t="n">
        <v>89.0</v>
      </c>
      <c r="V51" t="s">
        <v>3832</v>
      </c>
      <c r="W51" t="s">
        <v>3790</v>
      </c>
      <c r="X51" t="n">
        <v>613669.0</v>
      </c>
      <c r="Y51" t="n">
        <v>55788.0</v>
      </c>
      <c r="Z51" t="n">
        <v>5579.0</v>
      </c>
      <c r="AA51" t="n">
        <v>8368.0</v>
      </c>
      <c r="AB51" t="n">
        <v>0.0</v>
      </c>
      <c r="AC51" t="n">
        <v>0.0</v>
      </c>
      <c r="AD51" t="n">
        <v>0.0</v>
      </c>
      <c r="AE51" t="n">
        <v>0.0</v>
      </c>
      <c r="AF51" t="n">
        <v>6000.0</v>
      </c>
      <c r="AG51" t="n">
        <v>0.0</v>
      </c>
      <c r="AH51" t="n">
        <v>0.0</v>
      </c>
      <c r="AI51" t="n">
        <v>0.0</v>
      </c>
      <c r="AJ51" t="n">
        <v>0.0</v>
      </c>
      <c r="AK51" t="n">
        <v>0.0</v>
      </c>
      <c r="AL51" t="n">
        <v>0.0</v>
      </c>
      <c r="AM51" t="n">
        <v>0.0</v>
      </c>
      <c r="AN51" t="n">
        <v>0.0</v>
      </c>
      <c r="AO51" t="n">
        <v>75735.0</v>
      </c>
      <c r="AP51" t="n">
        <v>7573.0</v>
      </c>
      <c r="AQ51" t="n">
        <v>0.0</v>
      </c>
      <c r="CH51">
        <f>IFERROR(U51*1,0)</f>
      </c>
    </row>
    <row r="52">
      <c r="A52" t="n">
        <v>1.0</v>
      </c>
      <c r="B52">
        <f>IF((K52-G52-H52&gt;2400000),10,(L52/(K52-G52-H52)*100))</f>
      </c>
      <c r="C52">
        <f>IF(N52&gt;2400000,240000,(N52*S52)/100)</f>
      </c>
      <c r="D52">
        <f>IF(S52=0,0,IF((N52-I52)&gt;2400000,((((((N52-I52-J52)-240000))*0.1+(I52+J52)*0.1)))-7000,((((((N52-I52-J52)-(N52-I52-J52)*S52/100)))*0.1+(I52+J52)*0.1)-7000)))</f>
      </c>
      <c r="E52">
        <f>C52-O52</f>
      </c>
      <c r="F52">
        <f>D52-P52</f>
      </c>
      <c r="G52">
        <f>SUMIF(negtgel!U$2:BL$2,'Tsalin uzuulelt'!B$1,negtgel!U52:BL52) + SUMIF(negtgel!U$2:BL$2,'Tsalin uzuulelt'!B$2,negtgel!U52:BL52)+SUMIF(negtgel!U$2:BL$2,'Tsalin uzuulelt'!B$3,negtgel!U52:BL52)+SUMIF(negtgel!U$2:BL$2,'Tsalin uzuulelt'!B$4,negtgel!U52:BL52)+SUMIF(negtgel!U$2:BL$2,'Tsalin uzuulelt'!B$5,negtgel!U52:BL52)</f>
      </c>
      <c r="H52">
        <f>SUMIF(negtgel!U$2:BL$2,'Tsalin uzuulelt'!F$1,negtgel!U52:BL52) + SUMIF(negtgel!U$2:BL$2,'Tsalin uzuulelt'!F$2,negtgel!U52:BL52)+SUMIF(negtgel!U$2:BL$2,'Tsalin uzuulelt'!F$3,negtgel!U52:BL52)+SUMIF(negtgel!U$2:BL$2,'Tsalin uzuulelt'!F$4,negtgel!U52:BL52)+SUMIF(negtgel!U$2:BL$2,'Tsalin uzuulelt'!F$5,negtgel!U52:BL52)</f>
      </c>
      <c r="I52">
        <f>SUMIF(negtgel!U$2:BL$2,'Tsalin uzuulelt'!H$1,negtgel!U52:BL52) + SUMIF(negtgel!U$2:BL$2,'Tsalin uzuulelt'!H$2,negtgel!U52:BL52)+SUMIF(negtgel!U$2:BL$2,'Tsalin uzuulelt'!H$3,negtgel!U52:BL52)+SUMIF(negtgel!U$2:BL$2,'Tsalin uzuulelt'!H$4,negtgel!U52:BL52)+SUMIF(negtgel!U$2:BL$2,'Tsalin uzuulelt'!H$5,negtgel!U52:BL52)</f>
      </c>
      <c r="J52">
        <f>SUMIF(negtgel!U$2:BL$2,'Tsalin uzuulelt'!J$1,negtgel!U52:BL52) + SUMIF(negtgel!U$2:BL$2,'Tsalin uzuulelt'!J$2,negtgel!U52:BL52)+SUMIF(negtgel!U$2:BL$2,'Tsalin uzuulelt'!J$3,negtgel!U52:BL52)+SUMIF(negtgel!U$2:BL$2,'Tsalin uzuulelt'!J$4,negtgel!U52:BL52)+SUMIF(negtgel!U$2:BL$2,'Tsalin uzuulelt'!J$5,negtgel!U52:BL52)</f>
      </c>
      <c r="K52">
        <f>SUMIF(negtgel!U$2:BL$2,'Tsalin uzuulelt'!L$1,negtgel!U52:BL52) + SUMIF(negtgel!U$2:BL$2,'Tsalin uzuulelt'!L$2,negtgel!U52:BL52)+SUMIF(negtgel!U$2:BL$2,'Tsalin uzuulelt'!L$3,negtgel!U52:BL52)+SUMIF(negtgel!U$2:BL$2,'Tsalin uzuulelt'!L$4,negtgel!U52:BL52)+SUMIF(negtgel!U$2:BL$2,'Tsalin uzuulelt'!L$5,negtgel!U52:BL52)</f>
      </c>
      <c r="L52">
        <f>SUMIF(negtgel!U$2:BL$2,'Tsalin uzuulelt'!N$1,negtgel!U52:BL52) + SUMIF(negtgel!U$2:BL$2,'Tsalin uzuulelt'!N$2,negtgel!U52:BL52)+SUMIF(negtgel!U$2:BL$2,'Tsalin uzuulelt'!N$3,negtgel!U52:BL52)+SUMIF(negtgel!U$2:BL$2,'Tsalin uzuulelt'!N$4,negtgel!U52:BL52)+SUMIF(negtgel!U$2:BL$2,'Tsalin uzuulelt'!N$5,negtgel!U52:BL52)</f>
      </c>
      <c r="M52">
        <f>SUMIF(negtgel!U$2:BL$2,'Tsalin uzuulelt'!P$1,negtgel!U52:BL52) + SUMIF(negtgel!U$2:BL$2,'Tsalin uzuulelt'!P$2,negtgel!U52:BL52)+ SUMIF(negtgel!U$2:BL$2,'Tsalin uzuulelt'!P$3,negtgel!U52:BL52)+ SUMIF(negtgel!U$2:BL$2,'Tsalin uzuulelt'!P$4,negtgel!U52:BL52)+ SUMIF(negtgel!U$2:BL$2,'Tsalin uzuulelt'!P$5,negtgel!U52:BL52)</f>
      </c>
      <c r="N52">
        <f>IF(ISNUMBER(U52*1)=CF52,0,K52-H52-G52)</f>
      </c>
      <c r="O52">
        <f>IF(ISNUMBER(U52*1)=CF52,0,L52)</f>
      </c>
      <c r="P52">
        <f>IF(ISNUMBER(U52*1)=CF52,0,M52)</f>
      </c>
      <c r="Q52">
        <f>IF(N52&gt;2400000,N52,0)</f>
      </c>
      <c r="R52">
        <f>IF(L52/Q52*100&lt;3,2,10)</f>
      </c>
      <c r="S52">
        <f>IF(CH52=0,0,IF(B52&gt;9,10,IF(B52&gt;8,B52,IF(B52&gt;7.7,7.8,IF(B52&gt;3,B52,IF(B52&gt;1.5,2))))))</f>
      </c>
      <c r="T52">
        <f>IF(Q52=0,S52,R52)</f>
      </c>
      <c r="U52" t="n">
        <v>90.0</v>
      </c>
      <c r="V52" t="s">
        <v>3833</v>
      </c>
      <c r="W52" t="s">
        <v>3790</v>
      </c>
      <c r="X52" t="n">
        <v>613669.0</v>
      </c>
      <c r="Y52" t="n">
        <v>418411.0</v>
      </c>
      <c r="Z52" t="n">
        <v>62762.0</v>
      </c>
      <c r="AA52" t="n">
        <v>71130.0</v>
      </c>
      <c r="AB52" t="n">
        <v>0.0</v>
      </c>
      <c r="AC52" t="n">
        <v>0.0</v>
      </c>
      <c r="AD52" t="n">
        <v>0.0</v>
      </c>
      <c r="AE52" t="n">
        <v>0.0</v>
      </c>
      <c r="AF52" t="n">
        <v>45000.0</v>
      </c>
      <c r="AG52" t="n">
        <v>0.0</v>
      </c>
      <c r="AH52" t="n">
        <v>0.0</v>
      </c>
      <c r="AI52" t="n">
        <v>0.0</v>
      </c>
      <c r="AJ52" t="n">
        <v>0.0</v>
      </c>
      <c r="AK52" t="n">
        <v>0.0</v>
      </c>
      <c r="AL52" t="n">
        <v>0.0</v>
      </c>
      <c r="AM52" t="n">
        <v>0.0</v>
      </c>
      <c r="AN52" t="n">
        <v>0.0</v>
      </c>
      <c r="AO52" t="n">
        <v>597303.0</v>
      </c>
      <c r="AP52" t="n">
        <v>59730.0</v>
      </c>
      <c r="AQ52" t="n">
        <v>47207.3</v>
      </c>
      <c r="CH52">
        <f>IFERROR(U52*1,0)</f>
      </c>
    </row>
    <row r="53">
      <c r="A53" t="n">
        <v>1.0</v>
      </c>
      <c r="B53">
        <f>IF((K53-G53-H53&gt;2400000),10,(L53/(K53-G53-H53)*100))</f>
      </c>
      <c r="C53">
        <f>IF(N53&gt;2400000,240000,(N53*S53)/100)</f>
      </c>
      <c r="D53">
        <f>IF(S53=0,0,IF((N53-I53)&gt;2400000,((((((N53-I53-J53)-240000))*0.1+(I53+J53)*0.1)))-7000,((((((N53-I53-J53)-(N53-I53-J53)*S53/100)))*0.1+(I53+J53)*0.1)-7000)))</f>
      </c>
      <c r="E53">
        <f>C53-O53</f>
      </c>
      <c r="F53">
        <f>D53-P53</f>
      </c>
      <c r="G53">
        <f>SUMIF(negtgel!U$2:BL$2,'Tsalin uzuulelt'!B$1,negtgel!U53:BL53) + SUMIF(negtgel!U$2:BL$2,'Tsalin uzuulelt'!B$2,negtgel!U53:BL53)+SUMIF(negtgel!U$2:BL$2,'Tsalin uzuulelt'!B$3,negtgel!U53:BL53)+SUMIF(negtgel!U$2:BL$2,'Tsalin uzuulelt'!B$4,negtgel!U53:BL53)+SUMIF(negtgel!U$2:BL$2,'Tsalin uzuulelt'!B$5,negtgel!U53:BL53)</f>
      </c>
      <c r="H53">
        <f>SUMIF(negtgel!U$2:BL$2,'Tsalin uzuulelt'!F$1,negtgel!U53:BL53) + SUMIF(negtgel!U$2:BL$2,'Tsalin uzuulelt'!F$2,negtgel!U53:BL53)+SUMIF(negtgel!U$2:BL$2,'Tsalin uzuulelt'!F$3,negtgel!U53:BL53)+SUMIF(negtgel!U$2:BL$2,'Tsalin uzuulelt'!F$4,negtgel!U53:BL53)+SUMIF(negtgel!U$2:BL$2,'Tsalin uzuulelt'!F$5,negtgel!U53:BL53)</f>
      </c>
      <c r="I53">
        <f>SUMIF(negtgel!U$2:BL$2,'Tsalin uzuulelt'!H$1,negtgel!U53:BL53) + SUMIF(negtgel!U$2:BL$2,'Tsalin uzuulelt'!H$2,negtgel!U53:BL53)+SUMIF(negtgel!U$2:BL$2,'Tsalin uzuulelt'!H$3,negtgel!U53:BL53)+SUMIF(negtgel!U$2:BL$2,'Tsalin uzuulelt'!H$4,negtgel!U53:BL53)+SUMIF(negtgel!U$2:BL$2,'Tsalin uzuulelt'!H$5,negtgel!U53:BL53)</f>
      </c>
      <c r="J53">
        <f>SUMIF(negtgel!U$2:BL$2,'Tsalin uzuulelt'!J$1,negtgel!U53:BL53) + SUMIF(negtgel!U$2:BL$2,'Tsalin uzuulelt'!J$2,negtgel!U53:BL53)+SUMIF(negtgel!U$2:BL$2,'Tsalin uzuulelt'!J$3,negtgel!U53:BL53)+SUMIF(negtgel!U$2:BL$2,'Tsalin uzuulelt'!J$4,negtgel!U53:BL53)+SUMIF(negtgel!U$2:BL$2,'Tsalin uzuulelt'!J$5,negtgel!U53:BL53)</f>
      </c>
      <c r="K53">
        <f>SUMIF(negtgel!U$2:BL$2,'Tsalin uzuulelt'!L$1,negtgel!U53:BL53) + SUMIF(negtgel!U$2:BL$2,'Tsalin uzuulelt'!L$2,negtgel!U53:BL53)+SUMIF(negtgel!U$2:BL$2,'Tsalin uzuulelt'!L$3,negtgel!U53:BL53)+SUMIF(negtgel!U$2:BL$2,'Tsalin uzuulelt'!L$4,negtgel!U53:BL53)+SUMIF(negtgel!U$2:BL$2,'Tsalin uzuulelt'!L$5,negtgel!U53:BL53)</f>
      </c>
      <c r="L53">
        <f>SUMIF(negtgel!U$2:BL$2,'Tsalin uzuulelt'!N$1,negtgel!U53:BL53) + SUMIF(negtgel!U$2:BL$2,'Tsalin uzuulelt'!N$2,negtgel!U53:BL53)+SUMIF(negtgel!U$2:BL$2,'Tsalin uzuulelt'!N$3,negtgel!U53:BL53)+SUMIF(negtgel!U$2:BL$2,'Tsalin uzuulelt'!N$4,negtgel!U53:BL53)+SUMIF(negtgel!U$2:BL$2,'Tsalin uzuulelt'!N$5,negtgel!U53:BL53)</f>
      </c>
      <c r="M53">
        <f>SUMIF(negtgel!U$2:BL$2,'Tsalin uzuulelt'!P$1,negtgel!U53:BL53) + SUMIF(negtgel!U$2:BL$2,'Tsalin uzuulelt'!P$2,negtgel!U53:BL53)+ SUMIF(negtgel!U$2:BL$2,'Tsalin uzuulelt'!P$3,negtgel!U53:BL53)+ SUMIF(negtgel!U$2:BL$2,'Tsalin uzuulelt'!P$4,negtgel!U53:BL53)+ SUMIF(negtgel!U$2:BL$2,'Tsalin uzuulelt'!P$5,negtgel!U53:BL53)</f>
      </c>
      <c r="N53">
        <f>IF(ISNUMBER(U53*1)=CF53,0,K53-H53-G53)</f>
      </c>
      <c r="O53">
        <f>IF(ISNUMBER(U53*1)=CF53,0,L53)</f>
      </c>
      <c r="P53">
        <f>IF(ISNUMBER(U53*1)=CF53,0,M53)</f>
      </c>
      <c r="Q53">
        <f>IF(N53&gt;2400000,N53,0)</f>
      </c>
      <c r="R53">
        <f>IF(L53/Q53*100&lt;3,2,10)</f>
      </c>
      <c r="S53">
        <f>IF(CH53=0,0,IF(B53&gt;9,10,IF(B53&gt;8,B53,IF(B53&gt;7.7,7.8,IF(B53&gt;3,B53,IF(B53&gt;1.5,2))))))</f>
      </c>
      <c r="T53">
        <f>IF(Q53=0,S53,R53)</f>
      </c>
      <c r="U53" t="n">
        <v>91.0</v>
      </c>
      <c r="V53" t="s">
        <v>3834</v>
      </c>
      <c r="W53" t="s">
        <v>3792</v>
      </c>
      <c r="X53" t="n">
        <v>510623.0</v>
      </c>
      <c r="Y53" t="n">
        <v>464203.0</v>
      </c>
      <c r="Z53" t="n">
        <v>0.0</v>
      </c>
      <c r="AA53" t="n">
        <v>0.0</v>
      </c>
      <c r="AB53" t="n">
        <v>0.0</v>
      </c>
      <c r="AC53" t="n">
        <v>0.0</v>
      </c>
      <c r="AD53" t="n">
        <v>0.0</v>
      </c>
      <c r="AE53" t="n">
        <v>0.0</v>
      </c>
      <c r="AF53" t="n">
        <v>60000.0</v>
      </c>
      <c r="AG53" t="n">
        <v>0.0</v>
      </c>
      <c r="AH53" t="n">
        <v>0.0</v>
      </c>
      <c r="AI53" t="n">
        <v>0.0</v>
      </c>
      <c r="AJ53" t="n">
        <v>0.0</v>
      </c>
      <c r="AK53" t="n">
        <v>0.0</v>
      </c>
      <c r="AL53" t="n">
        <v>0.0</v>
      </c>
      <c r="AM53" t="n">
        <v>0.0</v>
      </c>
      <c r="AN53" t="n">
        <v>0.0</v>
      </c>
      <c r="AO53" t="n">
        <v>524203.0</v>
      </c>
      <c r="AP53" t="n">
        <v>52420.0</v>
      </c>
      <c r="AQ53" t="n">
        <v>40778.3</v>
      </c>
      <c r="CH53">
        <f>IFERROR(U53*1,0)</f>
      </c>
    </row>
    <row r="54">
      <c r="A54" t="n">
        <v>1.0</v>
      </c>
      <c r="B54">
        <f>IF((K54-G54-H54&gt;2400000),10,(L54/(K54-G54-H54)*100))</f>
      </c>
      <c r="C54">
        <f>IF(N54&gt;2400000,240000,(N54*S54)/100)</f>
      </c>
      <c r="D54">
        <f>IF(S54=0,0,IF((N54-I54)&gt;2400000,((((((N54-I54-J54)-240000))*0.1+(I54+J54)*0.1)))-7000,((((((N54-I54-J54)-(N54-I54-J54)*S54/100)))*0.1+(I54+J54)*0.1)-7000)))</f>
      </c>
      <c r="E54">
        <f>C54-O54</f>
      </c>
      <c r="F54">
        <f>D54-P54</f>
      </c>
      <c r="G54">
        <f>SUMIF(negtgel!U$2:BL$2,'Tsalin uzuulelt'!B$1,negtgel!U54:BL54) + SUMIF(negtgel!U$2:BL$2,'Tsalin uzuulelt'!B$2,negtgel!U54:BL54)+SUMIF(negtgel!U$2:BL$2,'Tsalin uzuulelt'!B$3,negtgel!U54:BL54)+SUMIF(negtgel!U$2:BL$2,'Tsalin uzuulelt'!B$4,negtgel!U54:BL54)+SUMIF(negtgel!U$2:BL$2,'Tsalin uzuulelt'!B$5,negtgel!U54:BL54)</f>
      </c>
      <c r="H54">
        <f>SUMIF(negtgel!U$2:BL$2,'Tsalin uzuulelt'!F$1,negtgel!U54:BL54) + SUMIF(negtgel!U$2:BL$2,'Tsalin uzuulelt'!F$2,negtgel!U54:BL54)+SUMIF(negtgel!U$2:BL$2,'Tsalin uzuulelt'!F$3,negtgel!U54:BL54)+SUMIF(negtgel!U$2:BL$2,'Tsalin uzuulelt'!F$4,negtgel!U54:BL54)+SUMIF(negtgel!U$2:BL$2,'Tsalin uzuulelt'!F$5,negtgel!U54:BL54)</f>
      </c>
      <c r="I54">
        <f>SUMIF(negtgel!U$2:BL$2,'Tsalin uzuulelt'!H$1,negtgel!U54:BL54) + SUMIF(negtgel!U$2:BL$2,'Tsalin uzuulelt'!H$2,negtgel!U54:BL54)+SUMIF(negtgel!U$2:BL$2,'Tsalin uzuulelt'!H$3,negtgel!U54:BL54)+SUMIF(negtgel!U$2:BL$2,'Tsalin uzuulelt'!H$4,negtgel!U54:BL54)+SUMIF(negtgel!U$2:BL$2,'Tsalin uzuulelt'!H$5,negtgel!U54:BL54)</f>
      </c>
      <c r="J54">
        <f>SUMIF(negtgel!U$2:BL$2,'Tsalin uzuulelt'!J$1,negtgel!U54:BL54) + SUMIF(negtgel!U$2:BL$2,'Tsalin uzuulelt'!J$2,negtgel!U54:BL54)+SUMIF(negtgel!U$2:BL$2,'Tsalin uzuulelt'!J$3,negtgel!U54:BL54)+SUMIF(negtgel!U$2:BL$2,'Tsalin uzuulelt'!J$4,negtgel!U54:BL54)+SUMIF(negtgel!U$2:BL$2,'Tsalin uzuulelt'!J$5,negtgel!U54:BL54)</f>
      </c>
      <c r="K54">
        <f>SUMIF(negtgel!U$2:BL$2,'Tsalin uzuulelt'!L$1,negtgel!U54:BL54) + SUMIF(negtgel!U$2:BL$2,'Tsalin uzuulelt'!L$2,negtgel!U54:BL54)+SUMIF(negtgel!U$2:BL$2,'Tsalin uzuulelt'!L$3,negtgel!U54:BL54)+SUMIF(negtgel!U$2:BL$2,'Tsalin uzuulelt'!L$4,negtgel!U54:BL54)+SUMIF(negtgel!U$2:BL$2,'Tsalin uzuulelt'!L$5,negtgel!U54:BL54)</f>
      </c>
      <c r="L54">
        <f>SUMIF(negtgel!U$2:BL$2,'Tsalin uzuulelt'!N$1,negtgel!U54:BL54) + SUMIF(negtgel!U$2:BL$2,'Tsalin uzuulelt'!N$2,negtgel!U54:BL54)+SUMIF(negtgel!U$2:BL$2,'Tsalin uzuulelt'!N$3,negtgel!U54:BL54)+SUMIF(negtgel!U$2:BL$2,'Tsalin uzuulelt'!N$4,negtgel!U54:BL54)+SUMIF(negtgel!U$2:BL$2,'Tsalin uzuulelt'!N$5,negtgel!U54:BL54)</f>
      </c>
      <c r="M54">
        <f>SUMIF(negtgel!U$2:BL$2,'Tsalin uzuulelt'!P$1,negtgel!U54:BL54) + SUMIF(negtgel!U$2:BL$2,'Tsalin uzuulelt'!P$2,negtgel!U54:BL54)+ SUMIF(negtgel!U$2:BL$2,'Tsalin uzuulelt'!P$3,negtgel!U54:BL54)+ SUMIF(negtgel!U$2:BL$2,'Tsalin uzuulelt'!P$4,negtgel!U54:BL54)+ SUMIF(negtgel!U$2:BL$2,'Tsalin uzuulelt'!P$5,negtgel!U54:BL54)</f>
      </c>
      <c r="N54">
        <f>IF(ISNUMBER(U54*1)=CF54,0,K54-H54-G54)</f>
      </c>
      <c r="O54">
        <f>IF(ISNUMBER(U54*1)=CF54,0,L54)</f>
      </c>
      <c r="P54">
        <f>IF(ISNUMBER(U54*1)=CF54,0,M54)</f>
      </c>
      <c r="Q54">
        <f>IF(N54&gt;2400000,N54,0)</f>
      </c>
      <c r="R54">
        <f>IF(L54/Q54*100&lt;3,2,10)</f>
      </c>
      <c r="S54">
        <f>IF(CH54=0,0,IF(B54&gt;9,10,IF(B54&gt;8,B54,IF(B54&gt;7.7,7.8,IF(B54&gt;3,B54,IF(B54&gt;1.5,2))))))</f>
      </c>
      <c r="T54">
        <f>IF(Q54=0,S54,R54)</f>
      </c>
      <c r="U54" t="n">
        <v>92.0</v>
      </c>
      <c r="V54" t="s">
        <v>3835</v>
      </c>
      <c r="W54" t="s">
        <v>3790</v>
      </c>
      <c r="X54" t="n">
        <v>580710.0</v>
      </c>
      <c r="Y54" t="n">
        <v>580710.0</v>
      </c>
      <c r="Z54" t="n">
        <v>29036.0</v>
      </c>
      <c r="AA54" t="n">
        <v>0.0</v>
      </c>
      <c r="AB54" t="n">
        <v>0.0</v>
      </c>
      <c r="AC54" t="n">
        <v>0.0</v>
      </c>
      <c r="AD54" t="n">
        <v>0.0</v>
      </c>
      <c r="AE54" t="n">
        <v>0.0</v>
      </c>
      <c r="AF54" t="n">
        <v>66000.0</v>
      </c>
      <c r="AG54" t="n">
        <v>0.0</v>
      </c>
      <c r="AH54" t="n">
        <v>0.0</v>
      </c>
      <c r="AI54" t="n">
        <v>0.0</v>
      </c>
      <c r="AJ54" t="n">
        <v>0.0</v>
      </c>
      <c r="AK54" t="n">
        <v>0.0</v>
      </c>
      <c r="AL54" t="n">
        <v>0.0</v>
      </c>
      <c r="AM54" t="n">
        <v>0.0</v>
      </c>
      <c r="AN54" t="n">
        <v>0.0</v>
      </c>
      <c r="AO54" t="n">
        <v>675746.0</v>
      </c>
      <c r="AP54" t="n">
        <v>67574.0</v>
      </c>
      <c r="AQ54" t="n">
        <v>54477.1</v>
      </c>
      <c r="CH54">
        <f>IFERROR(U54*1,0)</f>
      </c>
    </row>
    <row r="55">
      <c r="A55" t="n">
        <v>1.0</v>
      </c>
      <c r="B55">
        <f>IF((K55-G55-H55&gt;2400000),10,(L55/(K55-G55-H55)*100))</f>
      </c>
      <c r="C55">
        <f>IF(N55&gt;2400000,240000,(N55*S55)/100)</f>
      </c>
      <c r="D55">
        <f>IF(S55=0,0,IF((N55-I55)&gt;2400000,((((((N55-I55-J55)-240000))*0.1+(I55+J55)*0.1)))-7000,((((((N55-I55-J55)-(N55-I55-J55)*S55/100)))*0.1+(I55+J55)*0.1)-7000)))</f>
      </c>
      <c r="E55">
        <f>C55-O55</f>
      </c>
      <c r="F55">
        <f>D55-P55</f>
      </c>
      <c r="G55">
        <f>SUMIF(negtgel!U$2:BL$2,'Tsalin uzuulelt'!B$1,negtgel!U55:BL55) + SUMIF(negtgel!U$2:BL$2,'Tsalin uzuulelt'!B$2,negtgel!U55:BL55)+SUMIF(negtgel!U$2:BL$2,'Tsalin uzuulelt'!B$3,negtgel!U55:BL55)+SUMIF(negtgel!U$2:BL$2,'Tsalin uzuulelt'!B$4,negtgel!U55:BL55)+SUMIF(negtgel!U$2:BL$2,'Tsalin uzuulelt'!B$5,negtgel!U55:BL55)</f>
      </c>
      <c r="H55">
        <f>SUMIF(negtgel!U$2:BL$2,'Tsalin uzuulelt'!F$1,negtgel!U55:BL55) + SUMIF(negtgel!U$2:BL$2,'Tsalin uzuulelt'!F$2,negtgel!U55:BL55)+SUMIF(negtgel!U$2:BL$2,'Tsalin uzuulelt'!F$3,negtgel!U55:BL55)+SUMIF(negtgel!U$2:BL$2,'Tsalin uzuulelt'!F$4,negtgel!U55:BL55)+SUMIF(negtgel!U$2:BL$2,'Tsalin uzuulelt'!F$5,negtgel!U55:BL55)</f>
      </c>
      <c r="I55">
        <f>SUMIF(negtgel!U$2:BL$2,'Tsalin uzuulelt'!H$1,negtgel!U55:BL55) + SUMIF(negtgel!U$2:BL$2,'Tsalin uzuulelt'!H$2,negtgel!U55:BL55)+SUMIF(negtgel!U$2:BL$2,'Tsalin uzuulelt'!H$3,negtgel!U55:BL55)+SUMIF(negtgel!U$2:BL$2,'Tsalin uzuulelt'!H$4,negtgel!U55:BL55)+SUMIF(negtgel!U$2:BL$2,'Tsalin uzuulelt'!H$5,negtgel!U55:BL55)</f>
      </c>
      <c r="J55">
        <f>SUMIF(negtgel!U$2:BL$2,'Tsalin uzuulelt'!J$1,negtgel!U55:BL55) + SUMIF(negtgel!U$2:BL$2,'Tsalin uzuulelt'!J$2,negtgel!U55:BL55)+SUMIF(negtgel!U$2:BL$2,'Tsalin uzuulelt'!J$3,negtgel!U55:BL55)+SUMIF(negtgel!U$2:BL$2,'Tsalin uzuulelt'!J$4,negtgel!U55:BL55)+SUMIF(negtgel!U$2:BL$2,'Tsalin uzuulelt'!J$5,negtgel!U55:BL55)</f>
      </c>
      <c r="K55">
        <f>SUMIF(negtgel!U$2:BL$2,'Tsalin uzuulelt'!L$1,negtgel!U55:BL55) + SUMIF(negtgel!U$2:BL$2,'Tsalin uzuulelt'!L$2,negtgel!U55:BL55)+SUMIF(negtgel!U$2:BL$2,'Tsalin uzuulelt'!L$3,negtgel!U55:BL55)+SUMIF(negtgel!U$2:BL$2,'Tsalin uzuulelt'!L$4,negtgel!U55:BL55)+SUMIF(negtgel!U$2:BL$2,'Tsalin uzuulelt'!L$5,negtgel!U55:BL55)</f>
      </c>
      <c r="L55">
        <f>SUMIF(negtgel!U$2:BL$2,'Tsalin uzuulelt'!N$1,negtgel!U55:BL55) + SUMIF(negtgel!U$2:BL$2,'Tsalin uzuulelt'!N$2,negtgel!U55:BL55)+SUMIF(negtgel!U$2:BL$2,'Tsalin uzuulelt'!N$3,negtgel!U55:BL55)+SUMIF(negtgel!U$2:BL$2,'Tsalin uzuulelt'!N$4,negtgel!U55:BL55)+SUMIF(negtgel!U$2:BL$2,'Tsalin uzuulelt'!N$5,negtgel!U55:BL55)</f>
      </c>
      <c r="M55">
        <f>SUMIF(negtgel!U$2:BL$2,'Tsalin uzuulelt'!P$1,negtgel!U55:BL55) + SUMIF(negtgel!U$2:BL$2,'Tsalin uzuulelt'!P$2,negtgel!U55:BL55)+ SUMIF(negtgel!U$2:BL$2,'Tsalin uzuulelt'!P$3,negtgel!U55:BL55)+ SUMIF(negtgel!U$2:BL$2,'Tsalin uzuulelt'!P$4,negtgel!U55:BL55)+ SUMIF(negtgel!U$2:BL$2,'Tsalin uzuulelt'!P$5,negtgel!U55:BL55)</f>
      </c>
      <c r="N55">
        <f>IF(ISNUMBER(U55*1)=CF55,0,K55-H55-G55)</f>
      </c>
      <c r="O55">
        <f>IF(ISNUMBER(U55*1)=CF55,0,L55)</f>
      </c>
      <c r="P55">
        <f>IF(ISNUMBER(U55*1)=CF55,0,M55)</f>
      </c>
      <c r="Q55">
        <f>IF(N55&gt;2400000,N55,0)</f>
      </c>
      <c r="R55">
        <f>IF(L55/Q55*100&lt;3,2,10)</f>
      </c>
      <c r="S55">
        <f>IF(CH55=0,0,IF(B55&gt;9,10,IF(B55&gt;8,B55,IF(B55&gt;7.7,7.8,IF(B55&gt;3,B55,IF(B55&gt;1.5,2))))))</f>
      </c>
      <c r="T55">
        <f>IF(Q55=0,S55,R55)</f>
      </c>
      <c r="U55" t="s">
        <v>3787</v>
      </c>
      <c r="V55"/>
      <c r="W55"/>
      <c r="X55" t="n">
        <v>5620060.0</v>
      </c>
      <c r="Y55" t="n">
        <v>3794620.0</v>
      </c>
      <c r="Z55" t="n">
        <v>165253.0</v>
      </c>
      <c r="AA55" t="n">
        <v>173618.0</v>
      </c>
      <c r="AB55" t="n">
        <v>0.0</v>
      </c>
      <c r="AC55" t="n">
        <v>0.0</v>
      </c>
      <c r="AD55" t="n">
        <v>0.0</v>
      </c>
      <c r="AE55" t="n">
        <v>0.0</v>
      </c>
      <c r="AF55" t="n">
        <v>453000.0</v>
      </c>
      <c r="AG55" t="n">
        <v>0.0</v>
      </c>
      <c r="AH55" t="n">
        <v>0.0</v>
      </c>
      <c r="AI55" t="n">
        <v>0.0</v>
      </c>
      <c r="AJ55" t="n">
        <v>0.0</v>
      </c>
      <c r="AK55" t="n">
        <v>0.0</v>
      </c>
      <c r="AL55" t="n">
        <v>0.0</v>
      </c>
      <c r="AM55" t="n">
        <v>0.0</v>
      </c>
      <c r="AN55" t="n">
        <v>0.0</v>
      </c>
      <c r="AO55" t="n">
        <v>4586491.0</v>
      </c>
      <c r="AP55" t="n">
        <v>458649.0</v>
      </c>
      <c r="AQ55" t="n">
        <v>350543.5</v>
      </c>
      <c r="CH55">
        <f>IFERROR(U55*1,0)</f>
      </c>
    </row>
    <row r="56">
      <c r="A56" t="n">
        <v>1.0</v>
      </c>
      <c r="B56">
        <f>IF((K56-G56-H56&gt;2400000),10,(L56/(K56-G56-H56)*100))</f>
      </c>
      <c r="C56">
        <f>IF(N56&gt;2400000,240000,(N56*S56)/100)</f>
      </c>
      <c r="D56">
        <f>IF(S56=0,0,IF((N56-I56)&gt;2400000,((((((N56-I56-J56)-240000))*0.1+(I56+J56)*0.1)))-7000,((((((N56-I56-J56)-(N56-I56-J56)*S56/100)))*0.1+(I56+J56)*0.1)-7000)))</f>
      </c>
      <c r="E56">
        <f>C56-O56</f>
      </c>
      <c r="F56">
        <f>D56-P56</f>
      </c>
      <c r="G56">
        <f>SUMIF(negtgel!U$2:BL$2,'Tsalin uzuulelt'!B$1,negtgel!U56:BL56) + SUMIF(negtgel!U$2:BL$2,'Tsalin uzuulelt'!B$2,negtgel!U56:BL56)+SUMIF(negtgel!U$2:BL$2,'Tsalin uzuulelt'!B$3,negtgel!U56:BL56)+SUMIF(negtgel!U$2:BL$2,'Tsalin uzuulelt'!B$4,negtgel!U56:BL56)+SUMIF(negtgel!U$2:BL$2,'Tsalin uzuulelt'!B$5,negtgel!U56:BL56)</f>
      </c>
      <c r="H56">
        <f>SUMIF(negtgel!U$2:BL$2,'Tsalin uzuulelt'!F$1,negtgel!U56:BL56) + SUMIF(negtgel!U$2:BL$2,'Tsalin uzuulelt'!F$2,negtgel!U56:BL56)+SUMIF(negtgel!U$2:BL$2,'Tsalin uzuulelt'!F$3,negtgel!U56:BL56)+SUMIF(negtgel!U$2:BL$2,'Tsalin uzuulelt'!F$4,negtgel!U56:BL56)+SUMIF(negtgel!U$2:BL$2,'Tsalin uzuulelt'!F$5,negtgel!U56:BL56)</f>
      </c>
      <c r="I56">
        <f>SUMIF(negtgel!U$2:BL$2,'Tsalin uzuulelt'!H$1,negtgel!U56:BL56) + SUMIF(negtgel!U$2:BL$2,'Tsalin uzuulelt'!H$2,negtgel!U56:BL56)+SUMIF(negtgel!U$2:BL$2,'Tsalin uzuulelt'!H$3,negtgel!U56:BL56)+SUMIF(negtgel!U$2:BL$2,'Tsalin uzuulelt'!H$4,negtgel!U56:BL56)+SUMIF(negtgel!U$2:BL$2,'Tsalin uzuulelt'!H$5,negtgel!U56:BL56)</f>
      </c>
      <c r="J56">
        <f>SUMIF(negtgel!U$2:BL$2,'Tsalin uzuulelt'!J$1,negtgel!U56:BL56) + SUMIF(negtgel!U$2:BL$2,'Tsalin uzuulelt'!J$2,negtgel!U56:BL56)+SUMIF(negtgel!U$2:BL$2,'Tsalin uzuulelt'!J$3,negtgel!U56:BL56)+SUMIF(negtgel!U$2:BL$2,'Tsalin uzuulelt'!J$4,negtgel!U56:BL56)+SUMIF(negtgel!U$2:BL$2,'Tsalin uzuulelt'!J$5,negtgel!U56:BL56)</f>
      </c>
      <c r="K56">
        <f>SUMIF(negtgel!U$2:BL$2,'Tsalin uzuulelt'!L$1,negtgel!U56:BL56) + SUMIF(negtgel!U$2:BL$2,'Tsalin uzuulelt'!L$2,negtgel!U56:BL56)+SUMIF(negtgel!U$2:BL$2,'Tsalin uzuulelt'!L$3,negtgel!U56:BL56)+SUMIF(negtgel!U$2:BL$2,'Tsalin uzuulelt'!L$4,negtgel!U56:BL56)+SUMIF(negtgel!U$2:BL$2,'Tsalin uzuulelt'!L$5,negtgel!U56:BL56)</f>
      </c>
      <c r="L56">
        <f>SUMIF(negtgel!U$2:BL$2,'Tsalin uzuulelt'!N$1,negtgel!U56:BL56) + SUMIF(negtgel!U$2:BL$2,'Tsalin uzuulelt'!N$2,negtgel!U56:BL56)+SUMIF(negtgel!U$2:BL$2,'Tsalin uzuulelt'!N$3,negtgel!U56:BL56)+SUMIF(negtgel!U$2:BL$2,'Tsalin uzuulelt'!N$4,negtgel!U56:BL56)+SUMIF(negtgel!U$2:BL$2,'Tsalin uzuulelt'!N$5,negtgel!U56:BL56)</f>
      </c>
      <c r="M56">
        <f>SUMIF(negtgel!U$2:BL$2,'Tsalin uzuulelt'!P$1,negtgel!U56:BL56) + SUMIF(negtgel!U$2:BL$2,'Tsalin uzuulelt'!P$2,negtgel!U56:BL56)+ SUMIF(negtgel!U$2:BL$2,'Tsalin uzuulelt'!P$3,negtgel!U56:BL56)+ SUMIF(negtgel!U$2:BL$2,'Tsalin uzuulelt'!P$4,negtgel!U56:BL56)+ SUMIF(negtgel!U$2:BL$2,'Tsalin uzuulelt'!P$5,negtgel!U56:BL56)</f>
      </c>
      <c r="N56">
        <f>IF(ISNUMBER(U56*1)=CF56,0,K56-H56-G56)</f>
      </c>
      <c r="O56">
        <f>IF(ISNUMBER(U56*1)=CF56,0,L56)</f>
      </c>
      <c r="P56">
        <f>IF(ISNUMBER(U56*1)=CF56,0,M56)</f>
      </c>
      <c r="Q56">
        <f>IF(N56&gt;2400000,N56,0)</f>
      </c>
      <c r="R56">
        <f>IF(L56/Q56*100&lt;3,2,10)</f>
      </c>
      <c r="S56">
        <f>IF(CH56=0,0,IF(B56&gt;9,10,IF(B56&gt;8,B56,IF(B56&gt;7.7,7.8,IF(B56&gt;3,B56,IF(B56&gt;1.5,2))))))</f>
      </c>
      <c r="T56">
        <f>IF(Q56=0,S56,R56)</f>
      </c>
      <c r="U56" t="s">
        <v>3836</v>
      </c>
      <c r="V56"/>
      <c r="W56"/>
      <c r="X56"/>
      <c r="Y56"/>
      <c r="Z56"/>
      <c r="AA56"/>
      <c r="AB56"/>
      <c r="AC56"/>
      <c r="AD56"/>
      <c r="AE56"/>
      <c r="AF56"/>
      <c r="AG56"/>
      <c r="AH56"/>
      <c r="AI56"/>
      <c r="AJ56"/>
      <c r="AK56"/>
      <c r="AL56"/>
      <c r="AM56"/>
      <c r="AN56"/>
      <c r="AO56"/>
      <c r="AP56"/>
      <c r="AQ56"/>
      <c r="CH56">
        <f>IFERROR(U56*1,0)</f>
      </c>
    </row>
    <row r="57">
      <c r="A57" t="n">
        <v>1.0</v>
      </c>
      <c r="B57">
        <f>IF((K57-G57-H57&gt;2400000),10,(L57/(K57-G57-H57)*100))</f>
      </c>
      <c r="C57">
        <f>IF(N57&gt;2400000,240000,(N57*S57)/100)</f>
      </c>
      <c r="D57">
        <f>IF(S57=0,0,IF((N57-I57)&gt;2400000,((((((N57-I57-J57)-240000))*0.1+(I57+J57)*0.1)))-7000,((((((N57-I57-J57)-(N57-I57-J57)*S57/100)))*0.1+(I57+J57)*0.1)-7000)))</f>
      </c>
      <c r="E57">
        <f>C57-O57</f>
      </c>
      <c r="F57">
        <f>D57-P57</f>
      </c>
      <c r="G57">
        <f>SUMIF(negtgel!U$2:BL$2,'Tsalin uzuulelt'!B$1,negtgel!U57:BL57) + SUMIF(negtgel!U$2:BL$2,'Tsalin uzuulelt'!B$2,negtgel!U57:BL57)+SUMIF(negtgel!U$2:BL$2,'Tsalin uzuulelt'!B$3,negtgel!U57:BL57)+SUMIF(negtgel!U$2:BL$2,'Tsalin uzuulelt'!B$4,negtgel!U57:BL57)+SUMIF(negtgel!U$2:BL$2,'Tsalin uzuulelt'!B$5,negtgel!U57:BL57)</f>
      </c>
      <c r="H57">
        <f>SUMIF(negtgel!U$2:BL$2,'Tsalin uzuulelt'!F$1,negtgel!U57:BL57) + SUMIF(negtgel!U$2:BL$2,'Tsalin uzuulelt'!F$2,negtgel!U57:BL57)+SUMIF(negtgel!U$2:BL$2,'Tsalin uzuulelt'!F$3,negtgel!U57:BL57)+SUMIF(negtgel!U$2:BL$2,'Tsalin uzuulelt'!F$4,negtgel!U57:BL57)+SUMIF(negtgel!U$2:BL$2,'Tsalin uzuulelt'!F$5,negtgel!U57:BL57)</f>
      </c>
      <c r="I57">
        <f>SUMIF(negtgel!U$2:BL$2,'Tsalin uzuulelt'!H$1,negtgel!U57:BL57) + SUMIF(negtgel!U$2:BL$2,'Tsalin uzuulelt'!H$2,negtgel!U57:BL57)+SUMIF(negtgel!U$2:BL$2,'Tsalin uzuulelt'!H$3,negtgel!U57:BL57)+SUMIF(negtgel!U$2:BL$2,'Tsalin uzuulelt'!H$4,negtgel!U57:BL57)+SUMIF(negtgel!U$2:BL$2,'Tsalin uzuulelt'!H$5,negtgel!U57:BL57)</f>
      </c>
      <c r="J57">
        <f>SUMIF(negtgel!U$2:BL$2,'Tsalin uzuulelt'!J$1,negtgel!U57:BL57) + SUMIF(negtgel!U$2:BL$2,'Tsalin uzuulelt'!J$2,negtgel!U57:BL57)+SUMIF(negtgel!U$2:BL$2,'Tsalin uzuulelt'!J$3,negtgel!U57:BL57)+SUMIF(negtgel!U$2:BL$2,'Tsalin uzuulelt'!J$4,negtgel!U57:BL57)+SUMIF(negtgel!U$2:BL$2,'Tsalin uzuulelt'!J$5,negtgel!U57:BL57)</f>
      </c>
      <c r="K57">
        <f>SUMIF(negtgel!U$2:BL$2,'Tsalin uzuulelt'!L$1,negtgel!U57:BL57) + SUMIF(negtgel!U$2:BL$2,'Tsalin uzuulelt'!L$2,negtgel!U57:BL57)+SUMIF(negtgel!U$2:BL$2,'Tsalin uzuulelt'!L$3,negtgel!U57:BL57)+SUMIF(negtgel!U$2:BL$2,'Tsalin uzuulelt'!L$4,negtgel!U57:BL57)+SUMIF(negtgel!U$2:BL$2,'Tsalin uzuulelt'!L$5,negtgel!U57:BL57)</f>
      </c>
      <c r="L57">
        <f>SUMIF(negtgel!U$2:BL$2,'Tsalin uzuulelt'!N$1,negtgel!U57:BL57) + SUMIF(negtgel!U$2:BL$2,'Tsalin uzuulelt'!N$2,negtgel!U57:BL57)+SUMIF(negtgel!U$2:BL$2,'Tsalin uzuulelt'!N$3,negtgel!U57:BL57)+SUMIF(negtgel!U$2:BL$2,'Tsalin uzuulelt'!N$4,negtgel!U57:BL57)+SUMIF(negtgel!U$2:BL$2,'Tsalin uzuulelt'!N$5,negtgel!U57:BL57)</f>
      </c>
      <c r="M57">
        <f>SUMIF(negtgel!U$2:BL$2,'Tsalin uzuulelt'!P$1,negtgel!U57:BL57) + SUMIF(negtgel!U$2:BL$2,'Tsalin uzuulelt'!P$2,negtgel!U57:BL57)+ SUMIF(negtgel!U$2:BL$2,'Tsalin uzuulelt'!P$3,negtgel!U57:BL57)+ SUMIF(negtgel!U$2:BL$2,'Tsalin uzuulelt'!P$4,negtgel!U57:BL57)+ SUMIF(negtgel!U$2:BL$2,'Tsalin uzuulelt'!P$5,negtgel!U57:BL57)</f>
      </c>
      <c r="N57">
        <f>IF(ISNUMBER(U57*1)=CF57,0,K57-H57-G57)</f>
      </c>
      <c r="O57">
        <f>IF(ISNUMBER(U57*1)=CF57,0,L57)</f>
      </c>
      <c r="P57">
        <f>IF(ISNUMBER(U57*1)=CF57,0,M57)</f>
      </c>
      <c r="Q57">
        <f>IF(N57&gt;2400000,N57,0)</f>
      </c>
      <c r="R57">
        <f>IF(L57/Q57*100&lt;3,2,10)</f>
      </c>
      <c r="S57">
        <f>IF(CH57=0,0,IF(B57&gt;9,10,IF(B57&gt;8,B57,IF(B57&gt;7.7,7.8,IF(B57&gt;3,B57,IF(B57&gt;1.5,2))))))</f>
      </c>
      <c r="T57">
        <f>IF(Q57=0,S57,R57)</f>
      </c>
      <c r="U57" t="n">
        <v>93.0</v>
      </c>
      <c r="V57" t="s">
        <v>3837</v>
      </c>
      <c r="W57" t="s">
        <v>3820</v>
      </c>
      <c r="X57" t="n">
        <v>645556.0</v>
      </c>
      <c r="Y57" t="n">
        <v>645556.0</v>
      </c>
      <c r="Z57" t="n">
        <v>96833.0</v>
      </c>
      <c r="AA57" t="n">
        <v>129111.0</v>
      </c>
      <c r="AB57" t="n">
        <v>0.0</v>
      </c>
      <c r="AC57" t="n">
        <v>0.0</v>
      </c>
      <c r="AD57" t="n">
        <v>0.0</v>
      </c>
      <c r="AE57" t="n">
        <v>0.0</v>
      </c>
      <c r="AF57" t="n">
        <v>66000.0</v>
      </c>
      <c r="AG57" t="n">
        <v>0.0</v>
      </c>
      <c r="AH57" t="n">
        <v>0.0</v>
      </c>
      <c r="AI57" t="n">
        <v>0.0</v>
      </c>
      <c r="AJ57" t="n">
        <v>0.0</v>
      </c>
      <c r="AK57" t="n">
        <v>0.0</v>
      </c>
      <c r="AL57" t="n">
        <v>0.0</v>
      </c>
      <c r="AM57" t="n">
        <v>0.0</v>
      </c>
      <c r="AN57" t="n">
        <v>0.0</v>
      </c>
      <c r="AO57" t="n">
        <v>937500.0</v>
      </c>
      <c r="AP57" t="n">
        <v>93750.0</v>
      </c>
      <c r="AQ57" t="n">
        <v>78035.0</v>
      </c>
      <c r="CH57">
        <f>IFERROR(U57*1,0)</f>
      </c>
    </row>
    <row r="58">
      <c r="A58" t="n">
        <v>1.0</v>
      </c>
      <c r="B58">
        <f>IF((K58-G58-H58&gt;2400000),10,(L58/(K58-G58-H58)*100))</f>
      </c>
      <c r="C58">
        <f>IF(N58&gt;2400000,240000,(N58*S58)/100)</f>
      </c>
      <c r="D58">
        <f>IF(S58=0,0,IF((N58-I58)&gt;2400000,((((((N58-I58-J58)-240000))*0.1+(I58+J58)*0.1)))-7000,((((((N58-I58-J58)-(N58-I58-J58)*S58/100)))*0.1+(I58+J58)*0.1)-7000)))</f>
      </c>
      <c r="E58">
        <f>C58-O58</f>
      </c>
      <c r="F58">
        <f>D58-P58</f>
      </c>
      <c r="G58">
        <f>SUMIF(negtgel!U$2:BL$2,'Tsalin uzuulelt'!B$1,negtgel!U58:BL58) + SUMIF(negtgel!U$2:BL$2,'Tsalin uzuulelt'!B$2,negtgel!U58:BL58)+SUMIF(negtgel!U$2:BL$2,'Tsalin uzuulelt'!B$3,negtgel!U58:BL58)+SUMIF(negtgel!U$2:BL$2,'Tsalin uzuulelt'!B$4,negtgel!U58:BL58)+SUMIF(negtgel!U$2:BL$2,'Tsalin uzuulelt'!B$5,negtgel!U58:BL58)</f>
      </c>
      <c r="H58">
        <f>SUMIF(negtgel!U$2:BL$2,'Tsalin uzuulelt'!F$1,negtgel!U58:BL58) + SUMIF(negtgel!U$2:BL$2,'Tsalin uzuulelt'!F$2,negtgel!U58:BL58)+SUMIF(negtgel!U$2:BL$2,'Tsalin uzuulelt'!F$3,negtgel!U58:BL58)+SUMIF(negtgel!U$2:BL$2,'Tsalin uzuulelt'!F$4,negtgel!U58:BL58)+SUMIF(negtgel!U$2:BL$2,'Tsalin uzuulelt'!F$5,negtgel!U58:BL58)</f>
      </c>
      <c r="I58">
        <f>SUMIF(negtgel!U$2:BL$2,'Tsalin uzuulelt'!H$1,negtgel!U58:BL58) + SUMIF(negtgel!U$2:BL$2,'Tsalin uzuulelt'!H$2,negtgel!U58:BL58)+SUMIF(negtgel!U$2:BL$2,'Tsalin uzuulelt'!H$3,negtgel!U58:BL58)+SUMIF(negtgel!U$2:BL$2,'Tsalin uzuulelt'!H$4,negtgel!U58:BL58)+SUMIF(negtgel!U$2:BL$2,'Tsalin uzuulelt'!H$5,negtgel!U58:BL58)</f>
      </c>
      <c r="J58">
        <f>SUMIF(negtgel!U$2:BL$2,'Tsalin uzuulelt'!J$1,negtgel!U58:BL58) + SUMIF(negtgel!U$2:BL$2,'Tsalin uzuulelt'!J$2,negtgel!U58:BL58)+SUMIF(negtgel!U$2:BL$2,'Tsalin uzuulelt'!J$3,negtgel!U58:BL58)+SUMIF(negtgel!U$2:BL$2,'Tsalin uzuulelt'!J$4,negtgel!U58:BL58)+SUMIF(negtgel!U$2:BL$2,'Tsalin uzuulelt'!J$5,negtgel!U58:BL58)</f>
      </c>
      <c r="K58">
        <f>SUMIF(negtgel!U$2:BL$2,'Tsalin uzuulelt'!L$1,negtgel!U58:BL58) + SUMIF(negtgel!U$2:BL$2,'Tsalin uzuulelt'!L$2,negtgel!U58:BL58)+SUMIF(negtgel!U$2:BL$2,'Tsalin uzuulelt'!L$3,negtgel!U58:BL58)+SUMIF(negtgel!U$2:BL$2,'Tsalin uzuulelt'!L$4,negtgel!U58:BL58)+SUMIF(negtgel!U$2:BL$2,'Tsalin uzuulelt'!L$5,negtgel!U58:BL58)</f>
      </c>
      <c r="L58">
        <f>SUMIF(negtgel!U$2:BL$2,'Tsalin uzuulelt'!N$1,negtgel!U58:BL58) + SUMIF(negtgel!U$2:BL$2,'Tsalin uzuulelt'!N$2,negtgel!U58:BL58)+SUMIF(negtgel!U$2:BL$2,'Tsalin uzuulelt'!N$3,negtgel!U58:BL58)+SUMIF(negtgel!U$2:BL$2,'Tsalin uzuulelt'!N$4,negtgel!U58:BL58)+SUMIF(negtgel!U$2:BL$2,'Tsalin uzuulelt'!N$5,negtgel!U58:BL58)</f>
      </c>
      <c r="M58">
        <f>SUMIF(negtgel!U$2:BL$2,'Tsalin uzuulelt'!P$1,negtgel!U58:BL58) + SUMIF(negtgel!U$2:BL$2,'Tsalin uzuulelt'!P$2,negtgel!U58:BL58)+ SUMIF(negtgel!U$2:BL$2,'Tsalin uzuulelt'!P$3,negtgel!U58:BL58)+ SUMIF(negtgel!U$2:BL$2,'Tsalin uzuulelt'!P$4,negtgel!U58:BL58)+ SUMIF(negtgel!U$2:BL$2,'Tsalin uzuulelt'!P$5,negtgel!U58:BL58)</f>
      </c>
      <c r="N58">
        <f>IF(ISNUMBER(U58*1)=CF58,0,K58-H58-G58)</f>
      </c>
      <c r="O58">
        <f>IF(ISNUMBER(U58*1)=CF58,0,L58)</f>
      </c>
      <c r="P58">
        <f>IF(ISNUMBER(U58*1)=CF58,0,M58)</f>
      </c>
      <c r="Q58">
        <f>IF(N58&gt;2400000,N58,0)</f>
      </c>
      <c r="R58">
        <f>IF(L58/Q58*100&lt;3,2,10)</f>
      </c>
      <c r="S58">
        <f>IF(CH58=0,0,IF(B58&gt;9,10,IF(B58&gt;8,B58,IF(B58&gt;7.7,7.8,IF(B58&gt;3,B58,IF(B58&gt;1.5,2))))))</f>
      </c>
      <c r="T58">
        <f>IF(Q58=0,S58,R58)</f>
      </c>
      <c r="U58" t="n">
        <v>94.0</v>
      </c>
      <c r="V58" t="s">
        <v>3838</v>
      </c>
      <c r="W58" t="s">
        <v>3790</v>
      </c>
      <c r="X58" t="n">
        <v>677436.0</v>
      </c>
      <c r="Y58" t="n">
        <v>677436.0</v>
      </c>
      <c r="Z58" t="n">
        <v>169359.0</v>
      </c>
      <c r="AA58" t="n">
        <v>135487.0</v>
      </c>
      <c r="AB58" t="n">
        <v>0.0</v>
      </c>
      <c r="AC58" t="n">
        <v>0.0</v>
      </c>
      <c r="AD58" t="n">
        <v>0.0</v>
      </c>
      <c r="AE58" t="n">
        <v>0.0</v>
      </c>
      <c r="AF58" t="n">
        <v>66000.0</v>
      </c>
      <c r="AG58" t="n">
        <v>0.0</v>
      </c>
      <c r="AH58" t="n">
        <v>0.0</v>
      </c>
      <c r="AI58" t="n">
        <v>0.0</v>
      </c>
      <c r="AJ58" t="n">
        <v>0.0</v>
      </c>
      <c r="AK58" t="n">
        <v>0.0</v>
      </c>
      <c r="AL58" t="n">
        <v>0.0</v>
      </c>
      <c r="AM58" t="n">
        <v>0.0</v>
      </c>
      <c r="AN58" t="n">
        <v>0.0</v>
      </c>
      <c r="AO58" t="n">
        <v>1048282.0</v>
      </c>
      <c r="AP58" t="n">
        <v>104829.0</v>
      </c>
      <c r="AQ58" t="n">
        <v>88005.4</v>
      </c>
      <c r="CH58">
        <f>IFERROR(U58*1,0)</f>
      </c>
    </row>
    <row r="59">
      <c r="A59" t="n">
        <v>1.0</v>
      </c>
      <c r="B59">
        <f>IF((K59-G59-H59&gt;2400000),10,(L59/(K59-G59-H59)*100))</f>
      </c>
      <c r="C59">
        <f>IF(N59&gt;2400000,240000,(N59*S59)/100)</f>
      </c>
      <c r="D59">
        <f>IF(S59=0,0,IF((N59-I59)&gt;2400000,((((((N59-I59-J59)-240000))*0.1+(I59+J59)*0.1)))-7000,((((((N59-I59-J59)-(N59-I59-J59)*S59/100)))*0.1+(I59+J59)*0.1)-7000)))</f>
      </c>
      <c r="E59">
        <f>C59-O59</f>
      </c>
      <c r="F59">
        <f>D59-P59</f>
      </c>
      <c r="G59">
        <f>SUMIF(negtgel!U$2:BL$2,'Tsalin uzuulelt'!B$1,negtgel!U59:BL59) + SUMIF(negtgel!U$2:BL$2,'Tsalin uzuulelt'!B$2,negtgel!U59:BL59)+SUMIF(negtgel!U$2:BL$2,'Tsalin uzuulelt'!B$3,negtgel!U59:BL59)+SUMIF(negtgel!U$2:BL$2,'Tsalin uzuulelt'!B$4,negtgel!U59:BL59)+SUMIF(negtgel!U$2:BL$2,'Tsalin uzuulelt'!B$5,negtgel!U59:BL59)</f>
      </c>
      <c r="H59">
        <f>SUMIF(negtgel!U$2:BL$2,'Tsalin uzuulelt'!F$1,negtgel!U59:BL59) + SUMIF(negtgel!U$2:BL$2,'Tsalin uzuulelt'!F$2,negtgel!U59:BL59)+SUMIF(negtgel!U$2:BL$2,'Tsalin uzuulelt'!F$3,negtgel!U59:BL59)+SUMIF(negtgel!U$2:BL$2,'Tsalin uzuulelt'!F$4,negtgel!U59:BL59)+SUMIF(negtgel!U$2:BL$2,'Tsalin uzuulelt'!F$5,negtgel!U59:BL59)</f>
      </c>
      <c r="I59">
        <f>SUMIF(negtgel!U$2:BL$2,'Tsalin uzuulelt'!H$1,negtgel!U59:BL59) + SUMIF(negtgel!U$2:BL$2,'Tsalin uzuulelt'!H$2,negtgel!U59:BL59)+SUMIF(negtgel!U$2:BL$2,'Tsalin uzuulelt'!H$3,negtgel!U59:BL59)+SUMIF(negtgel!U$2:BL$2,'Tsalin uzuulelt'!H$4,negtgel!U59:BL59)+SUMIF(negtgel!U$2:BL$2,'Tsalin uzuulelt'!H$5,negtgel!U59:BL59)</f>
      </c>
      <c r="J59">
        <f>SUMIF(negtgel!U$2:BL$2,'Tsalin uzuulelt'!J$1,negtgel!U59:BL59) + SUMIF(negtgel!U$2:BL$2,'Tsalin uzuulelt'!J$2,negtgel!U59:BL59)+SUMIF(negtgel!U$2:BL$2,'Tsalin uzuulelt'!J$3,negtgel!U59:BL59)+SUMIF(negtgel!U$2:BL$2,'Tsalin uzuulelt'!J$4,negtgel!U59:BL59)+SUMIF(negtgel!U$2:BL$2,'Tsalin uzuulelt'!J$5,negtgel!U59:BL59)</f>
      </c>
      <c r="K59">
        <f>SUMIF(negtgel!U$2:BL$2,'Tsalin uzuulelt'!L$1,negtgel!U59:BL59) + SUMIF(negtgel!U$2:BL$2,'Tsalin uzuulelt'!L$2,negtgel!U59:BL59)+SUMIF(negtgel!U$2:BL$2,'Tsalin uzuulelt'!L$3,negtgel!U59:BL59)+SUMIF(negtgel!U$2:BL$2,'Tsalin uzuulelt'!L$4,negtgel!U59:BL59)+SUMIF(negtgel!U$2:BL$2,'Tsalin uzuulelt'!L$5,negtgel!U59:BL59)</f>
      </c>
      <c r="L59">
        <f>SUMIF(negtgel!U$2:BL$2,'Tsalin uzuulelt'!N$1,negtgel!U59:BL59) + SUMIF(negtgel!U$2:BL$2,'Tsalin uzuulelt'!N$2,negtgel!U59:BL59)+SUMIF(negtgel!U$2:BL$2,'Tsalin uzuulelt'!N$3,negtgel!U59:BL59)+SUMIF(negtgel!U$2:BL$2,'Tsalin uzuulelt'!N$4,negtgel!U59:BL59)+SUMIF(negtgel!U$2:BL$2,'Tsalin uzuulelt'!N$5,negtgel!U59:BL59)</f>
      </c>
      <c r="M59">
        <f>SUMIF(negtgel!U$2:BL$2,'Tsalin uzuulelt'!P$1,negtgel!U59:BL59) + SUMIF(negtgel!U$2:BL$2,'Tsalin uzuulelt'!P$2,negtgel!U59:BL59)+ SUMIF(negtgel!U$2:BL$2,'Tsalin uzuulelt'!P$3,negtgel!U59:BL59)+ SUMIF(negtgel!U$2:BL$2,'Tsalin uzuulelt'!P$4,negtgel!U59:BL59)+ SUMIF(negtgel!U$2:BL$2,'Tsalin uzuulelt'!P$5,negtgel!U59:BL59)</f>
      </c>
      <c r="N59">
        <f>IF(ISNUMBER(U59*1)=CF59,0,K59-H59-G59)</f>
      </c>
      <c r="O59">
        <f>IF(ISNUMBER(U59*1)=CF59,0,L59)</f>
      </c>
      <c r="P59">
        <f>IF(ISNUMBER(U59*1)=CF59,0,M59)</f>
      </c>
      <c r="Q59">
        <f>IF(N59&gt;2400000,N59,0)</f>
      </c>
      <c r="R59">
        <f>IF(L59/Q59*100&lt;3,2,10)</f>
      </c>
      <c r="S59">
        <f>IF(CH59=0,0,IF(B59&gt;9,10,IF(B59&gt;8,B59,IF(B59&gt;7.7,7.8,IF(B59&gt;3,B59,IF(B59&gt;1.5,2))))))</f>
      </c>
      <c r="T59">
        <f>IF(Q59=0,S59,R59)</f>
      </c>
      <c r="U59" t="n">
        <v>95.0</v>
      </c>
      <c r="V59" t="s">
        <v>3839</v>
      </c>
      <c r="W59" t="s">
        <v>3790</v>
      </c>
      <c r="X59" t="n">
        <v>677436.0</v>
      </c>
      <c r="Y59" t="n">
        <v>585058.0</v>
      </c>
      <c r="Z59" t="n">
        <v>117012.0</v>
      </c>
      <c r="AA59" t="n">
        <v>128713.0</v>
      </c>
      <c r="AB59" t="n">
        <v>0.0</v>
      </c>
      <c r="AC59" t="n">
        <v>0.0</v>
      </c>
      <c r="AD59" t="n">
        <v>0.0</v>
      </c>
      <c r="AE59" t="n">
        <v>0.0</v>
      </c>
      <c r="AF59" t="n">
        <v>57000.0</v>
      </c>
      <c r="AG59" t="n">
        <v>0.0</v>
      </c>
      <c r="AH59" t="n">
        <v>0.0</v>
      </c>
      <c r="AI59" t="n">
        <v>0.0</v>
      </c>
      <c r="AJ59" t="n">
        <v>0.0</v>
      </c>
      <c r="AK59" t="n">
        <v>0.0</v>
      </c>
      <c r="AL59" t="n">
        <v>0.0</v>
      </c>
      <c r="AM59" t="n">
        <v>0.0</v>
      </c>
      <c r="AN59" t="n">
        <v>0.0</v>
      </c>
      <c r="AO59" t="n">
        <v>887783.0</v>
      </c>
      <c r="AP59" t="n">
        <v>88779.0</v>
      </c>
      <c r="AQ59" t="n">
        <v>73470.5</v>
      </c>
      <c r="CH59">
        <f>IFERROR(U59*1,0)</f>
      </c>
    </row>
    <row r="60">
      <c r="A60" t="n">
        <v>1.0</v>
      </c>
      <c r="B60">
        <f>IF((K60-G60-H60&gt;2400000),10,(L60/(K60-G60-H60)*100))</f>
      </c>
      <c r="C60">
        <f>IF(N60&gt;2400000,240000,(N60*S60)/100)</f>
      </c>
      <c r="D60">
        <f>IF(S60=0,0,IF((N60-I60)&gt;2400000,((((((N60-I60-J60)-240000))*0.1+(I60+J60)*0.1)))-7000,((((((N60-I60-J60)-(N60-I60-J60)*S60/100)))*0.1+(I60+J60)*0.1)-7000)))</f>
      </c>
      <c r="E60">
        <f>C60-O60</f>
      </c>
      <c r="F60">
        <f>D60-P60</f>
      </c>
      <c r="G60">
        <f>SUMIF(negtgel!U$2:BL$2,'Tsalin uzuulelt'!B$1,negtgel!U60:BL60) + SUMIF(negtgel!U$2:BL$2,'Tsalin uzuulelt'!B$2,negtgel!U60:BL60)+SUMIF(negtgel!U$2:BL$2,'Tsalin uzuulelt'!B$3,negtgel!U60:BL60)+SUMIF(negtgel!U$2:BL$2,'Tsalin uzuulelt'!B$4,negtgel!U60:BL60)+SUMIF(negtgel!U$2:BL$2,'Tsalin uzuulelt'!B$5,negtgel!U60:BL60)</f>
      </c>
      <c r="H60">
        <f>SUMIF(negtgel!U$2:BL$2,'Tsalin uzuulelt'!F$1,negtgel!U60:BL60) + SUMIF(negtgel!U$2:BL$2,'Tsalin uzuulelt'!F$2,negtgel!U60:BL60)+SUMIF(negtgel!U$2:BL$2,'Tsalin uzuulelt'!F$3,negtgel!U60:BL60)+SUMIF(negtgel!U$2:BL$2,'Tsalin uzuulelt'!F$4,negtgel!U60:BL60)+SUMIF(negtgel!U$2:BL$2,'Tsalin uzuulelt'!F$5,negtgel!U60:BL60)</f>
      </c>
      <c r="I60">
        <f>SUMIF(negtgel!U$2:BL$2,'Tsalin uzuulelt'!H$1,negtgel!U60:BL60) + SUMIF(negtgel!U$2:BL$2,'Tsalin uzuulelt'!H$2,negtgel!U60:BL60)+SUMIF(negtgel!U$2:BL$2,'Tsalin uzuulelt'!H$3,negtgel!U60:BL60)+SUMIF(negtgel!U$2:BL$2,'Tsalin uzuulelt'!H$4,negtgel!U60:BL60)+SUMIF(negtgel!U$2:BL$2,'Tsalin uzuulelt'!H$5,negtgel!U60:BL60)</f>
      </c>
      <c r="J60">
        <f>SUMIF(negtgel!U$2:BL$2,'Tsalin uzuulelt'!J$1,negtgel!U60:BL60) + SUMIF(negtgel!U$2:BL$2,'Tsalin uzuulelt'!J$2,negtgel!U60:BL60)+SUMIF(negtgel!U$2:BL$2,'Tsalin uzuulelt'!J$3,negtgel!U60:BL60)+SUMIF(negtgel!U$2:BL$2,'Tsalin uzuulelt'!J$4,negtgel!U60:BL60)+SUMIF(negtgel!U$2:BL$2,'Tsalin uzuulelt'!J$5,negtgel!U60:BL60)</f>
      </c>
      <c r="K60">
        <f>SUMIF(negtgel!U$2:BL$2,'Tsalin uzuulelt'!L$1,negtgel!U60:BL60) + SUMIF(negtgel!U$2:BL$2,'Tsalin uzuulelt'!L$2,negtgel!U60:BL60)+SUMIF(negtgel!U$2:BL$2,'Tsalin uzuulelt'!L$3,negtgel!U60:BL60)+SUMIF(negtgel!U$2:BL$2,'Tsalin uzuulelt'!L$4,negtgel!U60:BL60)+SUMIF(negtgel!U$2:BL$2,'Tsalin uzuulelt'!L$5,negtgel!U60:BL60)</f>
      </c>
      <c r="L60">
        <f>SUMIF(negtgel!U$2:BL$2,'Tsalin uzuulelt'!N$1,negtgel!U60:BL60) + SUMIF(negtgel!U$2:BL$2,'Tsalin uzuulelt'!N$2,negtgel!U60:BL60)+SUMIF(negtgel!U$2:BL$2,'Tsalin uzuulelt'!N$3,negtgel!U60:BL60)+SUMIF(negtgel!U$2:BL$2,'Tsalin uzuulelt'!N$4,negtgel!U60:BL60)+SUMIF(negtgel!U$2:BL$2,'Tsalin uzuulelt'!N$5,negtgel!U60:BL60)</f>
      </c>
      <c r="M60">
        <f>SUMIF(negtgel!U$2:BL$2,'Tsalin uzuulelt'!P$1,negtgel!U60:BL60) + SUMIF(negtgel!U$2:BL$2,'Tsalin uzuulelt'!P$2,negtgel!U60:BL60)+ SUMIF(negtgel!U$2:BL$2,'Tsalin uzuulelt'!P$3,negtgel!U60:BL60)+ SUMIF(negtgel!U$2:BL$2,'Tsalin uzuulelt'!P$4,negtgel!U60:BL60)+ SUMIF(negtgel!U$2:BL$2,'Tsalin uzuulelt'!P$5,negtgel!U60:BL60)</f>
      </c>
      <c r="N60">
        <f>IF(ISNUMBER(U60*1)=CF60,0,K60-H60-G60)</f>
      </c>
      <c r="O60">
        <f>IF(ISNUMBER(U60*1)=CF60,0,L60)</f>
      </c>
      <c r="P60">
        <f>IF(ISNUMBER(U60*1)=CF60,0,M60)</f>
      </c>
      <c r="Q60">
        <f>IF(N60&gt;2400000,N60,0)</f>
      </c>
      <c r="R60">
        <f>IF(L60/Q60*100&lt;3,2,10)</f>
      </c>
      <c r="S60">
        <f>IF(CH60=0,0,IF(B60&gt;9,10,IF(B60&gt;8,B60,IF(B60&gt;7.7,7.8,IF(B60&gt;3,B60,IF(B60&gt;1.5,2))))))</f>
      </c>
      <c r="T60">
        <f>IF(Q60=0,S60,R60)</f>
      </c>
      <c r="U60" t="n">
        <v>96.0</v>
      </c>
      <c r="V60" t="s">
        <v>3840</v>
      </c>
      <c r="W60" t="s">
        <v>3820</v>
      </c>
      <c r="X60" t="n">
        <v>677436.0</v>
      </c>
      <c r="Y60" t="n">
        <v>677436.0</v>
      </c>
      <c r="Z60" t="n">
        <v>135487.0</v>
      </c>
      <c r="AA60" t="n">
        <v>135487.0</v>
      </c>
      <c r="AB60" t="n">
        <v>33872.0</v>
      </c>
      <c r="AC60" t="n">
        <v>0.0</v>
      </c>
      <c r="AD60" t="n">
        <v>0.0</v>
      </c>
      <c r="AE60" t="n">
        <v>0.0</v>
      </c>
      <c r="AF60" t="n">
        <v>66000.0</v>
      </c>
      <c r="AG60" t="n">
        <v>0.0</v>
      </c>
      <c r="AH60" t="n">
        <v>0.0</v>
      </c>
      <c r="AI60" t="n">
        <v>0.0</v>
      </c>
      <c r="AJ60" t="n">
        <v>0.0</v>
      </c>
      <c r="AK60" t="n">
        <v>0.0</v>
      </c>
      <c r="AL60" t="n">
        <v>0.0</v>
      </c>
      <c r="AM60" t="n">
        <v>0.0</v>
      </c>
      <c r="AN60" t="n">
        <v>0.0</v>
      </c>
      <c r="AO60" t="n">
        <v>1048282.0</v>
      </c>
      <c r="AP60" t="n">
        <v>104829.0</v>
      </c>
      <c r="AQ60" t="n">
        <v>88005.4</v>
      </c>
      <c r="CH60">
        <f>IFERROR(U60*1,0)</f>
      </c>
    </row>
    <row r="61">
      <c r="A61" t="n">
        <v>1.0</v>
      </c>
      <c r="B61">
        <f>IF((K61-G61-H61&gt;2400000),10,(L61/(K61-G61-H61)*100))</f>
      </c>
      <c r="C61">
        <f>IF(N61&gt;2400000,240000,(N61*S61)/100)</f>
      </c>
      <c r="D61">
        <f>IF(S61=0,0,IF((N61-I61)&gt;2400000,((((((N61-I61-J61)-240000))*0.1+(I61+J61)*0.1)))-7000,((((((N61-I61-J61)-(N61-I61-J61)*S61/100)))*0.1+(I61+J61)*0.1)-7000)))</f>
      </c>
      <c r="E61">
        <f>C61-O61</f>
      </c>
      <c r="F61">
        <f>D61-P61</f>
      </c>
      <c r="G61">
        <f>SUMIF(negtgel!U$2:BL$2,'Tsalin uzuulelt'!B$1,negtgel!U61:BL61) + SUMIF(negtgel!U$2:BL$2,'Tsalin uzuulelt'!B$2,negtgel!U61:BL61)+SUMIF(negtgel!U$2:BL$2,'Tsalin uzuulelt'!B$3,negtgel!U61:BL61)+SUMIF(negtgel!U$2:BL$2,'Tsalin uzuulelt'!B$4,negtgel!U61:BL61)+SUMIF(negtgel!U$2:BL$2,'Tsalin uzuulelt'!B$5,negtgel!U61:BL61)</f>
      </c>
      <c r="H61">
        <f>SUMIF(negtgel!U$2:BL$2,'Tsalin uzuulelt'!F$1,negtgel!U61:BL61) + SUMIF(negtgel!U$2:BL$2,'Tsalin uzuulelt'!F$2,negtgel!U61:BL61)+SUMIF(negtgel!U$2:BL$2,'Tsalin uzuulelt'!F$3,negtgel!U61:BL61)+SUMIF(negtgel!U$2:BL$2,'Tsalin uzuulelt'!F$4,negtgel!U61:BL61)+SUMIF(negtgel!U$2:BL$2,'Tsalin uzuulelt'!F$5,negtgel!U61:BL61)</f>
      </c>
      <c r="I61">
        <f>SUMIF(negtgel!U$2:BL$2,'Tsalin uzuulelt'!H$1,negtgel!U61:BL61) + SUMIF(negtgel!U$2:BL$2,'Tsalin uzuulelt'!H$2,negtgel!U61:BL61)+SUMIF(negtgel!U$2:BL$2,'Tsalin uzuulelt'!H$3,negtgel!U61:BL61)+SUMIF(negtgel!U$2:BL$2,'Tsalin uzuulelt'!H$4,negtgel!U61:BL61)+SUMIF(negtgel!U$2:BL$2,'Tsalin uzuulelt'!H$5,negtgel!U61:BL61)</f>
      </c>
      <c r="J61">
        <f>SUMIF(negtgel!U$2:BL$2,'Tsalin uzuulelt'!J$1,negtgel!U61:BL61) + SUMIF(negtgel!U$2:BL$2,'Tsalin uzuulelt'!J$2,negtgel!U61:BL61)+SUMIF(negtgel!U$2:BL$2,'Tsalin uzuulelt'!J$3,negtgel!U61:BL61)+SUMIF(negtgel!U$2:BL$2,'Tsalin uzuulelt'!J$4,negtgel!U61:BL61)+SUMIF(negtgel!U$2:BL$2,'Tsalin uzuulelt'!J$5,negtgel!U61:BL61)</f>
      </c>
      <c r="K61">
        <f>SUMIF(negtgel!U$2:BL$2,'Tsalin uzuulelt'!L$1,negtgel!U61:BL61) + SUMIF(negtgel!U$2:BL$2,'Tsalin uzuulelt'!L$2,negtgel!U61:BL61)+SUMIF(negtgel!U$2:BL$2,'Tsalin uzuulelt'!L$3,negtgel!U61:BL61)+SUMIF(negtgel!U$2:BL$2,'Tsalin uzuulelt'!L$4,negtgel!U61:BL61)+SUMIF(negtgel!U$2:BL$2,'Tsalin uzuulelt'!L$5,negtgel!U61:BL61)</f>
      </c>
      <c r="L61">
        <f>SUMIF(negtgel!U$2:BL$2,'Tsalin uzuulelt'!N$1,negtgel!U61:BL61) + SUMIF(negtgel!U$2:BL$2,'Tsalin uzuulelt'!N$2,negtgel!U61:BL61)+SUMIF(negtgel!U$2:BL$2,'Tsalin uzuulelt'!N$3,negtgel!U61:BL61)+SUMIF(negtgel!U$2:BL$2,'Tsalin uzuulelt'!N$4,negtgel!U61:BL61)+SUMIF(negtgel!U$2:BL$2,'Tsalin uzuulelt'!N$5,negtgel!U61:BL61)</f>
      </c>
      <c r="M61">
        <f>SUMIF(negtgel!U$2:BL$2,'Tsalin uzuulelt'!P$1,negtgel!U61:BL61) + SUMIF(negtgel!U$2:BL$2,'Tsalin uzuulelt'!P$2,negtgel!U61:BL61)+ SUMIF(negtgel!U$2:BL$2,'Tsalin uzuulelt'!P$3,negtgel!U61:BL61)+ SUMIF(negtgel!U$2:BL$2,'Tsalin uzuulelt'!P$4,negtgel!U61:BL61)+ SUMIF(negtgel!U$2:BL$2,'Tsalin uzuulelt'!P$5,negtgel!U61:BL61)</f>
      </c>
      <c r="N61">
        <f>IF(ISNUMBER(U61*1)=CF61,0,K61-H61-G61)</f>
      </c>
      <c r="O61">
        <f>IF(ISNUMBER(U61*1)=CF61,0,L61)</f>
      </c>
      <c r="P61">
        <f>IF(ISNUMBER(U61*1)=CF61,0,M61)</f>
      </c>
      <c r="Q61">
        <f>IF(N61&gt;2400000,N61,0)</f>
      </c>
      <c r="R61">
        <f>IF(L61/Q61*100&lt;3,2,10)</f>
      </c>
      <c r="S61">
        <f>IF(CH61=0,0,IF(B61&gt;9,10,IF(B61&gt;8,B61,IF(B61&gt;7.7,7.8,IF(B61&gt;3,B61,IF(B61&gt;1.5,2))))))</f>
      </c>
      <c r="T61">
        <f>IF(Q61=0,S61,R61)</f>
      </c>
      <c r="U61" t="n">
        <v>97.0</v>
      </c>
      <c r="V61" t="s">
        <v>3841</v>
      </c>
      <c r="W61" t="s">
        <v>3790</v>
      </c>
      <c r="X61" t="n">
        <v>613669.0</v>
      </c>
      <c r="Y61" t="n">
        <v>613669.0</v>
      </c>
      <c r="Z61" t="n">
        <v>30683.0</v>
      </c>
      <c r="AA61" t="n">
        <v>110460.0</v>
      </c>
      <c r="AB61" t="n">
        <v>0.0</v>
      </c>
      <c r="AC61" t="n">
        <v>0.0</v>
      </c>
      <c r="AD61" t="n">
        <v>0.0</v>
      </c>
      <c r="AE61" t="n">
        <v>0.0</v>
      </c>
      <c r="AF61" t="n">
        <v>66000.0</v>
      </c>
      <c r="AG61" t="n">
        <v>0.0</v>
      </c>
      <c r="AH61" t="n">
        <v>0.0</v>
      </c>
      <c r="AI61" t="n">
        <v>0.0</v>
      </c>
      <c r="AJ61" t="n">
        <v>0.0</v>
      </c>
      <c r="AK61" t="n">
        <v>0.0</v>
      </c>
      <c r="AL61" t="n">
        <v>0.0</v>
      </c>
      <c r="AM61" t="n">
        <v>0.0</v>
      </c>
      <c r="AN61" t="n">
        <v>0.0</v>
      </c>
      <c r="AO61" t="n">
        <v>820812.0</v>
      </c>
      <c r="AP61" t="n">
        <v>82081.0</v>
      </c>
      <c r="AQ61" t="n">
        <v>67533.1</v>
      </c>
      <c r="CH61">
        <f>IFERROR(U61*1,0)</f>
      </c>
    </row>
    <row r="62">
      <c r="A62" t="n">
        <v>1.0</v>
      </c>
      <c r="B62">
        <f>IF((K62-G62-H62&gt;2400000),10,(L62/(K62-G62-H62)*100))</f>
      </c>
      <c r="C62">
        <f>IF(N62&gt;2400000,240000,(N62*S62)/100)</f>
      </c>
      <c r="D62">
        <f>IF(S62=0,0,IF((N62-I62)&gt;2400000,((((((N62-I62-J62)-240000))*0.1+(I62+J62)*0.1)))-7000,((((((N62-I62-J62)-(N62-I62-J62)*S62/100)))*0.1+(I62+J62)*0.1)-7000)))</f>
      </c>
      <c r="E62">
        <f>C62-O62</f>
      </c>
      <c r="F62">
        <f>D62-P62</f>
      </c>
      <c r="G62">
        <f>SUMIF(negtgel!U$2:BL$2,'Tsalin uzuulelt'!B$1,negtgel!U62:BL62) + SUMIF(negtgel!U$2:BL$2,'Tsalin uzuulelt'!B$2,negtgel!U62:BL62)+SUMIF(negtgel!U$2:BL$2,'Tsalin uzuulelt'!B$3,negtgel!U62:BL62)+SUMIF(negtgel!U$2:BL$2,'Tsalin uzuulelt'!B$4,negtgel!U62:BL62)+SUMIF(negtgel!U$2:BL$2,'Tsalin uzuulelt'!B$5,negtgel!U62:BL62)</f>
      </c>
      <c r="H62">
        <f>SUMIF(negtgel!U$2:BL$2,'Tsalin uzuulelt'!F$1,negtgel!U62:BL62) + SUMIF(negtgel!U$2:BL$2,'Tsalin uzuulelt'!F$2,negtgel!U62:BL62)+SUMIF(negtgel!U$2:BL$2,'Tsalin uzuulelt'!F$3,negtgel!U62:BL62)+SUMIF(negtgel!U$2:BL$2,'Tsalin uzuulelt'!F$4,negtgel!U62:BL62)+SUMIF(negtgel!U$2:BL$2,'Tsalin uzuulelt'!F$5,negtgel!U62:BL62)</f>
      </c>
      <c r="I62">
        <f>SUMIF(negtgel!U$2:BL$2,'Tsalin uzuulelt'!H$1,negtgel!U62:BL62) + SUMIF(negtgel!U$2:BL$2,'Tsalin uzuulelt'!H$2,negtgel!U62:BL62)+SUMIF(negtgel!U$2:BL$2,'Tsalin uzuulelt'!H$3,negtgel!U62:BL62)+SUMIF(negtgel!U$2:BL$2,'Tsalin uzuulelt'!H$4,negtgel!U62:BL62)+SUMIF(negtgel!U$2:BL$2,'Tsalin uzuulelt'!H$5,negtgel!U62:BL62)</f>
      </c>
      <c r="J62">
        <f>SUMIF(negtgel!U$2:BL$2,'Tsalin uzuulelt'!J$1,negtgel!U62:BL62) + SUMIF(negtgel!U$2:BL$2,'Tsalin uzuulelt'!J$2,negtgel!U62:BL62)+SUMIF(negtgel!U$2:BL$2,'Tsalin uzuulelt'!J$3,negtgel!U62:BL62)+SUMIF(negtgel!U$2:BL$2,'Tsalin uzuulelt'!J$4,negtgel!U62:BL62)+SUMIF(negtgel!U$2:BL$2,'Tsalin uzuulelt'!J$5,negtgel!U62:BL62)</f>
      </c>
      <c r="K62">
        <f>SUMIF(negtgel!U$2:BL$2,'Tsalin uzuulelt'!L$1,negtgel!U62:BL62) + SUMIF(negtgel!U$2:BL$2,'Tsalin uzuulelt'!L$2,negtgel!U62:BL62)+SUMIF(negtgel!U$2:BL$2,'Tsalin uzuulelt'!L$3,negtgel!U62:BL62)+SUMIF(negtgel!U$2:BL$2,'Tsalin uzuulelt'!L$4,negtgel!U62:BL62)+SUMIF(negtgel!U$2:BL$2,'Tsalin uzuulelt'!L$5,negtgel!U62:BL62)</f>
      </c>
      <c r="L62">
        <f>SUMIF(negtgel!U$2:BL$2,'Tsalin uzuulelt'!N$1,negtgel!U62:BL62) + SUMIF(negtgel!U$2:BL$2,'Tsalin uzuulelt'!N$2,negtgel!U62:BL62)+SUMIF(negtgel!U$2:BL$2,'Tsalin uzuulelt'!N$3,negtgel!U62:BL62)+SUMIF(negtgel!U$2:BL$2,'Tsalin uzuulelt'!N$4,negtgel!U62:BL62)+SUMIF(negtgel!U$2:BL$2,'Tsalin uzuulelt'!N$5,negtgel!U62:BL62)</f>
      </c>
      <c r="M62">
        <f>SUMIF(negtgel!U$2:BL$2,'Tsalin uzuulelt'!P$1,negtgel!U62:BL62) + SUMIF(negtgel!U$2:BL$2,'Tsalin uzuulelt'!P$2,negtgel!U62:BL62)+ SUMIF(negtgel!U$2:BL$2,'Tsalin uzuulelt'!P$3,negtgel!U62:BL62)+ SUMIF(negtgel!U$2:BL$2,'Tsalin uzuulelt'!P$4,negtgel!U62:BL62)+ SUMIF(negtgel!U$2:BL$2,'Tsalin uzuulelt'!P$5,negtgel!U62:BL62)</f>
      </c>
      <c r="N62">
        <f>IF(ISNUMBER(U62*1)=CF62,0,K62-H62-G62)</f>
      </c>
      <c r="O62">
        <f>IF(ISNUMBER(U62*1)=CF62,0,L62)</f>
      </c>
      <c r="P62">
        <f>IF(ISNUMBER(U62*1)=CF62,0,M62)</f>
      </c>
      <c r="Q62">
        <f>IF(N62&gt;2400000,N62,0)</f>
      </c>
      <c r="R62">
        <f>IF(L62/Q62*100&lt;3,2,10)</f>
      </c>
      <c r="S62">
        <f>IF(CH62=0,0,IF(B62&gt;9,10,IF(B62&gt;8,B62,IF(B62&gt;7.7,7.8,IF(B62&gt;3,B62,IF(B62&gt;1.5,2))))))</f>
      </c>
      <c r="T62">
        <f>IF(Q62=0,S62,R62)</f>
      </c>
      <c r="U62" t="n">
        <v>98.0</v>
      </c>
      <c r="V62" t="s">
        <v>3842</v>
      </c>
      <c r="W62" t="s">
        <v>3790</v>
      </c>
      <c r="X62" t="n">
        <v>645556.0</v>
      </c>
      <c r="Y62" t="n">
        <v>645556.0</v>
      </c>
      <c r="Z62" t="n">
        <v>109745.0</v>
      </c>
      <c r="AA62" t="n">
        <v>64556.0</v>
      </c>
      <c r="AB62" t="n">
        <v>0.0</v>
      </c>
      <c r="AC62" t="n">
        <v>0.0</v>
      </c>
      <c r="AD62" t="n">
        <v>0.0</v>
      </c>
      <c r="AE62" t="n">
        <v>0.0</v>
      </c>
      <c r="AF62" t="n">
        <v>66000.0</v>
      </c>
      <c r="AG62" t="n">
        <v>0.0</v>
      </c>
      <c r="AH62" t="n">
        <v>0.0</v>
      </c>
      <c r="AI62" t="n">
        <v>0.0</v>
      </c>
      <c r="AJ62" t="n">
        <v>0.0</v>
      </c>
      <c r="AK62" t="n">
        <v>0.0</v>
      </c>
      <c r="AL62" t="n">
        <v>0.0</v>
      </c>
      <c r="AM62" t="n">
        <v>0.0</v>
      </c>
      <c r="AN62" t="n">
        <v>0.0</v>
      </c>
      <c r="AO62" t="n">
        <v>885857.0</v>
      </c>
      <c r="AP62" t="n">
        <v>88586.0</v>
      </c>
      <c r="AQ62" t="n">
        <v>73387.1</v>
      </c>
      <c r="CH62">
        <f>IFERROR(U62*1,0)</f>
      </c>
    </row>
    <row r="63">
      <c r="A63" t="n">
        <v>1.0</v>
      </c>
      <c r="B63">
        <f>IF((K63-G63-H63&gt;2400000),10,(L63/(K63-G63-H63)*100))</f>
      </c>
      <c r="C63">
        <f>IF(N63&gt;2400000,240000,(N63*S63)/100)</f>
      </c>
      <c r="D63">
        <f>IF(S63=0,0,IF((N63-I63)&gt;2400000,((((((N63-I63-J63)-240000))*0.1+(I63+J63)*0.1)))-7000,((((((N63-I63-J63)-(N63-I63-J63)*S63/100)))*0.1+(I63+J63)*0.1)-7000)))</f>
      </c>
      <c r="E63">
        <f>C63-O63</f>
      </c>
      <c r="F63">
        <f>D63-P63</f>
      </c>
      <c r="G63">
        <f>SUMIF(negtgel!U$2:BL$2,'Tsalin uzuulelt'!B$1,negtgel!U63:BL63) + SUMIF(negtgel!U$2:BL$2,'Tsalin uzuulelt'!B$2,negtgel!U63:BL63)+SUMIF(negtgel!U$2:BL$2,'Tsalin uzuulelt'!B$3,negtgel!U63:BL63)+SUMIF(negtgel!U$2:BL$2,'Tsalin uzuulelt'!B$4,negtgel!U63:BL63)+SUMIF(negtgel!U$2:BL$2,'Tsalin uzuulelt'!B$5,negtgel!U63:BL63)</f>
      </c>
      <c r="H63">
        <f>SUMIF(negtgel!U$2:BL$2,'Tsalin uzuulelt'!F$1,negtgel!U63:BL63) + SUMIF(negtgel!U$2:BL$2,'Tsalin uzuulelt'!F$2,negtgel!U63:BL63)+SUMIF(negtgel!U$2:BL$2,'Tsalin uzuulelt'!F$3,negtgel!U63:BL63)+SUMIF(negtgel!U$2:BL$2,'Tsalin uzuulelt'!F$4,negtgel!U63:BL63)+SUMIF(negtgel!U$2:BL$2,'Tsalin uzuulelt'!F$5,negtgel!U63:BL63)</f>
      </c>
      <c r="I63">
        <f>SUMIF(negtgel!U$2:BL$2,'Tsalin uzuulelt'!H$1,negtgel!U63:BL63) + SUMIF(negtgel!U$2:BL$2,'Tsalin uzuulelt'!H$2,negtgel!U63:BL63)+SUMIF(negtgel!U$2:BL$2,'Tsalin uzuulelt'!H$3,negtgel!U63:BL63)+SUMIF(negtgel!U$2:BL$2,'Tsalin uzuulelt'!H$4,negtgel!U63:BL63)+SUMIF(negtgel!U$2:BL$2,'Tsalin uzuulelt'!H$5,negtgel!U63:BL63)</f>
      </c>
      <c r="J63">
        <f>SUMIF(negtgel!U$2:BL$2,'Tsalin uzuulelt'!J$1,negtgel!U63:BL63) + SUMIF(negtgel!U$2:BL$2,'Tsalin uzuulelt'!J$2,negtgel!U63:BL63)+SUMIF(negtgel!U$2:BL$2,'Tsalin uzuulelt'!J$3,negtgel!U63:BL63)+SUMIF(negtgel!U$2:BL$2,'Tsalin uzuulelt'!J$4,negtgel!U63:BL63)+SUMIF(negtgel!U$2:BL$2,'Tsalin uzuulelt'!J$5,negtgel!U63:BL63)</f>
      </c>
      <c r="K63">
        <f>SUMIF(negtgel!U$2:BL$2,'Tsalin uzuulelt'!L$1,negtgel!U63:BL63) + SUMIF(negtgel!U$2:BL$2,'Tsalin uzuulelt'!L$2,negtgel!U63:BL63)+SUMIF(negtgel!U$2:BL$2,'Tsalin uzuulelt'!L$3,negtgel!U63:BL63)+SUMIF(negtgel!U$2:BL$2,'Tsalin uzuulelt'!L$4,negtgel!U63:BL63)+SUMIF(negtgel!U$2:BL$2,'Tsalin uzuulelt'!L$5,negtgel!U63:BL63)</f>
      </c>
      <c r="L63">
        <f>SUMIF(negtgel!U$2:BL$2,'Tsalin uzuulelt'!N$1,negtgel!U63:BL63) + SUMIF(negtgel!U$2:BL$2,'Tsalin uzuulelt'!N$2,negtgel!U63:BL63)+SUMIF(negtgel!U$2:BL$2,'Tsalin uzuulelt'!N$3,negtgel!U63:BL63)+SUMIF(negtgel!U$2:BL$2,'Tsalin uzuulelt'!N$4,negtgel!U63:BL63)+SUMIF(negtgel!U$2:BL$2,'Tsalin uzuulelt'!N$5,negtgel!U63:BL63)</f>
      </c>
      <c r="M63">
        <f>SUMIF(negtgel!U$2:BL$2,'Tsalin uzuulelt'!P$1,negtgel!U63:BL63) + SUMIF(negtgel!U$2:BL$2,'Tsalin uzuulelt'!P$2,negtgel!U63:BL63)+ SUMIF(negtgel!U$2:BL$2,'Tsalin uzuulelt'!P$3,negtgel!U63:BL63)+ SUMIF(negtgel!U$2:BL$2,'Tsalin uzuulelt'!P$4,negtgel!U63:BL63)+ SUMIF(negtgel!U$2:BL$2,'Tsalin uzuulelt'!P$5,negtgel!U63:BL63)</f>
      </c>
      <c r="N63">
        <f>IF(ISNUMBER(U63*1)=CF63,0,K63-H63-G63)</f>
      </c>
      <c r="O63">
        <f>IF(ISNUMBER(U63*1)=CF63,0,L63)</f>
      </c>
      <c r="P63">
        <f>IF(ISNUMBER(U63*1)=CF63,0,M63)</f>
      </c>
      <c r="Q63">
        <f>IF(N63&gt;2400000,N63,0)</f>
      </c>
      <c r="R63">
        <f>IF(L63/Q63*100&lt;3,2,10)</f>
      </c>
      <c r="S63">
        <f>IF(CH63=0,0,IF(B63&gt;9,10,IF(B63&gt;8,B63,IF(B63&gt;7.7,7.8,IF(B63&gt;3,B63,IF(B63&gt;1.5,2))))))</f>
      </c>
      <c r="T63">
        <f>IF(Q63=0,S63,R63)</f>
      </c>
      <c r="U63" t="n">
        <v>99.0</v>
      </c>
      <c r="V63" t="s">
        <v>3843</v>
      </c>
      <c r="W63" t="s">
        <v>3820</v>
      </c>
      <c r="X63" t="n">
        <v>698795.0</v>
      </c>
      <c r="Y63" t="n">
        <v>698795.0</v>
      </c>
      <c r="Z63" t="n">
        <v>139759.0</v>
      </c>
      <c r="AA63" t="n">
        <v>125783.0</v>
      </c>
      <c r="AB63" t="n">
        <v>0.0</v>
      </c>
      <c r="AC63" t="n">
        <v>0.0</v>
      </c>
      <c r="AD63" t="n">
        <v>0.0</v>
      </c>
      <c r="AE63" t="n">
        <v>0.0</v>
      </c>
      <c r="AF63" t="n">
        <v>66000.0</v>
      </c>
      <c r="AG63" t="n">
        <v>0.0</v>
      </c>
      <c r="AH63" t="n">
        <v>0.0</v>
      </c>
      <c r="AI63" t="n">
        <v>0.0</v>
      </c>
      <c r="AJ63" t="n">
        <v>0.0</v>
      </c>
      <c r="AK63" t="n">
        <v>0.0</v>
      </c>
      <c r="AL63" t="n">
        <v>0.0</v>
      </c>
      <c r="AM63" t="n">
        <v>0.0</v>
      </c>
      <c r="AN63" t="n">
        <v>0.0</v>
      </c>
      <c r="AO63" t="n">
        <v>1030337.0</v>
      </c>
      <c r="AP63" t="n">
        <v>103035.0</v>
      </c>
      <c r="AQ63" t="n">
        <v>86390.3</v>
      </c>
      <c r="CH63">
        <f>IFERROR(U63*1,0)</f>
      </c>
    </row>
    <row r="64">
      <c r="A64" t="n">
        <v>1.0</v>
      </c>
      <c r="B64">
        <f>IF((K64-G64-H64&gt;2400000),10,(L64/(K64-G64-H64)*100))</f>
      </c>
      <c r="C64">
        <f>IF(N64&gt;2400000,240000,(N64*S64)/100)</f>
      </c>
      <c r="D64">
        <f>IF(S64=0,0,IF((N64-I64)&gt;2400000,((((((N64-I64-J64)-240000))*0.1+(I64+J64)*0.1)))-7000,((((((N64-I64-J64)-(N64-I64-J64)*S64/100)))*0.1+(I64+J64)*0.1)-7000)))</f>
      </c>
      <c r="E64">
        <f>C64-O64</f>
      </c>
      <c r="F64">
        <f>D64-P64</f>
      </c>
      <c r="G64">
        <f>SUMIF(negtgel!U$2:BL$2,'Tsalin uzuulelt'!B$1,negtgel!U64:BL64) + SUMIF(negtgel!U$2:BL$2,'Tsalin uzuulelt'!B$2,negtgel!U64:BL64)+SUMIF(negtgel!U$2:BL$2,'Tsalin uzuulelt'!B$3,negtgel!U64:BL64)+SUMIF(negtgel!U$2:BL$2,'Tsalin uzuulelt'!B$4,negtgel!U64:BL64)+SUMIF(negtgel!U$2:BL$2,'Tsalin uzuulelt'!B$5,negtgel!U64:BL64)</f>
      </c>
      <c r="H64">
        <f>SUMIF(negtgel!U$2:BL$2,'Tsalin uzuulelt'!F$1,negtgel!U64:BL64) + SUMIF(negtgel!U$2:BL$2,'Tsalin uzuulelt'!F$2,negtgel!U64:BL64)+SUMIF(negtgel!U$2:BL$2,'Tsalin uzuulelt'!F$3,negtgel!U64:BL64)+SUMIF(negtgel!U$2:BL$2,'Tsalin uzuulelt'!F$4,negtgel!U64:BL64)+SUMIF(negtgel!U$2:BL$2,'Tsalin uzuulelt'!F$5,negtgel!U64:BL64)</f>
      </c>
      <c r="I64">
        <f>SUMIF(negtgel!U$2:BL$2,'Tsalin uzuulelt'!H$1,negtgel!U64:BL64) + SUMIF(negtgel!U$2:BL$2,'Tsalin uzuulelt'!H$2,negtgel!U64:BL64)+SUMIF(negtgel!U$2:BL$2,'Tsalin uzuulelt'!H$3,negtgel!U64:BL64)+SUMIF(negtgel!U$2:BL$2,'Tsalin uzuulelt'!H$4,negtgel!U64:BL64)+SUMIF(negtgel!U$2:BL$2,'Tsalin uzuulelt'!H$5,negtgel!U64:BL64)</f>
      </c>
      <c r="J64">
        <f>SUMIF(negtgel!U$2:BL$2,'Tsalin uzuulelt'!J$1,negtgel!U64:BL64) + SUMIF(negtgel!U$2:BL$2,'Tsalin uzuulelt'!J$2,negtgel!U64:BL64)+SUMIF(negtgel!U$2:BL$2,'Tsalin uzuulelt'!J$3,negtgel!U64:BL64)+SUMIF(negtgel!U$2:BL$2,'Tsalin uzuulelt'!J$4,negtgel!U64:BL64)+SUMIF(negtgel!U$2:BL$2,'Tsalin uzuulelt'!J$5,negtgel!U64:BL64)</f>
      </c>
      <c r="K64">
        <f>SUMIF(negtgel!U$2:BL$2,'Tsalin uzuulelt'!L$1,negtgel!U64:BL64) + SUMIF(negtgel!U$2:BL$2,'Tsalin uzuulelt'!L$2,negtgel!U64:BL64)+SUMIF(negtgel!U$2:BL$2,'Tsalin uzuulelt'!L$3,negtgel!U64:BL64)+SUMIF(negtgel!U$2:BL$2,'Tsalin uzuulelt'!L$4,negtgel!U64:BL64)+SUMIF(negtgel!U$2:BL$2,'Tsalin uzuulelt'!L$5,negtgel!U64:BL64)</f>
      </c>
      <c r="L64">
        <f>SUMIF(negtgel!U$2:BL$2,'Tsalin uzuulelt'!N$1,negtgel!U64:BL64) + SUMIF(negtgel!U$2:BL$2,'Tsalin uzuulelt'!N$2,negtgel!U64:BL64)+SUMIF(negtgel!U$2:BL$2,'Tsalin uzuulelt'!N$3,negtgel!U64:BL64)+SUMIF(negtgel!U$2:BL$2,'Tsalin uzuulelt'!N$4,negtgel!U64:BL64)+SUMIF(negtgel!U$2:BL$2,'Tsalin uzuulelt'!N$5,negtgel!U64:BL64)</f>
      </c>
      <c r="M64">
        <f>SUMIF(negtgel!U$2:BL$2,'Tsalin uzuulelt'!P$1,negtgel!U64:BL64) + SUMIF(negtgel!U$2:BL$2,'Tsalin uzuulelt'!P$2,negtgel!U64:BL64)+ SUMIF(negtgel!U$2:BL$2,'Tsalin uzuulelt'!P$3,negtgel!U64:BL64)+ SUMIF(negtgel!U$2:BL$2,'Tsalin uzuulelt'!P$4,negtgel!U64:BL64)+ SUMIF(negtgel!U$2:BL$2,'Tsalin uzuulelt'!P$5,negtgel!U64:BL64)</f>
      </c>
      <c r="N64">
        <f>IF(ISNUMBER(U64*1)=CF64,0,K64-H64-G64)</f>
      </c>
      <c r="O64">
        <f>IF(ISNUMBER(U64*1)=CF64,0,L64)</f>
      </c>
      <c r="P64">
        <f>IF(ISNUMBER(U64*1)=CF64,0,M64)</f>
      </c>
      <c r="Q64">
        <f>IF(N64&gt;2400000,N64,0)</f>
      </c>
      <c r="R64">
        <f>IF(L64/Q64*100&lt;3,2,10)</f>
      </c>
      <c r="S64">
        <f>IF(CH64=0,0,IF(B64&gt;9,10,IF(B64&gt;8,B64,IF(B64&gt;7.7,7.8,IF(B64&gt;3,B64,IF(B64&gt;1.5,2))))))</f>
      </c>
      <c r="T64">
        <f>IF(Q64=0,S64,R64)</f>
      </c>
      <c r="U64" t="n">
        <v>151.0</v>
      </c>
      <c r="V64" t="s">
        <v>3844</v>
      </c>
      <c r="W64" t="s">
        <v>3790</v>
      </c>
      <c r="X64" t="n">
        <v>677436.0</v>
      </c>
      <c r="Y64" t="n">
        <v>0.0</v>
      </c>
      <c r="Z64" t="n">
        <v>0.0</v>
      </c>
      <c r="AA64" t="n">
        <v>0.0</v>
      </c>
      <c r="AB64" t="n">
        <v>0.0</v>
      </c>
      <c r="AC64" t="n">
        <v>0.0</v>
      </c>
      <c r="AD64" t="n">
        <v>0.0</v>
      </c>
      <c r="AE64" t="n">
        <v>0.0</v>
      </c>
      <c r="AF64" t="n">
        <v>0.0</v>
      </c>
      <c r="AG64" t="n">
        <v>0.0</v>
      </c>
      <c r="AH64" t="n">
        <v>0.0</v>
      </c>
      <c r="AI64" t="n">
        <v>0.0</v>
      </c>
      <c r="AJ64" t="n">
        <v>0.0</v>
      </c>
      <c r="AK64" t="n">
        <v>0.0</v>
      </c>
      <c r="AL64" t="n">
        <v>0.0</v>
      </c>
      <c r="AM64" t="n">
        <v>0.0</v>
      </c>
      <c r="AN64" t="n">
        <v>0.0</v>
      </c>
      <c r="AO64" t="n">
        <v>0.0</v>
      </c>
      <c r="AP64" t="n">
        <v>0.0</v>
      </c>
      <c r="AQ64" t="n">
        <v>0.0</v>
      </c>
      <c r="CH64">
        <f>IFERROR(U64*1,0)</f>
      </c>
    </row>
    <row r="65">
      <c r="A65" t="n">
        <v>1.0</v>
      </c>
      <c r="B65">
        <f>IF((K65-G65-H65&gt;2400000),10,(L65/(K65-G65-H65)*100))</f>
      </c>
      <c r="C65">
        <f>IF(N65&gt;2400000,240000,(N65*S65)/100)</f>
      </c>
      <c r="D65">
        <f>IF(S65=0,0,IF((N65-I65)&gt;2400000,((((((N65-I65-J65)-240000))*0.1+(I65+J65)*0.1)))-7000,((((((N65-I65-J65)-(N65-I65-J65)*S65/100)))*0.1+(I65+J65)*0.1)-7000)))</f>
      </c>
      <c r="E65">
        <f>C65-O65</f>
      </c>
      <c r="F65">
        <f>D65-P65</f>
      </c>
      <c r="G65">
        <f>SUMIF(negtgel!U$2:BL$2,'Tsalin uzuulelt'!B$1,negtgel!U65:BL65) + SUMIF(negtgel!U$2:BL$2,'Tsalin uzuulelt'!B$2,negtgel!U65:BL65)+SUMIF(negtgel!U$2:BL$2,'Tsalin uzuulelt'!B$3,negtgel!U65:BL65)+SUMIF(negtgel!U$2:BL$2,'Tsalin uzuulelt'!B$4,negtgel!U65:BL65)+SUMIF(negtgel!U$2:BL$2,'Tsalin uzuulelt'!B$5,negtgel!U65:BL65)</f>
      </c>
      <c r="H65">
        <f>SUMIF(negtgel!U$2:BL$2,'Tsalin uzuulelt'!F$1,negtgel!U65:BL65) + SUMIF(negtgel!U$2:BL$2,'Tsalin uzuulelt'!F$2,negtgel!U65:BL65)+SUMIF(negtgel!U$2:BL$2,'Tsalin uzuulelt'!F$3,negtgel!U65:BL65)+SUMIF(negtgel!U$2:BL$2,'Tsalin uzuulelt'!F$4,negtgel!U65:BL65)+SUMIF(negtgel!U$2:BL$2,'Tsalin uzuulelt'!F$5,negtgel!U65:BL65)</f>
      </c>
      <c r="I65">
        <f>SUMIF(negtgel!U$2:BL$2,'Tsalin uzuulelt'!H$1,negtgel!U65:BL65) + SUMIF(negtgel!U$2:BL$2,'Tsalin uzuulelt'!H$2,negtgel!U65:BL65)+SUMIF(negtgel!U$2:BL$2,'Tsalin uzuulelt'!H$3,negtgel!U65:BL65)+SUMIF(negtgel!U$2:BL$2,'Tsalin uzuulelt'!H$4,negtgel!U65:BL65)+SUMIF(negtgel!U$2:BL$2,'Tsalin uzuulelt'!H$5,negtgel!U65:BL65)</f>
      </c>
      <c r="J65">
        <f>SUMIF(negtgel!U$2:BL$2,'Tsalin uzuulelt'!J$1,negtgel!U65:BL65) + SUMIF(negtgel!U$2:BL$2,'Tsalin uzuulelt'!J$2,negtgel!U65:BL65)+SUMIF(negtgel!U$2:BL$2,'Tsalin uzuulelt'!J$3,negtgel!U65:BL65)+SUMIF(negtgel!U$2:BL$2,'Tsalin uzuulelt'!J$4,negtgel!U65:BL65)+SUMIF(negtgel!U$2:BL$2,'Tsalin uzuulelt'!J$5,negtgel!U65:BL65)</f>
      </c>
      <c r="K65">
        <f>SUMIF(negtgel!U$2:BL$2,'Tsalin uzuulelt'!L$1,negtgel!U65:BL65) + SUMIF(negtgel!U$2:BL$2,'Tsalin uzuulelt'!L$2,negtgel!U65:BL65)+SUMIF(negtgel!U$2:BL$2,'Tsalin uzuulelt'!L$3,negtgel!U65:BL65)+SUMIF(negtgel!U$2:BL$2,'Tsalin uzuulelt'!L$4,negtgel!U65:BL65)+SUMIF(negtgel!U$2:BL$2,'Tsalin uzuulelt'!L$5,negtgel!U65:BL65)</f>
      </c>
      <c r="L65">
        <f>SUMIF(negtgel!U$2:BL$2,'Tsalin uzuulelt'!N$1,negtgel!U65:BL65) + SUMIF(negtgel!U$2:BL$2,'Tsalin uzuulelt'!N$2,negtgel!U65:BL65)+SUMIF(negtgel!U$2:BL$2,'Tsalin uzuulelt'!N$3,negtgel!U65:BL65)+SUMIF(negtgel!U$2:BL$2,'Tsalin uzuulelt'!N$4,negtgel!U65:BL65)+SUMIF(negtgel!U$2:BL$2,'Tsalin uzuulelt'!N$5,negtgel!U65:BL65)</f>
      </c>
      <c r="M65">
        <f>SUMIF(negtgel!U$2:BL$2,'Tsalin uzuulelt'!P$1,negtgel!U65:BL65) + SUMIF(negtgel!U$2:BL$2,'Tsalin uzuulelt'!P$2,negtgel!U65:BL65)+ SUMIF(negtgel!U$2:BL$2,'Tsalin uzuulelt'!P$3,negtgel!U65:BL65)+ SUMIF(negtgel!U$2:BL$2,'Tsalin uzuulelt'!P$4,negtgel!U65:BL65)+ SUMIF(negtgel!U$2:BL$2,'Tsalin uzuulelt'!P$5,negtgel!U65:BL65)</f>
      </c>
      <c r="N65">
        <f>IF(ISNUMBER(U65*1)=CF65,0,K65-H65-G65)</f>
      </c>
      <c r="O65">
        <f>IF(ISNUMBER(U65*1)=CF65,0,L65)</f>
      </c>
      <c r="P65">
        <f>IF(ISNUMBER(U65*1)=CF65,0,M65)</f>
      </c>
      <c r="Q65">
        <f>IF(N65&gt;2400000,N65,0)</f>
      </c>
      <c r="R65">
        <f>IF(L65/Q65*100&lt;3,2,10)</f>
      </c>
      <c r="S65">
        <f>IF(CH65=0,0,IF(B65&gt;9,10,IF(B65&gt;8,B65,IF(B65&gt;7.7,7.8,IF(B65&gt;3,B65,IF(B65&gt;1.5,2))))))</f>
      </c>
      <c r="T65">
        <f>IF(Q65=0,S65,R65)</f>
      </c>
      <c r="U65" t="n">
        <v>152.0</v>
      </c>
      <c r="V65" t="s">
        <v>3845</v>
      </c>
      <c r="W65" t="s">
        <v>3790</v>
      </c>
      <c r="X65" t="n">
        <v>677436.0</v>
      </c>
      <c r="Y65" t="n">
        <v>0.0</v>
      </c>
      <c r="Z65" t="n">
        <v>0.0</v>
      </c>
      <c r="AA65" t="n">
        <v>0.0</v>
      </c>
      <c r="AB65" t="n">
        <v>0.0</v>
      </c>
      <c r="AC65" t="n">
        <v>0.0</v>
      </c>
      <c r="AD65" t="n">
        <v>0.0</v>
      </c>
      <c r="AE65" t="n">
        <v>0.0</v>
      </c>
      <c r="AF65" t="n">
        <v>0.0</v>
      </c>
      <c r="AG65" t="n">
        <v>0.0</v>
      </c>
      <c r="AH65" t="n">
        <v>0.0</v>
      </c>
      <c r="AI65" t="n">
        <v>0.0</v>
      </c>
      <c r="AJ65" t="n">
        <v>0.0</v>
      </c>
      <c r="AK65" t="n">
        <v>0.0</v>
      </c>
      <c r="AL65" t="n">
        <v>0.0</v>
      </c>
      <c r="AM65" t="n">
        <v>0.0</v>
      </c>
      <c r="AN65" t="n">
        <v>0.0</v>
      </c>
      <c r="AO65" t="n">
        <v>0.0</v>
      </c>
      <c r="AP65" t="n">
        <v>0.0</v>
      </c>
      <c r="AQ65" t="n">
        <v>0.0</v>
      </c>
      <c r="CH65">
        <f>IFERROR(U65*1,0)</f>
      </c>
    </row>
    <row r="66">
      <c r="A66" t="n">
        <v>1.0</v>
      </c>
      <c r="B66">
        <f>IF((K66-G66-H66&gt;2400000),10,(L66/(K66-G66-H66)*100))</f>
      </c>
      <c r="C66">
        <f>IF(N66&gt;2400000,240000,(N66*S66)/100)</f>
      </c>
      <c r="D66">
        <f>IF(S66=0,0,IF((N66-I66)&gt;2400000,((((((N66-I66-J66)-240000))*0.1+(I66+J66)*0.1)))-7000,((((((N66-I66-J66)-(N66-I66-J66)*S66/100)))*0.1+(I66+J66)*0.1)-7000)))</f>
      </c>
      <c r="E66">
        <f>C66-O66</f>
      </c>
      <c r="F66">
        <f>D66-P66</f>
      </c>
      <c r="G66">
        <f>SUMIF(negtgel!U$2:BL$2,'Tsalin uzuulelt'!B$1,negtgel!U66:BL66) + SUMIF(negtgel!U$2:BL$2,'Tsalin uzuulelt'!B$2,negtgel!U66:BL66)+SUMIF(negtgel!U$2:BL$2,'Tsalin uzuulelt'!B$3,negtgel!U66:BL66)+SUMIF(negtgel!U$2:BL$2,'Tsalin uzuulelt'!B$4,negtgel!U66:BL66)+SUMIF(negtgel!U$2:BL$2,'Tsalin uzuulelt'!B$5,negtgel!U66:BL66)</f>
      </c>
      <c r="H66">
        <f>SUMIF(negtgel!U$2:BL$2,'Tsalin uzuulelt'!F$1,negtgel!U66:BL66) + SUMIF(negtgel!U$2:BL$2,'Tsalin uzuulelt'!F$2,negtgel!U66:BL66)+SUMIF(negtgel!U$2:BL$2,'Tsalin uzuulelt'!F$3,negtgel!U66:BL66)+SUMIF(negtgel!U$2:BL$2,'Tsalin uzuulelt'!F$4,negtgel!U66:BL66)+SUMIF(negtgel!U$2:BL$2,'Tsalin uzuulelt'!F$5,negtgel!U66:BL66)</f>
      </c>
      <c r="I66">
        <f>SUMIF(negtgel!U$2:BL$2,'Tsalin uzuulelt'!H$1,negtgel!U66:BL66) + SUMIF(negtgel!U$2:BL$2,'Tsalin uzuulelt'!H$2,negtgel!U66:BL66)+SUMIF(negtgel!U$2:BL$2,'Tsalin uzuulelt'!H$3,negtgel!U66:BL66)+SUMIF(negtgel!U$2:BL$2,'Tsalin uzuulelt'!H$4,negtgel!U66:BL66)+SUMIF(negtgel!U$2:BL$2,'Tsalin uzuulelt'!H$5,negtgel!U66:BL66)</f>
      </c>
      <c r="J66">
        <f>SUMIF(negtgel!U$2:BL$2,'Tsalin uzuulelt'!J$1,negtgel!U66:BL66) + SUMIF(negtgel!U$2:BL$2,'Tsalin uzuulelt'!J$2,negtgel!U66:BL66)+SUMIF(negtgel!U$2:BL$2,'Tsalin uzuulelt'!J$3,negtgel!U66:BL66)+SUMIF(negtgel!U$2:BL$2,'Tsalin uzuulelt'!J$4,negtgel!U66:BL66)+SUMIF(negtgel!U$2:BL$2,'Tsalin uzuulelt'!J$5,negtgel!U66:BL66)</f>
      </c>
      <c r="K66">
        <f>SUMIF(negtgel!U$2:BL$2,'Tsalin uzuulelt'!L$1,negtgel!U66:BL66) + SUMIF(negtgel!U$2:BL$2,'Tsalin uzuulelt'!L$2,negtgel!U66:BL66)+SUMIF(negtgel!U$2:BL$2,'Tsalin uzuulelt'!L$3,negtgel!U66:BL66)+SUMIF(negtgel!U$2:BL$2,'Tsalin uzuulelt'!L$4,negtgel!U66:BL66)+SUMIF(negtgel!U$2:BL$2,'Tsalin uzuulelt'!L$5,negtgel!U66:BL66)</f>
      </c>
      <c r="L66">
        <f>SUMIF(negtgel!U$2:BL$2,'Tsalin uzuulelt'!N$1,negtgel!U66:BL66) + SUMIF(negtgel!U$2:BL$2,'Tsalin uzuulelt'!N$2,negtgel!U66:BL66)+SUMIF(negtgel!U$2:BL$2,'Tsalin uzuulelt'!N$3,negtgel!U66:BL66)+SUMIF(negtgel!U$2:BL$2,'Tsalin uzuulelt'!N$4,negtgel!U66:BL66)+SUMIF(negtgel!U$2:BL$2,'Tsalin uzuulelt'!N$5,negtgel!U66:BL66)</f>
      </c>
      <c r="M66">
        <f>SUMIF(negtgel!U$2:BL$2,'Tsalin uzuulelt'!P$1,negtgel!U66:BL66) + SUMIF(negtgel!U$2:BL$2,'Tsalin uzuulelt'!P$2,negtgel!U66:BL66)+ SUMIF(negtgel!U$2:BL$2,'Tsalin uzuulelt'!P$3,negtgel!U66:BL66)+ SUMIF(negtgel!U$2:BL$2,'Tsalin uzuulelt'!P$4,negtgel!U66:BL66)+ SUMIF(negtgel!U$2:BL$2,'Tsalin uzuulelt'!P$5,negtgel!U66:BL66)</f>
      </c>
      <c r="N66">
        <f>IF(ISNUMBER(U66*1)=CF66,0,K66-H66-G66)</f>
      </c>
      <c r="O66">
        <f>IF(ISNUMBER(U66*1)=CF66,0,L66)</f>
      </c>
      <c r="P66">
        <f>IF(ISNUMBER(U66*1)=CF66,0,M66)</f>
      </c>
      <c r="Q66">
        <f>IF(N66&gt;2400000,N66,0)</f>
      </c>
      <c r="R66">
        <f>IF(L66/Q66*100&lt;3,2,10)</f>
      </c>
      <c r="S66">
        <f>IF(CH66=0,0,IF(B66&gt;9,10,IF(B66&gt;8,B66,IF(B66&gt;7.7,7.8,IF(B66&gt;3,B66,IF(B66&gt;1.5,2))))))</f>
      </c>
      <c r="T66">
        <f>IF(Q66=0,S66,R66)</f>
      </c>
      <c r="U66" t="n">
        <v>153.0</v>
      </c>
      <c r="V66" t="s">
        <v>3846</v>
      </c>
      <c r="W66" t="s">
        <v>3790</v>
      </c>
      <c r="X66" t="n">
        <v>645556.0</v>
      </c>
      <c r="Y66" t="n">
        <v>0.0</v>
      </c>
      <c r="Z66" t="n">
        <v>0.0</v>
      </c>
      <c r="AA66" t="n">
        <v>0.0</v>
      </c>
      <c r="AB66" t="n">
        <v>0.0</v>
      </c>
      <c r="AC66" t="n">
        <v>0.0</v>
      </c>
      <c r="AD66" t="n">
        <v>0.0</v>
      </c>
      <c r="AE66" t="n">
        <v>0.0</v>
      </c>
      <c r="AF66" t="n">
        <v>0.0</v>
      </c>
      <c r="AG66" t="n">
        <v>0.0</v>
      </c>
      <c r="AH66" t="n">
        <v>0.0</v>
      </c>
      <c r="AI66" t="n">
        <v>0.0</v>
      </c>
      <c r="AJ66" t="n">
        <v>0.0</v>
      </c>
      <c r="AK66" t="n">
        <v>0.0</v>
      </c>
      <c r="AL66" t="n">
        <v>0.0</v>
      </c>
      <c r="AM66" t="n">
        <v>0.0</v>
      </c>
      <c r="AN66" t="n">
        <v>0.0</v>
      </c>
      <c r="AO66" t="n">
        <v>0.0</v>
      </c>
      <c r="AP66" t="n">
        <v>0.0</v>
      </c>
      <c r="AQ66" t="n">
        <v>0.0</v>
      </c>
      <c r="CH66">
        <f>IFERROR(U66*1,0)</f>
      </c>
    </row>
    <row r="67">
      <c r="A67" t="n">
        <v>1.0</v>
      </c>
      <c r="B67">
        <f>IF((K67-G67-H67&gt;2400000),10,(L67/(K67-G67-H67)*100))</f>
      </c>
      <c r="C67">
        <f>IF(N67&gt;2400000,240000,(N67*S67)/100)</f>
      </c>
      <c r="D67">
        <f>IF(S67=0,0,IF((N67-I67)&gt;2400000,((((((N67-I67-J67)-240000))*0.1+(I67+J67)*0.1)))-7000,((((((N67-I67-J67)-(N67-I67-J67)*S67/100)))*0.1+(I67+J67)*0.1)-7000)))</f>
      </c>
      <c r="E67">
        <f>C67-O67</f>
      </c>
      <c r="F67">
        <f>D67-P67</f>
      </c>
      <c r="G67">
        <f>SUMIF(negtgel!U$2:BL$2,'Tsalin uzuulelt'!B$1,negtgel!U67:BL67) + SUMIF(negtgel!U$2:BL$2,'Tsalin uzuulelt'!B$2,negtgel!U67:BL67)+SUMIF(negtgel!U$2:BL$2,'Tsalin uzuulelt'!B$3,negtgel!U67:BL67)+SUMIF(negtgel!U$2:BL$2,'Tsalin uzuulelt'!B$4,negtgel!U67:BL67)+SUMIF(negtgel!U$2:BL$2,'Tsalin uzuulelt'!B$5,negtgel!U67:BL67)</f>
      </c>
      <c r="H67">
        <f>SUMIF(negtgel!U$2:BL$2,'Tsalin uzuulelt'!F$1,negtgel!U67:BL67) + SUMIF(negtgel!U$2:BL$2,'Tsalin uzuulelt'!F$2,negtgel!U67:BL67)+SUMIF(negtgel!U$2:BL$2,'Tsalin uzuulelt'!F$3,negtgel!U67:BL67)+SUMIF(negtgel!U$2:BL$2,'Tsalin uzuulelt'!F$4,negtgel!U67:BL67)+SUMIF(negtgel!U$2:BL$2,'Tsalin uzuulelt'!F$5,negtgel!U67:BL67)</f>
      </c>
      <c r="I67">
        <f>SUMIF(negtgel!U$2:BL$2,'Tsalin uzuulelt'!H$1,negtgel!U67:BL67) + SUMIF(negtgel!U$2:BL$2,'Tsalin uzuulelt'!H$2,negtgel!U67:BL67)+SUMIF(negtgel!U$2:BL$2,'Tsalin uzuulelt'!H$3,negtgel!U67:BL67)+SUMIF(negtgel!U$2:BL$2,'Tsalin uzuulelt'!H$4,negtgel!U67:BL67)+SUMIF(negtgel!U$2:BL$2,'Tsalin uzuulelt'!H$5,negtgel!U67:BL67)</f>
      </c>
      <c r="J67">
        <f>SUMIF(negtgel!U$2:BL$2,'Tsalin uzuulelt'!J$1,negtgel!U67:BL67) + SUMIF(negtgel!U$2:BL$2,'Tsalin uzuulelt'!J$2,negtgel!U67:BL67)+SUMIF(negtgel!U$2:BL$2,'Tsalin uzuulelt'!J$3,negtgel!U67:BL67)+SUMIF(negtgel!U$2:BL$2,'Tsalin uzuulelt'!J$4,negtgel!U67:BL67)+SUMIF(negtgel!U$2:BL$2,'Tsalin uzuulelt'!J$5,negtgel!U67:BL67)</f>
      </c>
      <c r="K67">
        <f>SUMIF(negtgel!U$2:BL$2,'Tsalin uzuulelt'!L$1,negtgel!U67:BL67) + SUMIF(negtgel!U$2:BL$2,'Tsalin uzuulelt'!L$2,negtgel!U67:BL67)+SUMIF(negtgel!U$2:BL$2,'Tsalin uzuulelt'!L$3,negtgel!U67:BL67)+SUMIF(negtgel!U$2:BL$2,'Tsalin uzuulelt'!L$4,negtgel!U67:BL67)+SUMIF(negtgel!U$2:BL$2,'Tsalin uzuulelt'!L$5,negtgel!U67:BL67)</f>
      </c>
      <c r="L67">
        <f>SUMIF(negtgel!U$2:BL$2,'Tsalin uzuulelt'!N$1,negtgel!U67:BL67) + SUMIF(negtgel!U$2:BL$2,'Tsalin uzuulelt'!N$2,negtgel!U67:BL67)+SUMIF(negtgel!U$2:BL$2,'Tsalin uzuulelt'!N$3,negtgel!U67:BL67)+SUMIF(negtgel!U$2:BL$2,'Tsalin uzuulelt'!N$4,negtgel!U67:BL67)+SUMIF(negtgel!U$2:BL$2,'Tsalin uzuulelt'!N$5,negtgel!U67:BL67)</f>
      </c>
      <c r="M67">
        <f>SUMIF(negtgel!U$2:BL$2,'Tsalin uzuulelt'!P$1,negtgel!U67:BL67) + SUMIF(negtgel!U$2:BL$2,'Tsalin uzuulelt'!P$2,negtgel!U67:BL67)+ SUMIF(negtgel!U$2:BL$2,'Tsalin uzuulelt'!P$3,negtgel!U67:BL67)+ SUMIF(negtgel!U$2:BL$2,'Tsalin uzuulelt'!P$4,negtgel!U67:BL67)+ SUMIF(negtgel!U$2:BL$2,'Tsalin uzuulelt'!P$5,negtgel!U67:BL67)</f>
      </c>
      <c r="N67">
        <f>IF(ISNUMBER(U67*1)=CF67,0,K67-H67-G67)</f>
      </c>
      <c r="O67">
        <f>IF(ISNUMBER(U67*1)=CF67,0,L67)</f>
      </c>
      <c r="P67">
        <f>IF(ISNUMBER(U67*1)=CF67,0,M67)</f>
      </c>
      <c r="Q67">
        <f>IF(N67&gt;2400000,N67,0)</f>
      </c>
      <c r="R67">
        <f>IF(L67/Q67*100&lt;3,2,10)</f>
      </c>
      <c r="S67">
        <f>IF(CH67=0,0,IF(B67&gt;9,10,IF(B67&gt;8,B67,IF(B67&gt;7.7,7.8,IF(B67&gt;3,B67,IF(B67&gt;1.5,2))))))</f>
      </c>
      <c r="T67">
        <f>IF(Q67=0,S67,R67)</f>
      </c>
      <c r="U67" t="s">
        <v>3787</v>
      </c>
      <c r="V67"/>
      <c r="W67"/>
      <c r="X67" t="n">
        <v>3.1426681E7</v>
      </c>
      <c r="Y67" t="n">
        <v>0.0</v>
      </c>
      <c r="Z67" t="n">
        <v>0.0</v>
      </c>
      <c r="AA67" t="n">
        <v>0.0</v>
      </c>
      <c r="AB67" t="n">
        <v>0.0</v>
      </c>
      <c r="AC67" t="n">
        <v>0.0</v>
      </c>
      <c r="AD67" t="n">
        <v>0.0</v>
      </c>
      <c r="AE67" t="n">
        <v>0.0</v>
      </c>
      <c r="AF67" t="n">
        <v>0.0</v>
      </c>
      <c r="AG67" t="n">
        <v>0.0</v>
      </c>
      <c r="AH67" t="n">
        <v>0.0</v>
      </c>
      <c r="AI67" t="n">
        <v>0.0</v>
      </c>
      <c r="AJ67" t="n">
        <v>0.0</v>
      </c>
      <c r="AK67" t="n">
        <v>0.0</v>
      </c>
      <c r="AL67" t="n">
        <v>0.0</v>
      </c>
      <c r="AM67" t="n">
        <v>0.0</v>
      </c>
      <c r="AN67" t="n">
        <v>0.0</v>
      </c>
      <c r="AO67" t="n">
        <v>0.0</v>
      </c>
      <c r="AP67" t="n">
        <v>0.0</v>
      </c>
      <c r="AQ67" t="n">
        <v>0.0</v>
      </c>
      <c r="CH67">
        <f>IFERROR(U67*1,0)</f>
      </c>
    </row>
    <row r="68">
      <c r="A68" t="n">
        <v>1.0</v>
      </c>
      <c r="B68">
        <f>IF((K68-G68-H68&gt;2400000),10,(L68/(K68-G68-H68)*100))</f>
      </c>
      <c r="C68">
        <f>IF(N68&gt;2400000,240000,(N68*S68)/100)</f>
      </c>
      <c r="D68">
        <f>IF(S68=0,0,IF((N68-I68)&gt;2400000,((((((N68-I68-J68)-240000))*0.1+(I68+J68)*0.1)))-7000,((((((N68-I68-J68)-(N68-I68-J68)*S68/100)))*0.1+(I68+J68)*0.1)-7000)))</f>
      </c>
      <c r="E68">
        <f>C68-O68</f>
      </c>
      <c r="F68">
        <f>D68-P68</f>
      </c>
      <c r="G68">
        <f>SUMIF(negtgel!U$2:BL$2,'Tsalin uzuulelt'!B$1,negtgel!U68:BL68) + SUMIF(negtgel!U$2:BL$2,'Tsalin uzuulelt'!B$2,negtgel!U68:BL68)+SUMIF(negtgel!U$2:BL$2,'Tsalin uzuulelt'!B$3,negtgel!U68:BL68)+SUMIF(negtgel!U$2:BL$2,'Tsalin uzuulelt'!B$4,negtgel!U68:BL68)+SUMIF(negtgel!U$2:BL$2,'Tsalin uzuulelt'!B$5,negtgel!U68:BL68)</f>
      </c>
      <c r="H68">
        <f>SUMIF(negtgel!U$2:BL$2,'Tsalin uzuulelt'!F$1,negtgel!U68:BL68) + SUMIF(negtgel!U$2:BL$2,'Tsalin uzuulelt'!F$2,negtgel!U68:BL68)+SUMIF(negtgel!U$2:BL$2,'Tsalin uzuulelt'!F$3,negtgel!U68:BL68)+SUMIF(negtgel!U$2:BL$2,'Tsalin uzuulelt'!F$4,negtgel!U68:BL68)+SUMIF(negtgel!U$2:BL$2,'Tsalin uzuulelt'!F$5,negtgel!U68:BL68)</f>
      </c>
      <c r="I68">
        <f>SUMIF(negtgel!U$2:BL$2,'Tsalin uzuulelt'!H$1,negtgel!U68:BL68) + SUMIF(negtgel!U$2:BL$2,'Tsalin uzuulelt'!H$2,negtgel!U68:BL68)+SUMIF(negtgel!U$2:BL$2,'Tsalin uzuulelt'!H$3,negtgel!U68:BL68)+SUMIF(negtgel!U$2:BL$2,'Tsalin uzuulelt'!H$4,negtgel!U68:BL68)+SUMIF(negtgel!U$2:BL$2,'Tsalin uzuulelt'!H$5,negtgel!U68:BL68)</f>
      </c>
      <c r="J68">
        <f>SUMIF(negtgel!U$2:BL$2,'Tsalin uzuulelt'!J$1,negtgel!U68:BL68) + SUMIF(negtgel!U$2:BL$2,'Tsalin uzuulelt'!J$2,negtgel!U68:BL68)+SUMIF(negtgel!U$2:BL$2,'Tsalin uzuulelt'!J$3,negtgel!U68:BL68)+SUMIF(negtgel!U$2:BL$2,'Tsalin uzuulelt'!J$4,negtgel!U68:BL68)+SUMIF(negtgel!U$2:BL$2,'Tsalin uzuulelt'!J$5,negtgel!U68:BL68)</f>
      </c>
      <c r="K68">
        <f>SUMIF(negtgel!U$2:BL$2,'Tsalin uzuulelt'!L$1,negtgel!U68:BL68) + SUMIF(negtgel!U$2:BL$2,'Tsalin uzuulelt'!L$2,negtgel!U68:BL68)+SUMIF(negtgel!U$2:BL$2,'Tsalin uzuulelt'!L$3,negtgel!U68:BL68)+SUMIF(negtgel!U$2:BL$2,'Tsalin uzuulelt'!L$4,negtgel!U68:BL68)+SUMIF(negtgel!U$2:BL$2,'Tsalin uzuulelt'!L$5,negtgel!U68:BL68)</f>
      </c>
      <c r="L68">
        <f>SUMIF(negtgel!U$2:BL$2,'Tsalin uzuulelt'!N$1,negtgel!U68:BL68) + SUMIF(negtgel!U$2:BL$2,'Tsalin uzuulelt'!N$2,negtgel!U68:BL68)+SUMIF(negtgel!U$2:BL$2,'Tsalin uzuulelt'!N$3,negtgel!U68:BL68)+SUMIF(negtgel!U$2:BL$2,'Tsalin uzuulelt'!N$4,negtgel!U68:BL68)+SUMIF(negtgel!U$2:BL$2,'Tsalin uzuulelt'!N$5,negtgel!U68:BL68)</f>
      </c>
      <c r="M68">
        <f>SUMIF(negtgel!U$2:BL$2,'Tsalin uzuulelt'!P$1,negtgel!U68:BL68) + SUMIF(negtgel!U$2:BL$2,'Tsalin uzuulelt'!P$2,negtgel!U68:BL68)+ SUMIF(negtgel!U$2:BL$2,'Tsalin uzuulelt'!P$3,negtgel!U68:BL68)+ SUMIF(negtgel!U$2:BL$2,'Tsalin uzuulelt'!P$4,negtgel!U68:BL68)+ SUMIF(negtgel!U$2:BL$2,'Tsalin uzuulelt'!P$5,negtgel!U68:BL68)</f>
      </c>
      <c r="N68">
        <f>IF(ISNUMBER(U68*1)=CF68,0,K68-H68-G68)</f>
      </c>
      <c r="O68">
        <f>IF(ISNUMBER(U68*1)=CF68,0,L68)</f>
      </c>
      <c r="P68">
        <f>IF(ISNUMBER(U68*1)=CF68,0,M68)</f>
      </c>
      <c r="Q68">
        <f>IF(N68&gt;2400000,N68,0)</f>
      </c>
      <c r="R68">
        <f>IF(L68/Q68*100&lt;3,2,10)</f>
      </c>
      <c r="S68">
        <f>IF(CH68=0,0,IF(B68&gt;9,10,IF(B68&gt;8,B68,IF(B68&gt;7.7,7.8,IF(B68&gt;3,B68,IF(B68&gt;1.5,2))))))</f>
      </c>
      <c r="T68">
        <f>IF(Q68=0,S68,R68)</f>
      </c>
      <c r="U68" t="s">
        <v>3847</v>
      </c>
      <c r="V68"/>
      <c r="W68"/>
      <c r="X68"/>
      <c r="Y68"/>
      <c r="Z68"/>
      <c r="AA68"/>
      <c r="AB68"/>
      <c r="AC68"/>
      <c r="AD68"/>
      <c r="AE68"/>
      <c r="AF68"/>
      <c r="AG68"/>
      <c r="AH68"/>
      <c r="AI68"/>
      <c r="AJ68"/>
      <c r="AK68"/>
      <c r="AL68"/>
      <c r="AM68"/>
      <c r="AN68"/>
      <c r="AO68"/>
      <c r="AP68"/>
      <c r="AQ68"/>
      <c r="CH68">
        <f>IFERROR(U68*1,0)</f>
      </c>
    </row>
    <row r="69">
      <c r="A69" t="n">
        <v>1.0</v>
      </c>
      <c r="B69">
        <f>IF((K69-G69-H69&gt;2400000),10,(L69/(K69-G69-H69)*100))</f>
      </c>
      <c r="C69">
        <f>IF(N69&gt;2400000,240000,(N69*S69)/100)</f>
      </c>
      <c r="D69">
        <f>IF(S69=0,0,IF((N69-I69)&gt;2400000,((((((N69-I69-J69)-240000))*0.1+(I69+J69)*0.1)))-7000,((((((N69-I69-J69)-(N69-I69-J69)*S69/100)))*0.1+(I69+J69)*0.1)-7000)))</f>
      </c>
      <c r="E69">
        <f>C69-O69</f>
      </c>
      <c r="F69">
        <f>D69-P69</f>
      </c>
      <c r="G69">
        <f>SUMIF(negtgel!U$2:BL$2,'Tsalin uzuulelt'!B$1,negtgel!U69:BL69) + SUMIF(negtgel!U$2:BL$2,'Tsalin uzuulelt'!B$2,negtgel!U69:BL69)+SUMIF(negtgel!U$2:BL$2,'Tsalin uzuulelt'!B$3,negtgel!U69:BL69)+SUMIF(negtgel!U$2:BL$2,'Tsalin uzuulelt'!B$4,negtgel!U69:BL69)+SUMIF(negtgel!U$2:BL$2,'Tsalin uzuulelt'!B$5,negtgel!U69:BL69)</f>
      </c>
      <c r="H69">
        <f>SUMIF(negtgel!U$2:BL$2,'Tsalin uzuulelt'!F$1,negtgel!U69:BL69) + SUMIF(negtgel!U$2:BL$2,'Tsalin uzuulelt'!F$2,negtgel!U69:BL69)+SUMIF(negtgel!U$2:BL$2,'Tsalin uzuulelt'!F$3,negtgel!U69:BL69)+SUMIF(negtgel!U$2:BL$2,'Tsalin uzuulelt'!F$4,negtgel!U69:BL69)+SUMIF(negtgel!U$2:BL$2,'Tsalin uzuulelt'!F$5,negtgel!U69:BL69)</f>
      </c>
      <c r="I69">
        <f>SUMIF(negtgel!U$2:BL$2,'Tsalin uzuulelt'!H$1,negtgel!U69:BL69) + SUMIF(negtgel!U$2:BL$2,'Tsalin uzuulelt'!H$2,negtgel!U69:BL69)+SUMIF(negtgel!U$2:BL$2,'Tsalin uzuulelt'!H$3,negtgel!U69:BL69)+SUMIF(negtgel!U$2:BL$2,'Tsalin uzuulelt'!H$4,negtgel!U69:BL69)+SUMIF(negtgel!U$2:BL$2,'Tsalin uzuulelt'!H$5,negtgel!U69:BL69)</f>
      </c>
      <c r="J69">
        <f>SUMIF(negtgel!U$2:BL$2,'Tsalin uzuulelt'!J$1,negtgel!U69:BL69) + SUMIF(negtgel!U$2:BL$2,'Tsalin uzuulelt'!J$2,negtgel!U69:BL69)+SUMIF(negtgel!U$2:BL$2,'Tsalin uzuulelt'!J$3,negtgel!U69:BL69)+SUMIF(negtgel!U$2:BL$2,'Tsalin uzuulelt'!J$4,negtgel!U69:BL69)+SUMIF(negtgel!U$2:BL$2,'Tsalin uzuulelt'!J$5,negtgel!U69:BL69)</f>
      </c>
      <c r="K69">
        <f>SUMIF(negtgel!U$2:BL$2,'Tsalin uzuulelt'!L$1,negtgel!U69:BL69) + SUMIF(negtgel!U$2:BL$2,'Tsalin uzuulelt'!L$2,negtgel!U69:BL69)+SUMIF(negtgel!U$2:BL$2,'Tsalin uzuulelt'!L$3,negtgel!U69:BL69)+SUMIF(negtgel!U$2:BL$2,'Tsalin uzuulelt'!L$4,negtgel!U69:BL69)+SUMIF(negtgel!U$2:BL$2,'Tsalin uzuulelt'!L$5,negtgel!U69:BL69)</f>
      </c>
      <c r="L69">
        <f>SUMIF(negtgel!U$2:BL$2,'Tsalin uzuulelt'!N$1,negtgel!U69:BL69) + SUMIF(negtgel!U$2:BL$2,'Tsalin uzuulelt'!N$2,negtgel!U69:BL69)+SUMIF(negtgel!U$2:BL$2,'Tsalin uzuulelt'!N$3,negtgel!U69:BL69)+SUMIF(negtgel!U$2:BL$2,'Tsalin uzuulelt'!N$4,negtgel!U69:BL69)+SUMIF(negtgel!U$2:BL$2,'Tsalin uzuulelt'!N$5,negtgel!U69:BL69)</f>
      </c>
      <c r="M69">
        <f>SUMIF(negtgel!U$2:BL$2,'Tsalin uzuulelt'!P$1,negtgel!U69:BL69) + SUMIF(negtgel!U$2:BL$2,'Tsalin uzuulelt'!P$2,negtgel!U69:BL69)+ SUMIF(negtgel!U$2:BL$2,'Tsalin uzuulelt'!P$3,negtgel!U69:BL69)+ SUMIF(negtgel!U$2:BL$2,'Tsalin uzuulelt'!P$4,negtgel!U69:BL69)+ SUMIF(negtgel!U$2:BL$2,'Tsalin uzuulelt'!P$5,negtgel!U69:BL69)</f>
      </c>
      <c r="N69">
        <f>IF(ISNUMBER(U69*1)=CF69,0,K69-H69-G69)</f>
      </c>
      <c r="O69">
        <f>IF(ISNUMBER(U69*1)=CF69,0,L69)</f>
      </c>
      <c r="P69">
        <f>IF(ISNUMBER(U69*1)=CF69,0,M69)</f>
      </c>
      <c r="Q69">
        <f>IF(N69&gt;2400000,N69,0)</f>
      </c>
      <c r="R69">
        <f>IF(L69/Q69*100&lt;3,2,10)</f>
      </c>
      <c r="S69">
        <f>IF(CH69=0,0,IF(B69&gt;9,10,IF(B69&gt;8,B69,IF(B69&gt;7.7,7.8,IF(B69&gt;3,B69,IF(B69&gt;1.5,2))))))</f>
      </c>
      <c r="T69">
        <f>IF(Q69=0,S69,R69)</f>
      </c>
      <c r="U69" t="n">
        <v>154.0</v>
      </c>
      <c r="V69" t="s">
        <v>3848</v>
      </c>
      <c r="W69" t="s">
        <v>3790</v>
      </c>
      <c r="X69" t="n">
        <v>613669.0</v>
      </c>
      <c r="Y69" t="n">
        <v>0.0</v>
      </c>
      <c r="Z69" t="n">
        <v>0.0</v>
      </c>
      <c r="AA69" t="n">
        <v>0.0</v>
      </c>
      <c r="AB69" t="n">
        <v>0.0</v>
      </c>
      <c r="AC69" t="n">
        <v>0.0</v>
      </c>
      <c r="AD69" t="n">
        <v>0.0</v>
      </c>
      <c r="AE69" t="n">
        <v>0.0</v>
      </c>
      <c r="AF69" t="n">
        <v>0.0</v>
      </c>
      <c r="AG69" t="n">
        <v>0.0</v>
      </c>
      <c r="AH69" t="n">
        <v>0.0</v>
      </c>
      <c r="AI69" t="n">
        <v>0.0</v>
      </c>
      <c r="AJ69" t="n">
        <v>0.0</v>
      </c>
      <c r="AK69" t="n">
        <v>0.0</v>
      </c>
      <c r="AL69" t="n">
        <v>0.0</v>
      </c>
      <c r="AM69" t="n">
        <v>0.0</v>
      </c>
      <c r="AN69" t="n">
        <v>0.0</v>
      </c>
      <c r="AO69" t="n">
        <v>0.0</v>
      </c>
      <c r="AP69" t="n">
        <v>0.0</v>
      </c>
      <c r="AQ69" t="n">
        <v>0.0</v>
      </c>
      <c r="CH69">
        <f>IFERROR(U69*1,0)</f>
      </c>
    </row>
    <row r="70">
      <c r="A70" t="n">
        <v>1.0</v>
      </c>
      <c r="B70">
        <f>IF((K70-G70-H70&gt;2400000),10,(L70/(K70-G70-H70)*100))</f>
      </c>
      <c r="C70">
        <f>IF(N70&gt;2400000,240000,(N70*S70)/100)</f>
      </c>
      <c r="D70">
        <f>IF(S70=0,0,IF((N70-I70)&gt;2400000,((((((N70-I70-J70)-240000))*0.1+(I70+J70)*0.1)))-7000,((((((N70-I70-J70)-(N70-I70-J70)*S70/100)))*0.1+(I70+J70)*0.1)-7000)))</f>
      </c>
      <c r="E70">
        <f>C70-O70</f>
      </c>
      <c r="F70">
        <f>D70-P70</f>
      </c>
      <c r="G70">
        <f>SUMIF(negtgel!U$2:BL$2,'Tsalin uzuulelt'!B$1,negtgel!U70:BL70) + SUMIF(negtgel!U$2:BL$2,'Tsalin uzuulelt'!B$2,negtgel!U70:BL70)+SUMIF(negtgel!U$2:BL$2,'Tsalin uzuulelt'!B$3,negtgel!U70:BL70)+SUMIF(negtgel!U$2:BL$2,'Tsalin uzuulelt'!B$4,negtgel!U70:BL70)+SUMIF(negtgel!U$2:BL$2,'Tsalin uzuulelt'!B$5,negtgel!U70:BL70)</f>
      </c>
      <c r="H70">
        <f>SUMIF(negtgel!U$2:BL$2,'Tsalin uzuulelt'!F$1,negtgel!U70:BL70) + SUMIF(negtgel!U$2:BL$2,'Tsalin uzuulelt'!F$2,negtgel!U70:BL70)+SUMIF(negtgel!U$2:BL$2,'Tsalin uzuulelt'!F$3,negtgel!U70:BL70)+SUMIF(negtgel!U$2:BL$2,'Tsalin uzuulelt'!F$4,negtgel!U70:BL70)+SUMIF(negtgel!U$2:BL$2,'Tsalin uzuulelt'!F$5,negtgel!U70:BL70)</f>
      </c>
      <c r="I70">
        <f>SUMIF(negtgel!U$2:BL$2,'Tsalin uzuulelt'!H$1,negtgel!U70:BL70) + SUMIF(negtgel!U$2:BL$2,'Tsalin uzuulelt'!H$2,negtgel!U70:BL70)+SUMIF(negtgel!U$2:BL$2,'Tsalin uzuulelt'!H$3,negtgel!U70:BL70)+SUMIF(negtgel!U$2:BL$2,'Tsalin uzuulelt'!H$4,negtgel!U70:BL70)+SUMIF(negtgel!U$2:BL$2,'Tsalin uzuulelt'!H$5,negtgel!U70:BL70)</f>
      </c>
      <c r="J70">
        <f>SUMIF(negtgel!U$2:BL$2,'Tsalin uzuulelt'!J$1,negtgel!U70:BL70) + SUMIF(negtgel!U$2:BL$2,'Tsalin uzuulelt'!J$2,negtgel!U70:BL70)+SUMIF(negtgel!U$2:BL$2,'Tsalin uzuulelt'!J$3,negtgel!U70:BL70)+SUMIF(negtgel!U$2:BL$2,'Tsalin uzuulelt'!J$4,negtgel!U70:BL70)+SUMIF(negtgel!U$2:BL$2,'Tsalin uzuulelt'!J$5,negtgel!U70:BL70)</f>
      </c>
      <c r="K70">
        <f>SUMIF(negtgel!U$2:BL$2,'Tsalin uzuulelt'!L$1,negtgel!U70:BL70) + SUMIF(negtgel!U$2:BL$2,'Tsalin uzuulelt'!L$2,negtgel!U70:BL70)+SUMIF(negtgel!U$2:BL$2,'Tsalin uzuulelt'!L$3,negtgel!U70:BL70)+SUMIF(negtgel!U$2:BL$2,'Tsalin uzuulelt'!L$4,negtgel!U70:BL70)+SUMIF(negtgel!U$2:BL$2,'Tsalin uzuulelt'!L$5,negtgel!U70:BL70)</f>
      </c>
      <c r="L70">
        <f>SUMIF(negtgel!U$2:BL$2,'Tsalin uzuulelt'!N$1,negtgel!U70:BL70) + SUMIF(negtgel!U$2:BL$2,'Tsalin uzuulelt'!N$2,negtgel!U70:BL70)+SUMIF(negtgel!U$2:BL$2,'Tsalin uzuulelt'!N$3,negtgel!U70:BL70)+SUMIF(negtgel!U$2:BL$2,'Tsalin uzuulelt'!N$4,negtgel!U70:BL70)+SUMIF(negtgel!U$2:BL$2,'Tsalin uzuulelt'!N$5,negtgel!U70:BL70)</f>
      </c>
      <c r="M70">
        <f>SUMIF(negtgel!U$2:BL$2,'Tsalin uzuulelt'!P$1,negtgel!U70:BL70) + SUMIF(negtgel!U$2:BL$2,'Tsalin uzuulelt'!P$2,negtgel!U70:BL70)+ SUMIF(negtgel!U$2:BL$2,'Tsalin uzuulelt'!P$3,negtgel!U70:BL70)+ SUMIF(negtgel!U$2:BL$2,'Tsalin uzuulelt'!P$4,negtgel!U70:BL70)+ SUMIF(negtgel!U$2:BL$2,'Tsalin uzuulelt'!P$5,negtgel!U70:BL70)</f>
      </c>
      <c r="N70">
        <f>IF(ISNUMBER(U70*1)=CF70,0,K70-H70-G70)</f>
      </c>
      <c r="O70">
        <f>IF(ISNUMBER(U70*1)=CF70,0,L70)</f>
      </c>
      <c r="P70">
        <f>IF(ISNUMBER(U70*1)=CF70,0,M70)</f>
      </c>
      <c r="Q70">
        <f>IF(N70&gt;2400000,N70,0)</f>
      </c>
      <c r="R70">
        <f>IF(L70/Q70*100&lt;3,2,10)</f>
      </c>
      <c r="S70">
        <f>IF(CH70=0,0,IF(B70&gt;9,10,IF(B70&gt;8,B70,IF(B70&gt;7.7,7.8,IF(B70&gt;3,B70,IF(B70&gt;1.5,2))))))</f>
      </c>
      <c r="T70">
        <f>IF(Q70=0,S70,R70)</f>
      </c>
      <c r="U70" t="n">
        <v>155.0</v>
      </c>
      <c r="V70" t="s">
        <v>3849</v>
      </c>
      <c r="W70" t="s">
        <v>3790</v>
      </c>
      <c r="X70" t="n">
        <v>580710.0</v>
      </c>
      <c r="Y70" t="n">
        <v>0.0</v>
      </c>
      <c r="Z70" t="n">
        <v>0.0</v>
      </c>
      <c r="AA70" t="n">
        <v>0.0</v>
      </c>
      <c r="AB70" t="n">
        <v>0.0</v>
      </c>
      <c r="AC70" t="n">
        <v>0.0</v>
      </c>
      <c r="AD70" t="n">
        <v>0.0</v>
      </c>
      <c r="AE70" t="n">
        <v>0.0</v>
      </c>
      <c r="AF70" t="n">
        <v>0.0</v>
      </c>
      <c r="AG70" t="n">
        <v>0.0</v>
      </c>
      <c r="AH70" t="n">
        <v>0.0</v>
      </c>
      <c r="AI70" t="n">
        <v>0.0</v>
      </c>
      <c r="AJ70" t="n">
        <v>0.0</v>
      </c>
      <c r="AK70" t="n">
        <v>0.0</v>
      </c>
      <c r="AL70" t="n">
        <v>0.0</v>
      </c>
      <c r="AM70" t="n">
        <v>0.0</v>
      </c>
      <c r="AN70" t="n">
        <v>0.0</v>
      </c>
      <c r="AO70" t="n">
        <v>0.0</v>
      </c>
      <c r="AP70" t="n">
        <v>0.0</v>
      </c>
      <c r="AQ70" t="n">
        <v>0.0</v>
      </c>
      <c r="CH70">
        <f>IFERROR(U70*1,0)</f>
      </c>
    </row>
    <row r="73">
      <c r="A73" t="n">
        <v>2.0</v>
      </c>
      <c r="B73">
        <f>IF((K73-G73-H73&gt;2400000),10,(L73/(K73-G73-H73)*100))</f>
      </c>
      <c r="C73">
        <f>IF(N73&gt;2400000,240000,(N73*S73)/100)</f>
      </c>
      <c r="D73">
        <f>IF(S73=0,0,IF((N73-I73)&gt;2400000,((((((N73-I73-J73)-240000))*0.1+(I73+J73)*0.1)))-7000,((((((N73-I73-J73)-(N73-I73-J73)*S73/100)))*0.1+(I73+J73)*0.1)-7000)))</f>
      </c>
      <c r="E73">
        <f>C73-O73</f>
      </c>
      <c r="F73">
        <f>D73-P73</f>
      </c>
      <c r="G73">
        <f>SUMIF(negtgel!U$2:BL$2,'Tsalin uzuulelt'!B$1,negtgel!U73:BL73) + SUMIF(negtgel!U$2:BL$2,'Tsalin uzuulelt'!B$2,negtgel!U73:BL73)+SUMIF(negtgel!U$2:BL$2,'Tsalin uzuulelt'!B$3,negtgel!U73:BL73)+SUMIF(negtgel!U$2:BL$2,'Tsalin uzuulelt'!B$4,negtgel!U73:BL73)+SUMIF(negtgel!U$2:BL$2,'Tsalin uzuulelt'!B$5,negtgel!U73:BL73)</f>
      </c>
      <c r="H73">
        <f>SUMIF(negtgel!U$2:BL$2,'Tsalin uzuulelt'!F$1,negtgel!U73:BL73) + SUMIF(negtgel!U$2:BL$2,'Tsalin uzuulelt'!F$2,negtgel!U73:BL73)+SUMIF(negtgel!U$2:BL$2,'Tsalin uzuulelt'!F$3,negtgel!U73:BL73)+SUMIF(negtgel!U$2:BL$2,'Tsalin uzuulelt'!F$4,negtgel!U73:BL73)+SUMIF(negtgel!U$2:BL$2,'Tsalin uzuulelt'!F$5,negtgel!U73:BL73)</f>
      </c>
      <c r="I73">
        <f>SUMIF(negtgel!U$2:BL$2,'Tsalin uzuulelt'!H$1,negtgel!U73:BL73) + SUMIF(negtgel!U$2:BL$2,'Tsalin uzuulelt'!H$2,negtgel!U73:BL73)+SUMIF(negtgel!U$2:BL$2,'Tsalin uzuulelt'!H$3,negtgel!U73:BL73)+SUMIF(negtgel!U$2:BL$2,'Tsalin uzuulelt'!H$4,negtgel!U73:BL73)+SUMIF(negtgel!U$2:BL$2,'Tsalin uzuulelt'!H$5,negtgel!U73:BL73)</f>
      </c>
      <c r="J73">
        <f>SUMIF(negtgel!U$2:BL$2,'Tsalin uzuulelt'!J$1,negtgel!U73:BL73) + SUMIF(negtgel!U$2:BL$2,'Tsalin uzuulelt'!J$2,negtgel!U73:BL73)+SUMIF(negtgel!U$2:BL$2,'Tsalin uzuulelt'!J$3,negtgel!U73:BL73)+SUMIF(negtgel!U$2:BL$2,'Tsalin uzuulelt'!J$4,negtgel!U73:BL73)+SUMIF(negtgel!U$2:BL$2,'Tsalin uzuulelt'!J$5,negtgel!U73:BL73)</f>
      </c>
      <c r="K73">
        <f>SUMIF(negtgel!U$2:BL$2,'Tsalin uzuulelt'!L$1,negtgel!U73:BL73) + SUMIF(negtgel!U$2:BL$2,'Tsalin uzuulelt'!L$2,negtgel!U73:BL73)+SUMIF(negtgel!U$2:BL$2,'Tsalin uzuulelt'!L$3,negtgel!U73:BL73)+SUMIF(negtgel!U$2:BL$2,'Tsalin uzuulelt'!L$4,negtgel!U73:BL73)+SUMIF(negtgel!U$2:BL$2,'Tsalin uzuulelt'!L$5,negtgel!U73:BL73)</f>
      </c>
      <c r="L73">
        <f>SUMIF(negtgel!U$2:BL$2,'Tsalin uzuulelt'!N$1,negtgel!U73:BL73) + SUMIF(negtgel!U$2:BL$2,'Tsalin uzuulelt'!N$2,negtgel!U73:BL73)+SUMIF(negtgel!U$2:BL$2,'Tsalin uzuulelt'!N$3,negtgel!U73:BL73)+SUMIF(negtgel!U$2:BL$2,'Tsalin uzuulelt'!N$4,negtgel!U73:BL73)+SUMIF(negtgel!U$2:BL$2,'Tsalin uzuulelt'!N$5,negtgel!U73:BL73)</f>
      </c>
      <c r="M73">
        <f>SUMIF(negtgel!U$2:BL$2,'Tsalin uzuulelt'!P$1,negtgel!U73:BL73) + SUMIF(negtgel!U$2:BL$2,'Tsalin uzuulelt'!P$2,negtgel!U73:BL73)+ SUMIF(negtgel!U$2:BL$2,'Tsalin uzuulelt'!P$3,negtgel!U73:BL73)+ SUMIF(negtgel!U$2:BL$2,'Tsalin uzuulelt'!P$4,negtgel!U73:BL73)+ SUMIF(negtgel!U$2:BL$2,'Tsalin uzuulelt'!P$5,negtgel!U73:BL73)</f>
      </c>
      <c r="N73">
        <f>IF(ISNUMBER(U73*1)=CF73,0,K73-H73-G73)</f>
      </c>
      <c r="O73">
        <f>IF(ISNUMBER(U73*1)=CF73,0,L73)</f>
      </c>
      <c r="P73">
        <f>IF(ISNUMBER(U73*1)=CF73,0,M73)</f>
      </c>
      <c r="Q73">
        <f>IF(N73&gt;2400000,N73,0)</f>
      </c>
      <c r="R73">
        <f>IF(L73/Q73*100&lt;3,2,10)</f>
      </c>
      <c r="S73">
        <f>IF(CH73=0,0,IF(B73&gt;9,10,IF(B73&gt;8,B73,IF(B73&gt;7.7,7.8,IF(B73&gt;3,B73,IF(B73&gt;1.5,2))))))</f>
      </c>
      <c r="T73">
        <f>IF(Q73=0,S73,R73)</f>
      </c>
      <c r="U73" t="s">
        <v>3781</v>
      </c>
      <c r="V73"/>
      <c r="W73"/>
      <c r="X73"/>
      <c r="Y73"/>
      <c r="Z73"/>
      <c r="AA73"/>
      <c r="AB73"/>
      <c r="AC73"/>
      <c r="AD73"/>
      <c r="AE73"/>
      <c r="AF73"/>
      <c r="AG73"/>
      <c r="AH73"/>
      <c r="AI73"/>
      <c r="AJ73"/>
      <c r="AK73"/>
      <c r="AL73"/>
      <c r="AM73"/>
      <c r="AN73"/>
      <c r="AO73"/>
      <c r="AP73"/>
      <c r="AQ73"/>
      <c r="CH73">
        <f>IFERROR(U73*1,0)</f>
      </c>
    </row>
    <row r="74">
      <c r="A74" t="n">
        <v>2.0</v>
      </c>
      <c r="B74">
        <f>IF((K74-G74-H74&gt;2400000),10,(L74/(K74-G74-H74)*100))</f>
      </c>
      <c r="C74">
        <f>IF(N74&gt;2400000,240000,(N74*S74)/100)</f>
      </c>
      <c r="D74">
        <f>IF(S74=0,0,IF((N74-I74)&gt;2400000,((((((N74-I74-J74)-240000))*0.1+(I74+J74)*0.1)))-7000,((((((N74-I74-J74)-(N74-I74-J74)*S74/100)))*0.1+(I74+J74)*0.1)-7000)))</f>
      </c>
      <c r="E74">
        <f>C74-O74</f>
      </c>
      <c r="F74">
        <f>D74-P74</f>
      </c>
      <c r="G74">
        <f>SUMIF(negtgel!U$2:BL$2,'Tsalin uzuulelt'!B$1,negtgel!U74:BL74) + SUMIF(negtgel!U$2:BL$2,'Tsalin uzuulelt'!B$2,negtgel!U74:BL74)+SUMIF(negtgel!U$2:BL$2,'Tsalin uzuulelt'!B$3,negtgel!U74:BL74)+SUMIF(negtgel!U$2:BL$2,'Tsalin uzuulelt'!B$4,negtgel!U74:BL74)+SUMIF(negtgel!U$2:BL$2,'Tsalin uzuulelt'!B$5,negtgel!U74:BL74)</f>
      </c>
      <c r="H74">
        <f>SUMIF(negtgel!U$2:BL$2,'Tsalin uzuulelt'!F$1,negtgel!U74:BL74) + SUMIF(negtgel!U$2:BL$2,'Tsalin uzuulelt'!F$2,negtgel!U74:BL74)+SUMIF(negtgel!U$2:BL$2,'Tsalin uzuulelt'!F$3,negtgel!U74:BL74)+SUMIF(negtgel!U$2:BL$2,'Tsalin uzuulelt'!F$4,negtgel!U74:BL74)+SUMIF(negtgel!U$2:BL$2,'Tsalin uzuulelt'!F$5,negtgel!U74:BL74)</f>
      </c>
      <c r="I74">
        <f>SUMIF(negtgel!U$2:BL$2,'Tsalin uzuulelt'!H$1,negtgel!U74:BL74) + SUMIF(negtgel!U$2:BL$2,'Tsalin uzuulelt'!H$2,negtgel!U74:BL74)+SUMIF(negtgel!U$2:BL$2,'Tsalin uzuulelt'!H$3,negtgel!U74:BL74)+SUMIF(negtgel!U$2:BL$2,'Tsalin uzuulelt'!H$4,negtgel!U74:BL74)+SUMIF(negtgel!U$2:BL$2,'Tsalin uzuulelt'!H$5,negtgel!U74:BL74)</f>
      </c>
      <c r="J74">
        <f>SUMIF(negtgel!U$2:BL$2,'Tsalin uzuulelt'!J$1,negtgel!U74:BL74) + SUMIF(negtgel!U$2:BL$2,'Tsalin uzuulelt'!J$2,negtgel!U74:BL74)+SUMIF(negtgel!U$2:BL$2,'Tsalin uzuulelt'!J$3,negtgel!U74:BL74)+SUMIF(negtgel!U$2:BL$2,'Tsalin uzuulelt'!J$4,negtgel!U74:BL74)+SUMIF(negtgel!U$2:BL$2,'Tsalin uzuulelt'!J$5,negtgel!U74:BL74)</f>
      </c>
      <c r="K74">
        <f>SUMIF(negtgel!U$2:BL$2,'Tsalin uzuulelt'!L$1,negtgel!U74:BL74) + SUMIF(negtgel!U$2:BL$2,'Tsalin uzuulelt'!L$2,negtgel!U74:BL74)+SUMIF(negtgel!U$2:BL$2,'Tsalin uzuulelt'!L$3,negtgel!U74:BL74)+SUMIF(negtgel!U$2:BL$2,'Tsalin uzuulelt'!L$4,negtgel!U74:BL74)+SUMIF(negtgel!U$2:BL$2,'Tsalin uzuulelt'!L$5,negtgel!U74:BL74)</f>
      </c>
      <c r="L74">
        <f>SUMIF(negtgel!U$2:BL$2,'Tsalin uzuulelt'!N$1,negtgel!U74:BL74) + SUMIF(negtgel!U$2:BL$2,'Tsalin uzuulelt'!N$2,negtgel!U74:BL74)+SUMIF(negtgel!U$2:BL$2,'Tsalin uzuulelt'!N$3,negtgel!U74:BL74)+SUMIF(negtgel!U$2:BL$2,'Tsalin uzuulelt'!N$4,negtgel!U74:BL74)+SUMIF(negtgel!U$2:BL$2,'Tsalin uzuulelt'!N$5,negtgel!U74:BL74)</f>
      </c>
      <c r="M74">
        <f>SUMIF(negtgel!U$2:BL$2,'Tsalin uzuulelt'!P$1,negtgel!U74:BL74) + SUMIF(negtgel!U$2:BL$2,'Tsalin uzuulelt'!P$2,negtgel!U74:BL74)+ SUMIF(negtgel!U$2:BL$2,'Tsalin uzuulelt'!P$3,negtgel!U74:BL74)+ SUMIF(negtgel!U$2:BL$2,'Tsalin uzuulelt'!P$4,negtgel!U74:BL74)+ SUMIF(negtgel!U$2:BL$2,'Tsalin uzuulelt'!P$5,negtgel!U74:BL74)</f>
      </c>
      <c r="N74">
        <f>IF(ISNUMBER(U74*1)=CF74,0,K74-H74-G74)</f>
      </c>
      <c r="O74">
        <f>IF(ISNUMBER(U74*1)=CF74,0,L74)</f>
      </c>
      <c r="P74">
        <f>IF(ISNUMBER(U74*1)=CF74,0,M74)</f>
      </c>
      <c r="Q74">
        <f>IF(N74&gt;2400000,N74,0)</f>
      </c>
      <c r="R74">
        <f>IF(L74/Q74*100&lt;3,2,10)</f>
      </c>
      <c r="S74">
        <f>IF(CH74=0,0,IF(B74&gt;9,10,IF(B74&gt;8,B74,IF(B74&gt;7.7,7.8,IF(B74&gt;3,B74,IF(B74&gt;1.5,2))))))</f>
      </c>
      <c r="T74">
        <f>IF(Q74=0,S74,R74)</f>
      </c>
      <c r="U74" t="n">
        <v>20.0</v>
      </c>
      <c r="V74" t="s">
        <v>3784</v>
      </c>
      <c r="W74" t="s">
        <v>3785</v>
      </c>
      <c r="X74" t="n">
        <v>757359.0</v>
      </c>
      <c r="Y74" t="n">
        <v>757359.0</v>
      </c>
      <c r="Z74" t="n">
        <v>113604.0</v>
      </c>
      <c r="AA74" t="n">
        <v>166619.0</v>
      </c>
      <c r="AB74" t="n">
        <v>0.0</v>
      </c>
      <c r="AC74" t="n">
        <v>113604.0</v>
      </c>
      <c r="AD74" t="n">
        <v>0.0</v>
      </c>
      <c r="AE74" t="n">
        <v>0.0</v>
      </c>
      <c r="AF74" t="n">
        <v>54000.0</v>
      </c>
      <c r="AG74" t="n">
        <v>0.0</v>
      </c>
      <c r="AH74" t="n">
        <v>0.0</v>
      </c>
      <c r="AI74" t="n">
        <v>0.0</v>
      </c>
      <c r="AJ74" t="n">
        <v>0.0</v>
      </c>
      <c r="AK74" t="n">
        <v>0.0</v>
      </c>
      <c r="AL74" t="n">
        <v>0.0</v>
      </c>
      <c r="AM74" t="n">
        <v>0.0</v>
      </c>
      <c r="AN74" t="n">
        <v>0.0</v>
      </c>
      <c r="AO74" t="n">
        <v>1205186.0</v>
      </c>
      <c r="AP74" t="n">
        <v>120518.0</v>
      </c>
      <c r="AQ74" t="n">
        <v>102006.7</v>
      </c>
      <c r="CH74">
        <f>IFERROR(U74*1,0)</f>
      </c>
    </row>
    <row r="75">
      <c r="A75" t="n">
        <v>2.0</v>
      </c>
      <c r="B75">
        <f>IF((K75-G75-H75&gt;2400000),10,(L75/(K75-G75-H75)*100))</f>
      </c>
      <c r="C75">
        <f>IF(N75&gt;2400000,240000,(N75*S75)/100)</f>
      </c>
      <c r="D75">
        <f>IF(S75=0,0,IF((N75-I75)&gt;2400000,((((((N75-I75-J75)-240000))*0.1+(I75+J75)*0.1)))-7000,((((((N75-I75-J75)-(N75-I75-J75)*S75/100)))*0.1+(I75+J75)*0.1)-7000)))</f>
      </c>
      <c r="E75">
        <f>C75-O75</f>
      </c>
      <c r="F75">
        <f>D75-P75</f>
      </c>
      <c r="G75">
        <f>SUMIF(negtgel!U$2:BL$2,'Tsalin uzuulelt'!B$1,negtgel!U75:BL75) + SUMIF(negtgel!U$2:BL$2,'Tsalin uzuulelt'!B$2,negtgel!U75:BL75)+SUMIF(negtgel!U$2:BL$2,'Tsalin uzuulelt'!B$3,negtgel!U75:BL75)+SUMIF(negtgel!U$2:BL$2,'Tsalin uzuulelt'!B$4,negtgel!U75:BL75)+SUMIF(negtgel!U$2:BL$2,'Tsalin uzuulelt'!B$5,negtgel!U75:BL75)</f>
      </c>
      <c r="H75">
        <f>SUMIF(negtgel!U$2:BL$2,'Tsalin uzuulelt'!F$1,negtgel!U75:BL75) + SUMIF(negtgel!U$2:BL$2,'Tsalin uzuulelt'!F$2,negtgel!U75:BL75)+SUMIF(negtgel!U$2:BL$2,'Tsalin uzuulelt'!F$3,negtgel!U75:BL75)+SUMIF(negtgel!U$2:BL$2,'Tsalin uzuulelt'!F$4,negtgel!U75:BL75)+SUMIF(negtgel!U$2:BL$2,'Tsalin uzuulelt'!F$5,negtgel!U75:BL75)</f>
      </c>
      <c r="I75">
        <f>SUMIF(negtgel!U$2:BL$2,'Tsalin uzuulelt'!H$1,negtgel!U75:BL75) + SUMIF(negtgel!U$2:BL$2,'Tsalin uzuulelt'!H$2,negtgel!U75:BL75)+SUMIF(negtgel!U$2:BL$2,'Tsalin uzuulelt'!H$3,negtgel!U75:BL75)+SUMIF(negtgel!U$2:BL$2,'Tsalin uzuulelt'!H$4,negtgel!U75:BL75)+SUMIF(negtgel!U$2:BL$2,'Tsalin uzuulelt'!H$5,negtgel!U75:BL75)</f>
      </c>
      <c r="J75">
        <f>SUMIF(negtgel!U$2:BL$2,'Tsalin uzuulelt'!J$1,negtgel!U75:BL75) + SUMIF(negtgel!U$2:BL$2,'Tsalin uzuulelt'!J$2,negtgel!U75:BL75)+SUMIF(negtgel!U$2:BL$2,'Tsalin uzuulelt'!J$3,negtgel!U75:BL75)+SUMIF(negtgel!U$2:BL$2,'Tsalin uzuulelt'!J$4,negtgel!U75:BL75)+SUMIF(negtgel!U$2:BL$2,'Tsalin uzuulelt'!J$5,negtgel!U75:BL75)</f>
      </c>
      <c r="K75">
        <f>SUMIF(negtgel!U$2:BL$2,'Tsalin uzuulelt'!L$1,negtgel!U75:BL75) + SUMIF(negtgel!U$2:BL$2,'Tsalin uzuulelt'!L$2,negtgel!U75:BL75)+SUMIF(negtgel!U$2:BL$2,'Tsalin uzuulelt'!L$3,negtgel!U75:BL75)+SUMIF(negtgel!U$2:BL$2,'Tsalin uzuulelt'!L$4,negtgel!U75:BL75)+SUMIF(negtgel!U$2:BL$2,'Tsalin uzuulelt'!L$5,negtgel!U75:BL75)</f>
      </c>
      <c r="L75">
        <f>SUMIF(negtgel!U$2:BL$2,'Tsalin uzuulelt'!N$1,negtgel!U75:BL75) + SUMIF(negtgel!U$2:BL$2,'Tsalin uzuulelt'!N$2,negtgel!U75:BL75)+SUMIF(negtgel!U$2:BL$2,'Tsalin uzuulelt'!N$3,negtgel!U75:BL75)+SUMIF(negtgel!U$2:BL$2,'Tsalin uzuulelt'!N$4,negtgel!U75:BL75)+SUMIF(negtgel!U$2:BL$2,'Tsalin uzuulelt'!N$5,negtgel!U75:BL75)</f>
      </c>
      <c r="M75">
        <f>SUMIF(negtgel!U$2:BL$2,'Tsalin uzuulelt'!P$1,negtgel!U75:BL75) + SUMIF(negtgel!U$2:BL$2,'Tsalin uzuulelt'!P$2,negtgel!U75:BL75)+ SUMIF(negtgel!U$2:BL$2,'Tsalin uzuulelt'!P$3,negtgel!U75:BL75)+ SUMIF(negtgel!U$2:BL$2,'Tsalin uzuulelt'!P$4,negtgel!U75:BL75)+ SUMIF(negtgel!U$2:BL$2,'Tsalin uzuulelt'!P$5,negtgel!U75:BL75)</f>
      </c>
      <c r="N75">
        <f>IF(ISNUMBER(U75*1)=CF75,0,K75-H75-G75)</f>
      </c>
      <c r="O75">
        <f>IF(ISNUMBER(U75*1)=CF75,0,L75)</f>
      </c>
      <c r="P75">
        <f>IF(ISNUMBER(U75*1)=CF75,0,M75)</f>
      </c>
      <c r="Q75">
        <f>IF(N75&gt;2400000,N75,0)</f>
      </c>
      <c r="R75">
        <f>IF(L75/Q75*100&lt;3,2,10)</f>
      </c>
      <c r="S75">
        <f>IF(CH75=0,0,IF(B75&gt;9,10,IF(B75&gt;8,B75,IF(B75&gt;7.7,7.8,IF(B75&gt;3,B75,IF(B75&gt;1.5,2))))))</f>
      </c>
      <c r="T75">
        <f>IF(Q75=0,S75,R75)</f>
      </c>
      <c r="U75" t="n">
        <v>21.0</v>
      </c>
      <c r="V75" t="s">
        <v>3786</v>
      </c>
      <c r="W75" t="s">
        <v>3785</v>
      </c>
      <c r="X75" t="n">
        <v>627465.0</v>
      </c>
      <c r="Y75" t="n">
        <v>0.0</v>
      </c>
      <c r="Z75" t="n">
        <v>0.0</v>
      </c>
      <c r="AA75" t="n">
        <v>0.0</v>
      </c>
      <c r="AB75" t="n">
        <v>0.0</v>
      </c>
      <c r="AC75" t="n">
        <v>0.0</v>
      </c>
      <c r="AD75" t="n">
        <v>0.0</v>
      </c>
      <c r="AE75" t="n">
        <v>0.0</v>
      </c>
      <c r="AF75" t="n">
        <v>0.0</v>
      </c>
      <c r="AG75" t="n">
        <v>0.0</v>
      </c>
      <c r="AH75" t="n">
        <v>0.0</v>
      </c>
      <c r="AI75" t="n">
        <v>0.0</v>
      </c>
      <c r="AJ75" t="n">
        <v>0.0</v>
      </c>
      <c r="AK75" t="n">
        <v>0.0</v>
      </c>
      <c r="AL75" t="n">
        <v>0.0</v>
      </c>
      <c r="AM75" t="n">
        <v>0.0</v>
      </c>
      <c r="AN75" t="n">
        <v>0.0</v>
      </c>
      <c r="AO75" t="n">
        <v>0.0</v>
      </c>
      <c r="AP75" t="n">
        <v>0.0</v>
      </c>
      <c r="AQ75" t="n">
        <v>0.0</v>
      </c>
      <c r="CH75">
        <f>IFERROR(U75*1,0)</f>
      </c>
    </row>
    <row r="76">
      <c r="A76" t="n">
        <v>2.0</v>
      </c>
      <c r="B76">
        <f>IF((K76-G76-H76&gt;2400000),10,(L76/(K76-G76-H76)*100))</f>
      </c>
      <c r="C76">
        <f>IF(N76&gt;2400000,240000,(N76*S76)/100)</f>
      </c>
      <c r="D76">
        <f>IF(S76=0,0,IF((N76-I76)&gt;2400000,((((((N76-I76-J76)-240000))*0.1+(I76+J76)*0.1)))-7000,((((((N76-I76-J76)-(N76-I76-J76)*S76/100)))*0.1+(I76+J76)*0.1)-7000)))</f>
      </c>
      <c r="E76">
        <f>C76-O76</f>
      </c>
      <c r="F76">
        <f>D76-P76</f>
      </c>
      <c r="G76">
        <f>SUMIF(negtgel!U$2:BL$2,'Tsalin uzuulelt'!B$1,negtgel!U76:BL76) + SUMIF(negtgel!U$2:BL$2,'Tsalin uzuulelt'!B$2,negtgel!U76:BL76)+SUMIF(negtgel!U$2:BL$2,'Tsalin uzuulelt'!B$3,negtgel!U76:BL76)+SUMIF(negtgel!U$2:BL$2,'Tsalin uzuulelt'!B$4,negtgel!U76:BL76)+SUMIF(negtgel!U$2:BL$2,'Tsalin uzuulelt'!B$5,negtgel!U76:BL76)</f>
      </c>
      <c r="H76">
        <f>SUMIF(negtgel!U$2:BL$2,'Tsalin uzuulelt'!F$1,negtgel!U76:BL76) + SUMIF(negtgel!U$2:BL$2,'Tsalin uzuulelt'!F$2,negtgel!U76:BL76)+SUMIF(negtgel!U$2:BL$2,'Tsalin uzuulelt'!F$3,negtgel!U76:BL76)+SUMIF(negtgel!U$2:BL$2,'Tsalin uzuulelt'!F$4,negtgel!U76:BL76)+SUMIF(negtgel!U$2:BL$2,'Tsalin uzuulelt'!F$5,negtgel!U76:BL76)</f>
      </c>
      <c r="I76">
        <f>SUMIF(negtgel!U$2:BL$2,'Tsalin uzuulelt'!H$1,negtgel!U76:BL76) + SUMIF(negtgel!U$2:BL$2,'Tsalin uzuulelt'!H$2,negtgel!U76:BL76)+SUMIF(negtgel!U$2:BL$2,'Tsalin uzuulelt'!H$3,negtgel!U76:BL76)+SUMIF(negtgel!U$2:BL$2,'Tsalin uzuulelt'!H$4,negtgel!U76:BL76)+SUMIF(negtgel!U$2:BL$2,'Tsalin uzuulelt'!H$5,negtgel!U76:BL76)</f>
      </c>
      <c r="J76">
        <f>SUMIF(negtgel!U$2:BL$2,'Tsalin uzuulelt'!J$1,negtgel!U76:BL76) + SUMIF(negtgel!U$2:BL$2,'Tsalin uzuulelt'!J$2,negtgel!U76:BL76)+SUMIF(negtgel!U$2:BL$2,'Tsalin uzuulelt'!J$3,negtgel!U76:BL76)+SUMIF(negtgel!U$2:BL$2,'Tsalin uzuulelt'!J$4,negtgel!U76:BL76)+SUMIF(negtgel!U$2:BL$2,'Tsalin uzuulelt'!J$5,negtgel!U76:BL76)</f>
      </c>
      <c r="K76">
        <f>SUMIF(negtgel!U$2:BL$2,'Tsalin uzuulelt'!L$1,negtgel!U76:BL76) + SUMIF(negtgel!U$2:BL$2,'Tsalin uzuulelt'!L$2,negtgel!U76:BL76)+SUMIF(negtgel!U$2:BL$2,'Tsalin uzuulelt'!L$3,negtgel!U76:BL76)+SUMIF(negtgel!U$2:BL$2,'Tsalin uzuulelt'!L$4,negtgel!U76:BL76)+SUMIF(negtgel!U$2:BL$2,'Tsalin uzuulelt'!L$5,negtgel!U76:BL76)</f>
      </c>
      <c r="L76">
        <f>SUMIF(negtgel!U$2:BL$2,'Tsalin uzuulelt'!N$1,negtgel!U76:BL76) + SUMIF(negtgel!U$2:BL$2,'Tsalin uzuulelt'!N$2,negtgel!U76:BL76)+SUMIF(negtgel!U$2:BL$2,'Tsalin uzuulelt'!N$3,negtgel!U76:BL76)+SUMIF(negtgel!U$2:BL$2,'Tsalin uzuulelt'!N$4,negtgel!U76:BL76)+SUMIF(negtgel!U$2:BL$2,'Tsalin uzuulelt'!N$5,negtgel!U76:BL76)</f>
      </c>
      <c r="M76">
        <f>SUMIF(negtgel!U$2:BL$2,'Tsalin uzuulelt'!P$1,negtgel!U76:BL76) + SUMIF(negtgel!U$2:BL$2,'Tsalin uzuulelt'!P$2,negtgel!U76:BL76)+ SUMIF(negtgel!U$2:BL$2,'Tsalin uzuulelt'!P$3,negtgel!U76:BL76)+ SUMIF(negtgel!U$2:BL$2,'Tsalin uzuulelt'!P$4,negtgel!U76:BL76)+ SUMIF(negtgel!U$2:BL$2,'Tsalin uzuulelt'!P$5,negtgel!U76:BL76)</f>
      </c>
      <c r="N76">
        <f>IF(ISNUMBER(U76*1)=CF76,0,K76-H76-G76)</f>
      </c>
      <c r="O76">
        <f>IF(ISNUMBER(U76*1)=CF76,0,L76)</f>
      </c>
      <c r="P76">
        <f>IF(ISNUMBER(U76*1)=CF76,0,M76)</f>
      </c>
      <c r="Q76">
        <f>IF(N76&gt;2400000,N76,0)</f>
      </c>
      <c r="R76">
        <f>IF(L76/Q76*100&lt;3,2,10)</f>
      </c>
      <c r="S76">
        <f>IF(CH76=0,0,IF(B76&gt;9,10,IF(B76&gt;8,B76,IF(B76&gt;7.7,7.8,IF(B76&gt;3,B76,IF(B76&gt;1.5,2))))))</f>
      </c>
      <c r="T76">
        <f>IF(Q76=0,S76,R76)</f>
      </c>
      <c r="U76" t="s">
        <v>3787</v>
      </c>
      <c r="V76"/>
      <c r="W76"/>
      <c r="X76" t="n">
        <v>1.2553677E7</v>
      </c>
      <c r="Y76" t="n">
        <v>9716335.0</v>
      </c>
      <c r="Z76" t="n">
        <v>1118805.0</v>
      </c>
      <c r="AA76" t="n">
        <v>1199845.0</v>
      </c>
      <c r="AB76" t="n">
        <v>666129.0</v>
      </c>
      <c r="AC76" t="n">
        <v>310104.0</v>
      </c>
      <c r="AD76" t="n">
        <v>778470.0</v>
      </c>
      <c r="AE76" t="n">
        <v>0.0</v>
      </c>
      <c r="AF76" t="n">
        <v>876000.0</v>
      </c>
      <c r="AG76" t="n">
        <v>0.0</v>
      </c>
      <c r="AH76" t="n">
        <v>0.0</v>
      </c>
      <c r="AI76" t="n">
        <v>0.0</v>
      </c>
      <c r="AJ76" t="n">
        <v>698017.0</v>
      </c>
      <c r="AK76" t="n">
        <v>0.0</v>
      </c>
      <c r="AL76" t="n">
        <v>143714.0</v>
      </c>
      <c r="AM76" t="n">
        <v>0.0</v>
      </c>
      <c r="AN76" t="n">
        <v>0.0</v>
      </c>
      <c r="AO76" t="n">
        <v>1.5631287E7</v>
      </c>
      <c r="AP76" t="n">
        <v>1548755.0</v>
      </c>
      <c r="AQ76" t="n">
        <v>1269641.5</v>
      </c>
      <c r="CH76">
        <f>IFERROR(U76*1,0)</f>
      </c>
    </row>
    <row r="77">
      <c r="A77" t="n">
        <v>2.0</v>
      </c>
      <c r="B77">
        <f>IF((K77-G77-H77&gt;2400000),10,(L77/(K77-G77-H77)*100))</f>
      </c>
      <c r="C77">
        <f>IF(N77&gt;2400000,240000,(N77*S77)/100)</f>
      </c>
      <c r="D77">
        <f>IF(S77=0,0,IF((N77-I77)&gt;2400000,((((((N77-I77-J77)-240000))*0.1+(I77+J77)*0.1)))-7000,((((((N77-I77-J77)-(N77-I77-J77)*S77/100)))*0.1+(I77+J77)*0.1)-7000)))</f>
      </c>
      <c r="E77">
        <f>C77-O77</f>
      </c>
      <c r="F77">
        <f>D77-P77</f>
      </c>
      <c r="G77">
        <f>SUMIF(negtgel!U$2:BL$2,'Tsalin uzuulelt'!B$1,negtgel!U77:BL77) + SUMIF(negtgel!U$2:BL$2,'Tsalin uzuulelt'!B$2,negtgel!U77:BL77)+SUMIF(negtgel!U$2:BL$2,'Tsalin uzuulelt'!B$3,negtgel!U77:BL77)+SUMIF(negtgel!U$2:BL$2,'Tsalin uzuulelt'!B$4,negtgel!U77:BL77)+SUMIF(negtgel!U$2:BL$2,'Tsalin uzuulelt'!B$5,negtgel!U77:BL77)</f>
      </c>
      <c r="H77">
        <f>SUMIF(negtgel!U$2:BL$2,'Tsalin uzuulelt'!F$1,negtgel!U77:BL77) + SUMIF(negtgel!U$2:BL$2,'Tsalin uzuulelt'!F$2,negtgel!U77:BL77)+SUMIF(negtgel!U$2:BL$2,'Tsalin uzuulelt'!F$3,negtgel!U77:BL77)+SUMIF(negtgel!U$2:BL$2,'Tsalin uzuulelt'!F$4,negtgel!U77:BL77)+SUMIF(negtgel!U$2:BL$2,'Tsalin uzuulelt'!F$5,negtgel!U77:BL77)</f>
      </c>
      <c r="I77">
        <f>SUMIF(negtgel!U$2:BL$2,'Tsalin uzuulelt'!H$1,negtgel!U77:BL77) + SUMIF(negtgel!U$2:BL$2,'Tsalin uzuulelt'!H$2,negtgel!U77:BL77)+SUMIF(negtgel!U$2:BL$2,'Tsalin uzuulelt'!H$3,negtgel!U77:BL77)+SUMIF(negtgel!U$2:BL$2,'Tsalin uzuulelt'!H$4,negtgel!U77:BL77)+SUMIF(negtgel!U$2:BL$2,'Tsalin uzuulelt'!H$5,negtgel!U77:BL77)</f>
      </c>
      <c r="J77">
        <f>SUMIF(negtgel!U$2:BL$2,'Tsalin uzuulelt'!J$1,negtgel!U77:BL77) + SUMIF(negtgel!U$2:BL$2,'Tsalin uzuulelt'!J$2,negtgel!U77:BL77)+SUMIF(negtgel!U$2:BL$2,'Tsalin uzuulelt'!J$3,negtgel!U77:BL77)+SUMIF(negtgel!U$2:BL$2,'Tsalin uzuulelt'!J$4,negtgel!U77:BL77)+SUMIF(negtgel!U$2:BL$2,'Tsalin uzuulelt'!J$5,negtgel!U77:BL77)</f>
      </c>
      <c r="K77">
        <f>SUMIF(negtgel!U$2:BL$2,'Tsalin uzuulelt'!L$1,negtgel!U77:BL77) + SUMIF(negtgel!U$2:BL$2,'Tsalin uzuulelt'!L$2,negtgel!U77:BL77)+SUMIF(negtgel!U$2:BL$2,'Tsalin uzuulelt'!L$3,negtgel!U77:BL77)+SUMIF(negtgel!U$2:BL$2,'Tsalin uzuulelt'!L$4,negtgel!U77:BL77)+SUMIF(negtgel!U$2:BL$2,'Tsalin uzuulelt'!L$5,negtgel!U77:BL77)</f>
      </c>
      <c r="L77">
        <f>SUMIF(negtgel!U$2:BL$2,'Tsalin uzuulelt'!N$1,negtgel!U77:BL77) + SUMIF(negtgel!U$2:BL$2,'Tsalin uzuulelt'!N$2,negtgel!U77:BL77)+SUMIF(negtgel!U$2:BL$2,'Tsalin uzuulelt'!N$3,negtgel!U77:BL77)+SUMIF(negtgel!U$2:BL$2,'Tsalin uzuulelt'!N$4,negtgel!U77:BL77)+SUMIF(negtgel!U$2:BL$2,'Tsalin uzuulelt'!N$5,negtgel!U77:BL77)</f>
      </c>
      <c r="M77">
        <f>SUMIF(negtgel!U$2:BL$2,'Tsalin uzuulelt'!P$1,negtgel!U77:BL77) + SUMIF(negtgel!U$2:BL$2,'Tsalin uzuulelt'!P$2,negtgel!U77:BL77)+ SUMIF(negtgel!U$2:BL$2,'Tsalin uzuulelt'!P$3,negtgel!U77:BL77)+ SUMIF(negtgel!U$2:BL$2,'Tsalin uzuulelt'!P$4,negtgel!U77:BL77)+ SUMIF(negtgel!U$2:BL$2,'Tsalin uzuulelt'!P$5,negtgel!U77:BL77)</f>
      </c>
      <c r="N77">
        <f>IF(ISNUMBER(U77*1)=CF77,0,K77-H77-G77)</f>
      </c>
      <c r="O77">
        <f>IF(ISNUMBER(U77*1)=CF77,0,L77)</f>
      </c>
      <c r="P77">
        <f>IF(ISNUMBER(U77*1)=CF77,0,M77)</f>
      </c>
      <c r="Q77">
        <f>IF(N77&gt;2400000,N77,0)</f>
      </c>
      <c r="R77">
        <f>IF(L77/Q77*100&lt;3,2,10)</f>
      </c>
      <c r="S77">
        <f>IF(CH77=0,0,IF(B77&gt;9,10,IF(B77&gt;8,B77,IF(B77&gt;7.7,7.8,IF(B77&gt;3,B77,IF(B77&gt;1.5,2))))))</f>
      </c>
      <c r="T77">
        <f>IF(Q77=0,S77,R77)</f>
      </c>
      <c r="U77" t="s">
        <v>3788</v>
      </c>
      <c r="V77"/>
      <c r="W77"/>
      <c r="X77"/>
      <c r="Y77"/>
      <c r="Z77"/>
      <c r="AA77"/>
      <c r="AB77"/>
      <c r="AC77"/>
      <c r="AD77"/>
      <c r="AE77"/>
      <c r="AF77"/>
      <c r="AG77"/>
      <c r="AH77"/>
      <c r="AI77"/>
      <c r="AJ77"/>
      <c r="AK77"/>
      <c r="AL77"/>
      <c r="AM77"/>
      <c r="AN77"/>
      <c r="AO77"/>
      <c r="AP77"/>
      <c r="AQ77"/>
      <c r="CH77">
        <f>IFERROR(U77*1,0)</f>
      </c>
    </row>
    <row r="78">
      <c r="A78" t="n">
        <v>2.0</v>
      </c>
      <c r="B78">
        <f>IF((K78-G78-H78&gt;2400000),10,(L78/(K78-G78-H78)*100))</f>
      </c>
      <c r="C78">
        <f>IF(N78&gt;2400000,240000,(N78*S78)/100)</f>
      </c>
      <c r="D78">
        <f>IF(S78=0,0,IF((N78-I78)&gt;2400000,((((((N78-I78-J78)-240000))*0.1+(I78+J78)*0.1)))-7000,((((((N78-I78-J78)-(N78-I78-J78)*S78/100)))*0.1+(I78+J78)*0.1)-7000)))</f>
      </c>
      <c r="E78">
        <f>C78-O78</f>
      </c>
      <c r="F78">
        <f>D78-P78</f>
      </c>
      <c r="G78">
        <f>SUMIF(negtgel!U$2:BL$2,'Tsalin uzuulelt'!B$1,negtgel!U78:BL78) + SUMIF(negtgel!U$2:BL$2,'Tsalin uzuulelt'!B$2,negtgel!U78:BL78)+SUMIF(negtgel!U$2:BL$2,'Tsalin uzuulelt'!B$3,negtgel!U78:BL78)+SUMIF(negtgel!U$2:BL$2,'Tsalin uzuulelt'!B$4,negtgel!U78:BL78)+SUMIF(negtgel!U$2:BL$2,'Tsalin uzuulelt'!B$5,negtgel!U78:BL78)</f>
      </c>
      <c r="H78">
        <f>SUMIF(negtgel!U$2:BL$2,'Tsalin uzuulelt'!F$1,negtgel!U78:BL78) + SUMIF(negtgel!U$2:BL$2,'Tsalin uzuulelt'!F$2,negtgel!U78:BL78)+SUMIF(negtgel!U$2:BL$2,'Tsalin uzuulelt'!F$3,negtgel!U78:BL78)+SUMIF(negtgel!U$2:BL$2,'Tsalin uzuulelt'!F$4,negtgel!U78:BL78)+SUMIF(negtgel!U$2:BL$2,'Tsalin uzuulelt'!F$5,negtgel!U78:BL78)</f>
      </c>
      <c r="I78">
        <f>SUMIF(negtgel!U$2:BL$2,'Tsalin uzuulelt'!H$1,negtgel!U78:BL78) + SUMIF(negtgel!U$2:BL$2,'Tsalin uzuulelt'!H$2,negtgel!U78:BL78)+SUMIF(negtgel!U$2:BL$2,'Tsalin uzuulelt'!H$3,negtgel!U78:BL78)+SUMIF(negtgel!U$2:BL$2,'Tsalin uzuulelt'!H$4,negtgel!U78:BL78)+SUMIF(negtgel!U$2:BL$2,'Tsalin uzuulelt'!H$5,negtgel!U78:BL78)</f>
      </c>
      <c r="J78">
        <f>SUMIF(negtgel!U$2:BL$2,'Tsalin uzuulelt'!J$1,negtgel!U78:BL78) + SUMIF(negtgel!U$2:BL$2,'Tsalin uzuulelt'!J$2,negtgel!U78:BL78)+SUMIF(negtgel!U$2:BL$2,'Tsalin uzuulelt'!J$3,negtgel!U78:BL78)+SUMIF(negtgel!U$2:BL$2,'Tsalin uzuulelt'!J$4,negtgel!U78:BL78)+SUMIF(negtgel!U$2:BL$2,'Tsalin uzuulelt'!J$5,negtgel!U78:BL78)</f>
      </c>
      <c r="K78">
        <f>SUMIF(negtgel!U$2:BL$2,'Tsalin uzuulelt'!L$1,negtgel!U78:BL78) + SUMIF(negtgel!U$2:BL$2,'Tsalin uzuulelt'!L$2,negtgel!U78:BL78)+SUMIF(negtgel!U$2:BL$2,'Tsalin uzuulelt'!L$3,negtgel!U78:BL78)+SUMIF(negtgel!U$2:BL$2,'Tsalin uzuulelt'!L$4,negtgel!U78:BL78)+SUMIF(negtgel!U$2:BL$2,'Tsalin uzuulelt'!L$5,negtgel!U78:BL78)</f>
      </c>
      <c r="L78">
        <f>SUMIF(negtgel!U$2:BL$2,'Tsalin uzuulelt'!N$1,negtgel!U78:BL78) + SUMIF(negtgel!U$2:BL$2,'Tsalin uzuulelt'!N$2,negtgel!U78:BL78)+SUMIF(negtgel!U$2:BL$2,'Tsalin uzuulelt'!N$3,negtgel!U78:BL78)+SUMIF(negtgel!U$2:BL$2,'Tsalin uzuulelt'!N$4,negtgel!U78:BL78)+SUMIF(negtgel!U$2:BL$2,'Tsalin uzuulelt'!N$5,negtgel!U78:BL78)</f>
      </c>
      <c r="M78">
        <f>SUMIF(negtgel!U$2:BL$2,'Tsalin uzuulelt'!P$1,negtgel!U78:BL78) + SUMIF(negtgel!U$2:BL$2,'Tsalin uzuulelt'!P$2,negtgel!U78:BL78)+ SUMIF(negtgel!U$2:BL$2,'Tsalin uzuulelt'!P$3,negtgel!U78:BL78)+ SUMIF(negtgel!U$2:BL$2,'Tsalin uzuulelt'!P$4,negtgel!U78:BL78)+ SUMIF(negtgel!U$2:BL$2,'Tsalin uzuulelt'!P$5,negtgel!U78:BL78)</f>
      </c>
      <c r="N78">
        <f>IF(ISNUMBER(U78*1)=CF78,0,K78-H78-G78)</f>
      </c>
      <c r="O78">
        <f>IF(ISNUMBER(U78*1)=CF78,0,L78)</f>
      </c>
      <c r="P78">
        <f>IF(ISNUMBER(U78*1)=CF78,0,M78)</f>
      </c>
      <c r="Q78">
        <f>IF(N78&gt;2400000,N78,0)</f>
      </c>
      <c r="R78">
        <f>IF(L78/Q78*100&lt;3,2,10)</f>
      </c>
      <c r="S78">
        <f>IF(CH78=0,0,IF(B78&gt;9,10,IF(B78&gt;8,B78,IF(B78&gt;7.7,7.8,IF(B78&gt;3,B78,IF(B78&gt;1.5,2))))))</f>
      </c>
      <c r="T78">
        <f>IF(Q78=0,S78,R78)</f>
      </c>
      <c r="U78" t="n">
        <v>22.0</v>
      </c>
      <c r="V78" t="s">
        <v>3789</v>
      </c>
      <c r="W78" t="s">
        <v>3790</v>
      </c>
      <c r="X78" t="n">
        <v>613669.0</v>
      </c>
      <c r="Y78" t="n">
        <v>511391.0</v>
      </c>
      <c r="Z78" t="n">
        <v>51139.0</v>
      </c>
      <c r="AA78" t="n">
        <v>76709.0</v>
      </c>
      <c r="AB78" t="n">
        <v>0.0</v>
      </c>
      <c r="AC78" t="n">
        <v>0.0</v>
      </c>
      <c r="AD78" t="n">
        <v>0.0</v>
      </c>
      <c r="AE78" t="n">
        <v>0.0</v>
      </c>
      <c r="AF78" t="n">
        <v>45000.0</v>
      </c>
      <c r="AG78" t="n">
        <v>0.0</v>
      </c>
      <c r="AH78" t="n">
        <v>0.0</v>
      </c>
      <c r="AI78" t="n">
        <v>0.0</v>
      </c>
      <c r="AJ78" t="n">
        <v>0.0</v>
      </c>
      <c r="AK78" t="n">
        <v>0.0</v>
      </c>
      <c r="AL78" t="n">
        <v>0.0</v>
      </c>
      <c r="AM78" t="n">
        <v>0.0</v>
      </c>
      <c r="AN78" t="n">
        <v>0.0</v>
      </c>
      <c r="AO78" t="n">
        <v>684239.0</v>
      </c>
      <c r="AP78" t="n">
        <v>68424.0</v>
      </c>
      <c r="AQ78" t="n">
        <v>55031.5</v>
      </c>
      <c r="CH78">
        <f>IFERROR(U78*1,0)</f>
      </c>
    </row>
    <row r="79">
      <c r="A79" t="n">
        <v>2.0</v>
      </c>
      <c r="B79">
        <f>IF((K79-G79-H79&gt;2400000),10,(L79/(K79-G79-H79)*100))</f>
      </c>
      <c r="C79">
        <f>IF(N79&gt;2400000,240000,(N79*S79)/100)</f>
      </c>
      <c r="D79">
        <f>IF(S79=0,0,IF((N79-I79)&gt;2400000,((((((N79-I79-J79)-240000))*0.1+(I79+J79)*0.1)))-7000,((((((N79-I79-J79)-(N79-I79-J79)*S79/100)))*0.1+(I79+J79)*0.1)-7000)))</f>
      </c>
      <c r="E79">
        <f>C79-O79</f>
      </c>
      <c r="F79">
        <f>D79-P79</f>
      </c>
      <c r="G79">
        <f>SUMIF(negtgel!U$2:BL$2,'Tsalin uzuulelt'!B$1,negtgel!U79:BL79) + SUMIF(negtgel!U$2:BL$2,'Tsalin uzuulelt'!B$2,negtgel!U79:BL79)+SUMIF(negtgel!U$2:BL$2,'Tsalin uzuulelt'!B$3,negtgel!U79:BL79)+SUMIF(negtgel!U$2:BL$2,'Tsalin uzuulelt'!B$4,negtgel!U79:BL79)+SUMIF(negtgel!U$2:BL$2,'Tsalin uzuulelt'!B$5,negtgel!U79:BL79)</f>
      </c>
      <c r="H79">
        <f>SUMIF(negtgel!U$2:BL$2,'Tsalin uzuulelt'!F$1,negtgel!U79:BL79) + SUMIF(negtgel!U$2:BL$2,'Tsalin uzuulelt'!F$2,negtgel!U79:BL79)+SUMIF(negtgel!U$2:BL$2,'Tsalin uzuulelt'!F$3,negtgel!U79:BL79)+SUMIF(negtgel!U$2:BL$2,'Tsalin uzuulelt'!F$4,negtgel!U79:BL79)+SUMIF(negtgel!U$2:BL$2,'Tsalin uzuulelt'!F$5,negtgel!U79:BL79)</f>
      </c>
      <c r="I79">
        <f>SUMIF(negtgel!U$2:BL$2,'Tsalin uzuulelt'!H$1,negtgel!U79:BL79) + SUMIF(negtgel!U$2:BL$2,'Tsalin uzuulelt'!H$2,negtgel!U79:BL79)+SUMIF(negtgel!U$2:BL$2,'Tsalin uzuulelt'!H$3,negtgel!U79:BL79)+SUMIF(negtgel!U$2:BL$2,'Tsalin uzuulelt'!H$4,negtgel!U79:BL79)+SUMIF(negtgel!U$2:BL$2,'Tsalin uzuulelt'!H$5,negtgel!U79:BL79)</f>
      </c>
      <c r="J79">
        <f>SUMIF(negtgel!U$2:BL$2,'Tsalin uzuulelt'!J$1,negtgel!U79:BL79) + SUMIF(negtgel!U$2:BL$2,'Tsalin uzuulelt'!J$2,negtgel!U79:BL79)+SUMIF(negtgel!U$2:BL$2,'Tsalin uzuulelt'!J$3,negtgel!U79:BL79)+SUMIF(negtgel!U$2:BL$2,'Tsalin uzuulelt'!J$4,negtgel!U79:BL79)+SUMIF(negtgel!U$2:BL$2,'Tsalin uzuulelt'!J$5,negtgel!U79:BL79)</f>
      </c>
      <c r="K79">
        <f>SUMIF(negtgel!U$2:BL$2,'Tsalin uzuulelt'!L$1,negtgel!U79:BL79) + SUMIF(negtgel!U$2:BL$2,'Tsalin uzuulelt'!L$2,negtgel!U79:BL79)+SUMIF(negtgel!U$2:BL$2,'Tsalin uzuulelt'!L$3,negtgel!U79:BL79)+SUMIF(negtgel!U$2:BL$2,'Tsalin uzuulelt'!L$4,negtgel!U79:BL79)+SUMIF(negtgel!U$2:BL$2,'Tsalin uzuulelt'!L$5,negtgel!U79:BL79)</f>
      </c>
      <c r="L79">
        <f>SUMIF(negtgel!U$2:BL$2,'Tsalin uzuulelt'!N$1,negtgel!U79:BL79) + SUMIF(negtgel!U$2:BL$2,'Tsalin uzuulelt'!N$2,negtgel!U79:BL79)+SUMIF(negtgel!U$2:BL$2,'Tsalin uzuulelt'!N$3,negtgel!U79:BL79)+SUMIF(negtgel!U$2:BL$2,'Tsalin uzuulelt'!N$4,negtgel!U79:BL79)+SUMIF(negtgel!U$2:BL$2,'Tsalin uzuulelt'!N$5,negtgel!U79:BL79)</f>
      </c>
      <c r="M79">
        <f>SUMIF(negtgel!U$2:BL$2,'Tsalin uzuulelt'!P$1,negtgel!U79:BL79) + SUMIF(negtgel!U$2:BL$2,'Tsalin uzuulelt'!P$2,negtgel!U79:BL79)+ SUMIF(negtgel!U$2:BL$2,'Tsalin uzuulelt'!P$3,negtgel!U79:BL79)+ SUMIF(negtgel!U$2:BL$2,'Tsalin uzuulelt'!P$4,negtgel!U79:BL79)+ SUMIF(negtgel!U$2:BL$2,'Tsalin uzuulelt'!P$5,negtgel!U79:BL79)</f>
      </c>
      <c r="N79">
        <f>IF(ISNUMBER(U79*1)=CF79,0,K79-H79-G79)</f>
      </c>
      <c r="O79">
        <f>IF(ISNUMBER(U79*1)=CF79,0,L79)</f>
      </c>
      <c r="P79">
        <f>IF(ISNUMBER(U79*1)=CF79,0,M79)</f>
      </c>
      <c r="Q79">
        <f>IF(N79&gt;2400000,N79,0)</f>
      </c>
      <c r="R79">
        <f>IF(L79/Q79*100&lt;3,2,10)</f>
      </c>
      <c r="S79">
        <f>IF(CH79=0,0,IF(B79&gt;9,10,IF(B79&gt;8,B79,IF(B79&gt;7.7,7.8,IF(B79&gt;3,B79,IF(B79&gt;1.5,2))))))</f>
      </c>
      <c r="T79">
        <f>IF(Q79=0,S79,R79)</f>
      </c>
      <c r="U79" t="n">
        <v>23.0</v>
      </c>
      <c r="V79" t="s">
        <v>3791</v>
      </c>
      <c r="W79" t="s">
        <v>3792</v>
      </c>
      <c r="X79" t="n">
        <v>577826.0</v>
      </c>
      <c r="Y79" t="n">
        <v>577826.0</v>
      </c>
      <c r="Z79" t="n">
        <v>0.0</v>
      </c>
      <c r="AA79" t="n">
        <v>0.0</v>
      </c>
      <c r="AB79" t="n">
        <v>0.0</v>
      </c>
      <c r="AC79" t="n">
        <v>0.0</v>
      </c>
      <c r="AD79" t="n">
        <v>0.0</v>
      </c>
      <c r="AE79" t="n">
        <v>0.0</v>
      </c>
      <c r="AF79" t="n">
        <v>54000.0</v>
      </c>
      <c r="AG79" t="n">
        <v>0.0</v>
      </c>
      <c r="AH79" t="n">
        <v>0.0</v>
      </c>
      <c r="AI79" t="n">
        <v>0.0</v>
      </c>
      <c r="AJ79" t="n">
        <v>0.0</v>
      </c>
      <c r="AK79" t="n">
        <v>0.0</v>
      </c>
      <c r="AL79" t="n">
        <v>0.0</v>
      </c>
      <c r="AM79" t="n">
        <v>0.0</v>
      </c>
      <c r="AN79" t="n">
        <v>0.0</v>
      </c>
      <c r="AO79" t="n">
        <v>631826.0</v>
      </c>
      <c r="AP79" t="n">
        <v>63184.0</v>
      </c>
      <c r="AQ79" t="n">
        <v>50404.3</v>
      </c>
      <c r="CH79">
        <f>IFERROR(U79*1,0)</f>
      </c>
    </row>
    <row r="80">
      <c r="A80" t="n">
        <v>2.0</v>
      </c>
      <c r="B80">
        <f>IF((K80-G80-H80&gt;2400000),10,(L80/(K80-G80-H80)*100))</f>
      </c>
      <c r="C80">
        <f>IF(N80&gt;2400000,240000,(N80*S80)/100)</f>
      </c>
      <c r="D80">
        <f>IF(S80=0,0,IF((N80-I80)&gt;2400000,((((((N80-I80-J80)-240000))*0.1+(I80+J80)*0.1)))-7000,((((((N80-I80-J80)-(N80-I80-J80)*S80/100)))*0.1+(I80+J80)*0.1)-7000)))</f>
      </c>
      <c r="E80">
        <f>C80-O80</f>
      </c>
      <c r="F80">
        <f>D80-P80</f>
      </c>
      <c r="G80">
        <f>SUMIF(negtgel!U$2:BL$2,'Tsalin uzuulelt'!B$1,negtgel!U80:BL80) + SUMIF(negtgel!U$2:BL$2,'Tsalin uzuulelt'!B$2,negtgel!U80:BL80)+SUMIF(negtgel!U$2:BL$2,'Tsalin uzuulelt'!B$3,negtgel!U80:BL80)+SUMIF(negtgel!U$2:BL$2,'Tsalin uzuulelt'!B$4,negtgel!U80:BL80)+SUMIF(negtgel!U$2:BL$2,'Tsalin uzuulelt'!B$5,negtgel!U80:BL80)</f>
      </c>
      <c r="H80">
        <f>SUMIF(negtgel!U$2:BL$2,'Tsalin uzuulelt'!F$1,negtgel!U80:BL80) + SUMIF(negtgel!U$2:BL$2,'Tsalin uzuulelt'!F$2,negtgel!U80:BL80)+SUMIF(negtgel!U$2:BL$2,'Tsalin uzuulelt'!F$3,negtgel!U80:BL80)+SUMIF(negtgel!U$2:BL$2,'Tsalin uzuulelt'!F$4,negtgel!U80:BL80)+SUMIF(negtgel!U$2:BL$2,'Tsalin uzuulelt'!F$5,negtgel!U80:BL80)</f>
      </c>
      <c r="I80">
        <f>SUMIF(negtgel!U$2:BL$2,'Tsalin uzuulelt'!H$1,negtgel!U80:BL80) + SUMIF(negtgel!U$2:BL$2,'Tsalin uzuulelt'!H$2,negtgel!U80:BL80)+SUMIF(negtgel!U$2:BL$2,'Tsalin uzuulelt'!H$3,negtgel!U80:BL80)+SUMIF(negtgel!U$2:BL$2,'Tsalin uzuulelt'!H$4,negtgel!U80:BL80)+SUMIF(negtgel!U$2:BL$2,'Tsalin uzuulelt'!H$5,negtgel!U80:BL80)</f>
      </c>
      <c r="J80">
        <f>SUMIF(negtgel!U$2:BL$2,'Tsalin uzuulelt'!J$1,negtgel!U80:BL80) + SUMIF(negtgel!U$2:BL$2,'Tsalin uzuulelt'!J$2,negtgel!U80:BL80)+SUMIF(negtgel!U$2:BL$2,'Tsalin uzuulelt'!J$3,negtgel!U80:BL80)+SUMIF(negtgel!U$2:BL$2,'Tsalin uzuulelt'!J$4,negtgel!U80:BL80)+SUMIF(negtgel!U$2:BL$2,'Tsalin uzuulelt'!J$5,negtgel!U80:BL80)</f>
      </c>
      <c r="K80">
        <f>SUMIF(negtgel!U$2:BL$2,'Tsalin uzuulelt'!L$1,negtgel!U80:BL80) + SUMIF(negtgel!U$2:BL$2,'Tsalin uzuulelt'!L$2,negtgel!U80:BL80)+SUMIF(negtgel!U$2:BL$2,'Tsalin uzuulelt'!L$3,negtgel!U80:BL80)+SUMIF(negtgel!U$2:BL$2,'Tsalin uzuulelt'!L$4,negtgel!U80:BL80)+SUMIF(negtgel!U$2:BL$2,'Tsalin uzuulelt'!L$5,negtgel!U80:BL80)</f>
      </c>
      <c r="L80">
        <f>SUMIF(negtgel!U$2:BL$2,'Tsalin uzuulelt'!N$1,negtgel!U80:BL80) + SUMIF(negtgel!U$2:BL$2,'Tsalin uzuulelt'!N$2,negtgel!U80:BL80)+SUMIF(negtgel!U$2:BL$2,'Tsalin uzuulelt'!N$3,negtgel!U80:BL80)+SUMIF(negtgel!U$2:BL$2,'Tsalin uzuulelt'!N$4,negtgel!U80:BL80)+SUMIF(negtgel!U$2:BL$2,'Tsalin uzuulelt'!N$5,negtgel!U80:BL80)</f>
      </c>
      <c r="M80">
        <f>SUMIF(negtgel!U$2:BL$2,'Tsalin uzuulelt'!P$1,negtgel!U80:BL80) + SUMIF(negtgel!U$2:BL$2,'Tsalin uzuulelt'!P$2,negtgel!U80:BL80)+ SUMIF(negtgel!U$2:BL$2,'Tsalin uzuulelt'!P$3,negtgel!U80:BL80)+ SUMIF(negtgel!U$2:BL$2,'Tsalin uzuulelt'!P$4,negtgel!U80:BL80)+ SUMIF(negtgel!U$2:BL$2,'Tsalin uzuulelt'!P$5,negtgel!U80:BL80)</f>
      </c>
      <c r="N80">
        <f>IF(ISNUMBER(U80*1)=CF80,0,K80-H80-G80)</f>
      </c>
      <c r="O80">
        <f>IF(ISNUMBER(U80*1)=CF80,0,L80)</f>
      </c>
      <c r="P80">
        <f>IF(ISNUMBER(U80*1)=CF80,0,M80)</f>
      </c>
      <c r="Q80">
        <f>IF(N80&gt;2400000,N80,0)</f>
      </c>
      <c r="R80">
        <f>IF(L80/Q80*100&lt;3,2,10)</f>
      </c>
      <c r="S80">
        <f>IF(CH80=0,0,IF(B80&gt;9,10,IF(B80&gt;8,B80,IF(B80&gt;7.7,7.8,IF(B80&gt;3,B80,IF(B80&gt;1.5,2))))))</f>
      </c>
      <c r="T80">
        <f>IF(Q80=0,S80,R80)</f>
      </c>
      <c r="U80" t="n">
        <v>24.0</v>
      </c>
      <c r="V80" t="s">
        <v>3793</v>
      </c>
      <c r="W80" t="s">
        <v>3790</v>
      </c>
      <c r="X80" t="n">
        <v>645556.0</v>
      </c>
      <c r="Y80" t="n">
        <v>645556.0</v>
      </c>
      <c r="Z80" t="n">
        <v>96833.0</v>
      </c>
      <c r="AA80" t="n">
        <v>0.0</v>
      </c>
      <c r="AB80" t="n">
        <v>0.0</v>
      </c>
      <c r="AC80" t="n">
        <v>0.0</v>
      </c>
      <c r="AD80" t="n">
        <v>0.0</v>
      </c>
      <c r="AE80" t="n">
        <v>0.0</v>
      </c>
      <c r="AF80" t="n">
        <v>54000.0</v>
      </c>
      <c r="AG80" t="n">
        <v>0.0</v>
      </c>
      <c r="AH80" t="n">
        <v>0.0</v>
      </c>
      <c r="AI80" t="n">
        <v>0.0</v>
      </c>
      <c r="AJ80" t="n">
        <v>0.0</v>
      </c>
      <c r="AK80" t="n">
        <v>0.0</v>
      </c>
      <c r="AL80" t="n">
        <v>191019.0</v>
      </c>
      <c r="AM80" t="n">
        <v>0.0</v>
      </c>
      <c r="AN80" t="n">
        <v>0.0</v>
      </c>
      <c r="AO80" t="n">
        <v>987408.0</v>
      </c>
      <c r="AP80" t="n">
        <v>79639.0</v>
      </c>
      <c r="AQ80" t="n">
        <v>65215.0</v>
      </c>
      <c r="CH80">
        <f>IFERROR(U80*1,0)</f>
      </c>
    </row>
    <row r="81">
      <c r="A81" t="n">
        <v>2.0</v>
      </c>
      <c r="B81">
        <f>IF((K81-G81-H81&gt;2400000),10,(L81/(K81-G81-H81)*100))</f>
      </c>
      <c r="C81">
        <f>IF(N81&gt;2400000,240000,(N81*S81)/100)</f>
      </c>
      <c r="D81">
        <f>IF(S81=0,0,IF((N81-I81)&gt;2400000,((((((N81-I81-J81)-240000))*0.1+(I81+J81)*0.1)))-7000,((((((N81-I81-J81)-(N81-I81-J81)*S81/100)))*0.1+(I81+J81)*0.1)-7000)))</f>
      </c>
      <c r="E81">
        <f>C81-O81</f>
      </c>
      <c r="F81">
        <f>D81-P81</f>
      </c>
      <c r="G81">
        <f>SUMIF(negtgel!U$2:BL$2,'Tsalin uzuulelt'!B$1,negtgel!U81:BL81) + SUMIF(negtgel!U$2:BL$2,'Tsalin uzuulelt'!B$2,negtgel!U81:BL81)+SUMIF(negtgel!U$2:BL$2,'Tsalin uzuulelt'!B$3,negtgel!U81:BL81)+SUMIF(negtgel!U$2:BL$2,'Tsalin uzuulelt'!B$4,negtgel!U81:BL81)+SUMIF(negtgel!U$2:BL$2,'Tsalin uzuulelt'!B$5,negtgel!U81:BL81)</f>
      </c>
      <c r="H81">
        <f>SUMIF(negtgel!U$2:BL$2,'Tsalin uzuulelt'!F$1,negtgel!U81:BL81) + SUMIF(negtgel!U$2:BL$2,'Tsalin uzuulelt'!F$2,negtgel!U81:BL81)+SUMIF(negtgel!U$2:BL$2,'Tsalin uzuulelt'!F$3,negtgel!U81:BL81)+SUMIF(negtgel!U$2:BL$2,'Tsalin uzuulelt'!F$4,negtgel!U81:BL81)+SUMIF(negtgel!U$2:BL$2,'Tsalin uzuulelt'!F$5,negtgel!U81:BL81)</f>
      </c>
      <c r="I81">
        <f>SUMIF(negtgel!U$2:BL$2,'Tsalin uzuulelt'!H$1,negtgel!U81:BL81) + SUMIF(negtgel!U$2:BL$2,'Tsalin uzuulelt'!H$2,negtgel!U81:BL81)+SUMIF(negtgel!U$2:BL$2,'Tsalin uzuulelt'!H$3,negtgel!U81:BL81)+SUMIF(negtgel!U$2:BL$2,'Tsalin uzuulelt'!H$4,negtgel!U81:BL81)+SUMIF(negtgel!U$2:BL$2,'Tsalin uzuulelt'!H$5,negtgel!U81:BL81)</f>
      </c>
      <c r="J81">
        <f>SUMIF(negtgel!U$2:BL$2,'Tsalin uzuulelt'!J$1,negtgel!U81:BL81) + SUMIF(negtgel!U$2:BL$2,'Tsalin uzuulelt'!J$2,negtgel!U81:BL81)+SUMIF(negtgel!U$2:BL$2,'Tsalin uzuulelt'!J$3,negtgel!U81:BL81)+SUMIF(negtgel!U$2:BL$2,'Tsalin uzuulelt'!J$4,negtgel!U81:BL81)+SUMIF(negtgel!U$2:BL$2,'Tsalin uzuulelt'!J$5,negtgel!U81:BL81)</f>
      </c>
      <c r="K81">
        <f>SUMIF(negtgel!U$2:BL$2,'Tsalin uzuulelt'!L$1,negtgel!U81:BL81) + SUMIF(negtgel!U$2:BL$2,'Tsalin uzuulelt'!L$2,negtgel!U81:BL81)+SUMIF(negtgel!U$2:BL$2,'Tsalin uzuulelt'!L$3,negtgel!U81:BL81)+SUMIF(negtgel!U$2:BL$2,'Tsalin uzuulelt'!L$4,negtgel!U81:BL81)+SUMIF(negtgel!U$2:BL$2,'Tsalin uzuulelt'!L$5,negtgel!U81:BL81)</f>
      </c>
      <c r="L81">
        <f>SUMIF(negtgel!U$2:BL$2,'Tsalin uzuulelt'!N$1,negtgel!U81:BL81) + SUMIF(negtgel!U$2:BL$2,'Tsalin uzuulelt'!N$2,negtgel!U81:BL81)+SUMIF(negtgel!U$2:BL$2,'Tsalin uzuulelt'!N$3,negtgel!U81:BL81)+SUMIF(negtgel!U$2:BL$2,'Tsalin uzuulelt'!N$4,negtgel!U81:BL81)+SUMIF(negtgel!U$2:BL$2,'Tsalin uzuulelt'!N$5,negtgel!U81:BL81)</f>
      </c>
      <c r="M81">
        <f>SUMIF(negtgel!U$2:BL$2,'Tsalin uzuulelt'!P$1,negtgel!U81:BL81) + SUMIF(negtgel!U$2:BL$2,'Tsalin uzuulelt'!P$2,negtgel!U81:BL81)+ SUMIF(negtgel!U$2:BL$2,'Tsalin uzuulelt'!P$3,negtgel!U81:BL81)+ SUMIF(negtgel!U$2:BL$2,'Tsalin uzuulelt'!P$4,negtgel!U81:BL81)+ SUMIF(negtgel!U$2:BL$2,'Tsalin uzuulelt'!P$5,negtgel!U81:BL81)</f>
      </c>
      <c r="N81">
        <f>IF(ISNUMBER(U81*1)=CF81,0,K81-H81-G81)</f>
      </c>
      <c r="O81">
        <f>IF(ISNUMBER(U81*1)=CF81,0,L81)</f>
      </c>
      <c r="P81">
        <f>IF(ISNUMBER(U81*1)=CF81,0,M81)</f>
      </c>
      <c r="Q81">
        <f>IF(N81&gt;2400000,N81,0)</f>
      </c>
      <c r="R81">
        <f>IF(L81/Q81*100&lt;3,2,10)</f>
      </c>
      <c r="S81">
        <f>IF(CH81=0,0,IF(B81&gt;9,10,IF(B81&gt;8,B81,IF(B81&gt;7.7,7.8,IF(B81&gt;3,B81,IF(B81&gt;1.5,2))))))</f>
      </c>
      <c r="T81">
        <f>IF(Q81=0,S81,R81)</f>
      </c>
      <c r="U81" t="n">
        <v>25.0</v>
      </c>
      <c r="V81" t="s">
        <v>3794</v>
      </c>
      <c r="W81" t="s">
        <v>3792</v>
      </c>
      <c r="X81" t="n">
        <v>535286.0</v>
      </c>
      <c r="Y81" t="n">
        <v>535286.0</v>
      </c>
      <c r="Z81" t="n">
        <v>0.0</v>
      </c>
      <c r="AA81" t="n">
        <v>0.0</v>
      </c>
      <c r="AB81" t="n">
        <v>0.0</v>
      </c>
      <c r="AC81" t="n">
        <v>0.0</v>
      </c>
      <c r="AD81" t="n">
        <v>0.0</v>
      </c>
      <c r="AE81" t="n">
        <v>0.0</v>
      </c>
      <c r="AF81" t="n">
        <v>54000.0</v>
      </c>
      <c r="AG81" t="n">
        <v>0.0</v>
      </c>
      <c r="AH81" t="n">
        <v>0.0</v>
      </c>
      <c r="AI81" t="n">
        <v>0.0</v>
      </c>
      <c r="AJ81" t="n">
        <v>0.0</v>
      </c>
      <c r="AK81" t="n">
        <v>0.0</v>
      </c>
      <c r="AL81" t="n">
        <v>0.0</v>
      </c>
      <c r="AM81" t="n">
        <v>0.0</v>
      </c>
      <c r="AN81" t="n">
        <v>0.0</v>
      </c>
      <c r="AO81" t="n">
        <v>589286.0</v>
      </c>
      <c r="AP81" t="n">
        <v>58929.0</v>
      </c>
      <c r="AQ81" t="n">
        <v>46575.7</v>
      </c>
      <c r="CH81">
        <f>IFERROR(U81*1,0)</f>
      </c>
    </row>
    <row r="82">
      <c r="A82" t="n">
        <v>2.0</v>
      </c>
      <c r="B82">
        <f>IF((K82-G82-H82&gt;2400000),10,(L82/(K82-G82-H82)*100))</f>
      </c>
      <c r="C82">
        <f>IF(N82&gt;2400000,240000,(N82*S82)/100)</f>
      </c>
      <c r="D82">
        <f>IF(S82=0,0,IF((N82-I82)&gt;2400000,((((((N82-I82-J82)-240000))*0.1+(I82+J82)*0.1)))-7000,((((((N82-I82-J82)-(N82-I82-J82)*S82/100)))*0.1+(I82+J82)*0.1)-7000)))</f>
      </c>
      <c r="E82">
        <f>C82-O82</f>
      </c>
      <c r="F82">
        <f>D82-P82</f>
      </c>
      <c r="G82">
        <f>SUMIF(negtgel!U$2:BL$2,'Tsalin uzuulelt'!B$1,negtgel!U82:BL82) + SUMIF(negtgel!U$2:BL$2,'Tsalin uzuulelt'!B$2,negtgel!U82:BL82)+SUMIF(negtgel!U$2:BL$2,'Tsalin uzuulelt'!B$3,negtgel!U82:BL82)+SUMIF(negtgel!U$2:BL$2,'Tsalin uzuulelt'!B$4,negtgel!U82:BL82)+SUMIF(negtgel!U$2:BL$2,'Tsalin uzuulelt'!B$5,negtgel!U82:BL82)</f>
      </c>
      <c r="H82">
        <f>SUMIF(negtgel!U$2:BL$2,'Tsalin uzuulelt'!F$1,negtgel!U82:BL82) + SUMIF(negtgel!U$2:BL$2,'Tsalin uzuulelt'!F$2,negtgel!U82:BL82)+SUMIF(negtgel!U$2:BL$2,'Tsalin uzuulelt'!F$3,negtgel!U82:BL82)+SUMIF(negtgel!U$2:BL$2,'Tsalin uzuulelt'!F$4,negtgel!U82:BL82)+SUMIF(negtgel!U$2:BL$2,'Tsalin uzuulelt'!F$5,negtgel!U82:BL82)</f>
      </c>
      <c r="I82">
        <f>SUMIF(negtgel!U$2:BL$2,'Tsalin uzuulelt'!H$1,negtgel!U82:BL82) + SUMIF(negtgel!U$2:BL$2,'Tsalin uzuulelt'!H$2,negtgel!U82:BL82)+SUMIF(negtgel!U$2:BL$2,'Tsalin uzuulelt'!H$3,negtgel!U82:BL82)+SUMIF(negtgel!U$2:BL$2,'Tsalin uzuulelt'!H$4,negtgel!U82:BL82)+SUMIF(negtgel!U$2:BL$2,'Tsalin uzuulelt'!H$5,negtgel!U82:BL82)</f>
      </c>
      <c r="J82">
        <f>SUMIF(negtgel!U$2:BL$2,'Tsalin uzuulelt'!J$1,negtgel!U82:BL82) + SUMIF(negtgel!U$2:BL$2,'Tsalin uzuulelt'!J$2,negtgel!U82:BL82)+SUMIF(negtgel!U$2:BL$2,'Tsalin uzuulelt'!J$3,negtgel!U82:BL82)+SUMIF(negtgel!U$2:BL$2,'Tsalin uzuulelt'!J$4,negtgel!U82:BL82)+SUMIF(negtgel!U$2:BL$2,'Tsalin uzuulelt'!J$5,negtgel!U82:BL82)</f>
      </c>
      <c r="K82">
        <f>SUMIF(negtgel!U$2:BL$2,'Tsalin uzuulelt'!L$1,negtgel!U82:BL82) + SUMIF(negtgel!U$2:BL$2,'Tsalin uzuulelt'!L$2,negtgel!U82:BL82)+SUMIF(negtgel!U$2:BL$2,'Tsalin uzuulelt'!L$3,negtgel!U82:BL82)+SUMIF(negtgel!U$2:BL$2,'Tsalin uzuulelt'!L$4,negtgel!U82:BL82)+SUMIF(negtgel!U$2:BL$2,'Tsalin uzuulelt'!L$5,negtgel!U82:BL82)</f>
      </c>
      <c r="L82">
        <f>SUMIF(negtgel!U$2:BL$2,'Tsalin uzuulelt'!N$1,negtgel!U82:BL82) + SUMIF(negtgel!U$2:BL$2,'Tsalin uzuulelt'!N$2,negtgel!U82:BL82)+SUMIF(negtgel!U$2:BL$2,'Tsalin uzuulelt'!N$3,negtgel!U82:BL82)+SUMIF(negtgel!U$2:BL$2,'Tsalin uzuulelt'!N$4,negtgel!U82:BL82)+SUMIF(negtgel!U$2:BL$2,'Tsalin uzuulelt'!N$5,negtgel!U82:BL82)</f>
      </c>
      <c r="M82">
        <f>SUMIF(negtgel!U$2:BL$2,'Tsalin uzuulelt'!P$1,negtgel!U82:BL82) + SUMIF(negtgel!U$2:BL$2,'Tsalin uzuulelt'!P$2,negtgel!U82:BL82)+ SUMIF(negtgel!U$2:BL$2,'Tsalin uzuulelt'!P$3,negtgel!U82:BL82)+ SUMIF(negtgel!U$2:BL$2,'Tsalin uzuulelt'!P$4,negtgel!U82:BL82)+ SUMIF(negtgel!U$2:BL$2,'Tsalin uzuulelt'!P$5,negtgel!U82:BL82)</f>
      </c>
      <c r="N82">
        <f>IF(ISNUMBER(U82*1)=CF82,0,K82-H82-G82)</f>
      </c>
      <c r="O82">
        <f>IF(ISNUMBER(U82*1)=CF82,0,L82)</f>
      </c>
      <c r="P82">
        <f>IF(ISNUMBER(U82*1)=CF82,0,M82)</f>
      </c>
      <c r="Q82">
        <f>IF(N82&gt;2400000,N82,0)</f>
      </c>
      <c r="R82">
        <f>IF(L82/Q82*100&lt;3,2,10)</f>
      </c>
      <c r="S82">
        <f>IF(CH82=0,0,IF(B82&gt;9,10,IF(B82&gt;8,B82,IF(B82&gt;7.7,7.8,IF(B82&gt;3,B82,IF(B82&gt;1.5,2))))))</f>
      </c>
      <c r="T82">
        <f>IF(Q82=0,S82,R82)</f>
      </c>
      <c r="U82" t="n">
        <v>26.0</v>
      </c>
      <c r="V82" t="s">
        <v>3850</v>
      </c>
      <c r="W82" t="s">
        <v>3790</v>
      </c>
      <c r="X82" t="n">
        <v>547759.0</v>
      </c>
      <c r="Y82" t="n">
        <v>547759.0</v>
      </c>
      <c r="Z82" t="n">
        <v>0.0</v>
      </c>
      <c r="AA82" t="n">
        <v>0.0</v>
      </c>
      <c r="AB82" t="n">
        <v>0.0</v>
      </c>
      <c r="AC82" t="n">
        <v>0.0</v>
      </c>
      <c r="AD82" t="n">
        <v>0.0</v>
      </c>
      <c r="AE82" t="n">
        <v>0.0</v>
      </c>
      <c r="AF82" t="n">
        <v>54000.0</v>
      </c>
      <c r="AG82" t="n">
        <v>0.0</v>
      </c>
      <c r="AH82" t="n">
        <v>0.0</v>
      </c>
      <c r="AI82" t="n">
        <v>0.0</v>
      </c>
      <c r="AJ82" t="n">
        <v>0.0</v>
      </c>
      <c r="AK82" t="n">
        <v>0.0</v>
      </c>
      <c r="AL82" t="n">
        <v>0.0</v>
      </c>
      <c r="AM82" t="n">
        <v>0.0</v>
      </c>
      <c r="AN82" t="n">
        <v>0.0</v>
      </c>
      <c r="AO82" t="n">
        <v>601759.0</v>
      </c>
      <c r="AP82" t="n">
        <v>60176.0</v>
      </c>
      <c r="AQ82" t="n">
        <v>47698.3</v>
      </c>
      <c r="CH82">
        <f>IFERROR(U82*1,0)</f>
      </c>
    </row>
    <row r="83">
      <c r="A83" t="n">
        <v>2.0</v>
      </c>
      <c r="B83">
        <f>IF((K83-G83-H83&gt;2400000),10,(L83/(K83-G83-H83)*100))</f>
      </c>
      <c r="C83">
        <f>IF(N83&gt;2400000,240000,(N83*S83)/100)</f>
      </c>
      <c r="D83">
        <f>IF(S83=0,0,IF((N83-I83)&gt;2400000,((((((N83-I83-J83)-240000))*0.1+(I83+J83)*0.1)))-7000,((((((N83-I83-J83)-(N83-I83-J83)*S83/100)))*0.1+(I83+J83)*0.1)-7000)))</f>
      </c>
      <c r="E83">
        <f>C83-O83</f>
      </c>
      <c r="F83">
        <f>D83-P83</f>
      </c>
      <c r="G83">
        <f>SUMIF(negtgel!U$2:BL$2,'Tsalin uzuulelt'!B$1,negtgel!U83:BL83) + SUMIF(negtgel!U$2:BL$2,'Tsalin uzuulelt'!B$2,negtgel!U83:BL83)+SUMIF(negtgel!U$2:BL$2,'Tsalin uzuulelt'!B$3,negtgel!U83:BL83)+SUMIF(negtgel!U$2:BL$2,'Tsalin uzuulelt'!B$4,negtgel!U83:BL83)+SUMIF(negtgel!U$2:BL$2,'Tsalin uzuulelt'!B$5,negtgel!U83:BL83)</f>
      </c>
      <c r="H83">
        <f>SUMIF(negtgel!U$2:BL$2,'Tsalin uzuulelt'!F$1,negtgel!U83:BL83) + SUMIF(negtgel!U$2:BL$2,'Tsalin uzuulelt'!F$2,negtgel!U83:BL83)+SUMIF(negtgel!U$2:BL$2,'Tsalin uzuulelt'!F$3,negtgel!U83:BL83)+SUMIF(negtgel!U$2:BL$2,'Tsalin uzuulelt'!F$4,negtgel!U83:BL83)+SUMIF(negtgel!U$2:BL$2,'Tsalin uzuulelt'!F$5,negtgel!U83:BL83)</f>
      </c>
      <c r="I83">
        <f>SUMIF(negtgel!U$2:BL$2,'Tsalin uzuulelt'!H$1,negtgel!U83:BL83) + SUMIF(negtgel!U$2:BL$2,'Tsalin uzuulelt'!H$2,negtgel!U83:BL83)+SUMIF(negtgel!U$2:BL$2,'Tsalin uzuulelt'!H$3,negtgel!U83:BL83)+SUMIF(negtgel!U$2:BL$2,'Tsalin uzuulelt'!H$4,negtgel!U83:BL83)+SUMIF(negtgel!U$2:BL$2,'Tsalin uzuulelt'!H$5,negtgel!U83:BL83)</f>
      </c>
      <c r="J83">
        <f>SUMIF(negtgel!U$2:BL$2,'Tsalin uzuulelt'!J$1,negtgel!U83:BL83) + SUMIF(negtgel!U$2:BL$2,'Tsalin uzuulelt'!J$2,negtgel!U83:BL83)+SUMIF(negtgel!U$2:BL$2,'Tsalin uzuulelt'!J$3,negtgel!U83:BL83)+SUMIF(negtgel!U$2:BL$2,'Tsalin uzuulelt'!J$4,negtgel!U83:BL83)+SUMIF(negtgel!U$2:BL$2,'Tsalin uzuulelt'!J$5,negtgel!U83:BL83)</f>
      </c>
      <c r="K83">
        <f>SUMIF(negtgel!U$2:BL$2,'Tsalin uzuulelt'!L$1,negtgel!U83:BL83) + SUMIF(negtgel!U$2:BL$2,'Tsalin uzuulelt'!L$2,negtgel!U83:BL83)+SUMIF(negtgel!U$2:BL$2,'Tsalin uzuulelt'!L$3,negtgel!U83:BL83)+SUMIF(negtgel!U$2:BL$2,'Tsalin uzuulelt'!L$4,negtgel!U83:BL83)+SUMIF(negtgel!U$2:BL$2,'Tsalin uzuulelt'!L$5,negtgel!U83:BL83)</f>
      </c>
      <c r="L83">
        <f>SUMIF(negtgel!U$2:BL$2,'Tsalin uzuulelt'!N$1,negtgel!U83:BL83) + SUMIF(negtgel!U$2:BL$2,'Tsalin uzuulelt'!N$2,negtgel!U83:BL83)+SUMIF(negtgel!U$2:BL$2,'Tsalin uzuulelt'!N$3,negtgel!U83:BL83)+SUMIF(negtgel!U$2:BL$2,'Tsalin uzuulelt'!N$4,negtgel!U83:BL83)+SUMIF(negtgel!U$2:BL$2,'Tsalin uzuulelt'!N$5,negtgel!U83:BL83)</f>
      </c>
      <c r="M83">
        <f>SUMIF(negtgel!U$2:BL$2,'Tsalin uzuulelt'!P$1,negtgel!U83:BL83) + SUMIF(negtgel!U$2:BL$2,'Tsalin uzuulelt'!P$2,negtgel!U83:BL83)+ SUMIF(negtgel!U$2:BL$2,'Tsalin uzuulelt'!P$3,negtgel!U83:BL83)+ SUMIF(negtgel!U$2:BL$2,'Tsalin uzuulelt'!P$4,negtgel!U83:BL83)+ SUMIF(negtgel!U$2:BL$2,'Tsalin uzuulelt'!P$5,negtgel!U83:BL83)</f>
      </c>
      <c r="N83">
        <f>IF(ISNUMBER(U83*1)=CF83,0,K83-H83-G83)</f>
      </c>
      <c r="O83">
        <f>IF(ISNUMBER(U83*1)=CF83,0,L83)</f>
      </c>
      <c r="P83">
        <f>IF(ISNUMBER(U83*1)=CF83,0,M83)</f>
      </c>
      <c r="Q83">
        <f>IF(N83&gt;2400000,N83,0)</f>
      </c>
      <c r="R83">
        <f>IF(L83/Q83*100&lt;3,2,10)</f>
      </c>
      <c r="S83">
        <f>IF(CH83=0,0,IF(B83&gt;9,10,IF(B83&gt;8,B83,IF(B83&gt;7.7,7.8,IF(B83&gt;3,B83,IF(B83&gt;1.5,2))))))</f>
      </c>
      <c r="T83">
        <f>IF(Q83=0,S83,R83)</f>
      </c>
      <c r="U83" t="n">
        <v>49.0</v>
      </c>
      <c r="V83" t="s">
        <v>3796</v>
      </c>
      <c r="W83" t="s">
        <v>3792</v>
      </c>
      <c r="X83" t="n">
        <v>535286.0</v>
      </c>
      <c r="Y83" t="n">
        <v>535286.0</v>
      </c>
      <c r="Z83" t="n">
        <v>0.0</v>
      </c>
      <c r="AA83" t="n">
        <v>0.0</v>
      </c>
      <c r="AB83" t="n">
        <v>0.0</v>
      </c>
      <c r="AC83" t="n">
        <v>0.0</v>
      </c>
      <c r="AD83" t="n">
        <v>0.0</v>
      </c>
      <c r="AE83" t="n">
        <v>0.0</v>
      </c>
      <c r="AF83" t="n">
        <v>54000.0</v>
      </c>
      <c r="AG83" t="n">
        <v>0.0</v>
      </c>
      <c r="AH83" t="n">
        <v>0.0</v>
      </c>
      <c r="AI83" t="n">
        <v>0.0</v>
      </c>
      <c r="AJ83" t="n">
        <v>0.0</v>
      </c>
      <c r="AK83" t="n">
        <v>0.0</v>
      </c>
      <c r="AL83" t="n">
        <v>0.0</v>
      </c>
      <c r="AM83" t="n">
        <v>0.0</v>
      </c>
      <c r="AN83" t="n">
        <v>0.0</v>
      </c>
      <c r="AO83" t="n">
        <v>589286.0</v>
      </c>
      <c r="AP83" t="n">
        <v>58929.0</v>
      </c>
      <c r="AQ83" t="n">
        <v>46575.7</v>
      </c>
      <c r="CH83">
        <f>IFERROR(U83*1,0)</f>
      </c>
    </row>
    <row r="84">
      <c r="A84" t="n">
        <v>2.0</v>
      </c>
      <c r="B84">
        <f>IF((K84-G84-H84&gt;2400000),10,(L84/(K84-G84-H84)*100))</f>
      </c>
      <c r="C84">
        <f>IF(N84&gt;2400000,240000,(N84*S84)/100)</f>
      </c>
      <c r="D84">
        <f>IF(S84=0,0,IF((N84-I84)&gt;2400000,((((((N84-I84-J84)-240000))*0.1+(I84+J84)*0.1)))-7000,((((((N84-I84-J84)-(N84-I84-J84)*S84/100)))*0.1+(I84+J84)*0.1)-7000)))</f>
      </c>
      <c r="E84">
        <f>C84-O84</f>
      </c>
      <c r="F84">
        <f>D84-P84</f>
      </c>
      <c r="G84">
        <f>SUMIF(negtgel!U$2:BL$2,'Tsalin uzuulelt'!B$1,negtgel!U84:BL84) + SUMIF(negtgel!U$2:BL$2,'Tsalin uzuulelt'!B$2,negtgel!U84:BL84)+SUMIF(negtgel!U$2:BL$2,'Tsalin uzuulelt'!B$3,negtgel!U84:BL84)+SUMIF(negtgel!U$2:BL$2,'Tsalin uzuulelt'!B$4,negtgel!U84:BL84)+SUMIF(negtgel!U$2:BL$2,'Tsalin uzuulelt'!B$5,negtgel!U84:BL84)</f>
      </c>
      <c r="H84">
        <f>SUMIF(negtgel!U$2:BL$2,'Tsalin uzuulelt'!F$1,negtgel!U84:BL84) + SUMIF(negtgel!U$2:BL$2,'Tsalin uzuulelt'!F$2,negtgel!U84:BL84)+SUMIF(negtgel!U$2:BL$2,'Tsalin uzuulelt'!F$3,negtgel!U84:BL84)+SUMIF(negtgel!U$2:BL$2,'Tsalin uzuulelt'!F$4,negtgel!U84:BL84)+SUMIF(negtgel!U$2:BL$2,'Tsalin uzuulelt'!F$5,negtgel!U84:BL84)</f>
      </c>
      <c r="I84">
        <f>SUMIF(negtgel!U$2:BL$2,'Tsalin uzuulelt'!H$1,negtgel!U84:BL84) + SUMIF(negtgel!U$2:BL$2,'Tsalin uzuulelt'!H$2,negtgel!U84:BL84)+SUMIF(negtgel!U$2:BL$2,'Tsalin uzuulelt'!H$3,negtgel!U84:BL84)+SUMIF(negtgel!U$2:BL$2,'Tsalin uzuulelt'!H$4,negtgel!U84:BL84)+SUMIF(negtgel!U$2:BL$2,'Tsalin uzuulelt'!H$5,negtgel!U84:BL84)</f>
      </c>
      <c r="J84">
        <f>SUMIF(negtgel!U$2:BL$2,'Tsalin uzuulelt'!J$1,negtgel!U84:BL84) + SUMIF(negtgel!U$2:BL$2,'Tsalin uzuulelt'!J$2,negtgel!U84:BL84)+SUMIF(negtgel!U$2:BL$2,'Tsalin uzuulelt'!J$3,negtgel!U84:BL84)+SUMIF(negtgel!U$2:BL$2,'Tsalin uzuulelt'!J$4,negtgel!U84:BL84)+SUMIF(negtgel!U$2:BL$2,'Tsalin uzuulelt'!J$5,negtgel!U84:BL84)</f>
      </c>
      <c r="K84">
        <f>SUMIF(negtgel!U$2:BL$2,'Tsalin uzuulelt'!L$1,negtgel!U84:BL84) + SUMIF(negtgel!U$2:BL$2,'Tsalin uzuulelt'!L$2,negtgel!U84:BL84)+SUMIF(negtgel!U$2:BL$2,'Tsalin uzuulelt'!L$3,negtgel!U84:BL84)+SUMIF(negtgel!U$2:BL$2,'Tsalin uzuulelt'!L$4,negtgel!U84:BL84)+SUMIF(negtgel!U$2:BL$2,'Tsalin uzuulelt'!L$5,negtgel!U84:BL84)</f>
      </c>
      <c r="L84">
        <f>SUMIF(negtgel!U$2:BL$2,'Tsalin uzuulelt'!N$1,negtgel!U84:BL84) + SUMIF(negtgel!U$2:BL$2,'Tsalin uzuulelt'!N$2,negtgel!U84:BL84)+SUMIF(negtgel!U$2:BL$2,'Tsalin uzuulelt'!N$3,negtgel!U84:BL84)+SUMIF(negtgel!U$2:BL$2,'Tsalin uzuulelt'!N$4,negtgel!U84:BL84)+SUMIF(negtgel!U$2:BL$2,'Tsalin uzuulelt'!N$5,negtgel!U84:BL84)</f>
      </c>
      <c r="M84">
        <f>SUMIF(negtgel!U$2:BL$2,'Tsalin uzuulelt'!P$1,negtgel!U84:BL84) + SUMIF(negtgel!U$2:BL$2,'Tsalin uzuulelt'!P$2,negtgel!U84:BL84)+ SUMIF(negtgel!U$2:BL$2,'Tsalin uzuulelt'!P$3,negtgel!U84:BL84)+ SUMIF(negtgel!U$2:BL$2,'Tsalin uzuulelt'!P$4,negtgel!U84:BL84)+ SUMIF(negtgel!U$2:BL$2,'Tsalin uzuulelt'!P$5,negtgel!U84:BL84)</f>
      </c>
      <c r="N84">
        <f>IF(ISNUMBER(U84*1)=CF84,0,K84-H84-G84)</f>
      </c>
      <c r="O84">
        <f>IF(ISNUMBER(U84*1)=CF84,0,L84)</f>
      </c>
      <c r="P84">
        <f>IF(ISNUMBER(U84*1)=CF84,0,M84)</f>
      </c>
      <c r="Q84">
        <f>IF(N84&gt;2400000,N84,0)</f>
      </c>
      <c r="R84">
        <f>IF(L84/Q84*100&lt;3,2,10)</f>
      </c>
      <c r="S84">
        <f>IF(CH84=0,0,IF(B84&gt;9,10,IF(B84&gt;8,B84,IF(B84&gt;7.7,7.8,IF(B84&gt;3,B84,IF(B84&gt;1.5,2))))))</f>
      </c>
      <c r="T84">
        <f>IF(Q84=0,S84,R84)</f>
      </c>
      <c r="U84" t="n">
        <v>50.0</v>
      </c>
      <c r="V84" t="s">
        <v>3797</v>
      </c>
      <c r="W84" t="s">
        <v>3790</v>
      </c>
      <c r="X84" t="n">
        <v>580710.0</v>
      </c>
      <c r="Y84" t="n">
        <v>580710.0</v>
      </c>
      <c r="Z84" t="n">
        <v>29036.0</v>
      </c>
      <c r="AA84" t="n">
        <v>87106.0</v>
      </c>
      <c r="AB84" t="n">
        <v>0.0</v>
      </c>
      <c r="AC84" t="n">
        <v>0.0</v>
      </c>
      <c r="AD84" t="n">
        <v>0.0</v>
      </c>
      <c r="AE84" t="n">
        <v>0.0</v>
      </c>
      <c r="AF84" t="n">
        <v>54000.0</v>
      </c>
      <c r="AG84" t="n">
        <v>0.0</v>
      </c>
      <c r="AH84" t="n">
        <v>0.0</v>
      </c>
      <c r="AI84" t="n">
        <v>0.0</v>
      </c>
      <c r="AJ84" t="n">
        <v>0.0</v>
      </c>
      <c r="AK84" t="n">
        <v>0.0</v>
      </c>
      <c r="AL84" t="n">
        <v>0.0</v>
      </c>
      <c r="AM84" t="n">
        <v>0.0</v>
      </c>
      <c r="AN84" t="n">
        <v>0.0</v>
      </c>
      <c r="AO84" t="n">
        <v>750852.0</v>
      </c>
      <c r="AP84" t="n">
        <v>75086.0</v>
      </c>
      <c r="AQ84" t="n">
        <v>61116.7</v>
      </c>
      <c r="CH84">
        <f>IFERROR(U84*1,0)</f>
      </c>
    </row>
    <row r="85">
      <c r="A85" t="n">
        <v>2.0</v>
      </c>
      <c r="B85">
        <f>IF((K85-G85-H85&gt;2400000),10,(L85/(K85-G85-H85)*100))</f>
      </c>
      <c r="C85">
        <f>IF(N85&gt;2400000,240000,(N85*S85)/100)</f>
      </c>
      <c r="D85">
        <f>IF(S85=0,0,IF((N85-I85)&gt;2400000,((((((N85-I85-J85)-240000))*0.1+(I85+J85)*0.1)))-7000,((((((N85-I85-J85)-(N85-I85-J85)*S85/100)))*0.1+(I85+J85)*0.1)-7000)))</f>
      </c>
      <c r="E85">
        <f>C85-O85</f>
      </c>
      <c r="F85">
        <f>D85-P85</f>
      </c>
      <c r="G85">
        <f>SUMIF(negtgel!U$2:BL$2,'Tsalin uzuulelt'!B$1,negtgel!U85:BL85) + SUMIF(negtgel!U$2:BL$2,'Tsalin uzuulelt'!B$2,negtgel!U85:BL85)+SUMIF(negtgel!U$2:BL$2,'Tsalin uzuulelt'!B$3,negtgel!U85:BL85)+SUMIF(negtgel!U$2:BL$2,'Tsalin uzuulelt'!B$4,negtgel!U85:BL85)+SUMIF(negtgel!U$2:BL$2,'Tsalin uzuulelt'!B$5,negtgel!U85:BL85)</f>
      </c>
      <c r="H85">
        <f>SUMIF(negtgel!U$2:BL$2,'Tsalin uzuulelt'!F$1,negtgel!U85:BL85) + SUMIF(negtgel!U$2:BL$2,'Tsalin uzuulelt'!F$2,negtgel!U85:BL85)+SUMIF(negtgel!U$2:BL$2,'Tsalin uzuulelt'!F$3,negtgel!U85:BL85)+SUMIF(negtgel!U$2:BL$2,'Tsalin uzuulelt'!F$4,negtgel!U85:BL85)+SUMIF(negtgel!U$2:BL$2,'Tsalin uzuulelt'!F$5,negtgel!U85:BL85)</f>
      </c>
      <c r="I85">
        <f>SUMIF(negtgel!U$2:BL$2,'Tsalin uzuulelt'!H$1,negtgel!U85:BL85) + SUMIF(negtgel!U$2:BL$2,'Tsalin uzuulelt'!H$2,negtgel!U85:BL85)+SUMIF(negtgel!U$2:BL$2,'Tsalin uzuulelt'!H$3,negtgel!U85:BL85)+SUMIF(negtgel!U$2:BL$2,'Tsalin uzuulelt'!H$4,negtgel!U85:BL85)+SUMIF(negtgel!U$2:BL$2,'Tsalin uzuulelt'!H$5,negtgel!U85:BL85)</f>
      </c>
      <c r="J85">
        <f>SUMIF(negtgel!U$2:BL$2,'Tsalin uzuulelt'!J$1,negtgel!U85:BL85) + SUMIF(negtgel!U$2:BL$2,'Tsalin uzuulelt'!J$2,negtgel!U85:BL85)+SUMIF(negtgel!U$2:BL$2,'Tsalin uzuulelt'!J$3,negtgel!U85:BL85)+SUMIF(negtgel!U$2:BL$2,'Tsalin uzuulelt'!J$4,negtgel!U85:BL85)+SUMIF(negtgel!U$2:BL$2,'Tsalin uzuulelt'!J$5,negtgel!U85:BL85)</f>
      </c>
      <c r="K85">
        <f>SUMIF(negtgel!U$2:BL$2,'Tsalin uzuulelt'!L$1,negtgel!U85:BL85) + SUMIF(negtgel!U$2:BL$2,'Tsalin uzuulelt'!L$2,negtgel!U85:BL85)+SUMIF(negtgel!U$2:BL$2,'Tsalin uzuulelt'!L$3,negtgel!U85:BL85)+SUMIF(negtgel!U$2:BL$2,'Tsalin uzuulelt'!L$4,negtgel!U85:BL85)+SUMIF(negtgel!U$2:BL$2,'Tsalin uzuulelt'!L$5,negtgel!U85:BL85)</f>
      </c>
      <c r="L85">
        <f>SUMIF(negtgel!U$2:BL$2,'Tsalin uzuulelt'!N$1,negtgel!U85:BL85) + SUMIF(negtgel!U$2:BL$2,'Tsalin uzuulelt'!N$2,negtgel!U85:BL85)+SUMIF(negtgel!U$2:BL$2,'Tsalin uzuulelt'!N$3,negtgel!U85:BL85)+SUMIF(negtgel!U$2:BL$2,'Tsalin uzuulelt'!N$4,negtgel!U85:BL85)+SUMIF(negtgel!U$2:BL$2,'Tsalin uzuulelt'!N$5,negtgel!U85:BL85)</f>
      </c>
      <c r="M85">
        <f>SUMIF(negtgel!U$2:BL$2,'Tsalin uzuulelt'!P$1,negtgel!U85:BL85) + SUMIF(negtgel!U$2:BL$2,'Tsalin uzuulelt'!P$2,negtgel!U85:BL85)+ SUMIF(negtgel!U$2:BL$2,'Tsalin uzuulelt'!P$3,negtgel!U85:BL85)+ SUMIF(negtgel!U$2:BL$2,'Tsalin uzuulelt'!P$4,negtgel!U85:BL85)+ SUMIF(negtgel!U$2:BL$2,'Tsalin uzuulelt'!P$5,negtgel!U85:BL85)</f>
      </c>
      <c r="N85">
        <f>IF(ISNUMBER(U85*1)=CF85,0,K85-H85-G85)</f>
      </c>
      <c r="O85">
        <f>IF(ISNUMBER(U85*1)=CF85,0,L85)</f>
      </c>
      <c r="P85">
        <f>IF(ISNUMBER(U85*1)=CF85,0,M85)</f>
      </c>
      <c r="Q85">
        <f>IF(N85&gt;2400000,N85,0)</f>
      </c>
      <c r="R85">
        <f>IF(L85/Q85*100&lt;3,2,10)</f>
      </c>
      <c r="S85">
        <f>IF(CH85=0,0,IF(B85&gt;9,10,IF(B85&gt;8,B85,IF(B85&gt;7.7,7.8,IF(B85&gt;3,B85,IF(B85&gt;1.5,2))))))</f>
      </c>
      <c r="T85">
        <f>IF(Q85=0,S85,R85)</f>
      </c>
      <c r="U85" t="n">
        <v>51.0</v>
      </c>
      <c r="V85" t="s">
        <v>3798</v>
      </c>
      <c r="W85" t="s">
        <v>3792</v>
      </c>
      <c r="X85" t="n">
        <v>535286.0</v>
      </c>
      <c r="Y85" t="n">
        <v>535286.0</v>
      </c>
      <c r="Z85" t="n">
        <v>0.0</v>
      </c>
      <c r="AA85" t="n">
        <v>0.0</v>
      </c>
      <c r="AB85" t="n">
        <v>0.0</v>
      </c>
      <c r="AC85" t="n">
        <v>0.0</v>
      </c>
      <c r="AD85" t="n">
        <v>0.0</v>
      </c>
      <c r="AE85" t="n">
        <v>0.0</v>
      </c>
      <c r="AF85" t="n">
        <v>54000.0</v>
      </c>
      <c r="AG85" t="n">
        <v>0.0</v>
      </c>
      <c r="AH85" t="n">
        <v>0.0</v>
      </c>
      <c r="AI85" t="n">
        <v>0.0</v>
      </c>
      <c r="AJ85" t="n">
        <v>0.0</v>
      </c>
      <c r="AK85" t="n">
        <v>0.0</v>
      </c>
      <c r="AL85" t="n">
        <v>0.0</v>
      </c>
      <c r="AM85" t="n">
        <v>0.0</v>
      </c>
      <c r="AN85" t="n">
        <v>0.0</v>
      </c>
      <c r="AO85" t="n">
        <v>589286.0</v>
      </c>
      <c r="AP85" t="n">
        <v>58929.0</v>
      </c>
      <c r="AQ85" t="n">
        <v>46575.7</v>
      </c>
      <c r="CH85">
        <f>IFERROR(U85*1,0)</f>
      </c>
    </row>
    <row r="86">
      <c r="A86" t="n">
        <v>2.0</v>
      </c>
      <c r="B86">
        <f>IF((K86-G86-H86&gt;2400000),10,(L86/(K86-G86-H86)*100))</f>
      </c>
      <c r="C86">
        <f>IF(N86&gt;2400000,240000,(N86*S86)/100)</f>
      </c>
      <c r="D86">
        <f>IF(S86=0,0,IF((N86-I86)&gt;2400000,((((((N86-I86-J86)-240000))*0.1+(I86+J86)*0.1)))-7000,((((((N86-I86-J86)-(N86-I86-J86)*S86/100)))*0.1+(I86+J86)*0.1)-7000)))</f>
      </c>
      <c r="E86">
        <f>C86-O86</f>
      </c>
      <c r="F86">
        <f>D86-P86</f>
      </c>
      <c r="G86">
        <f>SUMIF(negtgel!U$2:BL$2,'Tsalin uzuulelt'!B$1,negtgel!U86:BL86) + SUMIF(negtgel!U$2:BL$2,'Tsalin uzuulelt'!B$2,negtgel!U86:BL86)+SUMIF(negtgel!U$2:BL$2,'Tsalin uzuulelt'!B$3,negtgel!U86:BL86)+SUMIF(negtgel!U$2:BL$2,'Tsalin uzuulelt'!B$4,negtgel!U86:BL86)+SUMIF(negtgel!U$2:BL$2,'Tsalin uzuulelt'!B$5,negtgel!U86:BL86)</f>
      </c>
      <c r="H86">
        <f>SUMIF(negtgel!U$2:BL$2,'Tsalin uzuulelt'!F$1,negtgel!U86:BL86) + SUMIF(negtgel!U$2:BL$2,'Tsalin uzuulelt'!F$2,negtgel!U86:BL86)+SUMIF(negtgel!U$2:BL$2,'Tsalin uzuulelt'!F$3,negtgel!U86:BL86)+SUMIF(negtgel!U$2:BL$2,'Tsalin uzuulelt'!F$4,negtgel!U86:BL86)+SUMIF(negtgel!U$2:BL$2,'Tsalin uzuulelt'!F$5,negtgel!U86:BL86)</f>
      </c>
      <c r="I86">
        <f>SUMIF(negtgel!U$2:BL$2,'Tsalin uzuulelt'!H$1,negtgel!U86:BL86) + SUMIF(negtgel!U$2:BL$2,'Tsalin uzuulelt'!H$2,negtgel!U86:BL86)+SUMIF(negtgel!U$2:BL$2,'Tsalin uzuulelt'!H$3,negtgel!U86:BL86)+SUMIF(negtgel!U$2:BL$2,'Tsalin uzuulelt'!H$4,negtgel!U86:BL86)+SUMIF(negtgel!U$2:BL$2,'Tsalin uzuulelt'!H$5,negtgel!U86:BL86)</f>
      </c>
      <c r="J86">
        <f>SUMIF(negtgel!U$2:BL$2,'Tsalin uzuulelt'!J$1,negtgel!U86:BL86) + SUMIF(negtgel!U$2:BL$2,'Tsalin uzuulelt'!J$2,negtgel!U86:BL86)+SUMIF(negtgel!U$2:BL$2,'Tsalin uzuulelt'!J$3,negtgel!U86:BL86)+SUMIF(negtgel!U$2:BL$2,'Tsalin uzuulelt'!J$4,negtgel!U86:BL86)+SUMIF(negtgel!U$2:BL$2,'Tsalin uzuulelt'!J$5,negtgel!U86:BL86)</f>
      </c>
      <c r="K86">
        <f>SUMIF(negtgel!U$2:BL$2,'Tsalin uzuulelt'!L$1,negtgel!U86:BL86) + SUMIF(negtgel!U$2:BL$2,'Tsalin uzuulelt'!L$2,negtgel!U86:BL86)+SUMIF(negtgel!U$2:BL$2,'Tsalin uzuulelt'!L$3,negtgel!U86:BL86)+SUMIF(negtgel!U$2:BL$2,'Tsalin uzuulelt'!L$4,negtgel!U86:BL86)+SUMIF(negtgel!U$2:BL$2,'Tsalin uzuulelt'!L$5,negtgel!U86:BL86)</f>
      </c>
      <c r="L86">
        <f>SUMIF(negtgel!U$2:BL$2,'Tsalin uzuulelt'!N$1,negtgel!U86:BL86) + SUMIF(negtgel!U$2:BL$2,'Tsalin uzuulelt'!N$2,negtgel!U86:BL86)+SUMIF(negtgel!U$2:BL$2,'Tsalin uzuulelt'!N$3,negtgel!U86:BL86)+SUMIF(negtgel!U$2:BL$2,'Tsalin uzuulelt'!N$4,negtgel!U86:BL86)+SUMIF(negtgel!U$2:BL$2,'Tsalin uzuulelt'!N$5,negtgel!U86:BL86)</f>
      </c>
      <c r="M86">
        <f>SUMIF(negtgel!U$2:BL$2,'Tsalin uzuulelt'!P$1,negtgel!U86:BL86) + SUMIF(negtgel!U$2:BL$2,'Tsalin uzuulelt'!P$2,negtgel!U86:BL86)+ SUMIF(negtgel!U$2:BL$2,'Tsalin uzuulelt'!P$3,negtgel!U86:BL86)+ SUMIF(negtgel!U$2:BL$2,'Tsalin uzuulelt'!P$4,negtgel!U86:BL86)+ SUMIF(negtgel!U$2:BL$2,'Tsalin uzuulelt'!P$5,negtgel!U86:BL86)</f>
      </c>
      <c r="N86">
        <f>IF(ISNUMBER(U86*1)=CF86,0,K86-H86-G86)</f>
      </c>
      <c r="O86">
        <f>IF(ISNUMBER(U86*1)=CF86,0,L86)</f>
      </c>
      <c r="P86">
        <f>IF(ISNUMBER(U86*1)=CF86,0,M86)</f>
      </c>
      <c r="Q86">
        <f>IF(N86&gt;2400000,N86,0)</f>
      </c>
      <c r="R86">
        <f>IF(L86/Q86*100&lt;3,2,10)</f>
      </c>
      <c r="S86">
        <f>IF(CH86=0,0,IF(B86&gt;9,10,IF(B86&gt;8,B86,IF(B86&gt;7.7,7.8,IF(B86&gt;3,B86,IF(B86&gt;1.5,2))))))</f>
      </c>
      <c r="T86">
        <f>IF(Q86=0,S86,R86)</f>
      </c>
      <c r="U86" t="n">
        <v>52.0</v>
      </c>
      <c r="V86" t="s">
        <v>3799</v>
      </c>
      <c r="W86" t="s">
        <v>3785</v>
      </c>
      <c r="X86" t="n">
        <v>795935.0</v>
      </c>
      <c r="Y86" t="n">
        <v>795935.0</v>
      </c>
      <c r="Z86" t="n">
        <v>119390.0</v>
      </c>
      <c r="AA86" t="n">
        <v>159187.0</v>
      </c>
      <c r="AB86" t="n">
        <v>0.0</v>
      </c>
      <c r="AC86" t="n">
        <v>0.0</v>
      </c>
      <c r="AD86" t="n">
        <v>0.0</v>
      </c>
      <c r="AE86" t="n">
        <v>0.0</v>
      </c>
      <c r="AF86" t="n">
        <v>54000.0</v>
      </c>
      <c r="AG86" t="n">
        <v>0.0</v>
      </c>
      <c r="AH86" t="n">
        <v>0.0</v>
      </c>
      <c r="AI86" t="n">
        <v>0.0</v>
      </c>
      <c r="AJ86" t="n">
        <v>0.0</v>
      </c>
      <c r="AK86" t="n">
        <v>0.0</v>
      </c>
      <c r="AL86" t="n">
        <v>0.0</v>
      </c>
      <c r="AM86" t="n">
        <v>0.0</v>
      </c>
      <c r="AN86" t="n">
        <v>0.0</v>
      </c>
      <c r="AO86" t="n">
        <v>1128512.0</v>
      </c>
      <c r="AP86" t="n">
        <v>112851.0</v>
      </c>
      <c r="AQ86" t="n">
        <v>95106.1</v>
      </c>
      <c r="CH86">
        <f>IFERROR(U86*1,0)</f>
      </c>
    </row>
    <row r="87">
      <c r="A87" t="n">
        <v>2.0</v>
      </c>
      <c r="B87">
        <f>IF((K87-G87-H87&gt;2400000),10,(L87/(K87-G87-H87)*100))</f>
      </c>
      <c r="C87">
        <f>IF(N87&gt;2400000,240000,(N87*S87)/100)</f>
      </c>
      <c r="D87">
        <f>IF(S87=0,0,IF((N87-I87)&gt;2400000,((((((N87-I87-J87)-240000))*0.1+(I87+J87)*0.1)))-7000,((((((N87-I87-J87)-(N87-I87-J87)*S87/100)))*0.1+(I87+J87)*0.1)-7000)))</f>
      </c>
      <c r="E87">
        <f>C87-O87</f>
      </c>
      <c r="F87">
        <f>D87-P87</f>
      </c>
      <c r="G87">
        <f>SUMIF(negtgel!U$2:BL$2,'Tsalin uzuulelt'!B$1,negtgel!U87:BL87) + SUMIF(negtgel!U$2:BL$2,'Tsalin uzuulelt'!B$2,negtgel!U87:BL87)+SUMIF(negtgel!U$2:BL$2,'Tsalin uzuulelt'!B$3,negtgel!U87:BL87)+SUMIF(negtgel!U$2:BL$2,'Tsalin uzuulelt'!B$4,negtgel!U87:BL87)+SUMIF(negtgel!U$2:BL$2,'Tsalin uzuulelt'!B$5,negtgel!U87:BL87)</f>
      </c>
      <c r="H87">
        <f>SUMIF(negtgel!U$2:BL$2,'Tsalin uzuulelt'!F$1,negtgel!U87:BL87) + SUMIF(negtgel!U$2:BL$2,'Tsalin uzuulelt'!F$2,negtgel!U87:BL87)+SUMIF(negtgel!U$2:BL$2,'Tsalin uzuulelt'!F$3,negtgel!U87:BL87)+SUMIF(negtgel!U$2:BL$2,'Tsalin uzuulelt'!F$4,negtgel!U87:BL87)+SUMIF(negtgel!U$2:BL$2,'Tsalin uzuulelt'!F$5,negtgel!U87:BL87)</f>
      </c>
      <c r="I87">
        <f>SUMIF(negtgel!U$2:BL$2,'Tsalin uzuulelt'!H$1,negtgel!U87:BL87) + SUMIF(negtgel!U$2:BL$2,'Tsalin uzuulelt'!H$2,negtgel!U87:BL87)+SUMIF(negtgel!U$2:BL$2,'Tsalin uzuulelt'!H$3,negtgel!U87:BL87)+SUMIF(negtgel!U$2:BL$2,'Tsalin uzuulelt'!H$4,negtgel!U87:BL87)+SUMIF(negtgel!U$2:BL$2,'Tsalin uzuulelt'!H$5,negtgel!U87:BL87)</f>
      </c>
      <c r="J87">
        <f>SUMIF(negtgel!U$2:BL$2,'Tsalin uzuulelt'!J$1,negtgel!U87:BL87) + SUMIF(negtgel!U$2:BL$2,'Tsalin uzuulelt'!J$2,negtgel!U87:BL87)+SUMIF(negtgel!U$2:BL$2,'Tsalin uzuulelt'!J$3,negtgel!U87:BL87)+SUMIF(negtgel!U$2:BL$2,'Tsalin uzuulelt'!J$4,negtgel!U87:BL87)+SUMIF(negtgel!U$2:BL$2,'Tsalin uzuulelt'!J$5,negtgel!U87:BL87)</f>
      </c>
      <c r="K87">
        <f>SUMIF(negtgel!U$2:BL$2,'Tsalin uzuulelt'!L$1,negtgel!U87:BL87) + SUMIF(negtgel!U$2:BL$2,'Tsalin uzuulelt'!L$2,negtgel!U87:BL87)+SUMIF(negtgel!U$2:BL$2,'Tsalin uzuulelt'!L$3,negtgel!U87:BL87)+SUMIF(negtgel!U$2:BL$2,'Tsalin uzuulelt'!L$4,negtgel!U87:BL87)+SUMIF(negtgel!U$2:BL$2,'Tsalin uzuulelt'!L$5,negtgel!U87:BL87)</f>
      </c>
      <c r="L87">
        <f>SUMIF(negtgel!U$2:BL$2,'Tsalin uzuulelt'!N$1,negtgel!U87:BL87) + SUMIF(negtgel!U$2:BL$2,'Tsalin uzuulelt'!N$2,negtgel!U87:BL87)+SUMIF(negtgel!U$2:BL$2,'Tsalin uzuulelt'!N$3,negtgel!U87:BL87)+SUMIF(negtgel!U$2:BL$2,'Tsalin uzuulelt'!N$4,negtgel!U87:BL87)+SUMIF(negtgel!U$2:BL$2,'Tsalin uzuulelt'!N$5,negtgel!U87:BL87)</f>
      </c>
      <c r="M87">
        <f>SUMIF(negtgel!U$2:BL$2,'Tsalin uzuulelt'!P$1,negtgel!U87:BL87) + SUMIF(negtgel!U$2:BL$2,'Tsalin uzuulelt'!P$2,negtgel!U87:BL87)+ SUMIF(negtgel!U$2:BL$2,'Tsalin uzuulelt'!P$3,negtgel!U87:BL87)+ SUMIF(negtgel!U$2:BL$2,'Tsalin uzuulelt'!P$4,negtgel!U87:BL87)+ SUMIF(negtgel!U$2:BL$2,'Tsalin uzuulelt'!P$5,negtgel!U87:BL87)</f>
      </c>
      <c r="N87">
        <f>IF(ISNUMBER(U87*1)=CF87,0,K87-H87-G87)</f>
      </c>
      <c r="O87">
        <f>IF(ISNUMBER(U87*1)=CF87,0,L87)</f>
      </c>
      <c r="P87">
        <f>IF(ISNUMBER(U87*1)=CF87,0,M87)</f>
      </c>
      <c r="Q87">
        <f>IF(N87&gt;2400000,N87,0)</f>
      </c>
      <c r="R87">
        <f>IF(L87/Q87*100&lt;3,2,10)</f>
      </c>
      <c r="S87">
        <f>IF(CH87=0,0,IF(B87&gt;9,10,IF(B87&gt;8,B87,IF(B87&gt;7.7,7.8,IF(B87&gt;3,B87,IF(B87&gt;1.5,2))))))</f>
      </c>
      <c r="T87">
        <f>IF(Q87=0,S87,R87)</f>
      </c>
      <c r="U87" t="n">
        <v>53.0</v>
      </c>
      <c r="V87" t="s">
        <v>3800</v>
      </c>
      <c r="W87" t="s">
        <v>3790</v>
      </c>
      <c r="X87" t="n">
        <v>613669.0</v>
      </c>
      <c r="Y87" t="n">
        <v>613669.0</v>
      </c>
      <c r="Z87" t="n">
        <v>92050.0</v>
      </c>
      <c r="AA87" t="n">
        <v>122734.0</v>
      </c>
      <c r="AB87" t="n">
        <v>0.0</v>
      </c>
      <c r="AC87" t="n">
        <v>0.0</v>
      </c>
      <c r="AD87" t="n">
        <v>0.0</v>
      </c>
      <c r="AE87" t="n">
        <v>0.0</v>
      </c>
      <c r="AF87" t="n">
        <v>54000.0</v>
      </c>
      <c r="AG87" t="n">
        <v>0.0</v>
      </c>
      <c r="AH87" t="n">
        <v>0.0</v>
      </c>
      <c r="AI87" t="n">
        <v>0.0</v>
      </c>
      <c r="AJ87" t="n">
        <v>0.0</v>
      </c>
      <c r="AK87" t="n">
        <v>0.0</v>
      </c>
      <c r="AL87" t="n">
        <v>0.0</v>
      </c>
      <c r="AM87" t="n">
        <v>0.0</v>
      </c>
      <c r="AN87" t="n">
        <v>0.0</v>
      </c>
      <c r="AO87" t="n">
        <v>882453.0</v>
      </c>
      <c r="AP87" t="n">
        <v>88246.0</v>
      </c>
      <c r="AQ87" t="n">
        <v>72960.8</v>
      </c>
      <c r="CH87">
        <f>IFERROR(U87*1,0)</f>
      </c>
    </row>
    <row r="88">
      <c r="A88" t="n">
        <v>2.0</v>
      </c>
      <c r="B88">
        <f>IF((K88-G88-H88&gt;2400000),10,(L88/(K88-G88-H88)*100))</f>
      </c>
      <c r="C88">
        <f>IF(N88&gt;2400000,240000,(N88*S88)/100)</f>
      </c>
      <c r="D88">
        <f>IF(S88=0,0,IF((N88-I88)&gt;2400000,((((((N88-I88-J88)-240000))*0.1+(I88+J88)*0.1)))-7000,((((((N88-I88-J88)-(N88-I88-J88)*S88/100)))*0.1+(I88+J88)*0.1)-7000)))</f>
      </c>
      <c r="E88">
        <f>C88-O88</f>
      </c>
      <c r="F88">
        <f>D88-P88</f>
      </c>
      <c r="G88">
        <f>SUMIF(negtgel!U$2:BL$2,'Tsalin uzuulelt'!B$1,negtgel!U88:BL88) + SUMIF(negtgel!U$2:BL$2,'Tsalin uzuulelt'!B$2,negtgel!U88:BL88)+SUMIF(negtgel!U$2:BL$2,'Tsalin uzuulelt'!B$3,negtgel!U88:BL88)+SUMIF(negtgel!U$2:BL$2,'Tsalin uzuulelt'!B$4,negtgel!U88:BL88)+SUMIF(negtgel!U$2:BL$2,'Tsalin uzuulelt'!B$5,negtgel!U88:BL88)</f>
      </c>
      <c r="H88">
        <f>SUMIF(negtgel!U$2:BL$2,'Tsalin uzuulelt'!F$1,negtgel!U88:BL88) + SUMIF(negtgel!U$2:BL$2,'Tsalin uzuulelt'!F$2,negtgel!U88:BL88)+SUMIF(negtgel!U$2:BL$2,'Tsalin uzuulelt'!F$3,negtgel!U88:BL88)+SUMIF(negtgel!U$2:BL$2,'Tsalin uzuulelt'!F$4,negtgel!U88:BL88)+SUMIF(negtgel!U$2:BL$2,'Tsalin uzuulelt'!F$5,negtgel!U88:BL88)</f>
      </c>
      <c r="I88">
        <f>SUMIF(negtgel!U$2:BL$2,'Tsalin uzuulelt'!H$1,negtgel!U88:BL88) + SUMIF(negtgel!U$2:BL$2,'Tsalin uzuulelt'!H$2,negtgel!U88:BL88)+SUMIF(negtgel!U$2:BL$2,'Tsalin uzuulelt'!H$3,negtgel!U88:BL88)+SUMIF(negtgel!U$2:BL$2,'Tsalin uzuulelt'!H$4,negtgel!U88:BL88)+SUMIF(negtgel!U$2:BL$2,'Tsalin uzuulelt'!H$5,negtgel!U88:BL88)</f>
      </c>
      <c r="J88">
        <f>SUMIF(negtgel!U$2:BL$2,'Tsalin uzuulelt'!J$1,negtgel!U88:BL88) + SUMIF(negtgel!U$2:BL$2,'Tsalin uzuulelt'!J$2,negtgel!U88:BL88)+SUMIF(negtgel!U$2:BL$2,'Tsalin uzuulelt'!J$3,negtgel!U88:BL88)+SUMIF(negtgel!U$2:BL$2,'Tsalin uzuulelt'!J$4,negtgel!U88:BL88)+SUMIF(negtgel!U$2:BL$2,'Tsalin uzuulelt'!J$5,negtgel!U88:BL88)</f>
      </c>
      <c r="K88">
        <f>SUMIF(negtgel!U$2:BL$2,'Tsalin uzuulelt'!L$1,negtgel!U88:BL88) + SUMIF(negtgel!U$2:BL$2,'Tsalin uzuulelt'!L$2,negtgel!U88:BL88)+SUMIF(negtgel!U$2:BL$2,'Tsalin uzuulelt'!L$3,negtgel!U88:BL88)+SUMIF(negtgel!U$2:BL$2,'Tsalin uzuulelt'!L$4,negtgel!U88:BL88)+SUMIF(negtgel!U$2:BL$2,'Tsalin uzuulelt'!L$5,negtgel!U88:BL88)</f>
      </c>
      <c r="L88">
        <f>SUMIF(negtgel!U$2:BL$2,'Tsalin uzuulelt'!N$1,negtgel!U88:BL88) + SUMIF(negtgel!U$2:BL$2,'Tsalin uzuulelt'!N$2,negtgel!U88:BL88)+SUMIF(negtgel!U$2:BL$2,'Tsalin uzuulelt'!N$3,negtgel!U88:BL88)+SUMIF(negtgel!U$2:BL$2,'Tsalin uzuulelt'!N$4,negtgel!U88:BL88)+SUMIF(negtgel!U$2:BL$2,'Tsalin uzuulelt'!N$5,negtgel!U88:BL88)</f>
      </c>
      <c r="M88">
        <f>SUMIF(negtgel!U$2:BL$2,'Tsalin uzuulelt'!P$1,negtgel!U88:BL88) + SUMIF(negtgel!U$2:BL$2,'Tsalin uzuulelt'!P$2,negtgel!U88:BL88)+ SUMIF(negtgel!U$2:BL$2,'Tsalin uzuulelt'!P$3,negtgel!U88:BL88)+ SUMIF(negtgel!U$2:BL$2,'Tsalin uzuulelt'!P$4,negtgel!U88:BL88)+ SUMIF(negtgel!U$2:BL$2,'Tsalin uzuulelt'!P$5,negtgel!U88:BL88)</f>
      </c>
      <c r="N88">
        <f>IF(ISNUMBER(U88*1)=CF88,0,K88-H88-G88)</f>
      </c>
      <c r="O88">
        <f>IF(ISNUMBER(U88*1)=CF88,0,L88)</f>
      </c>
      <c r="P88">
        <f>IF(ISNUMBER(U88*1)=CF88,0,M88)</f>
      </c>
      <c r="Q88">
        <f>IF(N88&gt;2400000,N88,0)</f>
      </c>
      <c r="R88">
        <f>IF(L88/Q88*100&lt;3,2,10)</f>
      </c>
      <c r="S88">
        <f>IF(CH88=0,0,IF(B88&gt;9,10,IF(B88&gt;8,B88,IF(B88&gt;7.7,7.8,IF(B88&gt;3,B88,IF(B88&gt;1.5,2))))))</f>
      </c>
      <c r="T88">
        <f>IF(Q88=0,S88,R88)</f>
      </c>
      <c r="U88" t="n">
        <v>54.0</v>
      </c>
      <c r="V88" t="s">
        <v>3801</v>
      </c>
      <c r="W88" t="s">
        <v>3790</v>
      </c>
      <c r="X88" t="n">
        <v>580710.0</v>
      </c>
      <c r="Y88" t="n">
        <v>580710.0</v>
      </c>
      <c r="Z88" t="n">
        <v>0.0</v>
      </c>
      <c r="AA88" t="n">
        <v>0.0</v>
      </c>
      <c r="AB88" t="n">
        <v>0.0</v>
      </c>
      <c r="AC88" t="n">
        <v>0.0</v>
      </c>
      <c r="AD88" t="n">
        <v>0.0</v>
      </c>
      <c r="AE88" t="n">
        <v>0.0</v>
      </c>
      <c r="AF88" t="n">
        <v>54000.0</v>
      </c>
      <c r="AG88" t="n">
        <v>0.0</v>
      </c>
      <c r="AH88" t="n">
        <v>0.0</v>
      </c>
      <c r="AI88" t="n">
        <v>0.0</v>
      </c>
      <c r="AJ88" t="n">
        <v>0.0</v>
      </c>
      <c r="AK88" t="n">
        <v>0.0</v>
      </c>
      <c r="AL88" t="n">
        <v>0.0</v>
      </c>
      <c r="AM88" t="n">
        <v>0.0</v>
      </c>
      <c r="AN88" t="n">
        <v>0.0</v>
      </c>
      <c r="AO88" t="n">
        <v>634710.0</v>
      </c>
      <c r="AP88" t="n">
        <v>63471.0</v>
      </c>
      <c r="AQ88" t="n">
        <v>50663.9</v>
      </c>
      <c r="CH88">
        <f>IFERROR(U88*1,0)</f>
      </c>
    </row>
    <row r="89">
      <c r="A89" t="n">
        <v>2.0</v>
      </c>
      <c r="B89">
        <f>IF((K89-G89-H89&gt;2400000),10,(L89/(K89-G89-H89)*100))</f>
      </c>
      <c r="C89">
        <f>IF(N89&gt;2400000,240000,(N89*S89)/100)</f>
      </c>
      <c r="D89">
        <f>IF(S89=0,0,IF((N89-I89)&gt;2400000,((((((N89-I89-J89)-240000))*0.1+(I89+J89)*0.1)))-7000,((((((N89-I89-J89)-(N89-I89-J89)*S89/100)))*0.1+(I89+J89)*0.1)-7000)))</f>
      </c>
      <c r="E89">
        <f>C89-O89</f>
      </c>
      <c r="F89">
        <f>D89-P89</f>
      </c>
      <c r="G89">
        <f>SUMIF(negtgel!U$2:BL$2,'Tsalin uzuulelt'!B$1,negtgel!U89:BL89) + SUMIF(negtgel!U$2:BL$2,'Tsalin uzuulelt'!B$2,negtgel!U89:BL89)+SUMIF(negtgel!U$2:BL$2,'Tsalin uzuulelt'!B$3,negtgel!U89:BL89)+SUMIF(negtgel!U$2:BL$2,'Tsalin uzuulelt'!B$4,negtgel!U89:BL89)+SUMIF(negtgel!U$2:BL$2,'Tsalin uzuulelt'!B$5,negtgel!U89:BL89)</f>
      </c>
      <c r="H89">
        <f>SUMIF(negtgel!U$2:BL$2,'Tsalin uzuulelt'!F$1,negtgel!U89:BL89) + SUMIF(negtgel!U$2:BL$2,'Tsalin uzuulelt'!F$2,negtgel!U89:BL89)+SUMIF(negtgel!U$2:BL$2,'Tsalin uzuulelt'!F$3,negtgel!U89:BL89)+SUMIF(negtgel!U$2:BL$2,'Tsalin uzuulelt'!F$4,negtgel!U89:BL89)+SUMIF(negtgel!U$2:BL$2,'Tsalin uzuulelt'!F$5,negtgel!U89:BL89)</f>
      </c>
      <c r="I89">
        <f>SUMIF(negtgel!U$2:BL$2,'Tsalin uzuulelt'!H$1,negtgel!U89:BL89) + SUMIF(negtgel!U$2:BL$2,'Tsalin uzuulelt'!H$2,negtgel!U89:BL89)+SUMIF(negtgel!U$2:BL$2,'Tsalin uzuulelt'!H$3,negtgel!U89:BL89)+SUMIF(negtgel!U$2:BL$2,'Tsalin uzuulelt'!H$4,negtgel!U89:BL89)+SUMIF(negtgel!U$2:BL$2,'Tsalin uzuulelt'!H$5,negtgel!U89:BL89)</f>
      </c>
      <c r="J89">
        <f>SUMIF(negtgel!U$2:BL$2,'Tsalin uzuulelt'!J$1,negtgel!U89:BL89) + SUMIF(negtgel!U$2:BL$2,'Tsalin uzuulelt'!J$2,negtgel!U89:BL89)+SUMIF(negtgel!U$2:BL$2,'Tsalin uzuulelt'!J$3,negtgel!U89:BL89)+SUMIF(negtgel!U$2:BL$2,'Tsalin uzuulelt'!J$4,negtgel!U89:BL89)+SUMIF(negtgel!U$2:BL$2,'Tsalin uzuulelt'!J$5,negtgel!U89:BL89)</f>
      </c>
      <c r="K89">
        <f>SUMIF(negtgel!U$2:BL$2,'Tsalin uzuulelt'!L$1,negtgel!U89:BL89) + SUMIF(negtgel!U$2:BL$2,'Tsalin uzuulelt'!L$2,negtgel!U89:BL89)+SUMIF(negtgel!U$2:BL$2,'Tsalin uzuulelt'!L$3,negtgel!U89:BL89)+SUMIF(negtgel!U$2:BL$2,'Tsalin uzuulelt'!L$4,negtgel!U89:BL89)+SUMIF(negtgel!U$2:BL$2,'Tsalin uzuulelt'!L$5,negtgel!U89:BL89)</f>
      </c>
      <c r="L89">
        <f>SUMIF(negtgel!U$2:BL$2,'Tsalin uzuulelt'!N$1,negtgel!U89:BL89) + SUMIF(negtgel!U$2:BL$2,'Tsalin uzuulelt'!N$2,negtgel!U89:BL89)+SUMIF(negtgel!U$2:BL$2,'Tsalin uzuulelt'!N$3,negtgel!U89:BL89)+SUMIF(negtgel!U$2:BL$2,'Tsalin uzuulelt'!N$4,negtgel!U89:BL89)+SUMIF(negtgel!U$2:BL$2,'Tsalin uzuulelt'!N$5,negtgel!U89:BL89)</f>
      </c>
      <c r="M89">
        <f>SUMIF(negtgel!U$2:BL$2,'Tsalin uzuulelt'!P$1,negtgel!U89:BL89) + SUMIF(negtgel!U$2:BL$2,'Tsalin uzuulelt'!P$2,negtgel!U89:BL89)+ SUMIF(negtgel!U$2:BL$2,'Tsalin uzuulelt'!P$3,negtgel!U89:BL89)+ SUMIF(negtgel!U$2:BL$2,'Tsalin uzuulelt'!P$4,negtgel!U89:BL89)+ SUMIF(negtgel!U$2:BL$2,'Tsalin uzuulelt'!P$5,negtgel!U89:BL89)</f>
      </c>
      <c r="N89">
        <f>IF(ISNUMBER(U89*1)=CF89,0,K89-H89-G89)</f>
      </c>
      <c r="O89">
        <f>IF(ISNUMBER(U89*1)=CF89,0,L89)</f>
      </c>
      <c r="P89">
        <f>IF(ISNUMBER(U89*1)=CF89,0,M89)</f>
      </c>
      <c r="Q89">
        <f>IF(N89&gt;2400000,N89,0)</f>
      </c>
      <c r="R89">
        <f>IF(L89/Q89*100&lt;3,2,10)</f>
      </c>
      <c r="S89">
        <f>IF(CH89=0,0,IF(B89&gt;9,10,IF(B89&gt;8,B89,IF(B89&gt;7.7,7.8,IF(B89&gt;3,B89,IF(B89&gt;1.5,2))))))</f>
      </c>
      <c r="T89">
        <f>IF(Q89=0,S89,R89)</f>
      </c>
      <c r="U89" t="n">
        <v>55.0</v>
      </c>
      <c r="V89" t="s">
        <v>3802</v>
      </c>
      <c r="W89" t="s">
        <v>3792</v>
      </c>
      <c r="X89" t="n">
        <v>535286.0</v>
      </c>
      <c r="Y89" t="n">
        <v>535286.0</v>
      </c>
      <c r="Z89" t="n">
        <v>0.0</v>
      </c>
      <c r="AA89" t="n">
        <v>0.0</v>
      </c>
      <c r="AB89" t="n">
        <v>0.0</v>
      </c>
      <c r="AC89" t="n">
        <v>0.0</v>
      </c>
      <c r="AD89" t="n">
        <v>0.0</v>
      </c>
      <c r="AE89" t="n">
        <v>0.0</v>
      </c>
      <c r="AF89" t="n">
        <v>54000.0</v>
      </c>
      <c r="AG89" t="n">
        <v>0.0</v>
      </c>
      <c r="AH89" t="n">
        <v>0.0</v>
      </c>
      <c r="AI89" t="n">
        <v>0.0</v>
      </c>
      <c r="AJ89" t="n">
        <v>0.0</v>
      </c>
      <c r="AK89" t="n">
        <v>0.0</v>
      </c>
      <c r="AL89" t="n">
        <v>0.0</v>
      </c>
      <c r="AM89" t="n">
        <v>0.0</v>
      </c>
      <c r="AN89" t="n">
        <v>0.0</v>
      </c>
      <c r="AO89" t="n">
        <v>589286.0</v>
      </c>
      <c r="AP89" t="n">
        <v>58929.0</v>
      </c>
      <c r="AQ89" t="n">
        <v>46575.7</v>
      </c>
      <c r="CH89">
        <f>IFERROR(U89*1,0)</f>
      </c>
    </row>
    <row r="90">
      <c r="A90" t="n">
        <v>2.0</v>
      </c>
      <c r="B90">
        <f>IF((K90-G90-H90&gt;2400000),10,(L90/(K90-G90-H90)*100))</f>
      </c>
      <c r="C90">
        <f>IF(N90&gt;2400000,240000,(N90*S90)/100)</f>
      </c>
      <c r="D90">
        <f>IF(S90=0,0,IF((N90-I90)&gt;2400000,((((((N90-I90-J90)-240000))*0.1+(I90+J90)*0.1)))-7000,((((((N90-I90-J90)-(N90-I90-J90)*S90/100)))*0.1+(I90+J90)*0.1)-7000)))</f>
      </c>
      <c r="E90">
        <f>C90-O90</f>
      </c>
      <c r="F90">
        <f>D90-P90</f>
      </c>
      <c r="G90">
        <f>SUMIF(negtgel!U$2:BL$2,'Tsalin uzuulelt'!B$1,negtgel!U90:BL90) + SUMIF(negtgel!U$2:BL$2,'Tsalin uzuulelt'!B$2,negtgel!U90:BL90)+SUMIF(negtgel!U$2:BL$2,'Tsalin uzuulelt'!B$3,negtgel!U90:BL90)+SUMIF(negtgel!U$2:BL$2,'Tsalin uzuulelt'!B$4,negtgel!U90:BL90)+SUMIF(negtgel!U$2:BL$2,'Tsalin uzuulelt'!B$5,negtgel!U90:BL90)</f>
      </c>
      <c r="H90">
        <f>SUMIF(negtgel!U$2:BL$2,'Tsalin uzuulelt'!F$1,negtgel!U90:BL90) + SUMIF(negtgel!U$2:BL$2,'Tsalin uzuulelt'!F$2,negtgel!U90:BL90)+SUMIF(negtgel!U$2:BL$2,'Tsalin uzuulelt'!F$3,negtgel!U90:BL90)+SUMIF(negtgel!U$2:BL$2,'Tsalin uzuulelt'!F$4,negtgel!U90:BL90)+SUMIF(negtgel!U$2:BL$2,'Tsalin uzuulelt'!F$5,negtgel!U90:BL90)</f>
      </c>
      <c r="I90">
        <f>SUMIF(negtgel!U$2:BL$2,'Tsalin uzuulelt'!H$1,negtgel!U90:BL90) + SUMIF(negtgel!U$2:BL$2,'Tsalin uzuulelt'!H$2,negtgel!U90:BL90)+SUMIF(negtgel!U$2:BL$2,'Tsalin uzuulelt'!H$3,negtgel!U90:BL90)+SUMIF(negtgel!U$2:BL$2,'Tsalin uzuulelt'!H$4,negtgel!U90:BL90)+SUMIF(negtgel!U$2:BL$2,'Tsalin uzuulelt'!H$5,negtgel!U90:BL90)</f>
      </c>
      <c r="J90">
        <f>SUMIF(negtgel!U$2:BL$2,'Tsalin uzuulelt'!J$1,negtgel!U90:BL90) + SUMIF(negtgel!U$2:BL$2,'Tsalin uzuulelt'!J$2,negtgel!U90:BL90)+SUMIF(negtgel!U$2:BL$2,'Tsalin uzuulelt'!J$3,negtgel!U90:BL90)+SUMIF(negtgel!U$2:BL$2,'Tsalin uzuulelt'!J$4,negtgel!U90:BL90)+SUMIF(negtgel!U$2:BL$2,'Tsalin uzuulelt'!J$5,negtgel!U90:BL90)</f>
      </c>
      <c r="K90">
        <f>SUMIF(negtgel!U$2:BL$2,'Tsalin uzuulelt'!L$1,negtgel!U90:BL90) + SUMIF(negtgel!U$2:BL$2,'Tsalin uzuulelt'!L$2,negtgel!U90:BL90)+SUMIF(negtgel!U$2:BL$2,'Tsalin uzuulelt'!L$3,negtgel!U90:BL90)+SUMIF(negtgel!U$2:BL$2,'Tsalin uzuulelt'!L$4,negtgel!U90:BL90)+SUMIF(negtgel!U$2:BL$2,'Tsalin uzuulelt'!L$5,negtgel!U90:BL90)</f>
      </c>
      <c r="L90">
        <f>SUMIF(negtgel!U$2:BL$2,'Tsalin uzuulelt'!N$1,negtgel!U90:BL90) + SUMIF(negtgel!U$2:BL$2,'Tsalin uzuulelt'!N$2,negtgel!U90:BL90)+SUMIF(negtgel!U$2:BL$2,'Tsalin uzuulelt'!N$3,negtgel!U90:BL90)+SUMIF(negtgel!U$2:BL$2,'Tsalin uzuulelt'!N$4,negtgel!U90:BL90)+SUMIF(negtgel!U$2:BL$2,'Tsalin uzuulelt'!N$5,negtgel!U90:BL90)</f>
      </c>
      <c r="M90">
        <f>SUMIF(negtgel!U$2:BL$2,'Tsalin uzuulelt'!P$1,negtgel!U90:BL90) + SUMIF(negtgel!U$2:BL$2,'Tsalin uzuulelt'!P$2,negtgel!U90:BL90)+ SUMIF(negtgel!U$2:BL$2,'Tsalin uzuulelt'!P$3,negtgel!U90:BL90)+ SUMIF(negtgel!U$2:BL$2,'Tsalin uzuulelt'!P$4,negtgel!U90:BL90)+ SUMIF(negtgel!U$2:BL$2,'Tsalin uzuulelt'!P$5,negtgel!U90:BL90)</f>
      </c>
      <c r="N90">
        <f>IF(ISNUMBER(U90*1)=CF90,0,K90-H90-G90)</f>
      </c>
      <c r="O90">
        <f>IF(ISNUMBER(U90*1)=CF90,0,L90)</f>
      </c>
      <c r="P90">
        <f>IF(ISNUMBER(U90*1)=CF90,0,M90)</f>
      </c>
      <c r="Q90">
        <f>IF(N90&gt;2400000,N90,0)</f>
      </c>
      <c r="R90">
        <f>IF(L90/Q90*100&lt;3,2,10)</f>
      </c>
      <c r="S90">
        <f>IF(CH90=0,0,IF(B90&gt;9,10,IF(B90&gt;8,B90,IF(B90&gt;7.7,7.8,IF(B90&gt;3,B90,IF(B90&gt;1.5,2))))))</f>
      </c>
      <c r="T90">
        <f>IF(Q90=0,S90,R90)</f>
      </c>
      <c r="U90" t="n">
        <v>56.0</v>
      </c>
      <c r="V90" t="s">
        <v>3803</v>
      </c>
      <c r="W90" t="s">
        <v>3790</v>
      </c>
      <c r="X90" t="n">
        <v>733863.0</v>
      </c>
      <c r="Y90" t="n">
        <v>733863.0</v>
      </c>
      <c r="Z90" t="n">
        <v>146773.0</v>
      </c>
      <c r="AA90" t="n">
        <v>146773.0</v>
      </c>
      <c r="AB90" t="n">
        <v>0.0</v>
      </c>
      <c r="AC90" t="n">
        <v>110079.0</v>
      </c>
      <c r="AD90" t="n">
        <v>0.0</v>
      </c>
      <c r="AE90" t="n">
        <v>0.0</v>
      </c>
      <c r="AF90" t="n">
        <v>54000.0</v>
      </c>
      <c r="AG90" t="n">
        <v>0.0</v>
      </c>
      <c r="AH90" t="n">
        <v>0.0</v>
      </c>
      <c r="AI90" t="n">
        <v>0.0</v>
      </c>
      <c r="AJ90" t="n">
        <v>0.0</v>
      </c>
      <c r="AK90" t="n">
        <v>0.0</v>
      </c>
      <c r="AL90" t="n">
        <v>0.0</v>
      </c>
      <c r="AM90" t="n">
        <v>0.0</v>
      </c>
      <c r="AN90" t="n">
        <v>0.0</v>
      </c>
      <c r="AO90" t="n">
        <v>1191488.0</v>
      </c>
      <c r="AP90" t="n">
        <v>119149.0</v>
      </c>
      <c r="AQ90" t="n">
        <v>100773.9</v>
      </c>
      <c r="CH90">
        <f>IFERROR(U90*1,0)</f>
      </c>
    </row>
    <row r="91">
      <c r="A91" t="n">
        <v>2.0</v>
      </c>
      <c r="B91">
        <f>IF((K91-G91-H91&gt;2400000),10,(L91/(K91-G91-H91)*100))</f>
      </c>
      <c r="C91">
        <f>IF(N91&gt;2400000,240000,(N91*S91)/100)</f>
      </c>
      <c r="D91">
        <f>IF(S91=0,0,IF((N91-I91)&gt;2400000,((((((N91-I91-J91)-240000))*0.1+(I91+J91)*0.1)))-7000,((((((N91-I91-J91)-(N91-I91-J91)*S91/100)))*0.1+(I91+J91)*0.1)-7000)))</f>
      </c>
      <c r="E91">
        <f>C91-O91</f>
      </c>
      <c r="F91">
        <f>D91-P91</f>
      </c>
      <c r="G91">
        <f>SUMIF(negtgel!U$2:BL$2,'Tsalin uzuulelt'!B$1,negtgel!U91:BL91) + SUMIF(negtgel!U$2:BL$2,'Tsalin uzuulelt'!B$2,negtgel!U91:BL91)+SUMIF(negtgel!U$2:BL$2,'Tsalin uzuulelt'!B$3,negtgel!U91:BL91)+SUMIF(negtgel!U$2:BL$2,'Tsalin uzuulelt'!B$4,negtgel!U91:BL91)+SUMIF(negtgel!U$2:BL$2,'Tsalin uzuulelt'!B$5,negtgel!U91:BL91)</f>
      </c>
      <c r="H91">
        <f>SUMIF(negtgel!U$2:BL$2,'Tsalin uzuulelt'!F$1,negtgel!U91:BL91) + SUMIF(negtgel!U$2:BL$2,'Tsalin uzuulelt'!F$2,negtgel!U91:BL91)+SUMIF(negtgel!U$2:BL$2,'Tsalin uzuulelt'!F$3,negtgel!U91:BL91)+SUMIF(negtgel!U$2:BL$2,'Tsalin uzuulelt'!F$4,negtgel!U91:BL91)+SUMIF(negtgel!U$2:BL$2,'Tsalin uzuulelt'!F$5,negtgel!U91:BL91)</f>
      </c>
      <c r="I91">
        <f>SUMIF(negtgel!U$2:BL$2,'Tsalin uzuulelt'!H$1,negtgel!U91:BL91) + SUMIF(negtgel!U$2:BL$2,'Tsalin uzuulelt'!H$2,negtgel!U91:BL91)+SUMIF(negtgel!U$2:BL$2,'Tsalin uzuulelt'!H$3,negtgel!U91:BL91)+SUMIF(negtgel!U$2:BL$2,'Tsalin uzuulelt'!H$4,negtgel!U91:BL91)+SUMIF(negtgel!U$2:BL$2,'Tsalin uzuulelt'!H$5,negtgel!U91:BL91)</f>
      </c>
      <c r="J91">
        <f>SUMIF(negtgel!U$2:BL$2,'Tsalin uzuulelt'!J$1,negtgel!U91:BL91) + SUMIF(negtgel!U$2:BL$2,'Tsalin uzuulelt'!J$2,negtgel!U91:BL91)+SUMIF(negtgel!U$2:BL$2,'Tsalin uzuulelt'!J$3,negtgel!U91:BL91)+SUMIF(negtgel!U$2:BL$2,'Tsalin uzuulelt'!J$4,negtgel!U91:BL91)+SUMIF(negtgel!U$2:BL$2,'Tsalin uzuulelt'!J$5,negtgel!U91:BL91)</f>
      </c>
      <c r="K91">
        <f>SUMIF(negtgel!U$2:BL$2,'Tsalin uzuulelt'!L$1,negtgel!U91:BL91) + SUMIF(negtgel!U$2:BL$2,'Tsalin uzuulelt'!L$2,negtgel!U91:BL91)+SUMIF(negtgel!U$2:BL$2,'Tsalin uzuulelt'!L$3,negtgel!U91:BL91)+SUMIF(negtgel!U$2:BL$2,'Tsalin uzuulelt'!L$4,negtgel!U91:BL91)+SUMIF(negtgel!U$2:BL$2,'Tsalin uzuulelt'!L$5,negtgel!U91:BL91)</f>
      </c>
      <c r="L91">
        <f>SUMIF(negtgel!U$2:BL$2,'Tsalin uzuulelt'!N$1,negtgel!U91:BL91) + SUMIF(negtgel!U$2:BL$2,'Tsalin uzuulelt'!N$2,negtgel!U91:BL91)+SUMIF(negtgel!U$2:BL$2,'Tsalin uzuulelt'!N$3,negtgel!U91:BL91)+SUMIF(negtgel!U$2:BL$2,'Tsalin uzuulelt'!N$4,negtgel!U91:BL91)+SUMIF(negtgel!U$2:BL$2,'Tsalin uzuulelt'!N$5,negtgel!U91:BL91)</f>
      </c>
      <c r="M91">
        <f>SUMIF(negtgel!U$2:BL$2,'Tsalin uzuulelt'!P$1,negtgel!U91:BL91) + SUMIF(negtgel!U$2:BL$2,'Tsalin uzuulelt'!P$2,negtgel!U91:BL91)+ SUMIF(negtgel!U$2:BL$2,'Tsalin uzuulelt'!P$3,negtgel!U91:BL91)+ SUMIF(negtgel!U$2:BL$2,'Tsalin uzuulelt'!P$4,negtgel!U91:BL91)+ SUMIF(negtgel!U$2:BL$2,'Tsalin uzuulelt'!P$5,negtgel!U91:BL91)</f>
      </c>
      <c r="N91">
        <f>IF(ISNUMBER(U91*1)=CF91,0,K91-H91-G91)</f>
      </c>
      <c r="O91">
        <f>IF(ISNUMBER(U91*1)=CF91,0,L91)</f>
      </c>
      <c r="P91">
        <f>IF(ISNUMBER(U91*1)=CF91,0,M91)</f>
      </c>
      <c r="Q91">
        <f>IF(N91&gt;2400000,N91,0)</f>
      </c>
      <c r="R91">
        <f>IF(L91/Q91*100&lt;3,2,10)</f>
      </c>
      <c r="S91">
        <f>IF(CH91=0,0,IF(B91&gt;9,10,IF(B91&gt;8,B91,IF(B91&gt;7.7,7.8,IF(B91&gt;3,B91,IF(B91&gt;1.5,2))))))</f>
      </c>
      <c r="T91">
        <f>IF(Q91=0,S91,R91)</f>
      </c>
      <c r="U91" t="s">
        <v>3787</v>
      </c>
      <c r="V91"/>
      <c r="W91"/>
      <c r="X91" t="n">
        <v>6168891.0</v>
      </c>
      <c r="Y91" t="n">
        <v>6168891.0</v>
      </c>
      <c r="Z91" t="n">
        <v>517900.0</v>
      </c>
      <c r="AA91" t="n">
        <v>738393.0</v>
      </c>
      <c r="AB91" t="n">
        <v>0.0</v>
      </c>
      <c r="AC91" t="n">
        <v>211694.0</v>
      </c>
      <c r="AD91" t="n">
        <v>0.0</v>
      </c>
      <c r="AE91" t="n">
        <v>0.0</v>
      </c>
      <c r="AF91" t="n">
        <v>540000.0</v>
      </c>
      <c r="AG91" t="n">
        <v>0.0</v>
      </c>
      <c r="AH91" t="n">
        <v>0.0</v>
      </c>
      <c r="AI91" t="n">
        <v>0.0</v>
      </c>
      <c r="AJ91" t="n">
        <v>0.0</v>
      </c>
      <c r="AK91" t="n">
        <v>0.0</v>
      </c>
      <c r="AL91" t="n">
        <v>0.0</v>
      </c>
      <c r="AM91" t="n">
        <v>0.0</v>
      </c>
      <c r="AN91" t="n">
        <v>0.0</v>
      </c>
      <c r="AO91" t="n">
        <v>8176878.0</v>
      </c>
      <c r="AP91" t="n">
        <v>817691.0</v>
      </c>
      <c r="AQ91" t="n">
        <v>671319.0</v>
      </c>
      <c r="CH91">
        <f>IFERROR(U91*1,0)</f>
      </c>
    </row>
    <row r="92">
      <c r="A92" t="n">
        <v>2.0</v>
      </c>
      <c r="B92">
        <f>IF((K92-G92-H92&gt;2400000),10,(L92/(K92-G92-H92)*100))</f>
      </c>
      <c r="C92">
        <f>IF(N92&gt;2400000,240000,(N92*S92)/100)</f>
      </c>
      <c r="D92">
        <f>IF(S92=0,0,IF((N92-I92)&gt;2400000,((((((N92-I92-J92)-240000))*0.1+(I92+J92)*0.1)))-7000,((((((N92-I92-J92)-(N92-I92-J92)*S92/100)))*0.1+(I92+J92)*0.1)-7000)))</f>
      </c>
      <c r="E92">
        <f>C92-O92</f>
      </c>
      <c r="F92">
        <f>D92-P92</f>
      </c>
      <c r="G92">
        <f>SUMIF(negtgel!U$2:BL$2,'Tsalin uzuulelt'!B$1,negtgel!U92:BL92) + SUMIF(negtgel!U$2:BL$2,'Tsalin uzuulelt'!B$2,negtgel!U92:BL92)+SUMIF(negtgel!U$2:BL$2,'Tsalin uzuulelt'!B$3,negtgel!U92:BL92)+SUMIF(negtgel!U$2:BL$2,'Tsalin uzuulelt'!B$4,negtgel!U92:BL92)+SUMIF(negtgel!U$2:BL$2,'Tsalin uzuulelt'!B$5,negtgel!U92:BL92)</f>
      </c>
      <c r="H92">
        <f>SUMIF(negtgel!U$2:BL$2,'Tsalin uzuulelt'!F$1,negtgel!U92:BL92) + SUMIF(negtgel!U$2:BL$2,'Tsalin uzuulelt'!F$2,negtgel!U92:BL92)+SUMIF(negtgel!U$2:BL$2,'Tsalin uzuulelt'!F$3,negtgel!U92:BL92)+SUMIF(negtgel!U$2:BL$2,'Tsalin uzuulelt'!F$4,negtgel!U92:BL92)+SUMIF(negtgel!U$2:BL$2,'Tsalin uzuulelt'!F$5,negtgel!U92:BL92)</f>
      </c>
      <c r="I92">
        <f>SUMIF(negtgel!U$2:BL$2,'Tsalin uzuulelt'!H$1,negtgel!U92:BL92) + SUMIF(negtgel!U$2:BL$2,'Tsalin uzuulelt'!H$2,negtgel!U92:BL92)+SUMIF(negtgel!U$2:BL$2,'Tsalin uzuulelt'!H$3,negtgel!U92:BL92)+SUMIF(negtgel!U$2:BL$2,'Tsalin uzuulelt'!H$4,negtgel!U92:BL92)+SUMIF(negtgel!U$2:BL$2,'Tsalin uzuulelt'!H$5,negtgel!U92:BL92)</f>
      </c>
      <c r="J92">
        <f>SUMIF(negtgel!U$2:BL$2,'Tsalin uzuulelt'!J$1,negtgel!U92:BL92) + SUMIF(negtgel!U$2:BL$2,'Tsalin uzuulelt'!J$2,negtgel!U92:BL92)+SUMIF(negtgel!U$2:BL$2,'Tsalin uzuulelt'!J$3,negtgel!U92:BL92)+SUMIF(negtgel!U$2:BL$2,'Tsalin uzuulelt'!J$4,negtgel!U92:BL92)+SUMIF(negtgel!U$2:BL$2,'Tsalin uzuulelt'!J$5,negtgel!U92:BL92)</f>
      </c>
      <c r="K92">
        <f>SUMIF(negtgel!U$2:BL$2,'Tsalin uzuulelt'!L$1,negtgel!U92:BL92) + SUMIF(negtgel!U$2:BL$2,'Tsalin uzuulelt'!L$2,negtgel!U92:BL92)+SUMIF(negtgel!U$2:BL$2,'Tsalin uzuulelt'!L$3,negtgel!U92:BL92)+SUMIF(negtgel!U$2:BL$2,'Tsalin uzuulelt'!L$4,negtgel!U92:BL92)+SUMIF(negtgel!U$2:BL$2,'Tsalin uzuulelt'!L$5,negtgel!U92:BL92)</f>
      </c>
      <c r="L92">
        <f>SUMIF(negtgel!U$2:BL$2,'Tsalin uzuulelt'!N$1,negtgel!U92:BL92) + SUMIF(negtgel!U$2:BL$2,'Tsalin uzuulelt'!N$2,negtgel!U92:BL92)+SUMIF(negtgel!U$2:BL$2,'Tsalin uzuulelt'!N$3,negtgel!U92:BL92)+SUMIF(negtgel!U$2:BL$2,'Tsalin uzuulelt'!N$4,negtgel!U92:BL92)+SUMIF(negtgel!U$2:BL$2,'Tsalin uzuulelt'!N$5,negtgel!U92:BL92)</f>
      </c>
      <c r="M92">
        <f>SUMIF(negtgel!U$2:BL$2,'Tsalin uzuulelt'!P$1,negtgel!U92:BL92) + SUMIF(negtgel!U$2:BL$2,'Tsalin uzuulelt'!P$2,negtgel!U92:BL92)+ SUMIF(negtgel!U$2:BL$2,'Tsalin uzuulelt'!P$3,negtgel!U92:BL92)+ SUMIF(negtgel!U$2:BL$2,'Tsalin uzuulelt'!P$4,negtgel!U92:BL92)+ SUMIF(negtgel!U$2:BL$2,'Tsalin uzuulelt'!P$5,negtgel!U92:BL92)</f>
      </c>
      <c r="N92">
        <f>IF(ISNUMBER(U92*1)=CF92,0,K92-H92-G92)</f>
      </c>
      <c r="O92">
        <f>IF(ISNUMBER(U92*1)=CF92,0,L92)</f>
      </c>
      <c r="P92">
        <f>IF(ISNUMBER(U92*1)=CF92,0,M92)</f>
      </c>
      <c r="Q92">
        <f>IF(N92&gt;2400000,N92,0)</f>
      </c>
      <c r="R92">
        <f>IF(L92/Q92*100&lt;3,2,10)</f>
      </c>
      <c r="S92">
        <f>IF(CH92=0,0,IF(B92&gt;9,10,IF(B92&gt;8,B92,IF(B92&gt;7.7,7.8,IF(B92&gt;3,B92,IF(B92&gt;1.5,2))))))</f>
      </c>
      <c r="T92">
        <f>IF(Q92=0,S92,R92)</f>
      </c>
      <c r="U92" t="s">
        <v>3804</v>
      </c>
      <c r="V92"/>
      <c r="W92"/>
      <c r="X92"/>
      <c r="Y92"/>
      <c r="Z92"/>
      <c r="AA92"/>
      <c r="AB92"/>
      <c r="AC92"/>
      <c r="AD92"/>
      <c r="AE92"/>
      <c r="AF92"/>
      <c r="AG92"/>
      <c r="AH92"/>
      <c r="AI92"/>
      <c r="AJ92"/>
      <c r="AK92"/>
      <c r="AL92"/>
      <c r="AM92"/>
      <c r="AN92"/>
      <c r="AO92"/>
      <c r="AP92"/>
      <c r="AQ92"/>
      <c r="CH92">
        <f>IFERROR(U92*1,0)</f>
      </c>
    </row>
    <row r="93">
      <c r="A93" t="n">
        <v>2.0</v>
      </c>
      <c r="B93">
        <f>IF((K93-G93-H93&gt;2400000),10,(L93/(K93-G93-H93)*100))</f>
      </c>
      <c r="C93">
        <f>IF(N93&gt;2400000,240000,(N93*S93)/100)</f>
      </c>
      <c r="D93">
        <f>IF(S93=0,0,IF((N93-I93)&gt;2400000,((((((N93-I93-J93)-240000))*0.1+(I93+J93)*0.1)))-7000,((((((N93-I93-J93)-(N93-I93-J93)*S93/100)))*0.1+(I93+J93)*0.1)-7000)))</f>
      </c>
      <c r="E93">
        <f>C93-O93</f>
      </c>
      <c r="F93">
        <f>D93-P93</f>
      </c>
      <c r="G93">
        <f>SUMIF(negtgel!U$2:BL$2,'Tsalin uzuulelt'!B$1,negtgel!U93:BL93) + SUMIF(negtgel!U$2:BL$2,'Tsalin uzuulelt'!B$2,negtgel!U93:BL93)+SUMIF(negtgel!U$2:BL$2,'Tsalin uzuulelt'!B$3,negtgel!U93:BL93)+SUMIF(negtgel!U$2:BL$2,'Tsalin uzuulelt'!B$4,negtgel!U93:BL93)+SUMIF(negtgel!U$2:BL$2,'Tsalin uzuulelt'!B$5,negtgel!U93:BL93)</f>
      </c>
      <c r="H93">
        <f>SUMIF(negtgel!U$2:BL$2,'Tsalin uzuulelt'!F$1,negtgel!U93:BL93) + SUMIF(negtgel!U$2:BL$2,'Tsalin uzuulelt'!F$2,negtgel!U93:BL93)+SUMIF(negtgel!U$2:BL$2,'Tsalin uzuulelt'!F$3,negtgel!U93:BL93)+SUMIF(negtgel!U$2:BL$2,'Tsalin uzuulelt'!F$4,negtgel!U93:BL93)+SUMIF(negtgel!U$2:BL$2,'Tsalin uzuulelt'!F$5,negtgel!U93:BL93)</f>
      </c>
      <c r="I93">
        <f>SUMIF(negtgel!U$2:BL$2,'Tsalin uzuulelt'!H$1,negtgel!U93:BL93) + SUMIF(negtgel!U$2:BL$2,'Tsalin uzuulelt'!H$2,negtgel!U93:BL93)+SUMIF(negtgel!U$2:BL$2,'Tsalin uzuulelt'!H$3,negtgel!U93:BL93)+SUMIF(negtgel!U$2:BL$2,'Tsalin uzuulelt'!H$4,negtgel!U93:BL93)+SUMIF(negtgel!U$2:BL$2,'Tsalin uzuulelt'!H$5,negtgel!U93:BL93)</f>
      </c>
      <c r="J93">
        <f>SUMIF(negtgel!U$2:BL$2,'Tsalin uzuulelt'!J$1,negtgel!U93:BL93) + SUMIF(negtgel!U$2:BL$2,'Tsalin uzuulelt'!J$2,negtgel!U93:BL93)+SUMIF(negtgel!U$2:BL$2,'Tsalin uzuulelt'!J$3,negtgel!U93:BL93)+SUMIF(negtgel!U$2:BL$2,'Tsalin uzuulelt'!J$4,negtgel!U93:BL93)+SUMIF(negtgel!U$2:BL$2,'Tsalin uzuulelt'!J$5,negtgel!U93:BL93)</f>
      </c>
      <c r="K93">
        <f>SUMIF(negtgel!U$2:BL$2,'Tsalin uzuulelt'!L$1,negtgel!U93:BL93) + SUMIF(negtgel!U$2:BL$2,'Tsalin uzuulelt'!L$2,negtgel!U93:BL93)+SUMIF(negtgel!U$2:BL$2,'Tsalin uzuulelt'!L$3,negtgel!U93:BL93)+SUMIF(negtgel!U$2:BL$2,'Tsalin uzuulelt'!L$4,negtgel!U93:BL93)+SUMIF(negtgel!U$2:BL$2,'Tsalin uzuulelt'!L$5,negtgel!U93:BL93)</f>
      </c>
      <c r="L93">
        <f>SUMIF(negtgel!U$2:BL$2,'Tsalin uzuulelt'!N$1,negtgel!U93:BL93) + SUMIF(negtgel!U$2:BL$2,'Tsalin uzuulelt'!N$2,negtgel!U93:BL93)+SUMIF(negtgel!U$2:BL$2,'Tsalin uzuulelt'!N$3,negtgel!U93:BL93)+SUMIF(negtgel!U$2:BL$2,'Tsalin uzuulelt'!N$4,negtgel!U93:BL93)+SUMIF(negtgel!U$2:BL$2,'Tsalin uzuulelt'!N$5,negtgel!U93:BL93)</f>
      </c>
      <c r="M93">
        <f>SUMIF(negtgel!U$2:BL$2,'Tsalin uzuulelt'!P$1,negtgel!U93:BL93) + SUMIF(negtgel!U$2:BL$2,'Tsalin uzuulelt'!P$2,negtgel!U93:BL93)+ SUMIF(negtgel!U$2:BL$2,'Tsalin uzuulelt'!P$3,negtgel!U93:BL93)+ SUMIF(negtgel!U$2:BL$2,'Tsalin uzuulelt'!P$4,negtgel!U93:BL93)+ SUMIF(negtgel!U$2:BL$2,'Tsalin uzuulelt'!P$5,negtgel!U93:BL93)</f>
      </c>
      <c r="N93">
        <f>IF(ISNUMBER(U93*1)=CF93,0,K93-H93-G93)</f>
      </c>
      <c r="O93">
        <f>IF(ISNUMBER(U93*1)=CF93,0,L93)</f>
      </c>
      <c r="P93">
        <f>IF(ISNUMBER(U93*1)=CF93,0,M93)</f>
      </c>
      <c r="Q93">
        <f>IF(N93&gt;2400000,N93,0)</f>
      </c>
      <c r="R93">
        <f>IF(L93/Q93*100&lt;3,2,10)</f>
      </c>
      <c r="S93">
        <f>IF(CH93=0,0,IF(B93&gt;9,10,IF(B93&gt;8,B93,IF(B93&gt;7.7,7.8,IF(B93&gt;3,B93,IF(B93&gt;1.5,2))))))</f>
      </c>
      <c r="T93">
        <f>IF(Q93=0,S93,R93)</f>
      </c>
      <c r="U93" t="n">
        <v>57.0</v>
      </c>
      <c r="V93" t="s">
        <v>3805</v>
      </c>
      <c r="W93" t="s">
        <v>3790</v>
      </c>
      <c r="X93" t="n">
        <v>613669.0</v>
      </c>
      <c r="Y93" t="n">
        <v>613669.0</v>
      </c>
      <c r="Z93" t="n">
        <v>61367.0</v>
      </c>
      <c r="AA93" t="n">
        <v>92050.0</v>
      </c>
      <c r="AB93" t="n">
        <v>0.0</v>
      </c>
      <c r="AC93" t="n">
        <v>0.0</v>
      </c>
      <c r="AD93" t="n">
        <v>0.0</v>
      </c>
      <c r="AE93" t="n">
        <v>0.0</v>
      </c>
      <c r="AF93" t="n">
        <v>54000.0</v>
      </c>
      <c r="AG93" t="n">
        <v>0.0</v>
      </c>
      <c r="AH93" t="n">
        <v>0.0</v>
      </c>
      <c r="AI93" t="n">
        <v>0.0</v>
      </c>
      <c r="AJ93" t="n">
        <v>0.0</v>
      </c>
      <c r="AK93" t="n">
        <v>0.0</v>
      </c>
      <c r="AL93" t="n">
        <v>0.0</v>
      </c>
      <c r="AM93" t="n">
        <v>0.0</v>
      </c>
      <c r="AN93" t="n">
        <v>0.0</v>
      </c>
      <c r="AO93" t="n">
        <v>821086.0</v>
      </c>
      <c r="AP93" t="n">
        <v>82109.0</v>
      </c>
      <c r="AQ93" t="n">
        <v>67437.7</v>
      </c>
      <c r="CH93">
        <f>IFERROR(U93*1,0)</f>
      </c>
    </row>
    <row r="94">
      <c r="A94" t="n">
        <v>2.0</v>
      </c>
      <c r="B94">
        <f>IF((K94-G94-H94&gt;2400000),10,(L94/(K94-G94-H94)*100))</f>
      </c>
      <c r="C94">
        <f>IF(N94&gt;2400000,240000,(N94*S94)/100)</f>
      </c>
      <c r="D94">
        <f>IF(S94=0,0,IF((N94-I94)&gt;2400000,((((((N94-I94-J94)-240000))*0.1+(I94+J94)*0.1)))-7000,((((((N94-I94-J94)-(N94-I94-J94)*S94/100)))*0.1+(I94+J94)*0.1)-7000)))</f>
      </c>
      <c r="E94">
        <f>C94-O94</f>
      </c>
      <c r="F94">
        <f>D94-P94</f>
      </c>
      <c r="G94">
        <f>SUMIF(negtgel!U$2:BL$2,'Tsalin uzuulelt'!B$1,negtgel!U94:BL94) + SUMIF(negtgel!U$2:BL$2,'Tsalin uzuulelt'!B$2,negtgel!U94:BL94)+SUMIF(negtgel!U$2:BL$2,'Tsalin uzuulelt'!B$3,negtgel!U94:BL94)+SUMIF(negtgel!U$2:BL$2,'Tsalin uzuulelt'!B$4,negtgel!U94:BL94)+SUMIF(negtgel!U$2:BL$2,'Tsalin uzuulelt'!B$5,negtgel!U94:BL94)</f>
      </c>
      <c r="H94">
        <f>SUMIF(negtgel!U$2:BL$2,'Tsalin uzuulelt'!F$1,negtgel!U94:BL94) + SUMIF(negtgel!U$2:BL$2,'Tsalin uzuulelt'!F$2,negtgel!U94:BL94)+SUMIF(negtgel!U$2:BL$2,'Tsalin uzuulelt'!F$3,negtgel!U94:BL94)+SUMIF(negtgel!U$2:BL$2,'Tsalin uzuulelt'!F$4,negtgel!U94:BL94)+SUMIF(negtgel!U$2:BL$2,'Tsalin uzuulelt'!F$5,negtgel!U94:BL94)</f>
      </c>
      <c r="I94">
        <f>SUMIF(negtgel!U$2:BL$2,'Tsalin uzuulelt'!H$1,negtgel!U94:BL94) + SUMIF(negtgel!U$2:BL$2,'Tsalin uzuulelt'!H$2,negtgel!U94:BL94)+SUMIF(negtgel!U$2:BL$2,'Tsalin uzuulelt'!H$3,negtgel!U94:BL94)+SUMIF(negtgel!U$2:BL$2,'Tsalin uzuulelt'!H$4,negtgel!U94:BL94)+SUMIF(negtgel!U$2:BL$2,'Tsalin uzuulelt'!H$5,negtgel!U94:BL94)</f>
      </c>
      <c r="J94">
        <f>SUMIF(negtgel!U$2:BL$2,'Tsalin uzuulelt'!J$1,negtgel!U94:BL94) + SUMIF(negtgel!U$2:BL$2,'Tsalin uzuulelt'!J$2,negtgel!U94:BL94)+SUMIF(negtgel!U$2:BL$2,'Tsalin uzuulelt'!J$3,negtgel!U94:BL94)+SUMIF(negtgel!U$2:BL$2,'Tsalin uzuulelt'!J$4,negtgel!U94:BL94)+SUMIF(negtgel!U$2:BL$2,'Tsalin uzuulelt'!J$5,negtgel!U94:BL94)</f>
      </c>
      <c r="K94">
        <f>SUMIF(negtgel!U$2:BL$2,'Tsalin uzuulelt'!L$1,negtgel!U94:BL94) + SUMIF(negtgel!U$2:BL$2,'Tsalin uzuulelt'!L$2,negtgel!U94:BL94)+SUMIF(negtgel!U$2:BL$2,'Tsalin uzuulelt'!L$3,negtgel!U94:BL94)+SUMIF(negtgel!U$2:BL$2,'Tsalin uzuulelt'!L$4,negtgel!U94:BL94)+SUMIF(negtgel!U$2:BL$2,'Tsalin uzuulelt'!L$5,negtgel!U94:BL94)</f>
      </c>
      <c r="L94">
        <f>SUMIF(negtgel!U$2:BL$2,'Tsalin uzuulelt'!N$1,negtgel!U94:BL94) + SUMIF(negtgel!U$2:BL$2,'Tsalin uzuulelt'!N$2,negtgel!U94:BL94)+SUMIF(negtgel!U$2:BL$2,'Tsalin uzuulelt'!N$3,negtgel!U94:BL94)+SUMIF(negtgel!U$2:BL$2,'Tsalin uzuulelt'!N$4,negtgel!U94:BL94)+SUMIF(negtgel!U$2:BL$2,'Tsalin uzuulelt'!N$5,negtgel!U94:BL94)</f>
      </c>
      <c r="M94">
        <f>SUMIF(negtgel!U$2:BL$2,'Tsalin uzuulelt'!P$1,negtgel!U94:BL94) + SUMIF(negtgel!U$2:BL$2,'Tsalin uzuulelt'!P$2,negtgel!U94:BL94)+ SUMIF(negtgel!U$2:BL$2,'Tsalin uzuulelt'!P$3,negtgel!U94:BL94)+ SUMIF(negtgel!U$2:BL$2,'Tsalin uzuulelt'!P$4,negtgel!U94:BL94)+ SUMIF(negtgel!U$2:BL$2,'Tsalin uzuulelt'!P$5,negtgel!U94:BL94)</f>
      </c>
      <c r="N94">
        <f>IF(ISNUMBER(U94*1)=CF94,0,K94-H94-G94)</f>
      </c>
      <c r="O94">
        <f>IF(ISNUMBER(U94*1)=CF94,0,L94)</f>
      </c>
      <c r="P94">
        <f>IF(ISNUMBER(U94*1)=CF94,0,M94)</f>
      </c>
      <c r="Q94">
        <f>IF(N94&gt;2400000,N94,0)</f>
      </c>
      <c r="R94">
        <f>IF(L94/Q94*100&lt;3,2,10)</f>
      </c>
      <c r="S94">
        <f>IF(CH94=0,0,IF(B94&gt;9,10,IF(B94&gt;8,B94,IF(B94&gt;7.7,7.8,IF(B94&gt;3,B94,IF(B94&gt;1.5,2))))))</f>
      </c>
      <c r="T94">
        <f>IF(Q94=0,S94,R94)</f>
      </c>
      <c r="U94" t="n">
        <v>58.0</v>
      </c>
      <c r="V94" t="s">
        <v>3851</v>
      </c>
      <c r="W94" t="s">
        <v>3790</v>
      </c>
      <c r="X94" t="n">
        <v>547759.0</v>
      </c>
      <c r="Y94" t="n">
        <v>395604.0</v>
      </c>
      <c r="Z94" t="n">
        <v>0.0</v>
      </c>
      <c r="AA94" t="n">
        <v>0.0</v>
      </c>
      <c r="AB94" t="n">
        <v>0.0</v>
      </c>
      <c r="AC94" t="n">
        <v>0.0</v>
      </c>
      <c r="AD94" t="n">
        <v>0.0</v>
      </c>
      <c r="AE94" t="n">
        <v>0.0</v>
      </c>
      <c r="AF94" t="n">
        <v>39000.0</v>
      </c>
      <c r="AG94" t="n">
        <v>0.0</v>
      </c>
      <c r="AH94" t="n">
        <v>0.0</v>
      </c>
      <c r="AI94" t="n">
        <v>0.0</v>
      </c>
      <c r="AJ94" t="n">
        <v>0.0</v>
      </c>
      <c r="AK94" t="n">
        <v>0.0</v>
      </c>
      <c r="AL94" t="n">
        <v>0.0</v>
      </c>
      <c r="AM94" t="n">
        <v>0.0</v>
      </c>
      <c r="AN94" t="n">
        <v>0.0</v>
      </c>
      <c r="AO94" t="n">
        <v>434604.0</v>
      </c>
      <c r="AP94" t="n">
        <v>43460.0</v>
      </c>
      <c r="AQ94" t="n">
        <v>32504.4</v>
      </c>
      <c r="CH94">
        <f>IFERROR(U94*1,0)</f>
      </c>
    </row>
    <row r="95">
      <c r="A95" t="n">
        <v>2.0</v>
      </c>
      <c r="B95">
        <f>IF((K95-G95-H95&gt;2400000),10,(L95/(K95-G95-H95)*100))</f>
      </c>
      <c r="C95">
        <f>IF(N95&gt;2400000,240000,(N95*S95)/100)</f>
      </c>
      <c r="D95">
        <f>IF(S95=0,0,IF((N95-I95)&gt;2400000,((((((N95-I95-J95)-240000))*0.1+(I95+J95)*0.1)))-7000,((((((N95-I95-J95)-(N95-I95-J95)*S95/100)))*0.1+(I95+J95)*0.1)-7000)))</f>
      </c>
      <c r="E95">
        <f>C95-O95</f>
      </c>
      <c r="F95">
        <f>D95-P95</f>
      </c>
      <c r="G95">
        <f>SUMIF(negtgel!U$2:BL$2,'Tsalin uzuulelt'!B$1,negtgel!U95:BL95) + SUMIF(negtgel!U$2:BL$2,'Tsalin uzuulelt'!B$2,negtgel!U95:BL95)+SUMIF(negtgel!U$2:BL$2,'Tsalin uzuulelt'!B$3,negtgel!U95:BL95)+SUMIF(negtgel!U$2:BL$2,'Tsalin uzuulelt'!B$4,negtgel!U95:BL95)+SUMIF(negtgel!U$2:BL$2,'Tsalin uzuulelt'!B$5,negtgel!U95:BL95)</f>
      </c>
      <c r="H95">
        <f>SUMIF(negtgel!U$2:BL$2,'Tsalin uzuulelt'!F$1,negtgel!U95:BL95) + SUMIF(negtgel!U$2:BL$2,'Tsalin uzuulelt'!F$2,negtgel!U95:BL95)+SUMIF(negtgel!U$2:BL$2,'Tsalin uzuulelt'!F$3,negtgel!U95:BL95)+SUMIF(negtgel!U$2:BL$2,'Tsalin uzuulelt'!F$4,negtgel!U95:BL95)+SUMIF(negtgel!U$2:BL$2,'Tsalin uzuulelt'!F$5,negtgel!U95:BL95)</f>
      </c>
      <c r="I95">
        <f>SUMIF(negtgel!U$2:BL$2,'Tsalin uzuulelt'!H$1,negtgel!U95:BL95) + SUMIF(negtgel!U$2:BL$2,'Tsalin uzuulelt'!H$2,negtgel!U95:BL95)+SUMIF(negtgel!U$2:BL$2,'Tsalin uzuulelt'!H$3,negtgel!U95:BL95)+SUMIF(negtgel!U$2:BL$2,'Tsalin uzuulelt'!H$4,negtgel!U95:BL95)+SUMIF(negtgel!U$2:BL$2,'Tsalin uzuulelt'!H$5,negtgel!U95:BL95)</f>
      </c>
      <c r="J95">
        <f>SUMIF(negtgel!U$2:BL$2,'Tsalin uzuulelt'!J$1,negtgel!U95:BL95) + SUMIF(negtgel!U$2:BL$2,'Tsalin uzuulelt'!J$2,negtgel!U95:BL95)+SUMIF(negtgel!U$2:BL$2,'Tsalin uzuulelt'!J$3,negtgel!U95:BL95)+SUMIF(negtgel!U$2:BL$2,'Tsalin uzuulelt'!J$4,negtgel!U95:BL95)+SUMIF(negtgel!U$2:BL$2,'Tsalin uzuulelt'!J$5,negtgel!U95:BL95)</f>
      </c>
      <c r="K95">
        <f>SUMIF(negtgel!U$2:BL$2,'Tsalin uzuulelt'!L$1,negtgel!U95:BL95) + SUMIF(negtgel!U$2:BL$2,'Tsalin uzuulelt'!L$2,negtgel!U95:BL95)+SUMIF(negtgel!U$2:BL$2,'Tsalin uzuulelt'!L$3,negtgel!U95:BL95)+SUMIF(negtgel!U$2:BL$2,'Tsalin uzuulelt'!L$4,negtgel!U95:BL95)+SUMIF(negtgel!U$2:BL$2,'Tsalin uzuulelt'!L$5,negtgel!U95:BL95)</f>
      </c>
      <c r="L95">
        <f>SUMIF(negtgel!U$2:BL$2,'Tsalin uzuulelt'!N$1,negtgel!U95:BL95) + SUMIF(negtgel!U$2:BL$2,'Tsalin uzuulelt'!N$2,negtgel!U95:BL95)+SUMIF(negtgel!U$2:BL$2,'Tsalin uzuulelt'!N$3,negtgel!U95:BL95)+SUMIF(negtgel!U$2:BL$2,'Tsalin uzuulelt'!N$4,negtgel!U95:BL95)+SUMIF(negtgel!U$2:BL$2,'Tsalin uzuulelt'!N$5,negtgel!U95:BL95)</f>
      </c>
      <c r="M95">
        <f>SUMIF(negtgel!U$2:BL$2,'Tsalin uzuulelt'!P$1,negtgel!U95:BL95) + SUMIF(negtgel!U$2:BL$2,'Tsalin uzuulelt'!P$2,negtgel!U95:BL95)+ SUMIF(negtgel!U$2:BL$2,'Tsalin uzuulelt'!P$3,negtgel!U95:BL95)+ SUMIF(negtgel!U$2:BL$2,'Tsalin uzuulelt'!P$4,negtgel!U95:BL95)+ SUMIF(negtgel!U$2:BL$2,'Tsalin uzuulelt'!P$5,negtgel!U95:BL95)</f>
      </c>
      <c r="N95">
        <f>IF(ISNUMBER(U95*1)=CF95,0,K95-H95-G95)</f>
      </c>
      <c r="O95">
        <f>IF(ISNUMBER(U95*1)=CF95,0,L95)</f>
      </c>
      <c r="P95">
        <f>IF(ISNUMBER(U95*1)=CF95,0,M95)</f>
      </c>
      <c r="Q95">
        <f>IF(N95&gt;2400000,N95,0)</f>
      </c>
      <c r="R95">
        <f>IF(L95/Q95*100&lt;3,2,10)</f>
      </c>
      <c r="S95">
        <f>IF(CH95=0,0,IF(B95&gt;9,10,IF(B95&gt;8,B95,IF(B95&gt;7.7,7.8,IF(B95&gt;3,B95,IF(B95&gt;1.5,2))))))</f>
      </c>
      <c r="T95">
        <f>IF(Q95=0,S95,R95)</f>
      </c>
      <c r="U95" t="n">
        <v>59.0</v>
      </c>
      <c r="V95" t="s">
        <v>3852</v>
      </c>
      <c r="W95" t="s">
        <v>3792</v>
      </c>
      <c r="X95" t="n">
        <v>535286.0</v>
      </c>
      <c r="Y95" t="n">
        <v>475810.0</v>
      </c>
      <c r="Z95" t="n">
        <v>0.0</v>
      </c>
      <c r="AA95" t="n">
        <v>0.0</v>
      </c>
      <c r="AB95" t="n">
        <v>0.0</v>
      </c>
      <c r="AC95" t="n">
        <v>0.0</v>
      </c>
      <c r="AD95" t="n">
        <v>0.0</v>
      </c>
      <c r="AE95" t="n">
        <v>0.0</v>
      </c>
      <c r="AF95" t="n">
        <v>48000.0</v>
      </c>
      <c r="AG95" t="n">
        <v>0.0</v>
      </c>
      <c r="AH95" t="n">
        <v>0.0</v>
      </c>
      <c r="AI95" t="n">
        <v>0.0</v>
      </c>
      <c r="AJ95" t="n">
        <v>0.0</v>
      </c>
      <c r="AK95" t="n">
        <v>0.0</v>
      </c>
      <c r="AL95" t="n">
        <v>0.0</v>
      </c>
      <c r="AM95" t="n">
        <v>0.0</v>
      </c>
      <c r="AN95" t="n">
        <v>0.0</v>
      </c>
      <c r="AO95" t="n">
        <v>523810.0</v>
      </c>
      <c r="AP95" t="n">
        <v>52381.0</v>
      </c>
      <c r="AQ95" t="n">
        <v>40622.9</v>
      </c>
      <c r="CH95">
        <f>IFERROR(U95*1,0)</f>
      </c>
    </row>
    <row r="96">
      <c r="A96" t="n">
        <v>2.0</v>
      </c>
      <c r="B96">
        <f>IF((K96-G96-H96&gt;2400000),10,(L96/(K96-G96-H96)*100))</f>
      </c>
      <c r="C96">
        <f>IF(N96&gt;2400000,240000,(N96*S96)/100)</f>
      </c>
      <c r="D96">
        <f>IF(S96=0,0,IF((N96-I96)&gt;2400000,((((((N96-I96-J96)-240000))*0.1+(I96+J96)*0.1)))-7000,((((((N96-I96-J96)-(N96-I96-J96)*S96/100)))*0.1+(I96+J96)*0.1)-7000)))</f>
      </c>
      <c r="E96">
        <f>C96-O96</f>
      </c>
      <c r="F96">
        <f>D96-P96</f>
      </c>
      <c r="G96">
        <f>SUMIF(negtgel!U$2:BL$2,'Tsalin uzuulelt'!B$1,negtgel!U96:BL96) + SUMIF(negtgel!U$2:BL$2,'Tsalin uzuulelt'!B$2,negtgel!U96:BL96)+SUMIF(negtgel!U$2:BL$2,'Tsalin uzuulelt'!B$3,negtgel!U96:BL96)+SUMIF(negtgel!U$2:BL$2,'Tsalin uzuulelt'!B$4,negtgel!U96:BL96)+SUMIF(negtgel!U$2:BL$2,'Tsalin uzuulelt'!B$5,negtgel!U96:BL96)</f>
      </c>
      <c r="H96">
        <f>SUMIF(negtgel!U$2:BL$2,'Tsalin uzuulelt'!F$1,negtgel!U96:BL96) + SUMIF(negtgel!U$2:BL$2,'Tsalin uzuulelt'!F$2,negtgel!U96:BL96)+SUMIF(negtgel!U$2:BL$2,'Tsalin uzuulelt'!F$3,negtgel!U96:BL96)+SUMIF(negtgel!U$2:BL$2,'Tsalin uzuulelt'!F$4,negtgel!U96:BL96)+SUMIF(negtgel!U$2:BL$2,'Tsalin uzuulelt'!F$5,negtgel!U96:BL96)</f>
      </c>
      <c r="I96">
        <f>SUMIF(negtgel!U$2:BL$2,'Tsalin uzuulelt'!H$1,negtgel!U96:BL96) + SUMIF(negtgel!U$2:BL$2,'Tsalin uzuulelt'!H$2,negtgel!U96:BL96)+SUMIF(negtgel!U$2:BL$2,'Tsalin uzuulelt'!H$3,negtgel!U96:BL96)+SUMIF(negtgel!U$2:BL$2,'Tsalin uzuulelt'!H$4,negtgel!U96:BL96)+SUMIF(negtgel!U$2:BL$2,'Tsalin uzuulelt'!H$5,negtgel!U96:BL96)</f>
      </c>
      <c r="J96">
        <f>SUMIF(negtgel!U$2:BL$2,'Tsalin uzuulelt'!J$1,negtgel!U96:BL96) + SUMIF(negtgel!U$2:BL$2,'Tsalin uzuulelt'!J$2,negtgel!U96:BL96)+SUMIF(negtgel!U$2:BL$2,'Tsalin uzuulelt'!J$3,negtgel!U96:BL96)+SUMIF(negtgel!U$2:BL$2,'Tsalin uzuulelt'!J$4,negtgel!U96:BL96)+SUMIF(negtgel!U$2:BL$2,'Tsalin uzuulelt'!J$5,negtgel!U96:BL96)</f>
      </c>
      <c r="K96">
        <f>SUMIF(negtgel!U$2:BL$2,'Tsalin uzuulelt'!L$1,negtgel!U96:BL96) + SUMIF(negtgel!U$2:BL$2,'Tsalin uzuulelt'!L$2,negtgel!U96:BL96)+SUMIF(negtgel!U$2:BL$2,'Tsalin uzuulelt'!L$3,negtgel!U96:BL96)+SUMIF(negtgel!U$2:BL$2,'Tsalin uzuulelt'!L$4,negtgel!U96:BL96)+SUMIF(negtgel!U$2:BL$2,'Tsalin uzuulelt'!L$5,negtgel!U96:BL96)</f>
      </c>
      <c r="L96">
        <f>SUMIF(negtgel!U$2:BL$2,'Tsalin uzuulelt'!N$1,negtgel!U96:BL96) + SUMIF(negtgel!U$2:BL$2,'Tsalin uzuulelt'!N$2,negtgel!U96:BL96)+SUMIF(negtgel!U$2:BL$2,'Tsalin uzuulelt'!N$3,negtgel!U96:BL96)+SUMIF(negtgel!U$2:BL$2,'Tsalin uzuulelt'!N$4,negtgel!U96:BL96)+SUMIF(negtgel!U$2:BL$2,'Tsalin uzuulelt'!N$5,negtgel!U96:BL96)</f>
      </c>
      <c r="M96">
        <f>SUMIF(negtgel!U$2:BL$2,'Tsalin uzuulelt'!P$1,negtgel!U96:BL96) + SUMIF(negtgel!U$2:BL$2,'Tsalin uzuulelt'!P$2,negtgel!U96:BL96)+ SUMIF(negtgel!U$2:BL$2,'Tsalin uzuulelt'!P$3,negtgel!U96:BL96)+ SUMIF(negtgel!U$2:BL$2,'Tsalin uzuulelt'!P$4,negtgel!U96:BL96)+ SUMIF(negtgel!U$2:BL$2,'Tsalin uzuulelt'!P$5,negtgel!U96:BL96)</f>
      </c>
      <c r="N96">
        <f>IF(ISNUMBER(U96*1)=CF96,0,K96-H96-G96)</f>
      </c>
      <c r="O96">
        <f>IF(ISNUMBER(U96*1)=CF96,0,L96)</f>
      </c>
      <c r="P96">
        <f>IF(ISNUMBER(U96*1)=CF96,0,M96)</f>
      </c>
      <c r="Q96">
        <f>IF(N96&gt;2400000,N96,0)</f>
      </c>
      <c r="R96">
        <f>IF(L96/Q96*100&lt;3,2,10)</f>
      </c>
      <c r="S96">
        <f>IF(CH96=0,0,IF(B96&gt;9,10,IF(B96&gt;8,B96,IF(B96&gt;7.7,7.8,IF(B96&gt;3,B96,IF(B96&gt;1.5,2))))))</f>
      </c>
      <c r="T96">
        <f>IF(Q96=0,S96,R96)</f>
      </c>
      <c r="U96" t="n">
        <v>68.0</v>
      </c>
      <c r="V96" t="s">
        <v>3812</v>
      </c>
      <c r="W96" t="s">
        <v>3790</v>
      </c>
      <c r="X96" t="n">
        <v>580710.0</v>
      </c>
      <c r="Y96" t="n">
        <v>387140.0</v>
      </c>
      <c r="Z96" t="n">
        <v>19357.0</v>
      </c>
      <c r="AA96" t="n">
        <v>58071.0</v>
      </c>
      <c r="AB96" t="n">
        <v>0.0</v>
      </c>
      <c r="AC96" t="n">
        <v>0.0</v>
      </c>
      <c r="AD96" t="n">
        <v>0.0</v>
      </c>
      <c r="AE96" t="n">
        <v>0.0</v>
      </c>
      <c r="AF96" t="n">
        <v>36000.0</v>
      </c>
      <c r="AG96" t="n">
        <v>0.0</v>
      </c>
      <c r="AH96" t="n">
        <v>0.0</v>
      </c>
      <c r="AI96" t="n">
        <v>0.0</v>
      </c>
      <c r="AJ96" t="n">
        <v>0.0</v>
      </c>
      <c r="AK96" t="n">
        <v>0.0</v>
      </c>
      <c r="AL96" t="n">
        <v>0.0</v>
      </c>
      <c r="AM96" t="n">
        <v>0.0</v>
      </c>
      <c r="AN96" t="n">
        <v>0.0</v>
      </c>
      <c r="AO96" t="n">
        <v>500568.0</v>
      </c>
      <c r="AP96" t="n">
        <v>50057.0</v>
      </c>
      <c r="AQ96" t="n">
        <v>38411.1</v>
      </c>
      <c r="CH96">
        <f>IFERROR(U96*1,0)</f>
      </c>
    </row>
    <row r="97">
      <c r="A97" t="n">
        <v>2.0</v>
      </c>
      <c r="B97">
        <f>IF((K97-G97-H97&gt;2400000),10,(L97/(K97-G97-H97)*100))</f>
      </c>
      <c r="C97">
        <f>IF(N97&gt;2400000,240000,(N97*S97)/100)</f>
      </c>
      <c r="D97">
        <f>IF(S97=0,0,IF((N97-I97)&gt;2400000,((((((N97-I97-J97)-240000))*0.1+(I97+J97)*0.1)))-7000,((((((N97-I97-J97)-(N97-I97-J97)*S97/100)))*0.1+(I97+J97)*0.1)-7000)))</f>
      </c>
      <c r="E97">
        <f>C97-O97</f>
      </c>
      <c r="F97">
        <f>D97-P97</f>
      </c>
      <c r="G97">
        <f>SUMIF(negtgel!U$2:BL$2,'Tsalin uzuulelt'!B$1,negtgel!U97:BL97) + SUMIF(negtgel!U$2:BL$2,'Tsalin uzuulelt'!B$2,negtgel!U97:BL97)+SUMIF(negtgel!U$2:BL$2,'Tsalin uzuulelt'!B$3,negtgel!U97:BL97)+SUMIF(negtgel!U$2:BL$2,'Tsalin uzuulelt'!B$4,negtgel!U97:BL97)+SUMIF(negtgel!U$2:BL$2,'Tsalin uzuulelt'!B$5,negtgel!U97:BL97)</f>
      </c>
      <c r="H97">
        <f>SUMIF(negtgel!U$2:BL$2,'Tsalin uzuulelt'!F$1,negtgel!U97:BL97) + SUMIF(negtgel!U$2:BL$2,'Tsalin uzuulelt'!F$2,negtgel!U97:BL97)+SUMIF(negtgel!U$2:BL$2,'Tsalin uzuulelt'!F$3,negtgel!U97:BL97)+SUMIF(negtgel!U$2:BL$2,'Tsalin uzuulelt'!F$4,negtgel!U97:BL97)+SUMIF(negtgel!U$2:BL$2,'Tsalin uzuulelt'!F$5,negtgel!U97:BL97)</f>
      </c>
      <c r="I97">
        <f>SUMIF(negtgel!U$2:BL$2,'Tsalin uzuulelt'!H$1,negtgel!U97:BL97) + SUMIF(negtgel!U$2:BL$2,'Tsalin uzuulelt'!H$2,negtgel!U97:BL97)+SUMIF(negtgel!U$2:BL$2,'Tsalin uzuulelt'!H$3,negtgel!U97:BL97)+SUMIF(negtgel!U$2:BL$2,'Tsalin uzuulelt'!H$4,negtgel!U97:BL97)+SUMIF(negtgel!U$2:BL$2,'Tsalin uzuulelt'!H$5,negtgel!U97:BL97)</f>
      </c>
      <c r="J97">
        <f>SUMIF(negtgel!U$2:BL$2,'Tsalin uzuulelt'!J$1,negtgel!U97:BL97) + SUMIF(negtgel!U$2:BL$2,'Tsalin uzuulelt'!J$2,negtgel!U97:BL97)+SUMIF(negtgel!U$2:BL$2,'Tsalin uzuulelt'!J$3,negtgel!U97:BL97)+SUMIF(negtgel!U$2:BL$2,'Tsalin uzuulelt'!J$4,negtgel!U97:BL97)+SUMIF(negtgel!U$2:BL$2,'Tsalin uzuulelt'!J$5,negtgel!U97:BL97)</f>
      </c>
      <c r="K97">
        <f>SUMIF(negtgel!U$2:BL$2,'Tsalin uzuulelt'!L$1,negtgel!U97:BL97) + SUMIF(negtgel!U$2:BL$2,'Tsalin uzuulelt'!L$2,negtgel!U97:BL97)+SUMIF(negtgel!U$2:BL$2,'Tsalin uzuulelt'!L$3,negtgel!U97:BL97)+SUMIF(negtgel!U$2:BL$2,'Tsalin uzuulelt'!L$4,negtgel!U97:BL97)+SUMIF(negtgel!U$2:BL$2,'Tsalin uzuulelt'!L$5,negtgel!U97:BL97)</f>
      </c>
      <c r="L97">
        <f>SUMIF(negtgel!U$2:BL$2,'Tsalin uzuulelt'!N$1,negtgel!U97:BL97) + SUMIF(negtgel!U$2:BL$2,'Tsalin uzuulelt'!N$2,negtgel!U97:BL97)+SUMIF(negtgel!U$2:BL$2,'Tsalin uzuulelt'!N$3,negtgel!U97:BL97)+SUMIF(negtgel!U$2:BL$2,'Tsalin uzuulelt'!N$4,negtgel!U97:BL97)+SUMIF(negtgel!U$2:BL$2,'Tsalin uzuulelt'!N$5,negtgel!U97:BL97)</f>
      </c>
      <c r="M97">
        <f>SUMIF(negtgel!U$2:BL$2,'Tsalin uzuulelt'!P$1,negtgel!U97:BL97) + SUMIF(negtgel!U$2:BL$2,'Tsalin uzuulelt'!P$2,negtgel!U97:BL97)+ SUMIF(negtgel!U$2:BL$2,'Tsalin uzuulelt'!P$3,negtgel!U97:BL97)+ SUMIF(negtgel!U$2:BL$2,'Tsalin uzuulelt'!P$4,negtgel!U97:BL97)+ SUMIF(negtgel!U$2:BL$2,'Tsalin uzuulelt'!P$5,negtgel!U97:BL97)</f>
      </c>
      <c r="N97">
        <f>IF(ISNUMBER(U97*1)=CF97,0,K97-H97-G97)</f>
      </c>
      <c r="O97">
        <f>IF(ISNUMBER(U97*1)=CF97,0,L97)</f>
      </c>
      <c r="P97">
        <f>IF(ISNUMBER(U97*1)=CF97,0,M97)</f>
      </c>
      <c r="Q97">
        <f>IF(N97&gt;2400000,N97,0)</f>
      </c>
      <c r="R97">
        <f>IF(L97/Q97*100&lt;3,2,10)</f>
      </c>
      <c r="S97">
        <f>IF(CH97=0,0,IF(B97&gt;9,10,IF(B97&gt;8,B97,IF(B97&gt;7.7,7.8,IF(B97&gt;3,B97,IF(B97&gt;1.5,2))))))</f>
      </c>
      <c r="T97">
        <f>IF(Q97=0,S97,R97)</f>
      </c>
      <c r="U97" t="n">
        <v>69.0</v>
      </c>
      <c r="V97" t="s">
        <v>3813</v>
      </c>
      <c r="W97" t="s">
        <v>3790</v>
      </c>
      <c r="X97" t="n">
        <v>580710.0</v>
      </c>
      <c r="Y97" t="n">
        <v>580710.0</v>
      </c>
      <c r="Z97" t="n">
        <v>29036.0</v>
      </c>
      <c r="AA97" t="n">
        <v>87106.0</v>
      </c>
      <c r="AB97" t="n">
        <v>0.0</v>
      </c>
      <c r="AC97" t="n">
        <v>0.0</v>
      </c>
      <c r="AD97" t="n">
        <v>0.0</v>
      </c>
      <c r="AE97" t="n">
        <v>0.0</v>
      </c>
      <c r="AF97" t="n">
        <v>54000.0</v>
      </c>
      <c r="AG97" t="n">
        <v>0.0</v>
      </c>
      <c r="AH97" t="n">
        <v>0.0</v>
      </c>
      <c r="AI97" t="n">
        <v>0.0</v>
      </c>
      <c r="AJ97" t="n">
        <v>0.0</v>
      </c>
      <c r="AK97" t="n">
        <v>0.0</v>
      </c>
      <c r="AL97" t="n">
        <v>0.0</v>
      </c>
      <c r="AM97" t="n">
        <v>0.0</v>
      </c>
      <c r="AN97" t="n">
        <v>0.0</v>
      </c>
      <c r="AO97" t="n">
        <v>750852.0</v>
      </c>
      <c r="AP97" t="n">
        <v>75086.0</v>
      </c>
      <c r="AQ97" t="n">
        <v>61116.7</v>
      </c>
      <c r="CH97">
        <f>IFERROR(U97*1,0)</f>
      </c>
    </row>
    <row r="98">
      <c r="A98" t="n">
        <v>2.0</v>
      </c>
      <c r="B98">
        <f>IF((K98-G98-H98&gt;2400000),10,(L98/(K98-G98-H98)*100))</f>
      </c>
      <c r="C98">
        <f>IF(N98&gt;2400000,240000,(N98*S98)/100)</f>
      </c>
      <c r="D98">
        <f>IF(S98=0,0,IF((N98-I98)&gt;2400000,((((((N98-I98-J98)-240000))*0.1+(I98+J98)*0.1)))-7000,((((((N98-I98-J98)-(N98-I98-J98)*S98/100)))*0.1+(I98+J98)*0.1)-7000)))</f>
      </c>
      <c r="E98">
        <f>C98-O98</f>
      </c>
      <c r="F98">
        <f>D98-P98</f>
      </c>
      <c r="G98">
        <f>SUMIF(negtgel!U$2:BL$2,'Tsalin uzuulelt'!B$1,negtgel!U98:BL98) + SUMIF(negtgel!U$2:BL$2,'Tsalin uzuulelt'!B$2,negtgel!U98:BL98)+SUMIF(negtgel!U$2:BL$2,'Tsalin uzuulelt'!B$3,negtgel!U98:BL98)+SUMIF(negtgel!U$2:BL$2,'Tsalin uzuulelt'!B$4,negtgel!U98:BL98)+SUMIF(negtgel!U$2:BL$2,'Tsalin uzuulelt'!B$5,negtgel!U98:BL98)</f>
      </c>
      <c r="H98">
        <f>SUMIF(negtgel!U$2:BL$2,'Tsalin uzuulelt'!F$1,negtgel!U98:BL98) + SUMIF(negtgel!U$2:BL$2,'Tsalin uzuulelt'!F$2,negtgel!U98:BL98)+SUMIF(negtgel!U$2:BL$2,'Tsalin uzuulelt'!F$3,negtgel!U98:BL98)+SUMIF(negtgel!U$2:BL$2,'Tsalin uzuulelt'!F$4,negtgel!U98:BL98)+SUMIF(negtgel!U$2:BL$2,'Tsalin uzuulelt'!F$5,negtgel!U98:BL98)</f>
      </c>
      <c r="I98">
        <f>SUMIF(negtgel!U$2:BL$2,'Tsalin uzuulelt'!H$1,negtgel!U98:BL98) + SUMIF(negtgel!U$2:BL$2,'Tsalin uzuulelt'!H$2,negtgel!U98:BL98)+SUMIF(negtgel!U$2:BL$2,'Tsalin uzuulelt'!H$3,negtgel!U98:BL98)+SUMIF(negtgel!U$2:BL$2,'Tsalin uzuulelt'!H$4,negtgel!U98:BL98)+SUMIF(negtgel!U$2:BL$2,'Tsalin uzuulelt'!H$5,negtgel!U98:BL98)</f>
      </c>
      <c r="J98">
        <f>SUMIF(negtgel!U$2:BL$2,'Tsalin uzuulelt'!J$1,negtgel!U98:BL98) + SUMIF(negtgel!U$2:BL$2,'Tsalin uzuulelt'!J$2,negtgel!U98:BL98)+SUMIF(negtgel!U$2:BL$2,'Tsalin uzuulelt'!J$3,negtgel!U98:BL98)+SUMIF(negtgel!U$2:BL$2,'Tsalin uzuulelt'!J$4,negtgel!U98:BL98)+SUMIF(negtgel!U$2:BL$2,'Tsalin uzuulelt'!J$5,negtgel!U98:BL98)</f>
      </c>
      <c r="K98">
        <f>SUMIF(negtgel!U$2:BL$2,'Tsalin uzuulelt'!L$1,negtgel!U98:BL98) + SUMIF(negtgel!U$2:BL$2,'Tsalin uzuulelt'!L$2,negtgel!U98:BL98)+SUMIF(negtgel!U$2:BL$2,'Tsalin uzuulelt'!L$3,negtgel!U98:BL98)+SUMIF(negtgel!U$2:BL$2,'Tsalin uzuulelt'!L$4,negtgel!U98:BL98)+SUMIF(negtgel!U$2:BL$2,'Tsalin uzuulelt'!L$5,negtgel!U98:BL98)</f>
      </c>
      <c r="L98">
        <f>SUMIF(negtgel!U$2:BL$2,'Tsalin uzuulelt'!N$1,negtgel!U98:BL98) + SUMIF(negtgel!U$2:BL$2,'Tsalin uzuulelt'!N$2,negtgel!U98:BL98)+SUMIF(negtgel!U$2:BL$2,'Tsalin uzuulelt'!N$3,negtgel!U98:BL98)+SUMIF(negtgel!U$2:BL$2,'Tsalin uzuulelt'!N$4,negtgel!U98:BL98)+SUMIF(negtgel!U$2:BL$2,'Tsalin uzuulelt'!N$5,negtgel!U98:BL98)</f>
      </c>
      <c r="M98">
        <f>SUMIF(negtgel!U$2:BL$2,'Tsalin uzuulelt'!P$1,negtgel!U98:BL98) + SUMIF(negtgel!U$2:BL$2,'Tsalin uzuulelt'!P$2,negtgel!U98:BL98)+ SUMIF(negtgel!U$2:BL$2,'Tsalin uzuulelt'!P$3,negtgel!U98:BL98)+ SUMIF(negtgel!U$2:BL$2,'Tsalin uzuulelt'!P$4,negtgel!U98:BL98)+ SUMIF(negtgel!U$2:BL$2,'Tsalin uzuulelt'!P$5,negtgel!U98:BL98)</f>
      </c>
      <c r="N98">
        <f>IF(ISNUMBER(U98*1)=CF98,0,K98-H98-G98)</f>
      </c>
      <c r="O98">
        <f>IF(ISNUMBER(U98*1)=CF98,0,L98)</f>
      </c>
      <c r="P98">
        <f>IF(ISNUMBER(U98*1)=CF98,0,M98)</f>
      </c>
      <c r="Q98">
        <f>IF(N98&gt;2400000,N98,0)</f>
      </c>
      <c r="R98">
        <f>IF(L98/Q98*100&lt;3,2,10)</f>
      </c>
      <c r="S98">
        <f>IF(CH98=0,0,IF(B98&gt;9,10,IF(B98&gt;8,B98,IF(B98&gt;7.7,7.8,IF(B98&gt;3,B98,IF(B98&gt;1.5,2))))))</f>
      </c>
      <c r="T98">
        <f>IF(Q98=0,S98,R98)</f>
      </c>
      <c r="U98" t="n">
        <v>70.0</v>
      </c>
      <c r="V98" t="s">
        <v>3814</v>
      </c>
      <c r="W98" t="s">
        <v>3792</v>
      </c>
      <c r="X98" t="n">
        <v>539547.0</v>
      </c>
      <c r="Y98" t="n">
        <v>539547.0</v>
      </c>
      <c r="Z98" t="n">
        <v>0.0</v>
      </c>
      <c r="AA98" t="n">
        <v>0.0</v>
      </c>
      <c r="AB98" t="n">
        <v>0.0</v>
      </c>
      <c r="AC98" t="n">
        <v>0.0</v>
      </c>
      <c r="AD98" t="n">
        <v>0.0</v>
      </c>
      <c r="AE98" t="n">
        <v>0.0</v>
      </c>
      <c r="AF98" t="n">
        <v>54000.0</v>
      </c>
      <c r="AG98" t="n">
        <v>0.0</v>
      </c>
      <c r="AH98" t="n">
        <v>0.0</v>
      </c>
      <c r="AI98" t="n">
        <v>0.0</v>
      </c>
      <c r="AJ98" t="n">
        <v>0.0</v>
      </c>
      <c r="AK98" t="n">
        <v>0.0</v>
      </c>
      <c r="AL98" t="n">
        <v>0.0</v>
      </c>
      <c r="AM98" t="n">
        <v>0.0</v>
      </c>
      <c r="AN98" t="n">
        <v>0.0</v>
      </c>
      <c r="AO98" t="n">
        <v>593547.0</v>
      </c>
      <c r="AP98" t="n">
        <v>59354.0</v>
      </c>
      <c r="AQ98" t="n">
        <v>46959.2</v>
      </c>
      <c r="CH98">
        <f>IFERROR(U98*1,0)</f>
      </c>
    </row>
    <row r="99">
      <c r="A99" t="n">
        <v>2.0</v>
      </c>
      <c r="B99">
        <f>IF((K99-G99-H99&gt;2400000),10,(L99/(K99-G99-H99)*100))</f>
      </c>
      <c r="C99">
        <f>IF(N99&gt;2400000,240000,(N99*S99)/100)</f>
      </c>
      <c r="D99">
        <f>IF(S99=0,0,IF((N99-I99)&gt;2400000,((((((N99-I99-J99)-240000))*0.1+(I99+J99)*0.1)))-7000,((((((N99-I99-J99)-(N99-I99-J99)*S99/100)))*0.1+(I99+J99)*0.1)-7000)))</f>
      </c>
      <c r="E99">
        <f>C99-O99</f>
      </c>
      <c r="F99">
        <f>D99-P99</f>
      </c>
      <c r="G99">
        <f>SUMIF(negtgel!U$2:BL$2,'Tsalin uzuulelt'!B$1,negtgel!U99:BL99) + SUMIF(negtgel!U$2:BL$2,'Tsalin uzuulelt'!B$2,negtgel!U99:BL99)+SUMIF(negtgel!U$2:BL$2,'Tsalin uzuulelt'!B$3,negtgel!U99:BL99)+SUMIF(negtgel!U$2:BL$2,'Tsalin uzuulelt'!B$4,negtgel!U99:BL99)+SUMIF(negtgel!U$2:BL$2,'Tsalin uzuulelt'!B$5,negtgel!U99:BL99)</f>
      </c>
      <c r="H99">
        <f>SUMIF(negtgel!U$2:BL$2,'Tsalin uzuulelt'!F$1,negtgel!U99:BL99) + SUMIF(negtgel!U$2:BL$2,'Tsalin uzuulelt'!F$2,negtgel!U99:BL99)+SUMIF(negtgel!U$2:BL$2,'Tsalin uzuulelt'!F$3,negtgel!U99:BL99)+SUMIF(negtgel!U$2:BL$2,'Tsalin uzuulelt'!F$4,negtgel!U99:BL99)+SUMIF(negtgel!U$2:BL$2,'Tsalin uzuulelt'!F$5,negtgel!U99:BL99)</f>
      </c>
      <c r="I99">
        <f>SUMIF(negtgel!U$2:BL$2,'Tsalin uzuulelt'!H$1,negtgel!U99:BL99) + SUMIF(negtgel!U$2:BL$2,'Tsalin uzuulelt'!H$2,negtgel!U99:BL99)+SUMIF(negtgel!U$2:BL$2,'Tsalin uzuulelt'!H$3,negtgel!U99:BL99)+SUMIF(negtgel!U$2:BL$2,'Tsalin uzuulelt'!H$4,negtgel!U99:BL99)+SUMIF(negtgel!U$2:BL$2,'Tsalin uzuulelt'!H$5,negtgel!U99:BL99)</f>
      </c>
      <c r="J99">
        <f>SUMIF(negtgel!U$2:BL$2,'Tsalin uzuulelt'!J$1,negtgel!U99:BL99) + SUMIF(negtgel!U$2:BL$2,'Tsalin uzuulelt'!J$2,negtgel!U99:BL99)+SUMIF(negtgel!U$2:BL$2,'Tsalin uzuulelt'!J$3,negtgel!U99:BL99)+SUMIF(negtgel!U$2:BL$2,'Tsalin uzuulelt'!J$4,negtgel!U99:BL99)+SUMIF(negtgel!U$2:BL$2,'Tsalin uzuulelt'!J$5,negtgel!U99:BL99)</f>
      </c>
      <c r="K99">
        <f>SUMIF(negtgel!U$2:BL$2,'Tsalin uzuulelt'!L$1,negtgel!U99:BL99) + SUMIF(negtgel!U$2:BL$2,'Tsalin uzuulelt'!L$2,negtgel!U99:BL99)+SUMIF(negtgel!U$2:BL$2,'Tsalin uzuulelt'!L$3,negtgel!U99:BL99)+SUMIF(negtgel!U$2:BL$2,'Tsalin uzuulelt'!L$4,negtgel!U99:BL99)+SUMIF(negtgel!U$2:BL$2,'Tsalin uzuulelt'!L$5,negtgel!U99:BL99)</f>
      </c>
      <c r="L99">
        <f>SUMIF(negtgel!U$2:BL$2,'Tsalin uzuulelt'!N$1,negtgel!U99:BL99) + SUMIF(negtgel!U$2:BL$2,'Tsalin uzuulelt'!N$2,negtgel!U99:BL99)+SUMIF(negtgel!U$2:BL$2,'Tsalin uzuulelt'!N$3,negtgel!U99:BL99)+SUMIF(negtgel!U$2:BL$2,'Tsalin uzuulelt'!N$4,negtgel!U99:BL99)+SUMIF(negtgel!U$2:BL$2,'Tsalin uzuulelt'!N$5,negtgel!U99:BL99)</f>
      </c>
      <c r="M99">
        <f>SUMIF(negtgel!U$2:BL$2,'Tsalin uzuulelt'!P$1,negtgel!U99:BL99) + SUMIF(negtgel!U$2:BL$2,'Tsalin uzuulelt'!P$2,negtgel!U99:BL99)+ SUMIF(negtgel!U$2:BL$2,'Tsalin uzuulelt'!P$3,negtgel!U99:BL99)+ SUMIF(negtgel!U$2:BL$2,'Tsalin uzuulelt'!P$4,negtgel!U99:BL99)+ SUMIF(negtgel!U$2:BL$2,'Tsalin uzuulelt'!P$5,negtgel!U99:BL99)</f>
      </c>
      <c r="N99">
        <f>IF(ISNUMBER(U99*1)=CF99,0,K99-H99-G99)</f>
      </c>
      <c r="O99">
        <f>IF(ISNUMBER(U99*1)=CF99,0,L99)</f>
      </c>
      <c r="P99">
        <f>IF(ISNUMBER(U99*1)=CF99,0,M99)</f>
      </c>
      <c r="Q99">
        <f>IF(N99&gt;2400000,N99,0)</f>
      </c>
      <c r="R99">
        <f>IF(L99/Q99*100&lt;3,2,10)</f>
      </c>
      <c r="S99">
        <f>IF(CH99=0,0,IF(B99&gt;9,10,IF(B99&gt;8,B99,IF(B99&gt;7.7,7.8,IF(B99&gt;3,B99,IF(B99&gt;1.5,2))))))</f>
      </c>
      <c r="T99">
        <f>IF(Q99=0,S99,R99)</f>
      </c>
      <c r="U99" t="s">
        <v>3787</v>
      </c>
      <c r="V99"/>
      <c r="W99"/>
      <c r="X99" t="n">
        <v>8064114.0</v>
      </c>
      <c r="Y99" t="n">
        <v>6219978.0</v>
      </c>
      <c r="Z99" t="n">
        <v>231467.0</v>
      </c>
      <c r="AA99" t="n">
        <v>553952.0</v>
      </c>
      <c r="AB99" t="n">
        <v>0.0</v>
      </c>
      <c r="AC99" t="n">
        <v>0.0</v>
      </c>
      <c r="AD99" t="n">
        <v>0.0</v>
      </c>
      <c r="AE99" t="n">
        <v>0.0</v>
      </c>
      <c r="AF99" t="n">
        <v>585000.0</v>
      </c>
      <c r="AG99" t="n">
        <v>0.0</v>
      </c>
      <c r="AH99" t="n">
        <v>0.0</v>
      </c>
      <c r="AI99" t="n">
        <v>0.0</v>
      </c>
      <c r="AJ99" t="n">
        <v>0.0</v>
      </c>
      <c r="AK99" t="n">
        <v>0.0</v>
      </c>
      <c r="AL99" t="n">
        <v>118455.0</v>
      </c>
      <c r="AM99" t="n">
        <v>0.0</v>
      </c>
      <c r="AN99" t="n">
        <v>0.0</v>
      </c>
      <c r="AO99" t="n">
        <v>7708852.0</v>
      </c>
      <c r="AP99" t="n">
        <v>759042.0</v>
      </c>
      <c r="AQ99" t="n">
        <v>604985.7</v>
      </c>
      <c r="CH99">
        <f>IFERROR(U99*1,0)</f>
      </c>
    </row>
    <row r="100">
      <c r="A100" t="n">
        <v>2.0</v>
      </c>
      <c r="B100">
        <f>IF((K100-G100-H100&gt;2400000),10,(L100/(K100-G100-H100)*100))</f>
      </c>
      <c r="C100">
        <f>IF(N100&gt;2400000,240000,(N100*S100)/100)</f>
      </c>
      <c r="D100">
        <f>IF(S100=0,0,IF((N100-I100)&gt;2400000,((((((N100-I100-J100)-240000))*0.1+(I100+J100)*0.1)))-7000,((((((N100-I100-J100)-(N100-I100-J100)*S100/100)))*0.1+(I100+J100)*0.1)-7000)))</f>
      </c>
      <c r="E100">
        <f>C100-O100</f>
      </c>
      <c r="F100">
        <f>D100-P100</f>
      </c>
      <c r="G100">
        <f>SUMIF(negtgel!U$2:BL$2,'Tsalin uzuulelt'!B$1,negtgel!U100:BL100) + SUMIF(negtgel!U$2:BL$2,'Tsalin uzuulelt'!B$2,negtgel!U100:BL100)+SUMIF(negtgel!U$2:BL$2,'Tsalin uzuulelt'!B$3,negtgel!U100:BL100)+SUMIF(negtgel!U$2:BL$2,'Tsalin uzuulelt'!B$4,negtgel!U100:BL100)+SUMIF(negtgel!U$2:BL$2,'Tsalin uzuulelt'!B$5,negtgel!U100:BL100)</f>
      </c>
      <c r="H100">
        <f>SUMIF(negtgel!U$2:BL$2,'Tsalin uzuulelt'!F$1,negtgel!U100:BL100) + SUMIF(negtgel!U$2:BL$2,'Tsalin uzuulelt'!F$2,negtgel!U100:BL100)+SUMIF(negtgel!U$2:BL$2,'Tsalin uzuulelt'!F$3,negtgel!U100:BL100)+SUMIF(negtgel!U$2:BL$2,'Tsalin uzuulelt'!F$4,negtgel!U100:BL100)+SUMIF(negtgel!U$2:BL$2,'Tsalin uzuulelt'!F$5,negtgel!U100:BL100)</f>
      </c>
      <c r="I100">
        <f>SUMIF(negtgel!U$2:BL$2,'Tsalin uzuulelt'!H$1,negtgel!U100:BL100) + SUMIF(negtgel!U$2:BL$2,'Tsalin uzuulelt'!H$2,negtgel!U100:BL100)+SUMIF(negtgel!U$2:BL$2,'Tsalin uzuulelt'!H$3,negtgel!U100:BL100)+SUMIF(negtgel!U$2:BL$2,'Tsalin uzuulelt'!H$4,negtgel!U100:BL100)+SUMIF(negtgel!U$2:BL$2,'Tsalin uzuulelt'!H$5,negtgel!U100:BL100)</f>
      </c>
      <c r="J100">
        <f>SUMIF(negtgel!U$2:BL$2,'Tsalin uzuulelt'!J$1,negtgel!U100:BL100) + SUMIF(negtgel!U$2:BL$2,'Tsalin uzuulelt'!J$2,negtgel!U100:BL100)+SUMIF(negtgel!U$2:BL$2,'Tsalin uzuulelt'!J$3,negtgel!U100:BL100)+SUMIF(negtgel!U$2:BL$2,'Tsalin uzuulelt'!J$4,negtgel!U100:BL100)+SUMIF(negtgel!U$2:BL$2,'Tsalin uzuulelt'!J$5,negtgel!U100:BL100)</f>
      </c>
      <c r="K100">
        <f>SUMIF(negtgel!U$2:BL$2,'Tsalin uzuulelt'!L$1,negtgel!U100:BL100) + SUMIF(negtgel!U$2:BL$2,'Tsalin uzuulelt'!L$2,negtgel!U100:BL100)+SUMIF(negtgel!U$2:BL$2,'Tsalin uzuulelt'!L$3,negtgel!U100:BL100)+SUMIF(negtgel!U$2:BL$2,'Tsalin uzuulelt'!L$4,negtgel!U100:BL100)+SUMIF(negtgel!U$2:BL$2,'Tsalin uzuulelt'!L$5,negtgel!U100:BL100)</f>
      </c>
      <c r="L100">
        <f>SUMIF(negtgel!U$2:BL$2,'Tsalin uzuulelt'!N$1,negtgel!U100:BL100) + SUMIF(negtgel!U$2:BL$2,'Tsalin uzuulelt'!N$2,negtgel!U100:BL100)+SUMIF(negtgel!U$2:BL$2,'Tsalin uzuulelt'!N$3,negtgel!U100:BL100)+SUMIF(negtgel!U$2:BL$2,'Tsalin uzuulelt'!N$4,negtgel!U100:BL100)+SUMIF(negtgel!U$2:BL$2,'Tsalin uzuulelt'!N$5,negtgel!U100:BL100)</f>
      </c>
      <c r="M100">
        <f>SUMIF(negtgel!U$2:BL$2,'Tsalin uzuulelt'!P$1,negtgel!U100:BL100) + SUMIF(negtgel!U$2:BL$2,'Tsalin uzuulelt'!P$2,negtgel!U100:BL100)+ SUMIF(negtgel!U$2:BL$2,'Tsalin uzuulelt'!P$3,negtgel!U100:BL100)+ SUMIF(negtgel!U$2:BL$2,'Tsalin uzuulelt'!P$4,negtgel!U100:BL100)+ SUMIF(negtgel!U$2:BL$2,'Tsalin uzuulelt'!P$5,negtgel!U100:BL100)</f>
      </c>
      <c r="N100">
        <f>IF(ISNUMBER(U100*1)=CF100,0,K100-H100-G100)</f>
      </c>
      <c r="O100">
        <f>IF(ISNUMBER(U100*1)=CF100,0,L100)</f>
      </c>
      <c r="P100">
        <f>IF(ISNUMBER(U100*1)=CF100,0,M100)</f>
      </c>
      <c r="Q100">
        <f>IF(N100&gt;2400000,N100,0)</f>
      </c>
      <c r="R100">
        <f>IF(L100/Q100*100&lt;3,2,10)</f>
      </c>
      <c r="S100">
        <f>IF(CH100=0,0,IF(B100&gt;9,10,IF(B100&gt;8,B100,IF(B100&gt;7.7,7.8,IF(B100&gt;3,B100,IF(B100&gt;1.5,2))))))</f>
      </c>
      <c r="T100">
        <f>IF(Q100=0,S100,R100)</f>
      </c>
      <c r="U100" t="s">
        <v>3815</v>
      </c>
      <c r="V100"/>
      <c r="W100"/>
      <c r="X100"/>
      <c r="Y100"/>
      <c r="Z100"/>
      <c r="AA100"/>
      <c r="AB100"/>
      <c r="AC100"/>
      <c r="AD100"/>
      <c r="AE100"/>
      <c r="AF100"/>
      <c r="AG100"/>
      <c r="AH100"/>
      <c r="AI100"/>
      <c r="AJ100"/>
      <c r="AK100"/>
      <c r="AL100"/>
      <c r="AM100"/>
      <c r="AN100"/>
      <c r="AO100"/>
      <c r="AP100"/>
      <c r="AQ100"/>
      <c r="CH100">
        <f>IFERROR(U100*1,0)</f>
      </c>
    </row>
    <row r="101">
      <c r="A101" t="n">
        <v>2.0</v>
      </c>
      <c r="B101">
        <f>IF((K101-G101-H101&gt;2400000),10,(L101/(K101-G101-H101)*100))</f>
      </c>
      <c r="C101">
        <f>IF(N101&gt;2400000,240000,(N101*S101)/100)</f>
      </c>
      <c r="D101">
        <f>IF(S101=0,0,IF((N101-I101)&gt;2400000,((((((N101-I101-J101)-240000))*0.1+(I101+J101)*0.1)))-7000,((((((N101-I101-J101)-(N101-I101-J101)*S101/100)))*0.1+(I101+J101)*0.1)-7000)))</f>
      </c>
      <c r="E101">
        <f>C101-O101</f>
      </c>
      <c r="F101">
        <f>D101-P101</f>
      </c>
      <c r="G101">
        <f>SUMIF(negtgel!U$2:BL$2,'Tsalin uzuulelt'!B$1,negtgel!U101:BL101) + SUMIF(negtgel!U$2:BL$2,'Tsalin uzuulelt'!B$2,negtgel!U101:BL101)+SUMIF(negtgel!U$2:BL$2,'Tsalin uzuulelt'!B$3,negtgel!U101:BL101)+SUMIF(negtgel!U$2:BL$2,'Tsalin uzuulelt'!B$4,negtgel!U101:BL101)+SUMIF(negtgel!U$2:BL$2,'Tsalin uzuulelt'!B$5,negtgel!U101:BL101)</f>
      </c>
      <c r="H101">
        <f>SUMIF(negtgel!U$2:BL$2,'Tsalin uzuulelt'!F$1,negtgel!U101:BL101) + SUMIF(negtgel!U$2:BL$2,'Tsalin uzuulelt'!F$2,negtgel!U101:BL101)+SUMIF(negtgel!U$2:BL$2,'Tsalin uzuulelt'!F$3,negtgel!U101:BL101)+SUMIF(negtgel!U$2:BL$2,'Tsalin uzuulelt'!F$4,negtgel!U101:BL101)+SUMIF(negtgel!U$2:BL$2,'Tsalin uzuulelt'!F$5,negtgel!U101:BL101)</f>
      </c>
      <c r="I101">
        <f>SUMIF(negtgel!U$2:BL$2,'Tsalin uzuulelt'!H$1,negtgel!U101:BL101) + SUMIF(negtgel!U$2:BL$2,'Tsalin uzuulelt'!H$2,negtgel!U101:BL101)+SUMIF(negtgel!U$2:BL$2,'Tsalin uzuulelt'!H$3,negtgel!U101:BL101)+SUMIF(negtgel!U$2:BL$2,'Tsalin uzuulelt'!H$4,negtgel!U101:BL101)+SUMIF(negtgel!U$2:BL$2,'Tsalin uzuulelt'!H$5,negtgel!U101:BL101)</f>
      </c>
      <c r="J101">
        <f>SUMIF(negtgel!U$2:BL$2,'Tsalin uzuulelt'!J$1,negtgel!U101:BL101) + SUMIF(negtgel!U$2:BL$2,'Tsalin uzuulelt'!J$2,negtgel!U101:BL101)+SUMIF(negtgel!U$2:BL$2,'Tsalin uzuulelt'!J$3,negtgel!U101:BL101)+SUMIF(negtgel!U$2:BL$2,'Tsalin uzuulelt'!J$4,negtgel!U101:BL101)+SUMIF(negtgel!U$2:BL$2,'Tsalin uzuulelt'!J$5,negtgel!U101:BL101)</f>
      </c>
      <c r="K101">
        <f>SUMIF(negtgel!U$2:BL$2,'Tsalin uzuulelt'!L$1,negtgel!U101:BL101) + SUMIF(negtgel!U$2:BL$2,'Tsalin uzuulelt'!L$2,negtgel!U101:BL101)+SUMIF(negtgel!U$2:BL$2,'Tsalin uzuulelt'!L$3,negtgel!U101:BL101)+SUMIF(negtgel!U$2:BL$2,'Tsalin uzuulelt'!L$4,negtgel!U101:BL101)+SUMIF(negtgel!U$2:BL$2,'Tsalin uzuulelt'!L$5,negtgel!U101:BL101)</f>
      </c>
      <c r="L101">
        <f>SUMIF(negtgel!U$2:BL$2,'Tsalin uzuulelt'!N$1,negtgel!U101:BL101) + SUMIF(negtgel!U$2:BL$2,'Tsalin uzuulelt'!N$2,negtgel!U101:BL101)+SUMIF(negtgel!U$2:BL$2,'Tsalin uzuulelt'!N$3,negtgel!U101:BL101)+SUMIF(negtgel!U$2:BL$2,'Tsalin uzuulelt'!N$4,negtgel!U101:BL101)+SUMIF(negtgel!U$2:BL$2,'Tsalin uzuulelt'!N$5,negtgel!U101:BL101)</f>
      </c>
      <c r="M101">
        <f>SUMIF(negtgel!U$2:BL$2,'Tsalin uzuulelt'!P$1,negtgel!U101:BL101) + SUMIF(negtgel!U$2:BL$2,'Tsalin uzuulelt'!P$2,negtgel!U101:BL101)+ SUMIF(negtgel!U$2:BL$2,'Tsalin uzuulelt'!P$3,negtgel!U101:BL101)+ SUMIF(negtgel!U$2:BL$2,'Tsalin uzuulelt'!P$4,negtgel!U101:BL101)+ SUMIF(negtgel!U$2:BL$2,'Tsalin uzuulelt'!P$5,negtgel!U101:BL101)</f>
      </c>
      <c r="N101">
        <f>IF(ISNUMBER(U101*1)=CF101,0,K101-H101-G101)</f>
      </c>
      <c r="O101">
        <f>IF(ISNUMBER(U101*1)=CF101,0,L101)</f>
      </c>
      <c r="P101">
        <f>IF(ISNUMBER(U101*1)=CF101,0,M101)</f>
      </c>
      <c r="Q101">
        <f>IF(N101&gt;2400000,N101,0)</f>
      </c>
      <c r="R101">
        <f>IF(L101/Q101*100&lt;3,2,10)</f>
      </c>
      <c r="S101">
        <f>IF(CH101=0,0,IF(B101&gt;9,10,IF(B101&gt;8,B101,IF(B101&gt;7.7,7.8,IF(B101&gt;3,B101,IF(B101&gt;1.5,2))))))</f>
      </c>
      <c r="T101">
        <f>IF(Q101=0,S101,R101)</f>
      </c>
      <c r="U101" t="n">
        <v>71.0</v>
      </c>
      <c r="V101" t="s">
        <v>3816</v>
      </c>
      <c r="W101" t="s">
        <v>3790</v>
      </c>
      <c r="X101" t="n">
        <v>547759.0</v>
      </c>
      <c r="Y101" t="n">
        <v>547759.0</v>
      </c>
      <c r="Z101" t="n">
        <v>0.0</v>
      </c>
      <c r="AA101" t="n">
        <v>0.0</v>
      </c>
      <c r="AB101" t="n">
        <v>0.0</v>
      </c>
      <c r="AC101" t="n">
        <v>0.0</v>
      </c>
      <c r="AD101" t="n">
        <v>0.0</v>
      </c>
      <c r="AE101" t="n">
        <v>0.0</v>
      </c>
      <c r="AF101" t="n">
        <v>54000.0</v>
      </c>
      <c r="AG101" t="n">
        <v>0.0</v>
      </c>
      <c r="AH101" t="n">
        <v>0.0</v>
      </c>
      <c r="AI101" t="n">
        <v>0.0</v>
      </c>
      <c r="AJ101" t="n">
        <v>0.0</v>
      </c>
      <c r="AK101" t="n">
        <v>0.0</v>
      </c>
      <c r="AL101" t="n">
        <v>0.0</v>
      </c>
      <c r="AM101" t="n">
        <v>0.0</v>
      </c>
      <c r="AN101" t="n">
        <v>0.0</v>
      </c>
      <c r="AO101" t="n">
        <v>601759.0</v>
      </c>
      <c r="AP101" t="n">
        <v>60176.0</v>
      </c>
      <c r="AQ101" t="n">
        <v>47698.3</v>
      </c>
      <c r="CH101">
        <f>IFERROR(U101*1,0)</f>
      </c>
    </row>
    <row r="102">
      <c r="A102" t="n">
        <v>2.0</v>
      </c>
      <c r="B102">
        <f>IF((K102-G102-H102&gt;2400000),10,(L102/(K102-G102-H102)*100))</f>
      </c>
      <c r="C102">
        <f>IF(N102&gt;2400000,240000,(N102*S102)/100)</f>
      </c>
      <c r="D102">
        <f>IF(S102=0,0,IF((N102-I102)&gt;2400000,((((((N102-I102-J102)-240000))*0.1+(I102+J102)*0.1)))-7000,((((((N102-I102-J102)-(N102-I102-J102)*S102/100)))*0.1+(I102+J102)*0.1)-7000)))</f>
      </c>
      <c r="E102">
        <f>C102-O102</f>
      </c>
      <c r="F102">
        <f>D102-P102</f>
      </c>
      <c r="G102">
        <f>SUMIF(negtgel!U$2:BL$2,'Tsalin uzuulelt'!B$1,negtgel!U102:BL102) + SUMIF(negtgel!U$2:BL$2,'Tsalin uzuulelt'!B$2,negtgel!U102:BL102)+SUMIF(negtgel!U$2:BL$2,'Tsalin uzuulelt'!B$3,negtgel!U102:BL102)+SUMIF(negtgel!U$2:BL$2,'Tsalin uzuulelt'!B$4,negtgel!U102:BL102)+SUMIF(negtgel!U$2:BL$2,'Tsalin uzuulelt'!B$5,negtgel!U102:BL102)</f>
      </c>
      <c r="H102">
        <f>SUMIF(negtgel!U$2:BL$2,'Tsalin uzuulelt'!F$1,negtgel!U102:BL102) + SUMIF(negtgel!U$2:BL$2,'Tsalin uzuulelt'!F$2,negtgel!U102:BL102)+SUMIF(negtgel!U$2:BL$2,'Tsalin uzuulelt'!F$3,negtgel!U102:BL102)+SUMIF(negtgel!U$2:BL$2,'Tsalin uzuulelt'!F$4,negtgel!U102:BL102)+SUMIF(negtgel!U$2:BL$2,'Tsalin uzuulelt'!F$5,negtgel!U102:BL102)</f>
      </c>
      <c r="I102">
        <f>SUMIF(negtgel!U$2:BL$2,'Tsalin uzuulelt'!H$1,negtgel!U102:BL102) + SUMIF(negtgel!U$2:BL$2,'Tsalin uzuulelt'!H$2,negtgel!U102:BL102)+SUMIF(negtgel!U$2:BL$2,'Tsalin uzuulelt'!H$3,negtgel!U102:BL102)+SUMIF(negtgel!U$2:BL$2,'Tsalin uzuulelt'!H$4,negtgel!U102:BL102)+SUMIF(negtgel!U$2:BL$2,'Tsalin uzuulelt'!H$5,negtgel!U102:BL102)</f>
      </c>
      <c r="J102">
        <f>SUMIF(negtgel!U$2:BL$2,'Tsalin uzuulelt'!J$1,negtgel!U102:BL102) + SUMIF(negtgel!U$2:BL$2,'Tsalin uzuulelt'!J$2,negtgel!U102:BL102)+SUMIF(negtgel!U$2:BL$2,'Tsalin uzuulelt'!J$3,negtgel!U102:BL102)+SUMIF(negtgel!U$2:BL$2,'Tsalin uzuulelt'!J$4,negtgel!U102:BL102)+SUMIF(negtgel!U$2:BL$2,'Tsalin uzuulelt'!J$5,negtgel!U102:BL102)</f>
      </c>
      <c r="K102">
        <f>SUMIF(negtgel!U$2:BL$2,'Tsalin uzuulelt'!L$1,negtgel!U102:BL102) + SUMIF(negtgel!U$2:BL$2,'Tsalin uzuulelt'!L$2,negtgel!U102:BL102)+SUMIF(negtgel!U$2:BL$2,'Tsalin uzuulelt'!L$3,negtgel!U102:BL102)+SUMIF(negtgel!U$2:BL$2,'Tsalin uzuulelt'!L$4,negtgel!U102:BL102)+SUMIF(negtgel!U$2:BL$2,'Tsalin uzuulelt'!L$5,negtgel!U102:BL102)</f>
      </c>
      <c r="L102">
        <f>SUMIF(negtgel!U$2:BL$2,'Tsalin uzuulelt'!N$1,negtgel!U102:BL102) + SUMIF(negtgel!U$2:BL$2,'Tsalin uzuulelt'!N$2,negtgel!U102:BL102)+SUMIF(negtgel!U$2:BL$2,'Tsalin uzuulelt'!N$3,negtgel!U102:BL102)+SUMIF(negtgel!U$2:BL$2,'Tsalin uzuulelt'!N$4,negtgel!U102:BL102)+SUMIF(negtgel!U$2:BL$2,'Tsalin uzuulelt'!N$5,negtgel!U102:BL102)</f>
      </c>
      <c r="M102">
        <f>SUMIF(negtgel!U$2:BL$2,'Tsalin uzuulelt'!P$1,negtgel!U102:BL102) + SUMIF(negtgel!U$2:BL$2,'Tsalin uzuulelt'!P$2,negtgel!U102:BL102)+ SUMIF(negtgel!U$2:BL$2,'Tsalin uzuulelt'!P$3,negtgel!U102:BL102)+ SUMIF(negtgel!U$2:BL$2,'Tsalin uzuulelt'!P$4,negtgel!U102:BL102)+ SUMIF(negtgel!U$2:BL$2,'Tsalin uzuulelt'!P$5,negtgel!U102:BL102)</f>
      </c>
      <c r="N102">
        <f>IF(ISNUMBER(U102*1)=CF102,0,K102-H102-G102)</f>
      </c>
      <c r="O102">
        <f>IF(ISNUMBER(U102*1)=CF102,0,L102)</f>
      </c>
      <c r="P102">
        <f>IF(ISNUMBER(U102*1)=CF102,0,M102)</f>
      </c>
      <c r="Q102">
        <f>IF(N102&gt;2400000,N102,0)</f>
      </c>
      <c r="R102">
        <f>IF(L102/Q102*100&lt;3,2,10)</f>
      </c>
      <c r="S102">
        <f>IF(CH102=0,0,IF(B102&gt;9,10,IF(B102&gt;8,B102,IF(B102&gt;7.7,7.8,IF(B102&gt;3,B102,IF(B102&gt;1.5,2))))))</f>
      </c>
      <c r="T102">
        <f>IF(Q102=0,S102,R102)</f>
      </c>
      <c r="U102" t="n">
        <v>72.0</v>
      </c>
      <c r="V102" t="s">
        <v>3817</v>
      </c>
      <c r="W102" t="s">
        <v>3790</v>
      </c>
      <c r="X102" t="n">
        <v>677436.0</v>
      </c>
      <c r="Y102" t="n">
        <v>677436.0</v>
      </c>
      <c r="Z102" t="n">
        <v>135487.0</v>
      </c>
      <c r="AA102" t="n">
        <v>135487.0</v>
      </c>
      <c r="AB102" t="n">
        <v>0.0</v>
      </c>
      <c r="AC102" t="n">
        <v>0.0</v>
      </c>
      <c r="AD102" t="n">
        <v>0.0</v>
      </c>
      <c r="AE102" t="n">
        <v>0.0</v>
      </c>
      <c r="AF102" t="n">
        <v>54000.0</v>
      </c>
      <c r="AG102" t="n">
        <v>0.0</v>
      </c>
      <c r="AH102" t="n">
        <v>0.0</v>
      </c>
      <c r="AI102" t="n">
        <v>0.0</v>
      </c>
      <c r="AJ102" t="n">
        <v>0.0</v>
      </c>
      <c r="AK102" t="n">
        <v>0.0</v>
      </c>
      <c r="AL102" t="n">
        <v>0.0</v>
      </c>
      <c r="AM102" t="n">
        <v>0.0</v>
      </c>
      <c r="AN102" t="n">
        <v>0.0</v>
      </c>
      <c r="AO102" t="n">
        <v>1002410.0</v>
      </c>
      <c r="AP102" t="n">
        <v>100241.0</v>
      </c>
      <c r="AQ102" t="n">
        <v>83756.9</v>
      </c>
      <c r="CH102">
        <f>IFERROR(U102*1,0)</f>
      </c>
    </row>
    <row r="103">
      <c r="A103" t="n">
        <v>2.0</v>
      </c>
      <c r="B103">
        <f>IF((K103-G103-H103&gt;2400000),10,(L103/(K103-G103-H103)*100))</f>
      </c>
      <c r="C103">
        <f>IF(N103&gt;2400000,240000,(N103*S103)/100)</f>
      </c>
      <c r="D103">
        <f>IF(S103=0,0,IF((N103-I103)&gt;2400000,((((((N103-I103-J103)-240000))*0.1+(I103+J103)*0.1)))-7000,((((((N103-I103-J103)-(N103-I103-J103)*S103/100)))*0.1+(I103+J103)*0.1)-7000)))</f>
      </c>
      <c r="E103">
        <f>C103-O103</f>
      </c>
      <c r="F103">
        <f>D103-P103</f>
      </c>
      <c r="G103">
        <f>SUMIF(negtgel!U$2:BL$2,'Tsalin uzuulelt'!B$1,negtgel!U103:BL103) + SUMIF(negtgel!U$2:BL$2,'Tsalin uzuulelt'!B$2,negtgel!U103:BL103)+SUMIF(negtgel!U$2:BL$2,'Tsalin uzuulelt'!B$3,negtgel!U103:BL103)+SUMIF(negtgel!U$2:BL$2,'Tsalin uzuulelt'!B$4,negtgel!U103:BL103)+SUMIF(negtgel!U$2:BL$2,'Tsalin uzuulelt'!B$5,negtgel!U103:BL103)</f>
      </c>
      <c r="H103">
        <f>SUMIF(negtgel!U$2:BL$2,'Tsalin uzuulelt'!F$1,negtgel!U103:BL103) + SUMIF(negtgel!U$2:BL$2,'Tsalin uzuulelt'!F$2,negtgel!U103:BL103)+SUMIF(negtgel!U$2:BL$2,'Tsalin uzuulelt'!F$3,negtgel!U103:BL103)+SUMIF(negtgel!U$2:BL$2,'Tsalin uzuulelt'!F$4,negtgel!U103:BL103)+SUMIF(negtgel!U$2:BL$2,'Tsalin uzuulelt'!F$5,negtgel!U103:BL103)</f>
      </c>
      <c r="I103">
        <f>SUMIF(negtgel!U$2:BL$2,'Tsalin uzuulelt'!H$1,negtgel!U103:BL103) + SUMIF(negtgel!U$2:BL$2,'Tsalin uzuulelt'!H$2,negtgel!U103:BL103)+SUMIF(negtgel!U$2:BL$2,'Tsalin uzuulelt'!H$3,negtgel!U103:BL103)+SUMIF(negtgel!U$2:BL$2,'Tsalin uzuulelt'!H$4,negtgel!U103:BL103)+SUMIF(negtgel!U$2:BL$2,'Tsalin uzuulelt'!H$5,negtgel!U103:BL103)</f>
      </c>
      <c r="J103">
        <f>SUMIF(negtgel!U$2:BL$2,'Tsalin uzuulelt'!J$1,negtgel!U103:BL103) + SUMIF(negtgel!U$2:BL$2,'Tsalin uzuulelt'!J$2,negtgel!U103:BL103)+SUMIF(negtgel!U$2:BL$2,'Tsalin uzuulelt'!J$3,negtgel!U103:BL103)+SUMIF(negtgel!U$2:BL$2,'Tsalin uzuulelt'!J$4,negtgel!U103:BL103)+SUMIF(negtgel!U$2:BL$2,'Tsalin uzuulelt'!J$5,negtgel!U103:BL103)</f>
      </c>
      <c r="K103">
        <f>SUMIF(negtgel!U$2:BL$2,'Tsalin uzuulelt'!L$1,negtgel!U103:BL103) + SUMIF(negtgel!U$2:BL$2,'Tsalin uzuulelt'!L$2,negtgel!U103:BL103)+SUMIF(negtgel!U$2:BL$2,'Tsalin uzuulelt'!L$3,negtgel!U103:BL103)+SUMIF(negtgel!U$2:BL$2,'Tsalin uzuulelt'!L$4,negtgel!U103:BL103)+SUMIF(negtgel!U$2:BL$2,'Tsalin uzuulelt'!L$5,negtgel!U103:BL103)</f>
      </c>
      <c r="L103">
        <f>SUMIF(negtgel!U$2:BL$2,'Tsalin uzuulelt'!N$1,negtgel!U103:BL103) + SUMIF(negtgel!U$2:BL$2,'Tsalin uzuulelt'!N$2,negtgel!U103:BL103)+SUMIF(negtgel!U$2:BL$2,'Tsalin uzuulelt'!N$3,negtgel!U103:BL103)+SUMIF(negtgel!U$2:BL$2,'Tsalin uzuulelt'!N$4,negtgel!U103:BL103)+SUMIF(negtgel!U$2:BL$2,'Tsalin uzuulelt'!N$5,negtgel!U103:BL103)</f>
      </c>
      <c r="M103">
        <f>SUMIF(negtgel!U$2:BL$2,'Tsalin uzuulelt'!P$1,negtgel!U103:BL103) + SUMIF(negtgel!U$2:BL$2,'Tsalin uzuulelt'!P$2,negtgel!U103:BL103)+ SUMIF(negtgel!U$2:BL$2,'Tsalin uzuulelt'!P$3,negtgel!U103:BL103)+ SUMIF(negtgel!U$2:BL$2,'Tsalin uzuulelt'!P$4,negtgel!U103:BL103)+ SUMIF(negtgel!U$2:BL$2,'Tsalin uzuulelt'!P$5,negtgel!U103:BL103)</f>
      </c>
      <c r="N103">
        <f>IF(ISNUMBER(U103*1)=CF103,0,K103-H103-G103)</f>
      </c>
      <c r="O103">
        <f>IF(ISNUMBER(U103*1)=CF103,0,L103)</f>
      </c>
      <c r="P103">
        <f>IF(ISNUMBER(U103*1)=CF103,0,M103)</f>
      </c>
      <c r="Q103">
        <f>IF(N103&gt;2400000,N103,0)</f>
      </c>
      <c r="R103">
        <f>IF(L103/Q103*100&lt;3,2,10)</f>
      </c>
      <c r="S103">
        <f>IF(CH103=0,0,IF(B103&gt;9,10,IF(B103&gt;8,B103,IF(B103&gt;7.7,7.8,IF(B103&gt;3,B103,IF(B103&gt;1.5,2))))))</f>
      </c>
      <c r="T103">
        <f>IF(Q103=0,S103,R103)</f>
      </c>
      <c r="U103" t="n">
        <v>73.0</v>
      </c>
      <c r="V103" t="s">
        <v>3818</v>
      </c>
      <c r="W103" t="s">
        <v>3785</v>
      </c>
      <c r="X103" t="n">
        <v>795935.0</v>
      </c>
      <c r="Y103" t="n">
        <v>795935.0</v>
      </c>
      <c r="Z103" t="n">
        <v>159187.0</v>
      </c>
      <c r="AA103" t="n">
        <v>143268.0</v>
      </c>
      <c r="AB103" t="n">
        <v>0.0</v>
      </c>
      <c r="AC103" t="n">
        <v>0.0</v>
      </c>
      <c r="AD103" t="n">
        <v>0.0</v>
      </c>
      <c r="AE103" t="n">
        <v>0.0</v>
      </c>
      <c r="AF103" t="n">
        <v>54000.0</v>
      </c>
      <c r="AG103" t="n">
        <v>0.0</v>
      </c>
      <c r="AH103" t="n">
        <v>0.0</v>
      </c>
      <c r="AI103" t="n">
        <v>0.0</v>
      </c>
      <c r="AJ103" t="n">
        <v>0.0</v>
      </c>
      <c r="AK103" t="n">
        <v>0.0</v>
      </c>
      <c r="AL103" t="n">
        <v>0.0</v>
      </c>
      <c r="AM103" t="n">
        <v>0.0</v>
      </c>
      <c r="AN103" t="n">
        <v>0.0</v>
      </c>
      <c r="AO103" t="n">
        <v>1152390.0</v>
      </c>
      <c r="AP103" t="n">
        <v>115239.0</v>
      </c>
      <c r="AQ103" t="n">
        <v>97255.1</v>
      </c>
      <c r="CH103">
        <f>IFERROR(U103*1,0)</f>
      </c>
    </row>
    <row r="104">
      <c r="A104" t="n">
        <v>2.0</v>
      </c>
      <c r="B104">
        <f>IF((K104-G104-H104&gt;2400000),10,(L104/(K104-G104-H104)*100))</f>
      </c>
      <c r="C104">
        <f>IF(N104&gt;2400000,240000,(N104*S104)/100)</f>
      </c>
      <c r="D104">
        <f>IF(S104=0,0,IF((N104-I104)&gt;2400000,((((((N104-I104-J104)-240000))*0.1+(I104+J104)*0.1)))-7000,((((((N104-I104-J104)-(N104-I104-J104)*S104/100)))*0.1+(I104+J104)*0.1)-7000)))</f>
      </c>
      <c r="E104">
        <f>C104-O104</f>
      </c>
      <c r="F104">
        <f>D104-P104</f>
      </c>
      <c r="G104">
        <f>SUMIF(negtgel!U$2:BL$2,'Tsalin uzuulelt'!B$1,negtgel!U104:BL104) + SUMIF(negtgel!U$2:BL$2,'Tsalin uzuulelt'!B$2,negtgel!U104:BL104)+SUMIF(negtgel!U$2:BL$2,'Tsalin uzuulelt'!B$3,negtgel!U104:BL104)+SUMIF(negtgel!U$2:BL$2,'Tsalin uzuulelt'!B$4,negtgel!U104:BL104)+SUMIF(negtgel!U$2:BL$2,'Tsalin uzuulelt'!B$5,negtgel!U104:BL104)</f>
      </c>
      <c r="H104">
        <f>SUMIF(negtgel!U$2:BL$2,'Tsalin uzuulelt'!F$1,negtgel!U104:BL104) + SUMIF(negtgel!U$2:BL$2,'Tsalin uzuulelt'!F$2,negtgel!U104:BL104)+SUMIF(negtgel!U$2:BL$2,'Tsalin uzuulelt'!F$3,negtgel!U104:BL104)+SUMIF(negtgel!U$2:BL$2,'Tsalin uzuulelt'!F$4,negtgel!U104:BL104)+SUMIF(negtgel!U$2:BL$2,'Tsalin uzuulelt'!F$5,negtgel!U104:BL104)</f>
      </c>
      <c r="I104">
        <f>SUMIF(negtgel!U$2:BL$2,'Tsalin uzuulelt'!H$1,negtgel!U104:BL104) + SUMIF(negtgel!U$2:BL$2,'Tsalin uzuulelt'!H$2,negtgel!U104:BL104)+SUMIF(negtgel!U$2:BL$2,'Tsalin uzuulelt'!H$3,negtgel!U104:BL104)+SUMIF(negtgel!U$2:BL$2,'Tsalin uzuulelt'!H$4,negtgel!U104:BL104)+SUMIF(negtgel!U$2:BL$2,'Tsalin uzuulelt'!H$5,negtgel!U104:BL104)</f>
      </c>
      <c r="J104">
        <f>SUMIF(negtgel!U$2:BL$2,'Tsalin uzuulelt'!J$1,negtgel!U104:BL104) + SUMIF(negtgel!U$2:BL$2,'Tsalin uzuulelt'!J$2,negtgel!U104:BL104)+SUMIF(negtgel!U$2:BL$2,'Tsalin uzuulelt'!J$3,negtgel!U104:BL104)+SUMIF(negtgel!U$2:BL$2,'Tsalin uzuulelt'!J$4,negtgel!U104:BL104)+SUMIF(negtgel!U$2:BL$2,'Tsalin uzuulelt'!J$5,negtgel!U104:BL104)</f>
      </c>
      <c r="K104">
        <f>SUMIF(negtgel!U$2:BL$2,'Tsalin uzuulelt'!L$1,negtgel!U104:BL104) + SUMIF(negtgel!U$2:BL$2,'Tsalin uzuulelt'!L$2,negtgel!U104:BL104)+SUMIF(negtgel!U$2:BL$2,'Tsalin uzuulelt'!L$3,negtgel!U104:BL104)+SUMIF(negtgel!U$2:BL$2,'Tsalin uzuulelt'!L$4,negtgel!U104:BL104)+SUMIF(negtgel!U$2:BL$2,'Tsalin uzuulelt'!L$5,negtgel!U104:BL104)</f>
      </c>
      <c r="L104">
        <f>SUMIF(negtgel!U$2:BL$2,'Tsalin uzuulelt'!N$1,negtgel!U104:BL104) + SUMIF(negtgel!U$2:BL$2,'Tsalin uzuulelt'!N$2,negtgel!U104:BL104)+SUMIF(negtgel!U$2:BL$2,'Tsalin uzuulelt'!N$3,negtgel!U104:BL104)+SUMIF(negtgel!U$2:BL$2,'Tsalin uzuulelt'!N$4,negtgel!U104:BL104)+SUMIF(negtgel!U$2:BL$2,'Tsalin uzuulelt'!N$5,negtgel!U104:BL104)</f>
      </c>
      <c r="M104">
        <f>SUMIF(negtgel!U$2:BL$2,'Tsalin uzuulelt'!P$1,negtgel!U104:BL104) + SUMIF(negtgel!U$2:BL$2,'Tsalin uzuulelt'!P$2,negtgel!U104:BL104)+ SUMIF(negtgel!U$2:BL$2,'Tsalin uzuulelt'!P$3,negtgel!U104:BL104)+ SUMIF(negtgel!U$2:BL$2,'Tsalin uzuulelt'!P$4,negtgel!U104:BL104)+ SUMIF(negtgel!U$2:BL$2,'Tsalin uzuulelt'!P$5,negtgel!U104:BL104)</f>
      </c>
      <c r="N104">
        <f>IF(ISNUMBER(U104*1)=CF104,0,K104-H104-G104)</f>
      </c>
      <c r="O104">
        <f>IF(ISNUMBER(U104*1)=CF104,0,L104)</f>
      </c>
      <c r="P104">
        <f>IF(ISNUMBER(U104*1)=CF104,0,M104)</f>
      </c>
      <c r="Q104">
        <f>IF(N104&gt;2400000,N104,0)</f>
      </c>
      <c r="R104">
        <f>IF(L104/Q104*100&lt;3,2,10)</f>
      </c>
      <c r="S104">
        <f>IF(CH104=0,0,IF(B104&gt;9,10,IF(B104&gt;8,B104,IF(B104&gt;7.7,7.8,IF(B104&gt;3,B104,IF(B104&gt;1.5,2))))))</f>
      </c>
      <c r="T104">
        <f>IF(Q104=0,S104,R104)</f>
      </c>
      <c r="U104" t="n">
        <v>74.0</v>
      </c>
      <c r="V104" t="s">
        <v>3819</v>
      </c>
      <c r="W104" t="s">
        <v>3820</v>
      </c>
      <c r="X104" t="n">
        <v>698795.0</v>
      </c>
      <c r="Y104" t="n">
        <v>698795.0</v>
      </c>
      <c r="Z104" t="n">
        <v>104819.0</v>
      </c>
      <c r="AA104" t="n">
        <v>125783.0</v>
      </c>
      <c r="AB104" t="n">
        <v>0.0</v>
      </c>
      <c r="AC104" t="n">
        <v>0.0</v>
      </c>
      <c r="AD104" t="n">
        <v>0.0</v>
      </c>
      <c r="AE104" t="n">
        <v>0.0</v>
      </c>
      <c r="AF104" t="n">
        <v>54000.0</v>
      </c>
      <c r="AG104" t="n">
        <v>0.0</v>
      </c>
      <c r="AH104" t="n">
        <v>0.0</v>
      </c>
      <c r="AI104" t="n">
        <v>0.0</v>
      </c>
      <c r="AJ104" t="n">
        <v>0.0</v>
      </c>
      <c r="AK104" t="n">
        <v>0.0</v>
      </c>
      <c r="AL104" t="n">
        <v>0.0</v>
      </c>
      <c r="AM104" t="n">
        <v>0.0</v>
      </c>
      <c r="AN104" t="n">
        <v>0.0</v>
      </c>
      <c r="AO104" t="n">
        <v>983397.0</v>
      </c>
      <c r="AP104" t="n">
        <v>98340.0</v>
      </c>
      <c r="AQ104" t="n">
        <v>82045.7</v>
      </c>
      <c r="CH104">
        <f>IFERROR(U104*1,0)</f>
      </c>
    </row>
    <row r="105">
      <c r="A105" t="n">
        <v>2.0</v>
      </c>
      <c r="B105">
        <f>IF((K105-G105-H105&gt;2400000),10,(L105/(K105-G105-H105)*100))</f>
      </c>
      <c r="C105">
        <f>IF(N105&gt;2400000,240000,(N105*S105)/100)</f>
      </c>
      <c r="D105">
        <f>IF(S105=0,0,IF((N105-I105)&gt;2400000,((((((N105-I105-J105)-240000))*0.1+(I105+J105)*0.1)))-7000,((((((N105-I105-J105)-(N105-I105-J105)*S105/100)))*0.1+(I105+J105)*0.1)-7000)))</f>
      </c>
      <c r="E105">
        <f>C105-O105</f>
      </c>
      <c r="F105">
        <f>D105-P105</f>
      </c>
      <c r="G105">
        <f>SUMIF(negtgel!U$2:BL$2,'Tsalin uzuulelt'!B$1,negtgel!U105:BL105) + SUMIF(negtgel!U$2:BL$2,'Tsalin uzuulelt'!B$2,negtgel!U105:BL105)+SUMIF(negtgel!U$2:BL$2,'Tsalin uzuulelt'!B$3,negtgel!U105:BL105)+SUMIF(negtgel!U$2:BL$2,'Tsalin uzuulelt'!B$4,negtgel!U105:BL105)+SUMIF(negtgel!U$2:BL$2,'Tsalin uzuulelt'!B$5,negtgel!U105:BL105)</f>
      </c>
      <c r="H105">
        <f>SUMIF(negtgel!U$2:BL$2,'Tsalin uzuulelt'!F$1,negtgel!U105:BL105) + SUMIF(negtgel!U$2:BL$2,'Tsalin uzuulelt'!F$2,negtgel!U105:BL105)+SUMIF(negtgel!U$2:BL$2,'Tsalin uzuulelt'!F$3,negtgel!U105:BL105)+SUMIF(negtgel!U$2:BL$2,'Tsalin uzuulelt'!F$4,negtgel!U105:BL105)+SUMIF(negtgel!U$2:BL$2,'Tsalin uzuulelt'!F$5,negtgel!U105:BL105)</f>
      </c>
      <c r="I105">
        <f>SUMIF(negtgel!U$2:BL$2,'Tsalin uzuulelt'!H$1,negtgel!U105:BL105) + SUMIF(negtgel!U$2:BL$2,'Tsalin uzuulelt'!H$2,negtgel!U105:BL105)+SUMIF(negtgel!U$2:BL$2,'Tsalin uzuulelt'!H$3,negtgel!U105:BL105)+SUMIF(negtgel!U$2:BL$2,'Tsalin uzuulelt'!H$4,negtgel!U105:BL105)+SUMIF(negtgel!U$2:BL$2,'Tsalin uzuulelt'!H$5,negtgel!U105:BL105)</f>
      </c>
      <c r="J105">
        <f>SUMIF(negtgel!U$2:BL$2,'Tsalin uzuulelt'!J$1,negtgel!U105:BL105) + SUMIF(negtgel!U$2:BL$2,'Tsalin uzuulelt'!J$2,negtgel!U105:BL105)+SUMIF(negtgel!U$2:BL$2,'Tsalin uzuulelt'!J$3,negtgel!U105:BL105)+SUMIF(negtgel!U$2:BL$2,'Tsalin uzuulelt'!J$4,negtgel!U105:BL105)+SUMIF(negtgel!U$2:BL$2,'Tsalin uzuulelt'!J$5,negtgel!U105:BL105)</f>
      </c>
      <c r="K105">
        <f>SUMIF(negtgel!U$2:BL$2,'Tsalin uzuulelt'!L$1,negtgel!U105:BL105) + SUMIF(negtgel!U$2:BL$2,'Tsalin uzuulelt'!L$2,negtgel!U105:BL105)+SUMIF(negtgel!U$2:BL$2,'Tsalin uzuulelt'!L$3,negtgel!U105:BL105)+SUMIF(negtgel!U$2:BL$2,'Tsalin uzuulelt'!L$4,negtgel!U105:BL105)+SUMIF(negtgel!U$2:BL$2,'Tsalin uzuulelt'!L$5,negtgel!U105:BL105)</f>
      </c>
      <c r="L105">
        <f>SUMIF(negtgel!U$2:BL$2,'Tsalin uzuulelt'!N$1,negtgel!U105:BL105) + SUMIF(negtgel!U$2:BL$2,'Tsalin uzuulelt'!N$2,negtgel!U105:BL105)+SUMIF(negtgel!U$2:BL$2,'Tsalin uzuulelt'!N$3,negtgel!U105:BL105)+SUMIF(negtgel!U$2:BL$2,'Tsalin uzuulelt'!N$4,negtgel!U105:BL105)+SUMIF(negtgel!U$2:BL$2,'Tsalin uzuulelt'!N$5,negtgel!U105:BL105)</f>
      </c>
      <c r="M105">
        <f>SUMIF(negtgel!U$2:BL$2,'Tsalin uzuulelt'!P$1,negtgel!U105:BL105) + SUMIF(negtgel!U$2:BL$2,'Tsalin uzuulelt'!P$2,negtgel!U105:BL105)+ SUMIF(negtgel!U$2:BL$2,'Tsalin uzuulelt'!P$3,negtgel!U105:BL105)+ SUMIF(negtgel!U$2:BL$2,'Tsalin uzuulelt'!P$4,negtgel!U105:BL105)+ SUMIF(negtgel!U$2:BL$2,'Tsalin uzuulelt'!P$5,negtgel!U105:BL105)</f>
      </c>
      <c r="N105">
        <f>IF(ISNUMBER(U105*1)=CF105,0,K105-H105-G105)</f>
      </c>
      <c r="O105">
        <f>IF(ISNUMBER(U105*1)=CF105,0,L105)</f>
      </c>
      <c r="P105">
        <f>IF(ISNUMBER(U105*1)=CF105,0,M105)</f>
      </c>
      <c r="Q105">
        <f>IF(N105&gt;2400000,N105,0)</f>
      </c>
      <c r="R105">
        <f>IF(L105/Q105*100&lt;3,2,10)</f>
      </c>
      <c r="S105">
        <f>IF(CH105=0,0,IF(B105&gt;9,10,IF(B105&gt;8,B105,IF(B105&gt;7.7,7.8,IF(B105&gt;3,B105,IF(B105&gt;1.5,2))))))</f>
      </c>
      <c r="T105">
        <f>IF(Q105=0,S105,R105)</f>
      </c>
      <c r="U105" t="n">
        <v>75.0</v>
      </c>
      <c r="V105" t="s">
        <v>3821</v>
      </c>
      <c r="W105" t="s">
        <v>3790</v>
      </c>
      <c r="X105" t="n">
        <v>547759.0</v>
      </c>
      <c r="Y105" t="n">
        <v>547759.0</v>
      </c>
      <c r="Z105" t="n">
        <v>0.0</v>
      </c>
      <c r="AA105" t="n">
        <v>0.0</v>
      </c>
      <c r="AB105" t="n">
        <v>0.0</v>
      </c>
      <c r="AC105" t="n">
        <v>0.0</v>
      </c>
      <c r="AD105" t="n">
        <v>0.0</v>
      </c>
      <c r="AE105" t="n">
        <v>0.0</v>
      </c>
      <c r="AF105" t="n">
        <v>54000.0</v>
      </c>
      <c r="AG105" t="n">
        <v>0.0</v>
      </c>
      <c r="AH105" t="n">
        <v>0.0</v>
      </c>
      <c r="AI105" t="n">
        <v>0.0</v>
      </c>
      <c r="AJ105" t="n">
        <v>0.0</v>
      </c>
      <c r="AK105" t="n">
        <v>0.0</v>
      </c>
      <c r="AL105" t="n">
        <v>0.0</v>
      </c>
      <c r="AM105" t="n">
        <v>0.0</v>
      </c>
      <c r="AN105" t="n">
        <v>0.0</v>
      </c>
      <c r="AO105" t="n">
        <v>601759.0</v>
      </c>
      <c r="AP105" t="n">
        <v>60176.0</v>
      </c>
      <c r="AQ105" t="n">
        <v>47698.3</v>
      </c>
      <c r="CH105">
        <f>IFERROR(U105*1,0)</f>
      </c>
    </row>
    <row r="106">
      <c r="A106" t="n">
        <v>2.0</v>
      </c>
      <c r="B106">
        <f>IF((K106-G106-H106&gt;2400000),10,(L106/(K106-G106-H106)*100))</f>
      </c>
      <c r="C106">
        <f>IF(N106&gt;2400000,240000,(N106*S106)/100)</f>
      </c>
      <c r="D106">
        <f>IF(S106=0,0,IF((N106-I106)&gt;2400000,((((((N106-I106-J106)-240000))*0.1+(I106+J106)*0.1)))-7000,((((((N106-I106-J106)-(N106-I106-J106)*S106/100)))*0.1+(I106+J106)*0.1)-7000)))</f>
      </c>
      <c r="E106">
        <f>C106-O106</f>
      </c>
      <c r="F106">
        <f>D106-P106</f>
      </c>
      <c r="G106">
        <f>SUMIF(negtgel!U$2:BL$2,'Tsalin uzuulelt'!B$1,negtgel!U106:BL106) + SUMIF(negtgel!U$2:BL$2,'Tsalin uzuulelt'!B$2,negtgel!U106:BL106)+SUMIF(negtgel!U$2:BL$2,'Tsalin uzuulelt'!B$3,negtgel!U106:BL106)+SUMIF(negtgel!U$2:BL$2,'Tsalin uzuulelt'!B$4,negtgel!U106:BL106)+SUMIF(negtgel!U$2:BL$2,'Tsalin uzuulelt'!B$5,negtgel!U106:BL106)</f>
      </c>
      <c r="H106">
        <f>SUMIF(negtgel!U$2:BL$2,'Tsalin uzuulelt'!F$1,negtgel!U106:BL106) + SUMIF(negtgel!U$2:BL$2,'Tsalin uzuulelt'!F$2,negtgel!U106:BL106)+SUMIF(negtgel!U$2:BL$2,'Tsalin uzuulelt'!F$3,negtgel!U106:BL106)+SUMIF(negtgel!U$2:BL$2,'Tsalin uzuulelt'!F$4,negtgel!U106:BL106)+SUMIF(negtgel!U$2:BL$2,'Tsalin uzuulelt'!F$5,negtgel!U106:BL106)</f>
      </c>
      <c r="I106">
        <f>SUMIF(negtgel!U$2:BL$2,'Tsalin uzuulelt'!H$1,negtgel!U106:BL106) + SUMIF(negtgel!U$2:BL$2,'Tsalin uzuulelt'!H$2,negtgel!U106:BL106)+SUMIF(negtgel!U$2:BL$2,'Tsalin uzuulelt'!H$3,negtgel!U106:BL106)+SUMIF(negtgel!U$2:BL$2,'Tsalin uzuulelt'!H$4,negtgel!U106:BL106)+SUMIF(negtgel!U$2:BL$2,'Tsalin uzuulelt'!H$5,negtgel!U106:BL106)</f>
      </c>
      <c r="J106">
        <f>SUMIF(negtgel!U$2:BL$2,'Tsalin uzuulelt'!J$1,negtgel!U106:BL106) + SUMIF(negtgel!U$2:BL$2,'Tsalin uzuulelt'!J$2,negtgel!U106:BL106)+SUMIF(negtgel!U$2:BL$2,'Tsalin uzuulelt'!J$3,negtgel!U106:BL106)+SUMIF(negtgel!U$2:BL$2,'Tsalin uzuulelt'!J$4,negtgel!U106:BL106)+SUMIF(negtgel!U$2:BL$2,'Tsalin uzuulelt'!J$5,negtgel!U106:BL106)</f>
      </c>
      <c r="K106">
        <f>SUMIF(negtgel!U$2:BL$2,'Tsalin uzuulelt'!L$1,negtgel!U106:BL106) + SUMIF(negtgel!U$2:BL$2,'Tsalin uzuulelt'!L$2,negtgel!U106:BL106)+SUMIF(negtgel!U$2:BL$2,'Tsalin uzuulelt'!L$3,negtgel!U106:BL106)+SUMIF(negtgel!U$2:BL$2,'Tsalin uzuulelt'!L$4,negtgel!U106:BL106)+SUMIF(negtgel!U$2:BL$2,'Tsalin uzuulelt'!L$5,negtgel!U106:BL106)</f>
      </c>
      <c r="L106">
        <f>SUMIF(negtgel!U$2:BL$2,'Tsalin uzuulelt'!N$1,negtgel!U106:BL106) + SUMIF(negtgel!U$2:BL$2,'Tsalin uzuulelt'!N$2,negtgel!U106:BL106)+SUMIF(negtgel!U$2:BL$2,'Tsalin uzuulelt'!N$3,negtgel!U106:BL106)+SUMIF(negtgel!U$2:BL$2,'Tsalin uzuulelt'!N$4,negtgel!U106:BL106)+SUMIF(negtgel!U$2:BL$2,'Tsalin uzuulelt'!N$5,negtgel!U106:BL106)</f>
      </c>
      <c r="M106">
        <f>SUMIF(negtgel!U$2:BL$2,'Tsalin uzuulelt'!P$1,negtgel!U106:BL106) + SUMIF(negtgel!U$2:BL$2,'Tsalin uzuulelt'!P$2,negtgel!U106:BL106)+ SUMIF(negtgel!U$2:BL$2,'Tsalin uzuulelt'!P$3,negtgel!U106:BL106)+ SUMIF(negtgel!U$2:BL$2,'Tsalin uzuulelt'!P$4,negtgel!U106:BL106)+ SUMIF(negtgel!U$2:BL$2,'Tsalin uzuulelt'!P$5,negtgel!U106:BL106)</f>
      </c>
      <c r="N106">
        <f>IF(ISNUMBER(U106*1)=CF106,0,K106-H106-G106)</f>
      </c>
      <c r="O106">
        <f>IF(ISNUMBER(U106*1)=CF106,0,L106)</f>
      </c>
      <c r="P106">
        <f>IF(ISNUMBER(U106*1)=CF106,0,M106)</f>
      </c>
      <c r="Q106">
        <f>IF(N106&gt;2400000,N106,0)</f>
      </c>
      <c r="R106">
        <f>IF(L106/Q106*100&lt;3,2,10)</f>
      </c>
      <c r="S106">
        <f>IF(CH106=0,0,IF(B106&gt;9,10,IF(B106&gt;8,B106,IF(B106&gt;7.7,7.8,IF(B106&gt;3,B106,IF(B106&gt;1.5,2))))))</f>
      </c>
      <c r="T106">
        <f>IF(Q106=0,S106,R106)</f>
      </c>
      <c r="U106" t="n">
        <v>76.0</v>
      </c>
      <c r="V106" t="s">
        <v>3822</v>
      </c>
      <c r="W106" t="s">
        <v>3823</v>
      </c>
      <c r="X106" t="n">
        <v>539547.0</v>
      </c>
      <c r="Y106" t="n">
        <v>539547.0</v>
      </c>
      <c r="Z106" t="n">
        <v>0.0</v>
      </c>
      <c r="AA106" t="n">
        <v>0.0</v>
      </c>
      <c r="AB106" t="n">
        <v>26977.0</v>
      </c>
      <c r="AC106" t="n">
        <v>0.0</v>
      </c>
      <c r="AD106" t="n">
        <v>0.0</v>
      </c>
      <c r="AE106" t="n">
        <v>0.0</v>
      </c>
      <c r="AF106" t="n">
        <v>54000.0</v>
      </c>
      <c r="AG106" t="n">
        <v>0.0</v>
      </c>
      <c r="AH106" t="n">
        <v>0.0</v>
      </c>
      <c r="AI106" t="n">
        <v>0.0</v>
      </c>
      <c r="AJ106" t="n">
        <v>0.0</v>
      </c>
      <c r="AK106" t="n">
        <v>0.0</v>
      </c>
      <c r="AL106" t="n">
        <v>0.0</v>
      </c>
      <c r="AM106" t="n">
        <v>0.0</v>
      </c>
      <c r="AN106" t="n">
        <v>0.0</v>
      </c>
      <c r="AO106" t="n">
        <v>620524.0</v>
      </c>
      <c r="AP106" t="n">
        <v>62052.0</v>
      </c>
      <c r="AQ106" t="n">
        <v>49387.2</v>
      </c>
      <c r="CH106">
        <f>IFERROR(U106*1,0)</f>
      </c>
    </row>
    <row r="107">
      <c r="A107" t="n">
        <v>2.0</v>
      </c>
      <c r="B107">
        <f>IF((K107-G107-H107&gt;2400000),10,(L107/(K107-G107-H107)*100))</f>
      </c>
      <c r="C107">
        <f>IF(N107&gt;2400000,240000,(N107*S107)/100)</f>
      </c>
      <c r="D107">
        <f>IF(S107=0,0,IF((N107-I107)&gt;2400000,((((((N107-I107-J107)-240000))*0.1+(I107+J107)*0.1)))-7000,((((((N107-I107-J107)-(N107-I107-J107)*S107/100)))*0.1+(I107+J107)*0.1)-7000)))</f>
      </c>
      <c r="E107">
        <f>C107-O107</f>
      </c>
      <c r="F107">
        <f>D107-P107</f>
      </c>
      <c r="G107">
        <f>SUMIF(negtgel!U$2:BL$2,'Tsalin uzuulelt'!B$1,negtgel!U107:BL107) + SUMIF(negtgel!U$2:BL$2,'Tsalin uzuulelt'!B$2,negtgel!U107:BL107)+SUMIF(negtgel!U$2:BL$2,'Tsalin uzuulelt'!B$3,negtgel!U107:BL107)+SUMIF(negtgel!U$2:BL$2,'Tsalin uzuulelt'!B$4,negtgel!U107:BL107)+SUMIF(negtgel!U$2:BL$2,'Tsalin uzuulelt'!B$5,negtgel!U107:BL107)</f>
      </c>
      <c r="H107">
        <f>SUMIF(negtgel!U$2:BL$2,'Tsalin uzuulelt'!F$1,negtgel!U107:BL107) + SUMIF(negtgel!U$2:BL$2,'Tsalin uzuulelt'!F$2,negtgel!U107:BL107)+SUMIF(negtgel!U$2:BL$2,'Tsalin uzuulelt'!F$3,negtgel!U107:BL107)+SUMIF(negtgel!U$2:BL$2,'Tsalin uzuulelt'!F$4,negtgel!U107:BL107)+SUMIF(negtgel!U$2:BL$2,'Tsalin uzuulelt'!F$5,negtgel!U107:BL107)</f>
      </c>
      <c r="I107">
        <f>SUMIF(negtgel!U$2:BL$2,'Tsalin uzuulelt'!H$1,negtgel!U107:BL107) + SUMIF(negtgel!U$2:BL$2,'Tsalin uzuulelt'!H$2,negtgel!U107:BL107)+SUMIF(negtgel!U$2:BL$2,'Tsalin uzuulelt'!H$3,negtgel!U107:BL107)+SUMIF(negtgel!U$2:BL$2,'Tsalin uzuulelt'!H$4,negtgel!U107:BL107)+SUMIF(negtgel!U$2:BL$2,'Tsalin uzuulelt'!H$5,negtgel!U107:BL107)</f>
      </c>
      <c r="J107">
        <f>SUMIF(negtgel!U$2:BL$2,'Tsalin uzuulelt'!J$1,negtgel!U107:BL107) + SUMIF(negtgel!U$2:BL$2,'Tsalin uzuulelt'!J$2,negtgel!U107:BL107)+SUMIF(negtgel!U$2:BL$2,'Tsalin uzuulelt'!J$3,negtgel!U107:BL107)+SUMIF(negtgel!U$2:BL$2,'Tsalin uzuulelt'!J$4,negtgel!U107:BL107)+SUMIF(negtgel!U$2:BL$2,'Tsalin uzuulelt'!J$5,negtgel!U107:BL107)</f>
      </c>
      <c r="K107">
        <f>SUMIF(negtgel!U$2:BL$2,'Tsalin uzuulelt'!L$1,negtgel!U107:BL107) + SUMIF(negtgel!U$2:BL$2,'Tsalin uzuulelt'!L$2,negtgel!U107:BL107)+SUMIF(negtgel!U$2:BL$2,'Tsalin uzuulelt'!L$3,negtgel!U107:BL107)+SUMIF(negtgel!U$2:BL$2,'Tsalin uzuulelt'!L$4,negtgel!U107:BL107)+SUMIF(negtgel!U$2:BL$2,'Tsalin uzuulelt'!L$5,negtgel!U107:BL107)</f>
      </c>
      <c r="L107">
        <f>SUMIF(negtgel!U$2:BL$2,'Tsalin uzuulelt'!N$1,negtgel!U107:BL107) + SUMIF(negtgel!U$2:BL$2,'Tsalin uzuulelt'!N$2,negtgel!U107:BL107)+SUMIF(negtgel!U$2:BL$2,'Tsalin uzuulelt'!N$3,negtgel!U107:BL107)+SUMIF(negtgel!U$2:BL$2,'Tsalin uzuulelt'!N$4,negtgel!U107:BL107)+SUMIF(negtgel!U$2:BL$2,'Tsalin uzuulelt'!N$5,negtgel!U107:BL107)</f>
      </c>
      <c r="M107">
        <f>SUMIF(negtgel!U$2:BL$2,'Tsalin uzuulelt'!P$1,negtgel!U107:BL107) + SUMIF(negtgel!U$2:BL$2,'Tsalin uzuulelt'!P$2,negtgel!U107:BL107)+ SUMIF(negtgel!U$2:BL$2,'Tsalin uzuulelt'!P$3,negtgel!U107:BL107)+ SUMIF(negtgel!U$2:BL$2,'Tsalin uzuulelt'!P$4,negtgel!U107:BL107)+ SUMIF(negtgel!U$2:BL$2,'Tsalin uzuulelt'!P$5,negtgel!U107:BL107)</f>
      </c>
      <c r="N107">
        <f>IF(ISNUMBER(U107*1)=CF107,0,K107-H107-G107)</f>
      </c>
      <c r="O107">
        <f>IF(ISNUMBER(U107*1)=CF107,0,L107)</f>
      </c>
      <c r="P107">
        <f>IF(ISNUMBER(U107*1)=CF107,0,M107)</f>
      </c>
      <c r="Q107">
        <f>IF(N107&gt;2400000,N107,0)</f>
      </c>
      <c r="R107">
        <f>IF(L107/Q107*100&lt;3,2,10)</f>
      </c>
      <c r="S107">
        <f>IF(CH107=0,0,IF(B107&gt;9,10,IF(B107&gt;8,B107,IF(B107&gt;7.7,7.8,IF(B107&gt;3,B107,IF(B107&gt;1.5,2))))))</f>
      </c>
      <c r="T107">
        <f>IF(Q107=0,S107,R107)</f>
      </c>
      <c r="U107" t="n">
        <v>77.0</v>
      </c>
      <c r="V107" t="s">
        <v>3824</v>
      </c>
      <c r="W107" t="s">
        <v>3790</v>
      </c>
      <c r="X107" t="n">
        <v>677436.0</v>
      </c>
      <c r="Y107" t="n">
        <v>677436.0</v>
      </c>
      <c r="Z107" t="n">
        <v>135487.0</v>
      </c>
      <c r="AA107" t="n">
        <v>121938.0</v>
      </c>
      <c r="AB107" t="n">
        <v>0.0</v>
      </c>
      <c r="AC107" t="n">
        <v>101615.0</v>
      </c>
      <c r="AD107" t="n">
        <v>0.0</v>
      </c>
      <c r="AE107" t="n">
        <v>0.0</v>
      </c>
      <c r="AF107" t="n">
        <v>54000.0</v>
      </c>
      <c r="AG107" t="n">
        <v>0.0</v>
      </c>
      <c r="AH107" t="n">
        <v>0.0</v>
      </c>
      <c r="AI107" t="n">
        <v>0.0</v>
      </c>
      <c r="AJ107" t="n">
        <v>0.0</v>
      </c>
      <c r="AK107" t="n">
        <v>0.0</v>
      </c>
      <c r="AL107" t="n">
        <v>0.0</v>
      </c>
      <c r="AM107" t="n">
        <v>0.0</v>
      </c>
      <c r="AN107" t="n">
        <v>0.0</v>
      </c>
      <c r="AO107" t="n">
        <v>1090476.0</v>
      </c>
      <c r="AP107" t="n">
        <v>109048.0</v>
      </c>
      <c r="AQ107" t="n">
        <v>91682.8</v>
      </c>
      <c r="CH107">
        <f>IFERROR(U107*1,0)</f>
      </c>
    </row>
    <row r="108">
      <c r="A108" t="n">
        <v>2.0</v>
      </c>
      <c r="B108">
        <f>IF((K108-G108-H108&gt;2400000),10,(L108/(K108-G108-H108)*100))</f>
      </c>
      <c r="C108">
        <f>IF(N108&gt;2400000,240000,(N108*S108)/100)</f>
      </c>
      <c r="D108">
        <f>IF(S108=0,0,IF((N108-I108)&gt;2400000,((((((N108-I108-J108)-240000))*0.1+(I108+J108)*0.1)))-7000,((((((N108-I108-J108)-(N108-I108-J108)*S108/100)))*0.1+(I108+J108)*0.1)-7000)))</f>
      </c>
      <c r="E108">
        <f>C108-O108</f>
      </c>
      <c r="F108">
        <f>D108-P108</f>
      </c>
      <c r="G108">
        <f>SUMIF(negtgel!U$2:BL$2,'Tsalin uzuulelt'!B$1,negtgel!U108:BL108) + SUMIF(negtgel!U$2:BL$2,'Tsalin uzuulelt'!B$2,negtgel!U108:BL108)+SUMIF(negtgel!U$2:BL$2,'Tsalin uzuulelt'!B$3,negtgel!U108:BL108)+SUMIF(negtgel!U$2:BL$2,'Tsalin uzuulelt'!B$4,negtgel!U108:BL108)+SUMIF(negtgel!U$2:BL$2,'Tsalin uzuulelt'!B$5,negtgel!U108:BL108)</f>
      </c>
      <c r="H108">
        <f>SUMIF(negtgel!U$2:BL$2,'Tsalin uzuulelt'!F$1,negtgel!U108:BL108) + SUMIF(negtgel!U$2:BL$2,'Tsalin uzuulelt'!F$2,negtgel!U108:BL108)+SUMIF(negtgel!U$2:BL$2,'Tsalin uzuulelt'!F$3,negtgel!U108:BL108)+SUMIF(negtgel!U$2:BL$2,'Tsalin uzuulelt'!F$4,negtgel!U108:BL108)+SUMIF(negtgel!U$2:BL$2,'Tsalin uzuulelt'!F$5,negtgel!U108:BL108)</f>
      </c>
      <c r="I108">
        <f>SUMIF(negtgel!U$2:BL$2,'Tsalin uzuulelt'!H$1,negtgel!U108:BL108) + SUMIF(negtgel!U$2:BL$2,'Tsalin uzuulelt'!H$2,negtgel!U108:BL108)+SUMIF(negtgel!U$2:BL$2,'Tsalin uzuulelt'!H$3,negtgel!U108:BL108)+SUMIF(negtgel!U$2:BL$2,'Tsalin uzuulelt'!H$4,negtgel!U108:BL108)+SUMIF(negtgel!U$2:BL$2,'Tsalin uzuulelt'!H$5,negtgel!U108:BL108)</f>
      </c>
      <c r="J108">
        <f>SUMIF(negtgel!U$2:BL$2,'Tsalin uzuulelt'!J$1,negtgel!U108:BL108) + SUMIF(negtgel!U$2:BL$2,'Tsalin uzuulelt'!J$2,negtgel!U108:BL108)+SUMIF(negtgel!U$2:BL$2,'Tsalin uzuulelt'!J$3,negtgel!U108:BL108)+SUMIF(negtgel!U$2:BL$2,'Tsalin uzuulelt'!J$4,negtgel!U108:BL108)+SUMIF(negtgel!U$2:BL$2,'Tsalin uzuulelt'!J$5,negtgel!U108:BL108)</f>
      </c>
      <c r="K108">
        <f>SUMIF(negtgel!U$2:BL$2,'Tsalin uzuulelt'!L$1,negtgel!U108:BL108) + SUMIF(negtgel!U$2:BL$2,'Tsalin uzuulelt'!L$2,negtgel!U108:BL108)+SUMIF(negtgel!U$2:BL$2,'Tsalin uzuulelt'!L$3,negtgel!U108:BL108)+SUMIF(negtgel!U$2:BL$2,'Tsalin uzuulelt'!L$4,negtgel!U108:BL108)+SUMIF(negtgel!U$2:BL$2,'Tsalin uzuulelt'!L$5,negtgel!U108:BL108)</f>
      </c>
      <c r="L108">
        <f>SUMIF(negtgel!U$2:BL$2,'Tsalin uzuulelt'!N$1,negtgel!U108:BL108) + SUMIF(negtgel!U$2:BL$2,'Tsalin uzuulelt'!N$2,negtgel!U108:BL108)+SUMIF(negtgel!U$2:BL$2,'Tsalin uzuulelt'!N$3,negtgel!U108:BL108)+SUMIF(negtgel!U$2:BL$2,'Tsalin uzuulelt'!N$4,negtgel!U108:BL108)+SUMIF(negtgel!U$2:BL$2,'Tsalin uzuulelt'!N$5,negtgel!U108:BL108)</f>
      </c>
      <c r="M108">
        <f>SUMIF(negtgel!U$2:BL$2,'Tsalin uzuulelt'!P$1,negtgel!U108:BL108) + SUMIF(negtgel!U$2:BL$2,'Tsalin uzuulelt'!P$2,negtgel!U108:BL108)+ SUMIF(negtgel!U$2:BL$2,'Tsalin uzuulelt'!P$3,negtgel!U108:BL108)+ SUMIF(negtgel!U$2:BL$2,'Tsalin uzuulelt'!P$4,negtgel!U108:BL108)+ SUMIF(negtgel!U$2:BL$2,'Tsalin uzuulelt'!P$5,negtgel!U108:BL108)</f>
      </c>
      <c r="N108">
        <f>IF(ISNUMBER(U108*1)=CF108,0,K108-H108-G108)</f>
      </c>
      <c r="O108">
        <f>IF(ISNUMBER(U108*1)=CF108,0,L108)</f>
      </c>
      <c r="P108">
        <f>IF(ISNUMBER(U108*1)=CF108,0,M108)</f>
      </c>
      <c r="Q108">
        <f>IF(N108&gt;2400000,N108,0)</f>
      </c>
      <c r="R108">
        <f>IF(L108/Q108*100&lt;3,2,10)</f>
      </c>
      <c r="S108">
        <f>IF(CH108=0,0,IF(B108&gt;9,10,IF(B108&gt;8,B108,IF(B108&gt;7.7,7.8,IF(B108&gt;3,B108,IF(B108&gt;1.5,2))))))</f>
      </c>
      <c r="T108">
        <f>IF(Q108=0,S108,R108)</f>
      </c>
      <c r="U108" t="s">
        <v>3787</v>
      </c>
      <c r="V108"/>
      <c r="W108"/>
      <c r="X108" t="n">
        <v>4484667.0</v>
      </c>
      <c r="Y108" t="n">
        <v>4484667.0</v>
      </c>
      <c r="Z108" t="n">
        <v>534980.0</v>
      </c>
      <c r="AA108" t="n">
        <v>526476.0</v>
      </c>
      <c r="AB108" t="n">
        <v>26977.0</v>
      </c>
      <c r="AC108" t="n">
        <v>101615.0</v>
      </c>
      <c r="AD108" t="n">
        <v>0.0</v>
      </c>
      <c r="AE108" t="n">
        <v>0.0</v>
      </c>
      <c r="AF108" t="n">
        <v>378000.0</v>
      </c>
      <c r="AG108" t="n">
        <v>0.0</v>
      </c>
      <c r="AH108" t="n">
        <v>0.0</v>
      </c>
      <c r="AI108" t="n">
        <v>0.0</v>
      </c>
      <c r="AJ108" t="n">
        <v>0.0</v>
      </c>
      <c r="AK108" t="n">
        <v>0.0</v>
      </c>
      <c r="AL108" t="n">
        <v>0.0</v>
      </c>
      <c r="AM108" t="n">
        <v>0.0</v>
      </c>
      <c r="AN108" t="n">
        <v>0.0</v>
      </c>
      <c r="AO108" t="n">
        <v>6052715.0</v>
      </c>
      <c r="AP108" t="n">
        <v>605272.0</v>
      </c>
      <c r="AQ108" t="n">
        <v>499524.3</v>
      </c>
      <c r="CH108">
        <f>IFERROR(U108*1,0)</f>
      </c>
    </row>
    <row r="109">
      <c r="A109" t="n">
        <v>2.0</v>
      </c>
      <c r="B109">
        <f>IF((K109-G109-H109&gt;2400000),10,(L109/(K109-G109-H109)*100))</f>
      </c>
      <c r="C109">
        <f>IF(N109&gt;2400000,240000,(N109*S109)/100)</f>
      </c>
      <c r="D109">
        <f>IF(S109=0,0,IF((N109-I109)&gt;2400000,((((((N109-I109-J109)-240000))*0.1+(I109+J109)*0.1)))-7000,((((((N109-I109-J109)-(N109-I109-J109)*S109/100)))*0.1+(I109+J109)*0.1)-7000)))</f>
      </c>
      <c r="E109">
        <f>C109-O109</f>
      </c>
      <c r="F109">
        <f>D109-P109</f>
      </c>
      <c r="G109">
        <f>SUMIF(negtgel!U$2:BL$2,'Tsalin uzuulelt'!B$1,negtgel!U109:BL109) + SUMIF(negtgel!U$2:BL$2,'Tsalin uzuulelt'!B$2,negtgel!U109:BL109)+SUMIF(negtgel!U$2:BL$2,'Tsalin uzuulelt'!B$3,negtgel!U109:BL109)+SUMIF(negtgel!U$2:BL$2,'Tsalin uzuulelt'!B$4,negtgel!U109:BL109)+SUMIF(negtgel!U$2:BL$2,'Tsalin uzuulelt'!B$5,negtgel!U109:BL109)</f>
      </c>
      <c r="H109">
        <f>SUMIF(negtgel!U$2:BL$2,'Tsalin uzuulelt'!F$1,negtgel!U109:BL109) + SUMIF(negtgel!U$2:BL$2,'Tsalin uzuulelt'!F$2,negtgel!U109:BL109)+SUMIF(negtgel!U$2:BL$2,'Tsalin uzuulelt'!F$3,negtgel!U109:BL109)+SUMIF(negtgel!U$2:BL$2,'Tsalin uzuulelt'!F$4,negtgel!U109:BL109)+SUMIF(negtgel!U$2:BL$2,'Tsalin uzuulelt'!F$5,negtgel!U109:BL109)</f>
      </c>
      <c r="I109">
        <f>SUMIF(negtgel!U$2:BL$2,'Tsalin uzuulelt'!H$1,negtgel!U109:BL109) + SUMIF(negtgel!U$2:BL$2,'Tsalin uzuulelt'!H$2,negtgel!U109:BL109)+SUMIF(negtgel!U$2:BL$2,'Tsalin uzuulelt'!H$3,negtgel!U109:BL109)+SUMIF(negtgel!U$2:BL$2,'Tsalin uzuulelt'!H$4,negtgel!U109:BL109)+SUMIF(negtgel!U$2:BL$2,'Tsalin uzuulelt'!H$5,negtgel!U109:BL109)</f>
      </c>
      <c r="J109">
        <f>SUMIF(negtgel!U$2:BL$2,'Tsalin uzuulelt'!J$1,negtgel!U109:BL109) + SUMIF(negtgel!U$2:BL$2,'Tsalin uzuulelt'!J$2,negtgel!U109:BL109)+SUMIF(negtgel!U$2:BL$2,'Tsalin uzuulelt'!J$3,negtgel!U109:BL109)+SUMIF(negtgel!U$2:BL$2,'Tsalin uzuulelt'!J$4,negtgel!U109:BL109)+SUMIF(negtgel!U$2:BL$2,'Tsalin uzuulelt'!J$5,negtgel!U109:BL109)</f>
      </c>
      <c r="K109">
        <f>SUMIF(negtgel!U$2:BL$2,'Tsalin uzuulelt'!L$1,negtgel!U109:BL109) + SUMIF(negtgel!U$2:BL$2,'Tsalin uzuulelt'!L$2,negtgel!U109:BL109)+SUMIF(negtgel!U$2:BL$2,'Tsalin uzuulelt'!L$3,negtgel!U109:BL109)+SUMIF(negtgel!U$2:BL$2,'Tsalin uzuulelt'!L$4,negtgel!U109:BL109)+SUMIF(negtgel!U$2:BL$2,'Tsalin uzuulelt'!L$5,negtgel!U109:BL109)</f>
      </c>
      <c r="L109">
        <f>SUMIF(negtgel!U$2:BL$2,'Tsalin uzuulelt'!N$1,negtgel!U109:BL109) + SUMIF(negtgel!U$2:BL$2,'Tsalin uzuulelt'!N$2,negtgel!U109:BL109)+SUMIF(negtgel!U$2:BL$2,'Tsalin uzuulelt'!N$3,negtgel!U109:BL109)+SUMIF(negtgel!U$2:BL$2,'Tsalin uzuulelt'!N$4,negtgel!U109:BL109)+SUMIF(negtgel!U$2:BL$2,'Tsalin uzuulelt'!N$5,negtgel!U109:BL109)</f>
      </c>
      <c r="M109">
        <f>SUMIF(negtgel!U$2:BL$2,'Tsalin uzuulelt'!P$1,negtgel!U109:BL109) + SUMIF(negtgel!U$2:BL$2,'Tsalin uzuulelt'!P$2,negtgel!U109:BL109)+ SUMIF(negtgel!U$2:BL$2,'Tsalin uzuulelt'!P$3,negtgel!U109:BL109)+ SUMIF(negtgel!U$2:BL$2,'Tsalin uzuulelt'!P$4,negtgel!U109:BL109)+ SUMIF(negtgel!U$2:BL$2,'Tsalin uzuulelt'!P$5,negtgel!U109:BL109)</f>
      </c>
      <c r="N109">
        <f>IF(ISNUMBER(U109*1)=CF109,0,K109-H109-G109)</f>
      </c>
      <c r="O109">
        <f>IF(ISNUMBER(U109*1)=CF109,0,L109)</f>
      </c>
      <c r="P109">
        <f>IF(ISNUMBER(U109*1)=CF109,0,M109)</f>
      </c>
      <c r="Q109">
        <f>IF(N109&gt;2400000,N109,0)</f>
      </c>
      <c r="R109">
        <f>IF(L109/Q109*100&lt;3,2,10)</f>
      </c>
      <c r="S109">
        <f>IF(CH109=0,0,IF(B109&gt;9,10,IF(B109&gt;8,B109,IF(B109&gt;7.7,7.8,IF(B109&gt;3,B109,IF(B109&gt;1.5,2))))))</f>
      </c>
      <c r="T109">
        <f>IF(Q109=0,S109,R109)</f>
      </c>
      <c r="U109" t="s">
        <v>3825</v>
      </c>
      <c r="V109"/>
      <c r="W109"/>
      <c r="X109"/>
      <c r="Y109"/>
      <c r="Z109"/>
      <c r="AA109"/>
      <c r="AB109"/>
      <c r="AC109"/>
      <c r="AD109"/>
      <c r="AE109"/>
      <c r="AF109"/>
      <c r="AG109"/>
      <c r="AH109"/>
      <c r="AI109"/>
      <c r="AJ109"/>
      <c r="AK109"/>
      <c r="AL109"/>
      <c r="AM109"/>
      <c r="AN109"/>
      <c r="AO109"/>
      <c r="AP109"/>
      <c r="AQ109"/>
      <c r="CH109">
        <f>IFERROR(U109*1,0)</f>
      </c>
    </row>
    <row r="110">
      <c r="A110" t="n">
        <v>2.0</v>
      </c>
      <c r="B110">
        <f>IF((K110-G110-H110&gt;2400000),10,(L110/(K110-G110-H110)*100))</f>
      </c>
      <c r="C110">
        <f>IF(N110&gt;2400000,240000,(N110*S110)/100)</f>
      </c>
      <c r="D110">
        <f>IF(S110=0,0,IF((N110-I110)&gt;2400000,((((((N110-I110-J110)-240000))*0.1+(I110+J110)*0.1)))-7000,((((((N110-I110-J110)-(N110-I110-J110)*S110/100)))*0.1+(I110+J110)*0.1)-7000)))</f>
      </c>
      <c r="E110">
        <f>C110-O110</f>
      </c>
      <c r="F110">
        <f>D110-P110</f>
      </c>
      <c r="G110">
        <f>SUMIF(negtgel!U$2:BL$2,'Tsalin uzuulelt'!B$1,negtgel!U110:BL110) + SUMIF(negtgel!U$2:BL$2,'Tsalin uzuulelt'!B$2,negtgel!U110:BL110)+SUMIF(negtgel!U$2:BL$2,'Tsalin uzuulelt'!B$3,negtgel!U110:BL110)+SUMIF(negtgel!U$2:BL$2,'Tsalin uzuulelt'!B$4,negtgel!U110:BL110)+SUMIF(negtgel!U$2:BL$2,'Tsalin uzuulelt'!B$5,negtgel!U110:BL110)</f>
      </c>
      <c r="H110">
        <f>SUMIF(negtgel!U$2:BL$2,'Tsalin uzuulelt'!F$1,negtgel!U110:BL110) + SUMIF(negtgel!U$2:BL$2,'Tsalin uzuulelt'!F$2,negtgel!U110:BL110)+SUMIF(negtgel!U$2:BL$2,'Tsalin uzuulelt'!F$3,negtgel!U110:BL110)+SUMIF(negtgel!U$2:BL$2,'Tsalin uzuulelt'!F$4,negtgel!U110:BL110)+SUMIF(negtgel!U$2:BL$2,'Tsalin uzuulelt'!F$5,negtgel!U110:BL110)</f>
      </c>
      <c r="I110">
        <f>SUMIF(negtgel!U$2:BL$2,'Tsalin uzuulelt'!H$1,negtgel!U110:BL110) + SUMIF(negtgel!U$2:BL$2,'Tsalin uzuulelt'!H$2,negtgel!U110:BL110)+SUMIF(negtgel!U$2:BL$2,'Tsalin uzuulelt'!H$3,negtgel!U110:BL110)+SUMIF(negtgel!U$2:BL$2,'Tsalin uzuulelt'!H$4,negtgel!U110:BL110)+SUMIF(negtgel!U$2:BL$2,'Tsalin uzuulelt'!H$5,negtgel!U110:BL110)</f>
      </c>
      <c r="J110">
        <f>SUMIF(negtgel!U$2:BL$2,'Tsalin uzuulelt'!J$1,negtgel!U110:BL110) + SUMIF(negtgel!U$2:BL$2,'Tsalin uzuulelt'!J$2,negtgel!U110:BL110)+SUMIF(negtgel!U$2:BL$2,'Tsalin uzuulelt'!J$3,negtgel!U110:BL110)+SUMIF(negtgel!U$2:BL$2,'Tsalin uzuulelt'!J$4,negtgel!U110:BL110)+SUMIF(negtgel!U$2:BL$2,'Tsalin uzuulelt'!J$5,negtgel!U110:BL110)</f>
      </c>
      <c r="K110">
        <f>SUMIF(negtgel!U$2:BL$2,'Tsalin uzuulelt'!L$1,negtgel!U110:BL110) + SUMIF(negtgel!U$2:BL$2,'Tsalin uzuulelt'!L$2,negtgel!U110:BL110)+SUMIF(negtgel!U$2:BL$2,'Tsalin uzuulelt'!L$3,negtgel!U110:BL110)+SUMIF(negtgel!U$2:BL$2,'Tsalin uzuulelt'!L$4,negtgel!U110:BL110)+SUMIF(negtgel!U$2:BL$2,'Tsalin uzuulelt'!L$5,negtgel!U110:BL110)</f>
      </c>
      <c r="L110">
        <f>SUMIF(negtgel!U$2:BL$2,'Tsalin uzuulelt'!N$1,negtgel!U110:BL110) + SUMIF(negtgel!U$2:BL$2,'Tsalin uzuulelt'!N$2,negtgel!U110:BL110)+SUMIF(negtgel!U$2:BL$2,'Tsalin uzuulelt'!N$3,negtgel!U110:BL110)+SUMIF(negtgel!U$2:BL$2,'Tsalin uzuulelt'!N$4,negtgel!U110:BL110)+SUMIF(negtgel!U$2:BL$2,'Tsalin uzuulelt'!N$5,negtgel!U110:BL110)</f>
      </c>
      <c r="M110">
        <f>SUMIF(negtgel!U$2:BL$2,'Tsalin uzuulelt'!P$1,negtgel!U110:BL110) + SUMIF(negtgel!U$2:BL$2,'Tsalin uzuulelt'!P$2,negtgel!U110:BL110)+ SUMIF(negtgel!U$2:BL$2,'Tsalin uzuulelt'!P$3,negtgel!U110:BL110)+ SUMIF(negtgel!U$2:BL$2,'Tsalin uzuulelt'!P$4,negtgel!U110:BL110)+ SUMIF(negtgel!U$2:BL$2,'Tsalin uzuulelt'!P$5,negtgel!U110:BL110)</f>
      </c>
      <c r="N110">
        <f>IF(ISNUMBER(U110*1)=CF110,0,K110-H110-G110)</f>
      </c>
      <c r="O110">
        <f>IF(ISNUMBER(U110*1)=CF110,0,L110)</f>
      </c>
      <c r="P110">
        <f>IF(ISNUMBER(U110*1)=CF110,0,M110)</f>
      </c>
      <c r="Q110">
        <f>IF(N110&gt;2400000,N110,0)</f>
      </c>
      <c r="R110">
        <f>IF(L110/Q110*100&lt;3,2,10)</f>
      </c>
      <c r="S110">
        <f>IF(CH110=0,0,IF(B110&gt;9,10,IF(B110&gt;8,B110,IF(B110&gt;7.7,7.8,IF(B110&gt;3,B110,IF(B110&gt;1.5,2))))))</f>
      </c>
      <c r="T110">
        <f>IF(Q110=0,S110,R110)</f>
      </c>
      <c r="U110" t="n">
        <v>78.0</v>
      </c>
      <c r="V110" t="s">
        <v>3827</v>
      </c>
      <c r="W110" t="s">
        <v>3790</v>
      </c>
      <c r="X110" t="n">
        <v>547759.0</v>
      </c>
      <c r="Y110" t="n">
        <v>547759.0</v>
      </c>
      <c r="Z110" t="n">
        <v>0.0</v>
      </c>
      <c r="AA110" t="n">
        <v>0.0</v>
      </c>
      <c r="AB110" t="n">
        <v>0.0</v>
      </c>
      <c r="AC110" t="n">
        <v>0.0</v>
      </c>
      <c r="AD110" t="n">
        <v>0.0</v>
      </c>
      <c r="AE110" t="n">
        <v>0.0</v>
      </c>
      <c r="AF110" t="n">
        <v>54000.0</v>
      </c>
      <c r="AG110" t="n">
        <v>0.0</v>
      </c>
      <c r="AH110" t="n">
        <v>0.0</v>
      </c>
      <c r="AI110" t="n">
        <v>0.0</v>
      </c>
      <c r="AJ110" t="n">
        <v>0.0</v>
      </c>
      <c r="AK110" t="n">
        <v>0.0</v>
      </c>
      <c r="AL110" t="n">
        <v>0.0</v>
      </c>
      <c r="AM110" t="n">
        <v>0.0</v>
      </c>
      <c r="AN110" t="n">
        <v>0.0</v>
      </c>
      <c r="AO110" t="n">
        <v>601759.0</v>
      </c>
      <c r="AP110" t="n">
        <v>60176.0</v>
      </c>
      <c r="AQ110" t="n">
        <v>47698.3</v>
      </c>
      <c r="CH110">
        <f>IFERROR(U110*1,0)</f>
      </c>
    </row>
    <row r="111">
      <c r="A111" t="n">
        <v>2.0</v>
      </c>
      <c r="B111">
        <f>IF((K111-G111-H111&gt;2400000),10,(L111/(K111-G111-H111)*100))</f>
      </c>
      <c r="C111">
        <f>IF(N111&gt;2400000,240000,(N111*S111)/100)</f>
      </c>
      <c r="D111">
        <f>IF(S111=0,0,IF((N111-I111)&gt;2400000,((((((N111-I111-J111)-240000))*0.1+(I111+J111)*0.1)))-7000,((((((N111-I111-J111)-(N111-I111-J111)*S111/100)))*0.1+(I111+J111)*0.1)-7000)))</f>
      </c>
      <c r="E111">
        <f>C111-O111</f>
      </c>
      <c r="F111">
        <f>D111-P111</f>
      </c>
      <c r="G111">
        <f>SUMIF(negtgel!U$2:BL$2,'Tsalin uzuulelt'!B$1,negtgel!U111:BL111) + SUMIF(negtgel!U$2:BL$2,'Tsalin uzuulelt'!B$2,negtgel!U111:BL111)+SUMIF(negtgel!U$2:BL$2,'Tsalin uzuulelt'!B$3,negtgel!U111:BL111)+SUMIF(negtgel!U$2:BL$2,'Tsalin uzuulelt'!B$4,negtgel!U111:BL111)+SUMIF(negtgel!U$2:BL$2,'Tsalin uzuulelt'!B$5,negtgel!U111:BL111)</f>
      </c>
      <c r="H111">
        <f>SUMIF(negtgel!U$2:BL$2,'Tsalin uzuulelt'!F$1,negtgel!U111:BL111) + SUMIF(negtgel!U$2:BL$2,'Tsalin uzuulelt'!F$2,negtgel!U111:BL111)+SUMIF(negtgel!U$2:BL$2,'Tsalin uzuulelt'!F$3,negtgel!U111:BL111)+SUMIF(negtgel!U$2:BL$2,'Tsalin uzuulelt'!F$4,negtgel!U111:BL111)+SUMIF(negtgel!U$2:BL$2,'Tsalin uzuulelt'!F$5,negtgel!U111:BL111)</f>
      </c>
      <c r="I111">
        <f>SUMIF(negtgel!U$2:BL$2,'Tsalin uzuulelt'!H$1,negtgel!U111:BL111) + SUMIF(negtgel!U$2:BL$2,'Tsalin uzuulelt'!H$2,negtgel!U111:BL111)+SUMIF(negtgel!U$2:BL$2,'Tsalin uzuulelt'!H$3,negtgel!U111:BL111)+SUMIF(negtgel!U$2:BL$2,'Tsalin uzuulelt'!H$4,negtgel!U111:BL111)+SUMIF(negtgel!U$2:BL$2,'Tsalin uzuulelt'!H$5,negtgel!U111:BL111)</f>
      </c>
      <c r="J111">
        <f>SUMIF(negtgel!U$2:BL$2,'Tsalin uzuulelt'!J$1,negtgel!U111:BL111) + SUMIF(negtgel!U$2:BL$2,'Tsalin uzuulelt'!J$2,negtgel!U111:BL111)+SUMIF(negtgel!U$2:BL$2,'Tsalin uzuulelt'!J$3,negtgel!U111:BL111)+SUMIF(negtgel!U$2:BL$2,'Tsalin uzuulelt'!J$4,negtgel!U111:BL111)+SUMIF(negtgel!U$2:BL$2,'Tsalin uzuulelt'!J$5,negtgel!U111:BL111)</f>
      </c>
      <c r="K111">
        <f>SUMIF(negtgel!U$2:BL$2,'Tsalin uzuulelt'!L$1,negtgel!U111:BL111) + SUMIF(negtgel!U$2:BL$2,'Tsalin uzuulelt'!L$2,negtgel!U111:BL111)+SUMIF(negtgel!U$2:BL$2,'Tsalin uzuulelt'!L$3,negtgel!U111:BL111)+SUMIF(negtgel!U$2:BL$2,'Tsalin uzuulelt'!L$4,negtgel!U111:BL111)+SUMIF(negtgel!U$2:BL$2,'Tsalin uzuulelt'!L$5,negtgel!U111:BL111)</f>
      </c>
      <c r="L111">
        <f>SUMIF(negtgel!U$2:BL$2,'Tsalin uzuulelt'!N$1,negtgel!U111:BL111) + SUMIF(negtgel!U$2:BL$2,'Tsalin uzuulelt'!N$2,negtgel!U111:BL111)+SUMIF(negtgel!U$2:BL$2,'Tsalin uzuulelt'!N$3,negtgel!U111:BL111)+SUMIF(negtgel!U$2:BL$2,'Tsalin uzuulelt'!N$4,negtgel!U111:BL111)+SUMIF(negtgel!U$2:BL$2,'Tsalin uzuulelt'!N$5,negtgel!U111:BL111)</f>
      </c>
      <c r="M111">
        <f>SUMIF(negtgel!U$2:BL$2,'Tsalin uzuulelt'!P$1,negtgel!U111:BL111) + SUMIF(negtgel!U$2:BL$2,'Tsalin uzuulelt'!P$2,negtgel!U111:BL111)+ SUMIF(negtgel!U$2:BL$2,'Tsalin uzuulelt'!P$3,negtgel!U111:BL111)+ SUMIF(negtgel!U$2:BL$2,'Tsalin uzuulelt'!P$4,negtgel!U111:BL111)+ SUMIF(negtgel!U$2:BL$2,'Tsalin uzuulelt'!P$5,negtgel!U111:BL111)</f>
      </c>
      <c r="N111">
        <f>IF(ISNUMBER(U111*1)=CF111,0,K111-H111-G111)</f>
      </c>
      <c r="O111">
        <f>IF(ISNUMBER(U111*1)=CF111,0,L111)</f>
      </c>
      <c r="P111">
        <f>IF(ISNUMBER(U111*1)=CF111,0,M111)</f>
      </c>
      <c r="Q111">
        <f>IF(N111&gt;2400000,N111,0)</f>
      </c>
      <c r="R111">
        <f>IF(L111/Q111*100&lt;3,2,10)</f>
      </c>
      <c r="S111">
        <f>IF(CH111=0,0,IF(B111&gt;9,10,IF(B111&gt;8,B111,IF(B111&gt;7.7,7.8,IF(B111&gt;3,B111,IF(B111&gt;1.5,2))))))</f>
      </c>
      <c r="T111">
        <f>IF(Q111=0,S111,R111)</f>
      </c>
      <c r="U111" t="n">
        <v>79.0</v>
      </c>
      <c r="V111" t="s">
        <v>3828</v>
      </c>
      <c r="W111" t="s">
        <v>3792</v>
      </c>
      <c r="X111" t="n">
        <v>539547.0</v>
      </c>
      <c r="Y111" t="n">
        <v>539547.0</v>
      </c>
      <c r="Z111" t="n">
        <v>0.0</v>
      </c>
      <c r="AA111" t="n">
        <v>0.0</v>
      </c>
      <c r="AB111" t="n">
        <v>0.0</v>
      </c>
      <c r="AC111" t="n">
        <v>0.0</v>
      </c>
      <c r="AD111" t="n">
        <v>0.0</v>
      </c>
      <c r="AE111" t="n">
        <v>0.0</v>
      </c>
      <c r="AF111" t="n">
        <v>54000.0</v>
      </c>
      <c r="AG111" t="n">
        <v>0.0</v>
      </c>
      <c r="AH111" t="n">
        <v>0.0</v>
      </c>
      <c r="AI111" t="n">
        <v>0.0</v>
      </c>
      <c r="AJ111" t="n">
        <v>0.0</v>
      </c>
      <c r="AK111" t="n">
        <v>0.0</v>
      </c>
      <c r="AL111" t="n">
        <v>0.0</v>
      </c>
      <c r="AM111" t="n">
        <v>0.0</v>
      </c>
      <c r="AN111" t="n">
        <v>0.0</v>
      </c>
      <c r="AO111" t="n">
        <v>593547.0</v>
      </c>
      <c r="AP111" t="n">
        <v>59354.0</v>
      </c>
      <c r="AQ111" t="n">
        <v>46959.2</v>
      </c>
      <c r="CH111">
        <f>IFERROR(U111*1,0)</f>
      </c>
    </row>
    <row r="112">
      <c r="A112" t="n">
        <v>2.0</v>
      </c>
      <c r="B112">
        <f>IF((K112-G112-H112&gt;2400000),10,(L112/(K112-G112-H112)*100))</f>
      </c>
      <c r="C112">
        <f>IF(N112&gt;2400000,240000,(N112*S112)/100)</f>
      </c>
      <c r="D112">
        <f>IF(S112=0,0,IF((N112-I112)&gt;2400000,((((((N112-I112-J112)-240000))*0.1+(I112+J112)*0.1)))-7000,((((((N112-I112-J112)-(N112-I112-J112)*S112/100)))*0.1+(I112+J112)*0.1)-7000)))</f>
      </c>
      <c r="E112">
        <f>C112-O112</f>
      </c>
      <c r="F112">
        <f>D112-P112</f>
      </c>
      <c r="G112">
        <f>SUMIF(negtgel!U$2:BL$2,'Tsalin uzuulelt'!B$1,negtgel!U112:BL112) + SUMIF(negtgel!U$2:BL$2,'Tsalin uzuulelt'!B$2,negtgel!U112:BL112)+SUMIF(negtgel!U$2:BL$2,'Tsalin uzuulelt'!B$3,negtgel!U112:BL112)+SUMIF(negtgel!U$2:BL$2,'Tsalin uzuulelt'!B$4,negtgel!U112:BL112)+SUMIF(negtgel!U$2:BL$2,'Tsalin uzuulelt'!B$5,negtgel!U112:BL112)</f>
      </c>
      <c r="H112">
        <f>SUMIF(negtgel!U$2:BL$2,'Tsalin uzuulelt'!F$1,negtgel!U112:BL112) + SUMIF(negtgel!U$2:BL$2,'Tsalin uzuulelt'!F$2,negtgel!U112:BL112)+SUMIF(negtgel!U$2:BL$2,'Tsalin uzuulelt'!F$3,negtgel!U112:BL112)+SUMIF(negtgel!U$2:BL$2,'Tsalin uzuulelt'!F$4,negtgel!U112:BL112)+SUMIF(negtgel!U$2:BL$2,'Tsalin uzuulelt'!F$5,negtgel!U112:BL112)</f>
      </c>
      <c r="I112">
        <f>SUMIF(negtgel!U$2:BL$2,'Tsalin uzuulelt'!H$1,negtgel!U112:BL112) + SUMIF(negtgel!U$2:BL$2,'Tsalin uzuulelt'!H$2,negtgel!U112:BL112)+SUMIF(negtgel!U$2:BL$2,'Tsalin uzuulelt'!H$3,negtgel!U112:BL112)+SUMIF(negtgel!U$2:BL$2,'Tsalin uzuulelt'!H$4,negtgel!U112:BL112)+SUMIF(negtgel!U$2:BL$2,'Tsalin uzuulelt'!H$5,negtgel!U112:BL112)</f>
      </c>
      <c r="J112">
        <f>SUMIF(negtgel!U$2:BL$2,'Tsalin uzuulelt'!J$1,negtgel!U112:BL112) + SUMIF(negtgel!U$2:BL$2,'Tsalin uzuulelt'!J$2,negtgel!U112:BL112)+SUMIF(negtgel!U$2:BL$2,'Tsalin uzuulelt'!J$3,negtgel!U112:BL112)+SUMIF(negtgel!U$2:BL$2,'Tsalin uzuulelt'!J$4,negtgel!U112:BL112)+SUMIF(negtgel!U$2:BL$2,'Tsalin uzuulelt'!J$5,negtgel!U112:BL112)</f>
      </c>
      <c r="K112">
        <f>SUMIF(negtgel!U$2:BL$2,'Tsalin uzuulelt'!L$1,negtgel!U112:BL112) + SUMIF(negtgel!U$2:BL$2,'Tsalin uzuulelt'!L$2,negtgel!U112:BL112)+SUMIF(negtgel!U$2:BL$2,'Tsalin uzuulelt'!L$3,negtgel!U112:BL112)+SUMIF(negtgel!U$2:BL$2,'Tsalin uzuulelt'!L$4,negtgel!U112:BL112)+SUMIF(negtgel!U$2:BL$2,'Tsalin uzuulelt'!L$5,negtgel!U112:BL112)</f>
      </c>
      <c r="L112">
        <f>SUMIF(negtgel!U$2:BL$2,'Tsalin uzuulelt'!N$1,negtgel!U112:BL112) + SUMIF(negtgel!U$2:BL$2,'Tsalin uzuulelt'!N$2,negtgel!U112:BL112)+SUMIF(negtgel!U$2:BL$2,'Tsalin uzuulelt'!N$3,negtgel!U112:BL112)+SUMIF(negtgel!U$2:BL$2,'Tsalin uzuulelt'!N$4,negtgel!U112:BL112)+SUMIF(negtgel!U$2:BL$2,'Tsalin uzuulelt'!N$5,negtgel!U112:BL112)</f>
      </c>
      <c r="M112">
        <f>SUMIF(negtgel!U$2:BL$2,'Tsalin uzuulelt'!P$1,negtgel!U112:BL112) + SUMIF(negtgel!U$2:BL$2,'Tsalin uzuulelt'!P$2,negtgel!U112:BL112)+ SUMIF(negtgel!U$2:BL$2,'Tsalin uzuulelt'!P$3,negtgel!U112:BL112)+ SUMIF(negtgel!U$2:BL$2,'Tsalin uzuulelt'!P$4,negtgel!U112:BL112)+ SUMIF(negtgel!U$2:BL$2,'Tsalin uzuulelt'!P$5,negtgel!U112:BL112)</f>
      </c>
      <c r="N112">
        <f>IF(ISNUMBER(U112*1)=CF112,0,K112-H112-G112)</f>
      </c>
      <c r="O112">
        <f>IF(ISNUMBER(U112*1)=CF112,0,L112)</f>
      </c>
      <c r="P112">
        <f>IF(ISNUMBER(U112*1)=CF112,0,M112)</f>
      </c>
      <c r="Q112">
        <f>IF(N112&gt;2400000,N112,0)</f>
      </c>
      <c r="R112">
        <f>IF(L112/Q112*100&lt;3,2,10)</f>
      </c>
      <c r="S112">
        <f>IF(CH112=0,0,IF(B112&gt;9,10,IF(B112&gt;8,B112,IF(B112&gt;7.7,7.8,IF(B112&gt;3,B112,IF(B112&gt;1.5,2))))))</f>
      </c>
      <c r="T112">
        <f>IF(Q112=0,S112,R112)</f>
      </c>
      <c r="U112" t="n">
        <v>80.0</v>
      </c>
      <c r="V112" t="s">
        <v>3829</v>
      </c>
      <c r="W112" t="s">
        <v>3792</v>
      </c>
      <c r="X112" t="n">
        <v>535286.0</v>
      </c>
      <c r="Y112" t="n">
        <v>446072.0</v>
      </c>
      <c r="Z112" t="n">
        <v>0.0</v>
      </c>
      <c r="AA112" t="n">
        <v>0.0</v>
      </c>
      <c r="AB112" t="n">
        <v>0.0</v>
      </c>
      <c r="AC112" t="n">
        <v>0.0</v>
      </c>
      <c r="AD112" t="n">
        <v>0.0</v>
      </c>
      <c r="AE112" t="n">
        <v>0.0</v>
      </c>
      <c r="AF112" t="n">
        <v>45000.0</v>
      </c>
      <c r="AG112" t="n">
        <v>0.0</v>
      </c>
      <c r="AH112" t="n">
        <v>0.0</v>
      </c>
      <c r="AI112" t="n">
        <v>0.0</v>
      </c>
      <c r="AJ112" t="n">
        <v>0.0</v>
      </c>
      <c r="AK112" t="n">
        <v>0.0</v>
      </c>
      <c r="AL112" t="n">
        <v>0.0</v>
      </c>
      <c r="AM112" t="n">
        <v>0.0</v>
      </c>
      <c r="AN112" t="n">
        <v>0.0</v>
      </c>
      <c r="AO112" t="n">
        <v>491072.0</v>
      </c>
      <c r="AP112" t="n">
        <v>49107.0</v>
      </c>
      <c r="AQ112" t="n">
        <v>37646.5</v>
      </c>
      <c r="CH112">
        <f>IFERROR(U112*1,0)</f>
      </c>
    </row>
    <row r="113">
      <c r="A113" t="n">
        <v>2.0</v>
      </c>
      <c r="B113">
        <f>IF((K113-G113-H113&gt;2400000),10,(L113/(K113-G113-H113)*100))</f>
      </c>
      <c r="C113">
        <f>IF(N113&gt;2400000,240000,(N113*S113)/100)</f>
      </c>
      <c r="D113">
        <f>IF(S113=0,0,IF((N113-I113)&gt;2400000,((((((N113-I113-J113)-240000))*0.1+(I113+J113)*0.1)))-7000,((((((N113-I113-J113)-(N113-I113-J113)*S113/100)))*0.1+(I113+J113)*0.1)-7000)))</f>
      </c>
      <c r="E113">
        <f>C113-O113</f>
      </c>
      <c r="F113">
        <f>D113-P113</f>
      </c>
      <c r="G113">
        <f>SUMIF(negtgel!U$2:BL$2,'Tsalin uzuulelt'!B$1,negtgel!U113:BL113) + SUMIF(negtgel!U$2:BL$2,'Tsalin uzuulelt'!B$2,negtgel!U113:BL113)+SUMIF(negtgel!U$2:BL$2,'Tsalin uzuulelt'!B$3,negtgel!U113:BL113)+SUMIF(negtgel!U$2:BL$2,'Tsalin uzuulelt'!B$4,negtgel!U113:BL113)+SUMIF(negtgel!U$2:BL$2,'Tsalin uzuulelt'!B$5,negtgel!U113:BL113)</f>
      </c>
      <c r="H113">
        <f>SUMIF(negtgel!U$2:BL$2,'Tsalin uzuulelt'!F$1,negtgel!U113:BL113) + SUMIF(negtgel!U$2:BL$2,'Tsalin uzuulelt'!F$2,negtgel!U113:BL113)+SUMIF(negtgel!U$2:BL$2,'Tsalin uzuulelt'!F$3,negtgel!U113:BL113)+SUMIF(negtgel!U$2:BL$2,'Tsalin uzuulelt'!F$4,negtgel!U113:BL113)+SUMIF(negtgel!U$2:BL$2,'Tsalin uzuulelt'!F$5,negtgel!U113:BL113)</f>
      </c>
      <c r="I113">
        <f>SUMIF(negtgel!U$2:BL$2,'Tsalin uzuulelt'!H$1,negtgel!U113:BL113) + SUMIF(negtgel!U$2:BL$2,'Tsalin uzuulelt'!H$2,negtgel!U113:BL113)+SUMIF(negtgel!U$2:BL$2,'Tsalin uzuulelt'!H$3,negtgel!U113:BL113)+SUMIF(negtgel!U$2:BL$2,'Tsalin uzuulelt'!H$4,negtgel!U113:BL113)+SUMIF(negtgel!U$2:BL$2,'Tsalin uzuulelt'!H$5,negtgel!U113:BL113)</f>
      </c>
      <c r="J113">
        <f>SUMIF(negtgel!U$2:BL$2,'Tsalin uzuulelt'!J$1,negtgel!U113:BL113) + SUMIF(negtgel!U$2:BL$2,'Tsalin uzuulelt'!J$2,negtgel!U113:BL113)+SUMIF(negtgel!U$2:BL$2,'Tsalin uzuulelt'!J$3,negtgel!U113:BL113)+SUMIF(negtgel!U$2:BL$2,'Tsalin uzuulelt'!J$4,negtgel!U113:BL113)+SUMIF(negtgel!U$2:BL$2,'Tsalin uzuulelt'!J$5,negtgel!U113:BL113)</f>
      </c>
      <c r="K113">
        <f>SUMIF(negtgel!U$2:BL$2,'Tsalin uzuulelt'!L$1,negtgel!U113:BL113) + SUMIF(negtgel!U$2:BL$2,'Tsalin uzuulelt'!L$2,negtgel!U113:BL113)+SUMIF(negtgel!U$2:BL$2,'Tsalin uzuulelt'!L$3,negtgel!U113:BL113)+SUMIF(negtgel!U$2:BL$2,'Tsalin uzuulelt'!L$4,negtgel!U113:BL113)+SUMIF(negtgel!U$2:BL$2,'Tsalin uzuulelt'!L$5,negtgel!U113:BL113)</f>
      </c>
      <c r="L113">
        <f>SUMIF(negtgel!U$2:BL$2,'Tsalin uzuulelt'!N$1,negtgel!U113:BL113) + SUMIF(negtgel!U$2:BL$2,'Tsalin uzuulelt'!N$2,negtgel!U113:BL113)+SUMIF(negtgel!U$2:BL$2,'Tsalin uzuulelt'!N$3,negtgel!U113:BL113)+SUMIF(negtgel!U$2:BL$2,'Tsalin uzuulelt'!N$4,negtgel!U113:BL113)+SUMIF(negtgel!U$2:BL$2,'Tsalin uzuulelt'!N$5,negtgel!U113:BL113)</f>
      </c>
      <c r="M113">
        <f>SUMIF(negtgel!U$2:BL$2,'Tsalin uzuulelt'!P$1,negtgel!U113:BL113) + SUMIF(negtgel!U$2:BL$2,'Tsalin uzuulelt'!P$2,negtgel!U113:BL113)+ SUMIF(negtgel!U$2:BL$2,'Tsalin uzuulelt'!P$3,negtgel!U113:BL113)+ SUMIF(negtgel!U$2:BL$2,'Tsalin uzuulelt'!P$4,negtgel!U113:BL113)+ SUMIF(negtgel!U$2:BL$2,'Tsalin uzuulelt'!P$5,negtgel!U113:BL113)</f>
      </c>
      <c r="N113">
        <f>IF(ISNUMBER(U113*1)=CF113,0,K113-H113-G113)</f>
      </c>
      <c r="O113">
        <f>IF(ISNUMBER(U113*1)=CF113,0,L113)</f>
      </c>
      <c r="P113">
        <f>IF(ISNUMBER(U113*1)=CF113,0,M113)</f>
      </c>
      <c r="Q113">
        <f>IF(N113&gt;2400000,N113,0)</f>
      </c>
      <c r="R113">
        <f>IF(L113/Q113*100&lt;3,2,10)</f>
      </c>
      <c r="S113">
        <f>IF(CH113=0,0,IF(B113&gt;9,10,IF(B113&gt;8,B113,IF(B113&gt;7.7,7.8,IF(B113&gt;3,B113,IF(B113&gt;1.5,2))))))</f>
      </c>
      <c r="T113">
        <f>IF(Q113=0,S113,R113)</f>
      </c>
      <c r="U113" t="n">
        <v>81.0</v>
      </c>
      <c r="V113" t="s">
        <v>3831</v>
      </c>
      <c r="W113" t="s">
        <v>3820</v>
      </c>
      <c r="X113" t="n">
        <v>627465.0</v>
      </c>
      <c r="Y113" t="n">
        <v>627465.0</v>
      </c>
      <c r="Z113" t="n">
        <v>62746.0</v>
      </c>
      <c r="AA113" t="n">
        <v>94120.0</v>
      </c>
      <c r="AB113" t="n">
        <v>0.0</v>
      </c>
      <c r="AC113" t="n">
        <v>0.0</v>
      </c>
      <c r="AD113" t="n">
        <v>0.0</v>
      </c>
      <c r="AE113" t="n">
        <v>0.0</v>
      </c>
      <c r="AF113" t="n">
        <v>54000.0</v>
      </c>
      <c r="AG113" t="n">
        <v>0.0</v>
      </c>
      <c r="AH113" t="n">
        <v>0.0</v>
      </c>
      <c r="AI113" t="n">
        <v>0.0</v>
      </c>
      <c r="AJ113" t="n">
        <v>0.0</v>
      </c>
      <c r="AK113" t="n">
        <v>0.0</v>
      </c>
      <c r="AL113" t="n">
        <v>0.0</v>
      </c>
      <c r="AM113" t="n">
        <v>0.0</v>
      </c>
      <c r="AN113" t="n">
        <v>0.0</v>
      </c>
      <c r="AO113" t="n">
        <v>838331.0</v>
      </c>
      <c r="AP113" t="n">
        <v>83834.0</v>
      </c>
      <c r="AQ113" t="n">
        <v>68989.8</v>
      </c>
      <c r="CH113">
        <f>IFERROR(U113*1,0)</f>
      </c>
    </row>
    <row r="114">
      <c r="A114" t="n">
        <v>2.0</v>
      </c>
      <c r="B114">
        <f>IF((K114-G114-H114&gt;2400000),10,(L114/(K114-G114-H114)*100))</f>
      </c>
      <c r="C114">
        <f>IF(N114&gt;2400000,240000,(N114*S114)/100)</f>
      </c>
      <c r="D114">
        <f>IF(S114=0,0,IF((N114-I114)&gt;2400000,((((((N114-I114-J114)-240000))*0.1+(I114+J114)*0.1)))-7000,((((((N114-I114-J114)-(N114-I114-J114)*S114/100)))*0.1+(I114+J114)*0.1)-7000)))</f>
      </c>
      <c r="E114">
        <f>C114-O114</f>
      </c>
      <c r="F114">
        <f>D114-P114</f>
      </c>
      <c r="G114">
        <f>SUMIF(negtgel!U$2:BL$2,'Tsalin uzuulelt'!B$1,negtgel!U114:BL114) + SUMIF(negtgel!U$2:BL$2,'Tsalin uzuulelt'!B$2,negtgel!U114:BL114)+SUMIF(negtgel!U$2:BL$2,'Tsalin uzuulelt'!B$3,negtgel!U114:BL114)+SUMIF(negtgel!U$2:BL$2,'Tsalin uzuulelt'!B$4,negtgel!U114:BL114)+SUMIF(negtgel!U$2:BL$2,'Tsalin uzuulelt'!B$5,negtgel!U114:BL114)</f>
      </c>
      <c r="H114">
        <f>SUMIF(negtgel!U$2:BL$2,'Tsalin uzuulelt'!F$1,negtgel!U114:BL114) + SUMIF(negtgel!U$2:BL$2,'Tsalin uzuulelt'!F$2,negtgel!U114:BL114)+SUMIF(negtgel!U$2:BL$2,'Tsalin uzuulelt'!F$3,negtgel!U114:BL114)+SUMIF(negtgel!U$2:BL$2,'Tsalin uzuulelt'!F$4,negtgel!U114:BL114)+SUMIF(negtgel!U$2:BL$2,'Tsalin uzuulelt'!F$5,negtgel!U114:BL114)</f>
      </c>
      <c r="I114">
        <f>SUMIF(negtgel!U$2:BL$2,'Tsalin uzuulelt'!H$1,negtgel!U114:BL114) + SUMIF(negtgel!U$2:BL$2,'Tsalin uzuulelt'!H$2,negtgel!U114:BL114)+SUMIF(negtgel!U$2:BL$2,'Tsalin uzuulelt'!H$3,negtgel!U114:BL114)+SUMIF(negtgel!U$2:BL$2,'Tsalin uzuulelt'!H$4,negtgel!U114:BL114)+SUMIF(negtgel!U$2:BL$2,'Tsalin uzuulelt'!H$5,negtgel!U114:BL114)</f>
      </c>
      <c r="J114">
        <f>SUMIF(negtgel!U$2:BL$2,'Tsalin uzuulelt'!J$1,negtgel!U114:BL114) + SUMIF(negtgel!U$2:BL$2,'Tsalin uzuulelt'!J$2,negtgel!U114:BL114)+SUMIF(negtgel!U$2:BL$2,'Tsalin uzuulelt'!J$3,negtgel!U114:BL114)+SUMIF(negtgel!U$2:BL$2,'Tsalin uzuulelt'!J$4,negtgel!U114:BL114)+SUMIF(negtgel!U$2:BL$2,'Tsalin uzuulelt'!J$5,negtgel!U114:BL114)</f>
      </c>
      <c r="K114">
        <f>SUMIF(negtgel!U$2:BL$2,'Tsalin uzuulelt'!L$1,negtgel!U114:BL114) + SUMIF(negtgel!U$2:BL$2,'Tsalin uzuulelt'!L$2,negtgel!U114:BL114)+SUMIF(negtgel!U$2:BL$2,'Tsalin uzuulelt'!L$3,negtgel!U114:BL114)+SUMIF(negtgel!U$2:BL$2,'Tsalin uzuulelt'!L$4,negtgel!U114:BL114)+SUMIF(negtgel!U$2:BL$2,'Tsalin uzuulelt'!L$5,negtgel!U114:BL114)</f>
      </c>
      <c r="L114">
        <f>SUMIF(negtgel!U$2:BL$2,'Tsalin uzuulelt'!N$1,negtgel!U114:BL114) + SUMIF(negtgel!U$2:BL$2,'Tsalin uzuulelt'!N$2,negtgel!U114:BL114)+SUMIF(negtgel!U$2:BL$2,'Tsalin uzuulelt'!N$3,negtgel!U114:BL114)+SUMIF(negtgel!U$2:BL$2,'Tsalin uzuulelt'!N$4,negtgel!U114:BL114)+SUMIF(negtgel!U$2:BL$2,'Tsalin uzuulelt'!N$5,negtgel!U114:BL114)</f>
      </c>
      <c r="M114">
        <f>SUMIF(negtgel!U$2:BL$2,'Tsalin uzuulelt'!P$1,negtgel!U114:BL114) + SUMIF(negtgel!U$2:BL$2,'Tsalin uzuulelt'!P$2,negtgel!U114:BL114)+ SUMIF(negtgel!U$2:BL$2,'Tsalin uzuulelt'!P$3,negtgel!U114:BL114)+ SUMIF(negtgel!U$2:BL$2,'Tsalin uzuulelt'!P$4,negtgel!U114:BL114)+ SUMIF(negtgel!U$2:BL$2,'Tsalin uzuulelt'!P$5,negtgel!U114:BL114)</f>
      </c>
      <c r="N114">
        <f>IF(ISNUMBER(U114*1)=CF114,0,K114-H114-G114)</f>
      </c>
      <c r="O114">
        <f>IF(ISNUMBER(U114*1)=CF114,0,L114)</f>
      </c>
      <c r="P114">
        <f>IF(ISNUMBER(U114*1)=CF114,0,M114)</f>
      </c>
      <c r="Q114">
        <f>IF(N114&gt;2400000,N114,0)</f>
      </c>
      <c r="R114">
        <f>IF(L114/Q114*100&lt;3,2,10)</f>
      </c>
      <c r="S114">
        <f>IF(CH114=0,0,IF(B114&gt;9,10,IF(B114&gt;8,B114,IF(B114&gt;7.7,7.8,IF(B114&gt;3,B114,IF(B114&gt;1.5,2))))))</f>
      </c>
      <c r="T114">
        <f>IF(Q114=0,S114,R114)</f>
      </c>
      <c r="U114" t="n">
        <v>82.0</v>
      </c>
      <c r="V114" t="s">
        <v>3833</v>
      </c>
      <c r="W114" t="s">
        <v>3790</v>
      </c>
      <c r="X114" t="n">
        <v>613669.0</v>
      </c>
      <c r="Y114" t="n">
        <v>613669.0</v>
      </c>
      <c r="Z114" t="n">
        <v>92050.0</v>
      </c>
      <c r="AA114" t="n">
        <v>104324.0</v>
      </c>
      <c r="AB114" t="n">
        <v>0.0</v>
      </c>
      <c r="AC114" t="n">
        <v>0.0</v>
      </c>
      <c r="AD114" t="n">
        <v>0.0</v>
      </c>
      <c r="AE114" t="n">
        <v>0.0</v>
      </c>
      <c r="AF114" t="n">
        <v>54000.0</v>
      </c>
      <c r="AG114" t="n">
        <v>0.0</v>
      </c>
      <c r="AH114" t="n">
        <v>0.0</v>
      </c>
      <c r="AI114" t="n">
        <v>0.0</v>
      </c>
      <c r="AJ114" t="n">
        <v>0.0</v>
      </c>
      <c r="AK114" t="n">
        <v>0.0</v>
      </c>
      <c r="AL114" t="n">
        <v>166169.0</v>
      </c>
      <c r="AM114" t="n">
        <v>0.0</v>
      </c>
      <c r="AN114" t="n">
        <v>0.0</v>
      </c>
      <c r="AO114" t="n">
        <v>1030212.0</v>
      </c>
      <c r="AP114" t="n">
        <v>86404.0</v>
      </c>
      <c r="AQ114" t="n">
        <v>71303.9</v>
      </c>
      <c r="CH114">
        <f>IFERROR(U114*1,0)</f>
      </c>
    </row>
    <row r="115">
      <c r="A115" t="n">
        <v>2.0</v>
      </c>
      <c r="B115">
        <f>IF((K115-G115-H115&gt;2400000),10,(L115/(K115-G115-H115)*100))</f>
      </c>
      <c r="C115">
        <f>IF(N115&gt;2400000,240000,(N115*S115)/100)</f>
      </c>
      <c r="D115">
        <f>IF(S115=0,0,IF((N115-I115)&gt;2400000,((((((N115-I115-J115)-240000))*0.1+(I115+J115)*0.1)))-7000,((((((N115-I115-J115)-(N115-I115-J115)*S115/100)))*0.1+(I115+J115)*0.1)-7000)))</f>
      </c>
      <c r="E115">
        <f>C115-O115</f>
      </c>
      <c r="F115">
        <f>D115-P115</f>
      </c>
      <c r="G115">
        <f>SUMIF(negtgel!U$2:BL$2,'Tsalin uzuulelt'!B$1,negtgel!U115:BL115) + SUMIF(negtgel!U$2:BL$2,'Tsalin uzuulelt'!B$2,negtgel!U115:BL115)+SUMIF(negtgel!U$2:BL$2,'Tsalin uzuulelt'!B$3,negtgel!U115:BL115)+SUMIF(negtgel!U$2:BL$2,'Tsalin uzuulelt'!B$4,negtgel!U115:BL115)+SUMIF(negtgel!U$2:BL$2,'Tsalin uzuulelt'!B$5,negtgel!U115:BL115)</f>
      </c>
      <c r="H115">
        <f>SUMIF(negtgel!U$2:BL$2,'Tsalin uzuulelt'!F$1,negtgel!U115:BL115) + SUMIF(negtgel!U$2:BL$2,'Tsalin uzuulelt'!F$2,negtgel!U115:BL115)+SUMIF(negtgel!U$2:BL$2,'Tsalin uzuulelt'!F$3,negtgel!U115:BL115)+SUMIF(negtgel!U$2:BL$2,'Tsalin uzuulelt'!F$4,negtgel!U115:BL115)+SUMIF(negtgel!U$2:BL$2,'Tsalin uzuulelt'!F$5,negtgel!U115:BL115)</f>
      </c>
      <c r="I115">
        <f>SUMIF(negtgel!U$2:BL$2,'Tsalin uzuulelt'!H$1,negtgel!U115:BL115) + SUMIF(negtgel!U$2:BL$2,'Tsalin uzuulelt'!H$2,negtgel!U115:BL115)+SUMIF(negtgel!U$2:BL$2,'Tsalin uzuulelt'!H$3,negtgel!U115:BL115)+SUMIF(negtgel!U$2:BL$2,'Tsalin uzuulelt'!H$4,negtgel!U115:BL115)+SUMIF(negtgel!U$2:BL$2,'Tsalin uzuulelt'!H$5,negtgel!U115:BL115)</f>
      </c>
      <c r="J115">
        <f>SUMIF(negtgel!U$2:BL$2,'Tsalin uzuulelt'!J$1,negtgel!U115:BL115) + SUMIF(negtgel!U$2:BL$2,'Tsalin uzuulelt'!J$2,negtgel!U115:BL115)+SUMIF(negtgel!U$2:BL$2,'Tsalin uzuulelt'!J$3,negtgel!U115:BL115)+SUMIF(negtgel!U$2:BL$2,'Tsalin uzuulelt'!J$4,negtgel!U115:BL115)+SUMIF(negtgel!U$2:BL$2,'Tsalin uzuulelt'!J$5,negtgel!U115:BL115)</f>
      </c>
      <c r="K115">
        <f>SUMIF(negtgel!U$2:BL$2,'Tsalin uzuulelt'!L$1,negtgel!U115:BL115) + SUMIF(negtgel!U$2:BL$2,'Tsalin uzuulelt'!L$2,negtgel!U115:BL115)+SUMIF(negtgel!U$2:BL$2,'Tsalin uzuulelt'!L$3,negtgel!U115:BL115)+SUMIF(negtgel!U$2:BL$2,'Tsalin uzuulelt'!L$4,negtgel!U115:BL115)+SUMIF(negtgel!U$2:BL$2,'Tsalin uzuulelt'!L$5,negtgel!U115:BL115)</f>
      </c>
      <c r="L115">
        <f>SUMIF(negtgel!U$2:BL$2,'Tsalin uzuulelt'!N$1,negtgel!U115:BL115) + SUMIF(negtgel!U$2:BL$2,'Tsalin uzuulelt'!N$2,negtgel!U115:BL115)+SUMIF(negtgel!U$2:BL$2,'Tsalin uzuulelt'!N$3,negtgel!U115:BL115)+SUMIF(negtgel!U$2:BL$2,'Tsalin uzuulelt'!N$4,negtgel!U115:BL115)+SUMIF(negtgel!U$2:BL$2,'Tsalin uzuulelt'!N$5,negtgel!U115:BL115)</f>
      </c>
      <c r="M115">
        <f>SUMIF(negtgel!U$2:BL$2,'Tsalin uzuulelt'!P$1,negtgel!U115:BL115) + SUMIF(negtgel!U$2:BL$2,'Tsalin uzuulelt'!P$2,negtgel!U115:BL115)+ SUMIF(negtgel!U$2:BL$2,'Tsalin uzuulelt'!P$3,negtgel!U115:BL115)+ SUMIF(negtgel!U$2:BL$2,'Tsalin uzuulelt'!P$4,negtgel!U115:BL115)+ SUMIF(negtgel!U$2:BL$2,'Tsalin uzuulelt'!P$5,negtgel!U115:BL115)</f>
      </c>
      <c r="N115">
        <f>IF(ISNUMBER(U115*1)=CF115,0,K115-H115-G115)</f>
      </c>
      <c r="O115">
        <f>IF(ISNUMBER(U115*1)=CF115,0,L115)</f>
      </c>
      <c r="P115">
        <f>IF(ISNUMBER(U115*1)=CF115,0,M115)</f>
      </c>
      <c r="Q115">
        <f>IF(N115&gt;2400000,N115,0)</f>
      </c>
      <c r="R115">
        <f>IF(L115/Q115*100&lt;3,2,10)</f>
      </c>
      <c r="S115">
        <f>IF(CH115=0,0,IF(B115&gt;9,10,IF(B115&gt;8,B115,IF(B115&gt;7.7,7.8,IF(B115&gt;3,B115,IF(B115&gt;1.5,2))))))</f>
      </c>
      <c r="T115">
        <f>IF(Q115=0,S115,R115)</f>
      </c>
      <c r="U115" t="n">
        <v>83.0</v>
      </c>
      <c r="V115" t="s">
        <v>3834</v>
      </c>
      <c r="W115" t="s">
        <v>3792</v>
      </c>
      <c r="X115" t="n">
        <v>550369.0</v>
      </c>
      <c r="Y115" t="n">
        <v>397489.0</v>
      </c>
      <c r="Z115" t="n">
        <v>0.0</v>
      </c>
      <c r="AA115" t="n">
        <v>0.0</v>
      </c>
      <c r="AB115" t="n">
        <v>0.0</v>
      </c>
      <c r="AC115" t="n">
        <v>0.0</v>
      </c>
      <c r="AD115" t="n">
        <v>0.0</v>
      </c>
      <c r="AE115" t="n">
        <v>0.0</v>
      </c>
      <c r="AF115" t="n">
        <v>39000.0</v>
      </c>
      <c r="AG115" t="n">
        <v>0.0</v>
      </c>
      <c r="AH115" t="n">
        <v>0.0</v>
      </c>
      <c r="AI115" t="n">
        <v>0.0</v>
      </c>
      <c r="AJ115" t="n">
        <v>0.0</v>
      </c>
      <c r="AK115" t="n">
        <v>0.0</v>
      </c>
      <c r="AL115" t="n">
        <v>0.0</v>
      </c>
      <c r="AM115" t="n">
        <v>0.0</v>
      </c>
      <c r="AN115" t="n">
        <v>0.0</v>
      </c>
      <c r="AO115" t="n">
        <v>436489.0</v>
      </c>
      <c r="AP115" t="n">
        <v>43649.0</v>
      </c>
      <c r="AQ115" t="n">
        <v>32674.0</v>
      </c>
      <c r="CH115">
        <f>IFERROR(U115*1,0)</f>
      </c>
    </row>
    <row r="116">
      <c r="A116" t="n">
        <v>2.0</v>
      </c>
      <c r="B116">
        <f>IF((K116-G116-H116&gt;2400000),10,(L116/(K116-G116-H116)*100))</f>
      </c>
      <c r="C116">
        <f>IF(N116&gt;2400000,240000,(N116*S116)/100)</f>
      </c>
      <c r="D116">
        <f>IF(S116=0,0,IF((N116-I116)&gt;2400000,((((((N116-I116-J116)-240000))*0.1+(I116+J116)*0.1)))-7000,((((((N116-I116-J116)-(N116-I116-J116)*S116/100)))*0.1+(I116+J116)*0.1)-7000)))</f>
      </c>
      <c r="E116">
        <f>C116-O116</f>
      </c>
      <c r="F116">
        <f>D116-P116</f>
      </c>
      <c r="G116">
        <f>SUMIF(negtgel!U$2:BL$2,'Tsalin uzuulelt'!B$1,negtgel!U116:BL116) + SUMIF(negtgel!U$2:BL$2,'Tsalin uzuulelt'!B$2,negtgel!U116:BL116)+SUMIF(negtgel!U$2:BL$2,'Tsalin uzuulelt'!B$3,negtgel!U116:BL116)+SUMIF(negtgel!U$2:BL$2,'Tsalin uzuulelt'!B$4,negtgel!U116:BL116)+SUMIF(negtgel!U$2:BL$2,'Tsalin uzuulelt'!B$5,negtgel!U116:BL116)</f>
      </c>
      <c r="H116">
        <f>SUMIF(negtgel!U$2:BL$2,'Tsalin uzuulelt'!F$1,negtgel!U116:BL116) + SUMIF(negtgel!U$2:BL$2,'Tsalin uzuulelt'!F$2,negtgel!U116:BL116)+SUMIF(negtgel!U$2:BL$2,'Tsalin uzuulelt'!F$3,negtgel!U116:BL116)+SUMIF(negtgel!U$2:BL$2,'Tsalin uzuulelt'!F$4,negtgel!U116:BL116)+SUMIF(negtgel!U$2:BL$2,'Tsalin uzuulelt'!F$5,negtgel!U116:BL116)</f>
      </c>
      <c r="I116">
        <f>SUMIF(negtgel!U$2:BL$2,'Tsalin uzuulelt'!H$1,negtgel!U116:BL116) + SUMIF(negtgel!U$2:BL$2,'Tsalin uzuulelt'!H$2,negtgel!U116:BL116)+SUMIF(negtgel!U$2:BL$2,'Tsalin uzuulelt'!H$3,negtgel!U116:BL116)+SUMIF(negtgel!U$2:BL$2,'Tsalin uzuulelt'!H$4,negtgel!U116:BL116)+SUMIF(negtgel!U$2:BL$2,'Tsalin uzuulelt'!H$5,negtgel!U116:BL116)</f>
      </c>
      <c r="J116">
        <f>SUMIF(negtgel!U$2:BL$2,'Tsalin uzuulelt'!J$1,negtgel!U116:BL116) + SUMIF(negtgel!U$2:BL$2,'Tsalin uzuulelt'!J$2,negtgel!U116:BL116)+SUMIF(negtgel!U$2:BL$2,'Tsalin uzuulelt'!J$3,negtgel!U116:BL116)+SUMIF(negtgel!U$2:BL$2,'Tsalin uzuulelt'!J$4,negtgel!U116:BL116)+SUMIF(negtgel!U$2:BL$2,'Tsalin uzuulelt'!J$5,negtgel!U116:BL116)</f>
      </c>
      <c r="K116">
        <f>SUMIF(negtgel!U$2:BL$2,'Tsalin uzuulelt'!L$1,negtgel!U116:BL116) + SUMIF(negtgel!U$2:BL$2,'Tsalin uzuulelt'!L$2,negtgel!U116:BL116)+SUMIF(negtgel!U$2:BL$2,'Tsalin uzuulelt'!L$3,negtgel!U116:BL116)+SUMIF(negtgel!U$2:BL$2,'Tsalin uzuulelt'!L$4,negtgel!U116:BL116)+SUMIF(negtgel!U$2:BL$2,'Tsalin uzuulelt'!L$5,negtgel!U116:BL116)</f>
      </c>
      <c r="L116">
        <f>SUMIF(negtgel!U$2:BL$2,'Tsalin uzuulelt'!N$1,negtgel!U116:BL116) + SUMIF(negtgel!U$2:BL$2,'Tsalin uzuulelt'!N$2,negtgel!U116:BL116)+SUMIF(negtgel!U$2:BL$2,'Tsalin uzuulelt'!N$3,negtgel!U116:BL116)+SUMIF(negtgel!U$2:BL$2,'Tsalin uzuulelt'!N$4,negtgel!U116:BL116)+SUMIF(negtgel!U$2:BL$2,'Tsalin uzuulelt'!N$5,negtgel!U116:BL116)</f>
      </c>
      <c r="M116">
        <f>SUMIF(negtgel!U$2:BL$2,'Tsalin uzuulelt'!P$1,negtgel!U116:BL116) + SUMIF(negtgel!U$2:BL$2,'Tsalin uzuulelt'!P$2,negtgel!U116:BL116)+ SUMIF(negtgel!U$2:BL$2,'Tsalin uzuulelt'!P$3,negtgel!U116:BL116)+ SUMIF(negtgel!U$2:BL$2,'Tsalin uzuulelt'!P$4,negtgel!U116:BL116)+ SUMIF(negtgel!U$2:BL$2,'Tsalin uzuulelt'!P$5,negtgel!U116:BL116)</f>
      </c>
      <c r="N116">
        <f>IF(ISNUMBER(U116*1)=CF116,0,K116-H116-G116)</f>
      </c>
      <c r="O116">
        <f>IF(ISNUMBER(U116*1)=CF116,0,L116)</f>
      </c>
      <c r="P116">
        <f>IF(ISNUMBER(U116*1)=CF116,0,M116)</f>
      </c>
      <c r="Q116">
        <f>IF(N116&gt;2400000,N116,0)</f>
      </c>
      <c r="R116">
        <f>IF(L116/Q116*100&lt;3,2,10)</f>
      </c>
      <c r="S116">
        <f>IF(CH116=0,0,IF(B116&gt;9,10,IF(B116&gt;8,B116,IF(B116&gt;7.7,7.8,IF(B116&gt;3,B116,IF(B116&gt;1.5,2))))))</f>
      </c>
      <c r="T116">
        <f>IF(Q116=0,S116,R116)</f>
      </c>
      <c r="U116" t="n">
        <v>84.0</v>
      </c>
      <c r="V116" t="s">
        <v>3835</v>
      </c>
      <c r="W116" t="s">
        <v>3790</v>
      </c>
      <c r="X116" t="n">
        <v>580710.0</v>
      </c>
      <c r="Y116" t="n">
        <v>322617.0</v>
      </c>
      <c r="Z116" t="n">
        <v>16131.0</v>
      </c>
      <c r="AA116" t="n">
        <v>0.0</v>
      </c>
      <c r="AB116" t="n">
        <v>0.0</v>
      </c>
      <c r="AC116" t="n">
        <v>0.0</v>
      </c>
      <c r="AD116" t="n">
        <v>0.0</v>
      </c>
      <c r="AE116" t="n">
        <v>0.0</v>
      </c>
      <c r="AF116" t="n">
        <v>30000.0</v>
      </c>
      <c r="AG116" t="n">
        <v>0.0</v>
      </c>
      <c r="AH116" t="n">
        <v>0.0</v>
      </c>
      <c r="AI116" t="n">
        <v>0.0</v>
      </c>
      <c r="AJ116" t="n">
        <v>0.0</v>
      </c>
      <c r="AK116" t="n">
        <v>0.0</v>
      </c>
      <c r="AL116" t="n">
        <v>0.0</v>
      </c>
      <c r="AM116" t="n">
        <v>0.0</v>
      </c>
      <c r="AN116" t="n">
        <v>0.0</v>
      </c>
      <c r="AO116" t="n">
        <v>368748.0</v>
      </c>
      <c r="AP116" t="n">
        <v>36874.0</v>
      </c>
      <c r="AQ116" t="n">
        <v>26487.3</v>
      </c>
      <c r="CH116">
        <f>IFERROR(U116*1,0)</f>
      </c>
    </row>
    <row r="117">
      <c r="A117" t="n">
        <v>2.0</v>
      </c>
      <c r="B117">
        <f>IF((K117-G117-H117&gt;2400000),10,(L117/(K117-G117-H117)*100))</f>
      </c>
      <c r="C117">
        <f>IF(N117&gt;2400000,240000,(N117*S117)/100)</f>
      </c>
      <c r="D117">
        <f>IF(S117=0,0,IF((N117-I117)&gt;2400000,((((((N117-I117-J117)-240000))*0.1+(I117+J117)*0.1)))-7000,((((((N117-I117-J117)-(N117-I117-J117)*S117/100)))*0.1+(I117+J117)*0.1)-7000)))</f>
      </c>
      <c r="E117">
        <f>C117-O117</f>
      </c>
      <c r="F117">
        <f>D117-P117</f>
      </c>
      <c r="G117">
        <f>SUMIF(negtgel!U$2:BL$2,'Tsalin uzuulelt'!B$1,negtgel!U117:BL117) + SUMIF(negtgel!U$2:BL$2,'Tsalin uzuulelt'!B$2,negtgel!U117:BL117)+SUMIF(negtgel!U$2:BL$2,'Tsalin uzuulelt'!B$3,negtgel!U117:BL117)+SUMIF(negtgel!U$2:BL$2,'Tsalin uzuulelt'!B$4,negtgel!U117:BL117)+SUMIF(negtgel!U$2:BL$2,'Tsalin uzuulelt'!B$5,negtgel!U117:BL117)</f>
      </c>
      <c r="H117">
        <f>SUMIF(negtgel!U$2:BL$2,'Tsalin uzuulelt'!F$1,negtgel!U117:BL117) + SUMIF(negtgel!U$2:BL$2,'Tsalin uzuulelt'!F$2,negtgel!U117:BL117)+SUMIF(negtgel!U$2:BL$2,'Tsalin uzuulelt'!F$3,negtgel!U117:BL117)+SUMIF(negtgel!U$2:BL$2,'Tsalin uzuulelt'!F$4,negtgel!U117:BL117)+SUMIF(negtgel!U$2:BL$2,'Tsalin uzuulelt'!F$5,negtgel!U117:BL117)</f>
      </c>
      <c r="I117">
        <f>SUMIF(negtgel!U$2:BL$2,'Tsalin uzuulelt'!H$1,negtgel!U117:BL117) + SUMIF(negtgel!U$2:BL$2,'Tsalin uzuulelt'!H$2,negtgel!U117:BL117)+SUMIF(negtgel!U$2:BL$2,'Tsalin uzuulelt'!H$3,negtgel!U117:BL117)+SUMIF(negtgel!U$2:BL$2,'Tsalin uzuulelt'!H$4,negtgel!U117:BL117)+SUMIF(negtgel!U$2:BL$2,'Tsalin uzuulelt'!H$5,negtgel!U117:BL117)</f>
      </c>
      <c r="J117">
        <f>SUMIF(negtgel!U$2:BL$2,'Tsalin uzuulelt'!J$1,negtgel!U117:BL117) + SUMIF(negtgel!U$2:BL$2,'Tsalin uzuulelt'!J$2,negtgel!U117:BL117)+SUMIF(negtgel!U$2:BL$2,'Tsalin uzuulelt'!J$3,negtgel!U117:BL117)+SUMIF(negtgel!U$2:BL$2,'Tsalin uzuulelt'!J$4,negtgel!U117:BL117)+SUMIF(negtgel!U$2:BL$2,'Tsalin uzuulelt'!J$5,negtgel!U117:BL117)</f>
      </c>
      <c r="K117">
        <f>SUMIF(negtgel!U$2:BL$2,'Tsalin uzuulelt'!L$1,negtgel!U117:BL117) + SUMIF(negtgel!U$2:BL$2,'Tsalin uzuulelt'!L$2,negtgel!U117:BL117)+SUMIF(negtgel!U$2:BL$2,'Tsalin uzuulelt'!L$3,negtgel!U117:BL117)+SUMIF(negtgel!U$2:BL$2,'Tsalin uzuulelt'!L$4,negtgel!U117:BL117)+SUMIF(negtgel!U$2:BL$2,'Tsalin uzuulelt'!L$5,negtgel!U117:BL117)</f>
      </c>
      <c r="L117">
        <f>SUMIF(negtgel!U$2:BL$2,'Tsalin uzuulelt'!N$1,negtgel!U117:BL117) + SUMIF(negtgel!U$2:BL$2,'Tsalin uzuulelt'!N$2,negtgel!U117:BL117)+SUMIF(negtgel!U$2:BL$2,'Tsalin uzuulelt'!N$3,negtgel!U117:BL117)+SUMIF(negtgel!U$2:BL$2,'Tsalin uzuulelt'!N$4,negtgel!U117:BL117)+SUMIF(negtgel!U$2:BL$2,'Tsalin uzuulelt'!N$5,negtgel!U117:BL117)</f>
      </c>
      <c r="M117">
        <f>SUMIF(negtgel!U$2:BL$2,'Tsalin uzuulelt'!P$1,negtgel!U117:BL117) + SUMIF(negtgel!U$2:BL$2,'Tsalin uzuulelt'!P$2,negtgel!U117:BL117)+ SUMIF(negtgel!U$2:BL$2,'Tsalin uzuulelt'!P$3,negtgel!U117:BL117)+ SUMIF(negtgel!U$2:BL$2,'Tsalin uzuulelt'!P$4,negtgel!U117:BL117)+ SUMIF(negtgel!U$2:BL$2,'Tsalin uzuulelt'!P$5,negtgel!U117:BL117)</f>
      </c>
      <c r="N117">
        <f>IF(ISNUMBER(U117*1)=CF117,0,K117-H117-G117)</f>
      </c>
      <c r="O117">
        <f>IF(ISNUMBER(U117*1)=CF117,0,L117)</f>
      </c>
      <c r="P117">
        <f>IF(ISNUMBER(U117*1)=CF117,0,M117)</f>
      </c>
      <c r="Q117">
        <f>IF(N117&gt;2400000,N117,0)</f>
      </c>
      <c r="R117">
        <f>IF(L117/Q117*100&lt;3,2,10)</f>
      </c>
      <c r="S117">
        <f>IF(CH117=0,0,IF(B117&gt;9,10,IF(B117&gt;8,B117,IF(B117&gt;7.7,7.8,IF(B117&gt;3,B117,IF(B117&gt;1.5,2))))))</f>
      </c>
      <c r="T117">
        <f>IF(Q117=0,S117,R117)</f>
      </c>
      <c r="U117" t="s">
        <v>3787</v>
      </c>
      <c r="V117"/>
      <c r="W117"/>
      <c r="X117" t="n">
        <v>3994805.0</v>
      </c>
      <c r="Y117" t="n">
        <v>3494618.0</v>
      </c>
      <c r="Z117" t="n">
        <v>170927.0</v>
      </c>
      <c r="AA117" t="n">
        <v>198444.0</v>
      </c>
      <c r="AB117" t="n">
        <v>0.0</v>
      </c>
      <c r="AC117" t="n">
        <v>0.0</v>
      </c>
      <c r="AD117" t="n">
        <v>0.0</v>
      </c>
      <c r="AE117" t="n">
        <v>0.0</v>
      </c>
      <c r="AF117" t="n">
        <v>330000.0</v>
      </c>
      <c r="AG117" t="n">
        <v>0.0</v>
      </c>
      <c r="AH117" t="n">
        <v>0.0</v>
      </c>
      <c r="AI117" t="n">
        <v>0.0</v>
      </c>
      <c r="AJ117" t="n">
        <v>0.0</v>
      </c>
      <c r="AK117" t="n">
        <v>0.0</v>
      </c>
      <c r="AL117" t="n">
        <v>166169.0</v>
      </c>
      <c r="AM117" t="n">
        <v>0.0</v>
      </c>
      <c r="AN117" t="n">
        <v>0.0</v>
      </c>
      <c r="AO117" t="n">
        <v>4360158.0</v>
      </c>
      <c r="AP117" t="n">
        <v>419398.0</v>
      </c>
      <c r="AQ117" t="n">
        <v>331759.0</v>
      </c>
      <c r="CH117">
        <f>IFERROR(U117*1,0)</f>
      </c>
    </row>
    <row r="118">
      <c r="A118" t="n">
        <v>2.0</v>
      </c>
      <c r="B118">
        <f>IF((K118-G118-H118&gt;2400000),10,(L118/(K118-G118-H118)*100))</f>
      </c>
      <c r="C118">
        <f>IF(N118&gt;2400000,240000,(N118*S118)/100)</f>
      </c>
      <c r="D118">
        <f>IF(S118=0,0,IF((N118-I118)&gt;2400000,((((((N118-I118-J118)-240000))*0.1+(I118+J118)*0.1)))-7000,((((((N118-I118-J118)-(N118-I118-J118)*S118/100)))*0.1+(I118+J118)*0.1)-7000)))</f>
      </c>
      <c r="E118">
        <f>C118-O118</f>
      </c>
      <c r="F118">
        <f>D118-P118</f>
      </c>
      <c r="G118">
        <f>SUMIF(negtgel!U$2:BL$2,'Tsalin uzuulelt'!B$1,negtgel!U118:BL118) + SUMIF(negtgel!U$2:BL$2,'Tsalin uzuulelt'!B$2,negtgel!U118:BL118)+SUMIF(negtgel!U$2:BL$2,'Tsalin uzuulelt'!B$3,negtgel!U118:BL118)+SUMIF(negtgel!U$2:BL$2,'Tsalin uzuulelt'!B$4,negtgel!U118:BL118)+SUMIF(negtgel!U$2:BL$2,'Tsalin uzuulelt'!B$5,negtgel!U118:BL118)</f>
      </c>
      <c r="H118">
        <f>SUMIF(negtgel!U$2:BL$2,'Tsalin uzuulelt'!F$1,negtgel!U118:BL118) + SUMIF(negtgel!U$2:BL$2,'Tsalin uzuulelt'!F$2,negtgel!U118:BL118)+SUMIF(negtgel!U$2:BL$2,'Tsalin uzuulelt'!F$3,negtgel!U118:BL118)+SUMIF(negtgel!U$2:BL$2,'Tsalin uzuulelt'!F$4,negtgel!U118:BL118)+SUMIF(negtgel!U$2:BL$2,'Tsalin uzuulelt'!F$5,negtgel!U118:BL118)</f>
      </c>
      <c r="I118">
        <f>SUMIF(negtgel!U$2:BL$2,'Tsalin uzuulelt'!H$1,negtgel!U118:BL118) + SUMIF(negtgel!U$2:BL$2,'Tsalin uzuulelt'!H$2,negtgel!U118:BL118)+SUMIF(negtgel!U$2:BL$2,'Tsalin uzuulelt'!H$3,negtgel!U118:BL118)+SUMIF(negtgel!U$2:BL$2,'Tsalin uzuulelt'!H$4,negtgel!U118:BL118)+SUMIF(negtgel!U$2:BL$2,'Tsalin uzuulelt'!H$5,negtgel!U118:BL118)</f>
      </c>
      <c r="J118">
        <f>SUMIF(negtgel!U$2:BL$2,'Tsalin uzuulelt'!J$1,negtgel!U118:BL118) + SUMIF(negtgel!U$2:BL$2,'Tsalin uzuulelt'!J$2,negtgel!U118:BL118)+SUMIF(negtgel!U$2:BL$2,'Tsalin uzuulelt'!J$3,negtgel!U118:BL118)+SUMIF(negtgel!U$2:BL$2,'Tsalin uzuulelt'!J$4,negtgel!U118:BL118)+SUMIF(negtgel!U$2:BL$2,'Tsalin uzuulelt'!J$5,negtgel!U118:BL118)</f>
      </c>
      <c r="K118">
        <f>SUMIF(negtgel!U$2:BL$2,'Tsalin uzuulelt'!L$1,negtgel!U118:BL118) + SUMIF(negtgel!U$2:BL$2,'Tsalin uzuulelt'!L$2,negtgel!U118:BL118)+SUMIF(negtgel!U$2:BL$2,'Tsalin uzuulelt'!L$3,negtgel!U118:BL118)+SUMIF(negtgel!U$2:BL$2,'Tsalin uzuulelt'!L$4,negtgel!U118:BL118)+SUMIF(negtgel!U$2:BL$2,'Tsalin uzuulelt'!L$5,negtgel!U118:BL118)</f>
      </c>
      <c r="L118">
        <f>SUMIF(negtgel!U$2:BL$2,'Tsalin uzuulelt'!N$1,negtgel!U118:BL118) + SUMIF(negtgel!U$2:BL$2,'Tsalin uzuulelt'!N$2,negtgel!U118:BL118)+SUMIF(negtgel!U$2:BL$2,'Tsalin uzuulelt'!N$3,negtgel!U118:BL118)+SUMIF(negtgel!U$2:BL$2,'Tsalin uzuulelt'!N$4,negtgel!U118:BL118)+SUMIF(negtgel!U$2:BL$2,'Tsalin uzuulelt'!N$5,negtgel!U118:BL118)</f>
      </c>
      <c r="M118">
        <f>SUMIF(negtgel!U$2:BL$2,'Tsalin uzuulelt'!P$1,negtgel!U118:BL118) + SUMIF(negtgel!U$2:BL$2,'Tsalin uzuulelt'!P$2,negtgel!U118:BL118)+ SUMIF(negtgel!U$2:BL$2,'Tsalin uzuulelt'!P$3,negtgel!U118:BL118)+ SUMIF(negtgel!U$2:BL$2,'Tsalin uzuulelt'!P$4,negtgel!U118:BL118)+ SUMIF(negtgel!U$2:BL$2,'Tsalin uzuulelt'!P$5,negtgel!U118:BL118)</f>
      </c>
      <c r="N118">
        <f>IF(ISNUMBER(U118*1)=CF118,0,K118-H118-G118)</f>
      </c>
      <c r="O118">
        <f>IF(ISNUMBER(U118*1)=CF118,0,L118)</f>
      </c>
      <c r="P118">
        <f>IF(ISNUMBER(U118*1)=CF118,0,M118)</f>
      </c>
      <c r="Q118">
        <f>IF(N118&gt;2400000,N118,0)</f>
      </c>
      <c r="R118">
        <f>IF(L118/Q118*100&lt;3,2,10)</f>
      </c>
      <c r="S118">
        <f>IF(CH118=0,0,IF(B118&gt;9,10,IF(B118&gt;8,B118,IF(B118&gt;7.7,7.8,IF(B118&gt;3,B118,IF(B118&gt;1.5,2))))))</f>
      </c>
      <c r="T118">
        <f>IF(Q118=0,S118,R118)</f>
      </c>
      <c r="U118" t="s">
        <v>3836</v>
      </c>
      <c r="V118"/>
      <c r="W118"/>
      <c r="X118"/>
      <c r="Y118"/>
      <c r="Z118"/>
      <c r="AA118"/>
      <c r="AB118"/>
      <c r="AC118"/>
      <c r="AD118"/>
      <c r="AE118"/>
      <c r="AF118"/>
      <c r="AG118"/>
      <c r="AH118"/>
      <c r="AI118"/>
      <c r="AJ118"/>
      <c r="AK118"/>
      <c r="AL118"/>
      <c r="AM118"/>
      <c r="AN118"/>
      <c r="AO118"/>
      <c r="AP118"/>
      <c r="AQ118"/>
      <c r="CH118">
        <f>IFERROR(U118*1,0)</f>
      </c>
    </row>
    <row r="119">
      <c r="A119" t="n">
        <v>2.0</v>
      </c>
      <c r="B119">
        <f>IF((K119-G119-H119&gt;2400000),10,(L119/(K119-G119-H119)*100))</f>
      </c>
      <c r="C119">
        <f>IF(N119&gt;2400000,240000,(N119*S119)/100)</f>
      </c>
      <c r="D119">
        <f>IF(S119=0,0,IF((N119-I119)&gt;2400000,((((((N119-I119-J119)-240000))*0.1+(I119+J119)*0.1)))-7000,((((((N119-I119-J119)-(N119-I119-J119)*S119/100)))*0.1+(I119+J119)*0.1)-7000)))</f>
      </c>
      <c r="E119">
        <f>C119-O119</f>
      </c>
      <c r="F119">
        <f>D119-P119</f>
      </c>
      <c r="G119">
        <f>SUMIF(negtgel!U$2:BL$2,'Tsalin uzuulelt'!B$1,negtgel!U119:BL119) + SUMIF(negtgel!U$2:BL$2,'Tsalin uzuulelt'!B$2,negtgel!U119:BL119)+SUMIF(negtgel!U$2:BL$2,'Tsalin uzuulelt'!B$3,negtgel!U119:BL119)+SUMIF(negtgel!U$2:BL$2,'Tsalin uzuulelt'!B$4,negtgel!U119:BL119)+SUMIF(negtgel!U$2:BL$2,'Tsalin uzuulelt'!B$5,negtgel!U119:BL119)</f>
      </c>
      <c r="H119">
        <f>SUMIF(negtgel!U$2:BL$2,'Tsalin uzuulelt'!F$1,negtgel!U119:BL119) + SUMIF(negtgel!U$2:BL$2,'Tsalin uzuulelt'!F$2,negtgel!U119:BL119)+SUMIF(negtgel!U$2:BL$2,'Tsalin uzuulelt'!F$3,negtgel!U119:BL119)+SUMIF(negtgel!U$2:BL$2,'Tsalin uzuulelt'!F$4,negtgel!U119:BL119)+SUMIF(negtgel!U$2:BL$2,'Tsalin uzuulelt'!F$5,negtgel!U119:BL119)</f>
      </c>
      <c r="I119">
        <f>SUMIF(negtgel!U$2:BL$2,'Tsalin uzuulelt'!H$1,negtgel!U119:BL119) + SUMIF(negtgel!U$2:BL$2,'Tsalin uzuulelt'!H$2,negtgel!U119:BL119)+SUMIF(negtgel!U$2:BL$2,'Tsalin uzuulelt'!H$3,negtgel!U119:BL119)+SUMIF(negtgel!U$2:BL$2,'Tsalin uzuulelt'!H$4,negtgel!U119:BL119)+SUMIF(negtgel!U$2:BL$2,'Tsalin uzuulelt'!H$5,negtgel!U119:BL119)</f>
      </c>
      <c r="J119">
        <f>SUMIF(negtgel!U$2:BL$2,'Tsalin uzuulelt'!J$1,negtgel!U119:BL119) + SUMIF(negtgel!U$2:BL$2,'Tsalin uzuulelt'!J$2,negtgel!U119:BL119)+SUMIF(negtgel!U$2:BL$2,'Tsalin uzuulelt'!J$3,negtgel!U119:BL119)+SUMIF(negtgel!U$2:BL$2,'Tsalin uzuulelt'!J$4,negtgel!U119:BL119)+SUMIF(negtgel!U$2:BL$2,'Tsalin uzuulelt'!J$5,negtgel!U119:BL119)</f>
      </c>
      <c r="K119">
        <f>SUMIF(negtgel!U$2:BL$2,'Tsalin uzuulelt'!L$1,negtgel!U119:BL119) + SUMIF(negtgel!U$2:BL$2,'Tsalin uzuulelt'!L$2,negtgel!U119:BL119)+SUMIF(negtgel!U$2:BL$2,'Tsalin uzuulelt'!L$3,negtgel!U119:BL119)+SUMIF(negtgel!U$2:BL$2,'Tsalin uzuulelt'!L$4,negtgel!U119:BL119)+SUMIF(negtgel!U$2:BL$2,'Tsalin uzuulelt'!L$5,negtgel!U119:BL119)</f>
      </c>
      <c r="L119">
        <f>SUMIF(negtgel!U$2:BL$2,'Tsalin uzuulelt'!N$1,negtgel!U119:BL119) + SUMIF(negtgel!U$2:BL$2,'Tsalin uzuulelt'!N$2,negtgel!U119:BL119)+SUMIF(negtgel!U$2:BL$2,'Tsalin uzuulelt'!N$3,negtgel!U119:BL119)+SUMIF(negtgel!U$2:BL$2,'Tsalin uzuulelt'!N$4,negtgel!U119:BL119)+SUMIF(negtgel!U$2:BL$2,'Tsalin uzuulelt'!N$5,negtgel!U119:BL119)</f>
      </c>
      <c r="M119">
        <f>SUMIF(negtgel!U$2:BL$2,'Tsalin uzuulelt'!P$1,negtgel!U119:BL119) + SUMIF(negtgel!U$2:BL$2,'Tsalin uzuulelt'!P$2,negtgel!U119:BL119)+ SUMIF(negtgel!U$2:BL$2,'Tsalin uzuulelt'!P$3,negtgel!U119:BL119)+ SUMIF(negtgel!U$2:BL$2,'Tsalin uzuulelt'!P$4,negtgel!U119:BL119)+ SUMIF(negtgel!U$2:BL$2,'Tsalin uzuulelt'!P$5,negtgel!U119:BL119)</f>
      </c>
      <c r="N119">
        <f>IF(ISNUMBER(U119*1)=CF119,0,K119-H119-G119)</f>
      </c>
      <c r="O119">
        <f>IF(ISNUMBER(U119*1)=CF119,0,L119)</f>
      </c>
      <c r="P119">
        <f>IF(ISNUMBER(U119*1)=CF119,0,M119)</f>
      </c>
      <c r="Q119">
        <f>IF(N119&gt;2400000,N119,0)</f>
      </c>
      <c r="R119">
        <f>IF(L119/Q119*100&lt;3,2,10)</f>
      </c>
      <c r="S119">
        <f>IF(CH119=0,0,IF(B119&gt;9,10,IF(B119&gt;8,B119,IF(B119&gt;7.7,7.8,IF(B119&gt;3,B119,IF(B119&gt;1.5,2))))))</f>
      </c>
      <c r="T119">
        <f>IF(Q119=0,S119,R119)</f>
      </c>
      <c r="U119" t="n">
        <v>85.0</v>
      </c>
      <c r="V119" t="s">
        <v>3837</v>
      </c>
      <c r="W119" t="s">
        <v>3820</v>
      </c>
      <c r="X119" t="n">
        <v>645556.0</v>
      </c>
      <c r="Y119" t="n">
        <v>645556.0</v>
      </c>
      <c r="Z119" t="n">
        <v>96833.0</v>
      </c>
      <c r="AA119" t="n">
        <v>129111.0</v>
      </c>
      <c r="AB119" t="n">
        <v>0.0</v>
      </c>
      <c r="AC119" t="n">
        <v>0.0</v>
      </c>
      <c r="AD119" t="n">
        <v>0.0</v>
      </c>
      <c r="AE119" t="n">
        <v>0.0</v>
      </c>
      <c r="AF119" t="n">
        <v>54000.0</v>
      </c>
      <c r="AG119" t="n">
        <v>0.0</v>
      </c>
      <c r="AH119" t="n">
        <v>0.0</v>
      </c>
      <c r="AI119" t="n">
        <v>0.0</v>
      </c>
      <c r="AJ119" t="n">
        <v>0.0</v>
      </c>
      <c r="AK119" t="n">
        <v>0.0</v>
      </c>
      <c r="AL119" t="n">
        <v>0.0</v>
      </c>
      <c r="AM119" t="n">
        <v>0.0</v>
      </c>
      <c r="AN119" t="n">
        <v>0.0</v>
      </c>
      <c r="AO119" t="n">
        <v>925500.0</v>
      </c>
      <c r="AP119" t="n">
        <v>92550.0</v>
      </c>
      <c r="AQ119" t="n">
        <v>76835.0</v>
      </c>
      <c r="CH119">
        <f>IFERROR(U119*1,0)</f>
      </c>
    </row>
    <row r="120">
      <c r="A120" t="n">
        <v>2.0</v>
      </c>
      <c r="B120">
        <f>IF((K120-G120-H120&gt;2400000),10,(L120/(K120-G120-H120)*100))</f>
      </c>
      <c r="C120">
        <f>IF(N120&gt;2400000,240000,(N120*S120)/100)</f>
      </c>
      <c r="D120">
        <f>IF(S120=0,0,IF((N120-I120)&gt;2400000,((((((N120-I120-J120)-240000))*0.1+(I120+J120)*0.1)))-7000,((((((N120-I120-J120)-(N120-I120-J120)*S120/100)))*0.1+(I120+J120)*0.1)-7000)))</f>
      </c>
      <c r="E120">
        <f>C120-O120</f>
      </c>
      <c r="F120">
        <f>D120-P120</f>
      </c>
      <c r="G120">
        <f>SUMIF(negtgel!U$2:BL$2,'Tsalin uzuulelt'!B$1,negtgel!U120:BL120) + SUMIF(negtgel!U$2:BL$2,'Tsalin uzuulelt'!B$2,negtgel!U120:BL120)+SUMIF(negtgel!U$2:BL$2,'Tsalin uzuulelt'!B$3,negtgel!U120:BL120)+SUMIF(negtgel!U$2:BL$2,'Tsalin uzuulelt'!B$4,negtgel!U120:BL120)+SUMIF(negtgel!U$2:BL$2,'Tsalin uzuulelt'!B$5,negtgel!U120:BL120)</f>
      </c>
      <c r="H120">
        <f>SUMIF(negtgel!U$2:BL$2,'Tsalin uzuulelt'!F$1,negtgel!U120:BL120) + SUMIF(negtgel!U$2:BL$2,'Tsalin uzuulelt'!F$2,negtgel!U120:BL120)+SUMIF(negtgel!U$2:BL$2,'Tsalin uzuulelt'!F$3,negtgel!U120:BL120)+SUMIF(negtgel!U$2:BL$2,'Tsalin uzuulelt'!F$4,negtgel!U120:BL120)+SUMIF(negtgel!U$2:BL$2,'Tsalin uzuulelt'!F$5,negtgel!U120:BL120)</f>
      </c>
      <c r="I120">
        <f>SUMIF(negtgel!U$2:BL$2,'Tsalin uzuulelt'!H$1,negtgel!U120:BL120) + SUMIF(negtgel!U$2:BL$2,'Tsalin uzuulelt'!H$2,negtgel!U120:BL120)+SUMIF(negtgel!U$2:BL$2,'Tsalin uzuulelt'!H$3,negtgel!U120:BL120)+SUMIF(negtgel!U$2:BL$2,'Tsalin uzuulelt'!H$4,negtgel!U120:BL120)+SUMIF(negtgel!U$2:BL$2,'Tsalin uzuulelt'!H$5,negtgel!U120:BL120)</f>
      </c>
      <c r="J120">
        <f>SUMIF(negtgel!U$2:BL$2,'Tsalin uzuulelt'!J$1,negtgel!U120:BL120) + SUMIF(negtgel!U$2:BL$2,'Tsalin uzuulelt'!J$2,negtgel!U120:BL120)+SUMIF(negtgel!U$2:BL$2,'Tsalin uzuulelt'!J$3,negtgel!U120:BL120)+SUMIF(negtgel!U$2:BL$2,'Tsalin uzuulelt'!J$4,negtgel!U120:BL120)+SUMIF(negtgel!U$2:BL$2,'Tsalin uzuulelt'!J$5,negtgel!U120:BL120)</f>
      </c>
      <c r="K120">
        <f>SUMIF(negtgel!U$2:BL$2,'Tsalin uzuulelt'!L$1,negtgel!U120:BL120) + SUMIF(negtgel!U$2:BL$2,'Tsalin uzuulelt'!L$2,negtgel!U120:BL120)+SUMIF(negtgel!U$2:BL$2,'Tsalin uzuulelt'!L$3,negtgel!U120:BL120)+SUMIF(negtgel!U$2:BL$2,'Tsalin uzuulelt'!L$4,negtgel!U120:BL120)+SUMIF(negtgel!U$2:BL$2,'Tsalin uzuulelt'!L$5,negtgel!U120:BL120)</f>
      </c>
      <c r="L120">
        <f>SUMIF(negtgel!U$2:BL$2,'Tsalin uzuulelt'!N$1,negtgel!U120:BL120) + SUMIF(negtgel!U$2:BL$2,'Tsalin uzuulelt'!N$2,negtgel!U120:BL120)+SUMIF(negtgel!U$2:BL$2,'Tsalin uzuulelt'!N$3,negtgel!U120:BL120)+SUMIF(negtgel!U$2:BL$2,'Tsalin uzuulelt'!N$4,negtgel!U120:BL120)+SUMIF(negtgel!U$2:BL$2,'Tsalin uzuulelt'!N$5,negtgel!U120:BL120)</f>
      </c>
      <c r="M120">
        <f>SUMIF(negtgel!U$2:BL$2,'Tsalin uzuulelt'!P$1,negtgel!U120:BL120) + SUMIF(negtgel!U$2:BL$2,'Tsalin uzuulelt'!P$2,negtgel!U120:BL120)+ SUMIF(negtgel!U$2:BL$2,'Tsalin uzuulelt'!P$3,negtgel!U120:BL120)+ SUMIF(negtgel!U$2:BL$2,'Tsalin uzuulelt'!P$4,negtgel!U120:BL120)+ SUMIF(negtgel!U$2:BL$2,'Tsalin uzuulelt'!P$5,negtgel!U120:BL120)</f>
      </c>
      <c r="N120">
        <f>IF(ISNUMBER(U120*1)=CF120,0,K120-H120-G120)</f>
      </c>
      <c r="O120">
        <f>IF(ISNUMBER(U120*1)=CF120,0,L120)</f>
      </c>
      <c r="P120">
        <f>IF(ISNUMBER(U120*1)=CF120,0,M120)</f>
      </c>
      <c r="Q120">
        <f>IF(N120&gt;2400000,N120,0)</f>
      </c>
      <c r="R120">
        <f>IF(L120/Q120*100&lt;3,2,10)</f>
      </c>
      <c r="S120">
        <f>IF(CH120=0,0,IF(B120&gt;9,10,IF(B120&gt;8,B120,IF(B120&gt;7.7,7.8,IF(B120&gt;3,B120,IF(B120&gt;1.5,2))))))</f>
      </c>
      <c r="T120">
        <f>IF(Q120=0,S120,R120)</f>
      </c>
      <c r="U120" t="n">
        <v>86.0</v>
      </c>
      <c r="V120" t="s">
        <v>3838</v>
      </c>
      <c r="W120" t="s">
        <v>3790</v>
      </c>
      <c r="X120" t="n">
        <v>677436.0</v>
      </c>
      <c r="Y120" t="n">
        <v>677436.0</v>
      </c>
      <c r="Z120" t="n">
        <v>169359.0</v>
      </c>
      <c r="AA120" t="n">
        <v>135487.0</v>
      </c>
      <c r="AB120" t="n">
        <v>0.0</v>
      </c>
      <c r="AC120" t="n">
        <v>0.0</v>
      </c>
      <c r="AD120" t="n">
        <v>0.0</v>
      </c>
      <c r="AE120" t="n">
        <v>0.0</v>
      </c>
      <c r="AF120" t="n">
        <v>54000.0</v>
      </c>
      <c r="AG120" t="n">
        <v>0.0</v>
      </c>
      <c r="AH120" t="n">
        <v>0.0</v>
      </c>
      <c r="AI120" t="n">
        <v>0.0</v>
      </c>
      <c r="AJ120" t="n">
        <v>0.0</v>
      </c>
      <c r="AK120" t="n">
        <v>0.0</v>
      </c>
      <c r="AL120" t="n">
        <v>0.0</v>
      </c>
      <c r="AM120" t="n">
        <v>0.0</v>
      </c>
      <c r="AN120" t="n">
        <v>0.0</v>
      </c>
      <c r="AO120" t="n">
        <v>1036282.0</v>
      </c>
      <c r="AP120" t="n">
        <v>103629.0</v>
      </c>
      <c r="AQ120" t="n">
        <v>86805.4</v>
      </c>
      <c r="CH120">
        <f>IFERROR(U120*1,0)</f>
      </c>
    </row>
    <row r="121">
      <c r="A121" t="n">
        <v>2.0</v>
      </c>
      <c r="B121">
        <f>IF((K121-G121-H121&gt;2400000),10,(L121/(K121-G121-H121)*100))</f>
      </c>
      <c r="C121">
        <f>IF(N121&gt;2400000,240000,(N121*S121)/100)</f>
      </c>
      <c r="D121">
        <f>IF(S121=0,0,IF((N121-I121)&gt;2400000,((((((N121-I121-J121)-240000))*0.1+(I121+J121)*0.1)))-7000,((((((N121-I121-J121)-(N121-I121-J121)*S121/100)))*0.1+(I121+J121)*0.1)-7000)))</f>
      </c>
      <c r="E121">
        <f>C121-O121</f>
      </c>
      <c r="F121">
        <f>D121-P121</f>
      </c>
      <c r="G121">
        <f>SUMIF(negtgel!U$2:BL$2,'Tsalin uzuulelt'!B$1,negtgel!U121:BL121) + SUMIF(negtgel!U$2:BL$2,'Tsalin uzuulelt'!B$2,negtgel!U121:BL121)+SUMIF(negtgel!U$2:BL$2,'Tsalin uzuulelt'!B$3,negtgel!U121:BL121)+SUMIF(negtgel!U$2:BL$2,'Tsalin uzuulelt'!B$4,negtgel!U121:BL121)+SUMIF(negtgel!U$2:BL$2,'Tsalin uzuulelt'!B$5,negtgel!U121:BL121)</f>
      </c>
      <c r="H121">
        <f>SUMIF(negtgel!U$2:BL$2,'Tsalin uzuulelt'!F$1,negtgel!U121:BL121) + SUMIF(negtgel!U$2:BL$2,'Tsalin uzuulelt'!F$2,negtgel!U121:BL121)+SUMIF(negtgel!U$2:BL$2,'Tsalin uzuulelt'!F$3,negtgel!U121:BL121)+SUMIF(negtgel!U$2:BL$2,'Tsalin uzuulelt'!F$4,negtgel!U121:BL121)+SUMIF(negtgel!U$2:BL$2,'Tsalin uzuulelt'!F$5,negtgel!U121:BL121)</f>
      </c>
      <c r="I121">
        <f>SUMIF(negtgel!U$2:BL$2,'Tsalin uzuulelt'!H$1,negtgel!U121:BL121) + SUMIF(negtgel!U$2:BL$2,'Tsalin uzuulelt'!H$2,negtgel!U121:BL121)+SUMIF(negtgel!U$2:BL$2,'Tsalin uzuulelt'!H$3,negtgel!U121:BL121)+SUMIF(negtgel!U$2:BL$2,'Tsalin uzuulelt'!H$4,negtgel!U121:BL121)+SUMIF(negtgel!U$2:BL$2,'Tsalin uzuulelt'!H$5,negtgel!U121:BL121)</f>
      </c>
      <c r="J121">
        <f>SUMIF(negtgel!U$2:BL$2,'Tsalin uzuulelt'!J$1,negtgel!U121:BL121) + SUMIF(negtgel!U$2:BL$2,'Tsalin uzuulelt'!J$2,negtgel!U121:BL121)+SUMIF(negtgel!U$2:BL$2,'Tsalin uzuulelt'!J$3,negtgel!U121:BL121)+SUMIF(negtgel!U$2:BL$2,'Tsalin uzuulelt'!J$4,negtgel!U121:BL121)+SUMIF(negtgel!U$2:BL$2,'Tsalin uzuulelt'!J$5,negtgel!U121:BL121)</f>
      </c>
      <c r="K121">
        <f>SUMIF(negtgel!U$2:BL$2,'Tsalin uzuulelt'!L$1,negtgel!U121:BL121) + SUMIF(negtgel!U$2:BL$2,'Tsalin uzuulelt'!L$2,negtgel!U121:BL121)+SUMIF(negtgel!U$2:BL$2,'Tsalin uzuulelt'!L$3,negtgel!U121:BL121)+SUMIF(negtgel!U$2:BL$2,'Tsalin uzuulelt'!L$4,negtgel!U121:BL121)+SUMIF(negtgel!U$2:BL$2,'Tsalin uzuulelt'!L$5,negtgel!U121:BL121)</f>
      </c>
      <c r="L121">
        <f>SUMIF(negtgel!U$2:BL$2,'Tsalin uzuulelt'!N$1,negtgel!U121:BL121) + SUMIF(negtgel!U$2:BL$2,'Tsalin uzuulelt'!N$2,negtgel!U121:BL121)+SUMIF(negtgel!U$2:BL$2,'Tsalin uzuulelt'!N$3,negtgel!U121:BL121)+SUMIF(negtgel!U$2:BL$2,'Tsalin uzuulelt'!N$4,negtgel!U121:BL121)+SUMIF(negtgel!U$2:BL$2,'Tsalin uzuulelt'!N$5,negtgel!U121:BL121)</f>
      </c>
      <c r="M121">
        <f>SUMIF(negtgel!U$2:BL$2,'Tsalin uzuulelt'!P$1,negtgel!U121:BL121) + SUMIF(negtgel!U$2:BL$2,'Tsalin uzuulelt'!P$2,negtgel!U121:BL121)+ SUMIF(negtgel!U$2:BL$2,'Tsalin uzuulelt'!P$3,negtgel!U121:BL121)+ SUMIF(negtgel!U$2:BL$2,'Tsalin uzuulelt'!P$4,negtgel!U121:BL121)+ SUMIF(negtgel!U$2:BL$2,'Tsalin uzuulelt'!P$5,negtgel!U121:BL121)</f>
      </c>
      <c r="N121">
        <f>IF(ISNUMBER(U121*1)=CF121,0,K121-H121-G121)</f>
      </c>
      <c r="O121">
        <f>IF(ISNUMBER(U121*1)=CF121,0,L121)</f>
      </c>
      <c r="P121">
        <f>IF(ISNUMBER(U121*1)=CF121,0,M121)</f>
      </c>
      <c r="Q121">
        <f>IF(N121&gt;2400000,N121,0)</f>
      </c>
      <c r="R121">
        <f>IF(L121/Q121*100&lt;3,2,10)</f>
      </c>
      <c r="S121">
        <f>IF(CH121=0,0,IF(B121&gt;9,10,IF(B121&gt;8,B121,IF(B121&gt;7.7,7.8,IF(B121&gt;3,B121,IF(B121&gt;1.5,2))))))</f>
      </c>
      <c r="T121">
        <f>IF(Q121=0,S121,R121)</f>
      </c>
      <c r="U121" t="n">
        <v>87.0</v>
      </c>
      <c r="V121" t="s">
        <v>3839</v>
      </c>
      <c r="W121" t="s">
        <v>3790</v>
      </c>
      <c r="X121" t="n">
        <v>677436.0</v>
      </c>
      <c r="Y121" t="n">
        <v>677436.0</v>
      </c>
      <c r="Z121" t="n">
        <v>135487.0</v>
      </c>
      <c r="AA121" t="n">
        <v>149036.0</v>
      </c>
      <c r="AB121" t="n">
        <v>0.0</v>
      </c>
      <c r="AC121" t="n">
        <v>0.0</v>
      </c>
      <c r="AD121" t="n">
        <v>0.0</v>
      </c>
      <c r="AE121" t="n">
        <v>0.0</v>
      </c>
      <c r="AF121" t="n">
        <v>54000.0</v>
      </c>
      <c r="AG121" t="n">
        <v>0.0</v>
      </c>
      <c r="AH121" t="n">
        <v>0.0</v>
      </c>
      <c r="AI121" t="n">
        <v>0.0</v>
      </c>
      <c r="AJ121" t="n">
        <v>0.0</v>
      </c>
      <c r="AK121" t="n">
        <v>0.0</v>
      </c>
      <c r="AL121" t="n">
        <v>0.0</v>
      </c>
      <c r="AM121" t="n">
        <v>0.0</v>
      </c>
      <c r="AN121" t="n">
        <v>0.0</v>
      </c>
      <c r="AO121" t="n">
        <v>1015959.0</v>
      </c>
      <c r="AP121" t="n">
        <v>101596.0</v>
      </c>
      <c r="AQ121" t="n">
        <v>84976.3</v>
      </c>
      <c r="CH121">
        <f>IFERROR(U121*1,0)</f>
      </c>
    </row>
    <row r="122">
      <c r="A122" t="n">
        <v>2.0</v>
      </c>
      <c r="B122">
        <f>IF((K122-G122-H122&gt;2400000),10,(L122/(K122-G122-H122)*100))</f>
      </c>
      <c r="C122">
        <f>IF(N122&gt;2400000,240000,(N122*S122)/100)</f>
      </c>
      <c r="D122">
        <f>IF(S122=0,0,IF((N122-I122)&gt;2400000,((((((N122-I122-J122)-240000))*0.1+(I122+J122)*0.1)))-7000,((((((N122-I122-J122)-(N122-I122-J122)*S122/100)))*0.1+(I122+J122)*0.1)-7000)))</f>
      </c>
      <c r="E122">
        <f>C122-O122</f>
      </c>
      <c r="F122">
        <f>D122-P122</f>
      </c>
      <c r="G122">
        <f>SUMIF(negtgel!U$2:BL$2,'Tsalin uzuulelt'!B$1,negtgel!U122:BL122) + SUMIF(negtgel!U$2:BL$2,'Tsalin uzuulelt'!B$2,negtgel!U122:BL122)+SUMIF(negtgel!U$2:BL$2,'Tsalin uzuulelt'!B$3,negtgel!U122:BL122)+SUMIF(negtgel!U$2:BL$2,'Tsalin uzuulelt'!B$4,negtgel!U122:BL122)+SUMIF(negtgel!U$2:BL$2,'Tsalin uzuulelt'!B$5,negtgel!U122:BL122)</f>
      </c>
      <c r="H122">
        <f>SUMIF(negtgel!U$2:BL$2,'Tsalin uzuulelt'!F$1,negtgel!U122:BL122) + SUMIF(negtgel!U$2:BL$2,'Tsalin uzuulelt'!F$2,negtgel!U122:BL122)+SUMIF(negtgel!U$2:BL$2,'Tsalin uzuulelt'!F$3,negtgel!U122:BL122)+SUMIF(negtgel!U$2:BL$2,'Tsalin uzuulelt'!F$4,negtgel!U122:BL122)+SUMIF(negtgel!U$2:BL$2,'Tsalin uzuulelt'!F$5,negtgel!U122:BL122)</f>
      </c>
      <c r="I122">
        <f>SUMIF(negtgel!U$2:BL$2,'Tsalin uzuulelt'!H$1,negtgel!U122:BL122) + SUMIF(negtgel!U$2:BL$2,'Tsalin uzuulelt'!H$2,negtgel!U122:BL122)+SUMIF(negtgel!U$2:BL$2,'Tsalin uzuulelt'!H$3,negtgel!U122:BL122)+SUMIF(negtgel!U$2:BL$2,'Tsalin uzuulelt'!H$4,negtgel!U122:BL122)+SUMIF(negtgel!U$2:BL$2,'Tsalin uzuulelt'!H$5,negtgel!U122:BL122)</f>
      </c>
      <c r="J122">
        <f>SUMIF(negtgel!U$2:BL$2,'Tsalin uzuulelt'!J$1,negtgel!U122:BL122) + SUMIF(negtgel!U$2:BL$2,'Tsalin uzuulelt'!J$2,negtgel!U122:BL122)+SUMIF(negtgel!U$2:BL$2,'Tsalin uzuulelt'!J$3,negtgel!U122:BL122)+SUMIF(negtgel!U$2:BL$2,'Tsalin uzuulelt'!J$4,negtgel!U122:BL122)+SUMIF(negtgel!U$2:BL$2,'Tsalin uzuulelt'!J$5,negtgel!U122:BL122)</f>
      </c>
      <c r="K122">
        <f>SUMIF(negtgel!U$2:BL$2,'Tsalin uzuulelt'!L$1,negtgel!U122:BL122) + SUMIF(negtgel!U$2:BL$2,'Tsalin uzuulelt'!L$2,negtgel!U122:BL122)+SUMIF(negtgel!U$2:BL$2,'Tsalin uzuulelt'!L$3,negtgel!U122:BL122)+SUMIF(negtgel!U$2:BL$2,'Tsalin uzuulelt'!L$4,negtgel!U122:BL122)+SUMIF(negtgel!U$2:BL$2,'Tsalin uzuulelt'!L$5,negtgel!U122:BL122)</f>
      </c>
      <c r="L122">
        <f>SUMIF(negtgel!U$2:BL$2,'Tsalin uzuulelt'!N$1,negtgel!U122:BL122) + SUMIF(negtgel!U$2:BL$2,'Tsalin uzuulelt'!N$2,negtgel!U122:BL122)+SUMIF(negtgel!U$2:BL$2,'Tsalin uzuulelt'!N$3,negtgel!U122:BL122)+SUMIF(negtgel!U$2:BL$2,'Tsalin uzuulelt'!N$4,negtgel!U122:BL122)+SUMIF(negtgel!U$2:BL$2,'Tsalin uzuulelt'!N$5,negtgel!U122:BL122)</f>
      </c>
      <c r="M122">
        <f>SUMIF(negtgel!U$2:BL$2,'Tsalin uzuulelt'!P$1,negtgel!U122:BL122) + SUMIF(negtgel!U$2:BL$2,'Tsalin uzuulelt'!P$2,negtgel!U122:BL122)+ SUMIF(negtgel!U$2:BL$2,'Tsalin uzuulelt'!P$3,negtgel!U122:BL122)+ SUMIF(negtgel!U$2:BL$2,'Tsalin uzuulelt'!P$4,negtgel!U122:BL122)+ SUMIF(negtgel!U$2:BL$2,'Tsalin uzuulelt'!P$5,negtgel!U122:BL122)</f>
      </c>
      <c r="N122">
        <f>IF(ISNUMBER(U122*1)=CF122,0,K122-H122-G122)</f>
      </c>
      <c r="O122">
        <f>IF(ISNUMBER(U122*1)=CF122,0,L122)</f>
      </c>
      <c r="P122">
        <f>IF(ISNUMBER(U122*1)=CF122,0,M122)</f>
      </c>
      <c r="Q122">
        <f>IF(N122&gt;2400000,N122,0)</f>
      </c>
      <c r="R122">
        <f>IF(L122/Q122*100&lt;3,2,10)</f>
      </c>
      <c r="S122">
        <f>IF(CH122=0,0,IF(B122&gt;9,10,IF(B122&gt;8,B122,IF(B122&gt;7.7,7.8,IF(B122&gt;3,B122,IF(B122&gt;1.5,2))))))</f>
      </c>
      <c r="T122">
        <f>IF(Q122=0,S122,R122)</f>
      </c>
      <c r="U122" t="n">
        <v>88.0</v>
      </c>
      <c r="V122" t="s">
        <v>3840</v>
      </c>
      <c r="W122" t="s">
        <v>3820</v>
      </c>
      <c r="X122" t="n">
        <v>677436.0</v>
      </c>
      <c r="Y122" t="n">
        <v>677436.0</v>
      </c>
      <c r="Z122" t="n">
        <v>135487.0</v>
      </c>
      <c r="AA122" t="n">
        <v>135487.0</v>
      </c>
      <c r="AB122" t="n">
        <v>33872.0</v>
      </c>
      <c r="AC122" t="n">
        <v>0.0</v>
      </c>
      <c r="AD122" t="n">
        <v>0.0</v>
      </c>
      <c r="AE122" t="n">
        <v>0.0</v>
      </c>
      <c r="AF122" t="n">
        <v>54000.0</v>
      </c>
      <c r="AG122" t="n">
        <v>0.0</v>
      </c>
      <c r="AH122" t="n">
        <v>0.0</v>
      </c>
      <c r="AI122" t="n">
        <v>0.0</v>
      </c>
      <c r="AJ122" t="n">
        <v>0.0</v>
      </c>
      <c r="AK122" t="n">
        <v>0.0</v>
      </c>
      <c r="AL122" t="n">
        <v>0.0</v>
      </c>
      <c r="AM122" t="n">
        <v>0.0</v>
      </c>
      <c r="AN122" t="n">
        <v>0.0</v>
      </c>
      <c r="AO122" t="n">
        <v>1036282.0</v>
      </c>
      <c r="AP122" t="n">
        <v>103629.0</v>
      </c>
      <c r="AQ122" t="n">
        <v>86805.4</v>
      </c>
      <c r="CH122">
        <f>IFERROR(U122*1,0)</f>
      </c>
    </row>
    <row r="123">
      <c r="A123" t="n">
        <v>2.0</v>
      </c>
      <c r="B123">
        <f>IF((K123-G123-H123&gt;2400000),10,(L123/(K123-G123-H123)*100))</f>
      </c>
      <c r="C123">
        <f>IF(N123&gt;2400000,240000,(N123*S123)/100)</f>
      </c>
      <c r="D123">
        <f>IF(S123=0,0,IF((N123-I123)&gt;2400000,((((((N123-I123-J123)-240000))*0.1+(I123+J123)*0.1)))-7000,((((((N123-I123-J123)-(N123-I123-J123)*S123/100)))*0.1+(I123+J123)*0.1)-7000)))</f>
      </c>
      <c r="E123">
        <f>C123-O123</f>
      </c>
      <c r="F123">
        <f>D123-P123</f>
      </c>
      <c r="G123">
        <f>SUMIF(negtgel!U$2:BL$2,'Tsalin uzuulelt'!B$1,negtgel!U123:BL123) + SUMIF(negtgel!U$2:BL$2,'Tsalin uzuulelt'!B$2,negtgel!U123:BL123)+SUMIF(negtgel!U$2:BL$2,'Tsalin uzuulelt'!B$3,negtgel!U123:BL123)+SUMIF(negtgel!U$2:BL$2,'Tsalin uzuulelt'!B$4,negtgel!U123:BL123)+SUMIF(negtgel!U$2:BL$2,'Tsalin uzuulelt'!B$5,negtgel!U123:BL123)</f>
      </c>
      <c r="H123">
        <f>SUMIF(negtgel!U$2:BL$2,'Tsalin uzuulelt'!F$1,negtgel!U123:BL123) + SUMIF(negtgel!U$2:BL$2,'Tsalin uzuulelt'!F$2,negtgel!U123:BL123)+SUMIF(negtgel!U$2:BL$2,'Tsalin uzuulelt'!F$3,negtgel!U123:BL123)+SUMIF(negtgel!U$2:BL$2,'Tsalin uzuulelt'!F$4,negtgel!U123:BL123)+SUMIF(negtgel!U$2:BL$2,'Tsalin uzuulelt'!F$5,negtgel!U123:BL123)</f>
      </c>
      <c r="I123">
        <f>SUMIF(negtgel!U$2:BL$2,'Tsalin uzuulelt'!H$1,negtgel!U123:BL123) + SUMIF(negtgel!U$2:BL$2,'Tsalin uzuulelt'!H$2,negtgel!U123:BL123)+SUMIF(negtgel!U$2:BL$2,'Tsalin uzuulelt'!H$3,negtgel!U123:BL123)+SUMIF(negtgel!U$2:BL$2,'Tsalin uzuulelt'!H$4,negtgel!U123:BL123)+SUMIF(negtgel!U$2:BL$2,'Tsalin uzuulelt'!H$5,negtgel!U123:BL123)</f>
      </c>
      <c r="J123">
        <f>SUMIF(negtgel!U$2:BL$2,'Tsalin uzuulelt'!J$1,negtgel!U123:BL123) + SUMIF(negtgel!U$2:BL$2,'Tsalin uzuulelt'!J$2,negtgel!U123:BL123)+SUMIF(negtgel!U$2:BL$2,'Tsalin uzuulelt'!J$3,negtgel!U123:BL123)+SUMIF(negtgel!U$2:BL$2,'Tsalin uzuulelt'!J$4,negtgel!U123:BL123)+SUMIF(negtgel!U$2:BL$2,'Tsalin uzuulelt'!J$5,negtgel!U123:BL123)</f>
      </c>
      <c r="K123">
        <f>SUMIF(negtgel!U$2:BL$2,'Tsalin uzuulelt'!L$1,negtgel!U123:BL123) + SUMIF(negtgel!U$2:BL$2,'Tsalin uzuulelt'!L$2,negtgel!U123:BL123)+SUMIF(negtgel!U$2:BL$2,'Tsalin uzuulelt'!L$3,negtgel!U123:BL123)+SUMIF(negtgel!U$2:BL$2,'Tsalin uzuulelt'!L$4,negtgel!U123:BL123)+SUMIF(negtgel!U$2:BL$2,'Tsalin uzuulelt'!L$5,negtgel!U123:BL123)</f>
      </c>
      <c r="L123">
        <f>SUMIF(negtgel!U$2:BL$2,'Tsalin uzuulelt'!N$1,negtgel!U123:BL123) + SUMIF(negtgel!U$2:BL$2,'Tsalin uzuulelt'!N$2,negtgel!U123:BL123)+SUMIF(negtgel!U$2:BL$2,'Tsalin uzuulelt'!N$3,negtgel!U123:BL123)+SUMIF(negtgel!U$2:BL$2,'Tsalin uzuulelt'!N$4,negtgel!U123:BL123)+SUMIF(negtgel!U$2:BL$2,'Tsalin uzuulelt'!N$5,negtgel!U123:BL123)</f>
      </c>
      <c r="M123">
        <f>SUMIF(negtgel!U$2:BL$2,'Tsalin uzuulelt'!P$1,negtgel!U123:BL123) + SUMIF(negtgel!U$2:BL$2,'Tsalin uzuulelt'!P$2,negtgel!U123:BL123)+ SUMIF(negtgel!U$2:BL$2,'Tsalin uzuulelt'!P$3,negtgel!U123:BL123)+ SUMIF(negtgel!U$2:BL$2,'Tsalin uzuulelt'!P$4,negtgel!U123:BL123)+ SUMIF(negtgel!U$2:BL$2,'Tsalin uzuulelt'!P$5,negtgel!U123:BL123)</f>
      </c>
      <c r="N123">
        <f>IF(ISNUMBER(U123*1)=CF123,0,K123-H123-G123)</f>
      </c>
      <c r="O123">
        <f>IF(ISNUMBER(U123*1)=CF123,0,L123)</f>
      </c>
      <c r="P123">
        <f>IF(ISNUMBER(U123*1)=CF123,0,M123)</f>
      </c>
      <c r="Q123">
        <f>IF(N123&gt;2400000,N123,0)</f>
      </c>
      <c r="R123">
        <f>IF(L123/Q123*100&lt;3,2,10)</f>
      </c>
      <c r="S123">
        <f>IF(CH123=0,0,IF(B123&gt;9,10,IF(B123&gt;8,B123,IF(B123&gt;7.7,7.8,IF(B123&gt;3,B123,IF(B123&gt;1.5,2))))))</f>
      </c>
      <c r="T123">
        <f>IF(Q123=0,S123,R123)</f>
      </c>
      <c r="U123" t="n">
        <v>89.0</v>
      </c>
      <c r="V123" t="s">
        <v>3841</v>
      </c>
      <c r="W123" t="s">
        <v>3790</v>
      </c>
      <c r="X123" t="n">
        <v>613669.0</v>
      </c>
      <c r="Y123" t="n">
        <v>613669.0</v>
      </c>
      <c r="Z123" t="n">
        <v>30683.0</v>
      </c>
      <c r="AA123" t="n">
        <v>110460.0</v>
      </c>
      <c r="AB123" t="n">
        <v>0.0</v>
      </c>
      <c r="AC123" t="n">
        <v>0.0</v>
      </c>
      <c r="AD123" t="n">
        <v>0.0</v>
      </c>
      <c r="AE123" t="n">
        <v>0.0</v>
      </c>
      <c r="AF123" t="n">
        <v>54000.0</v>
      </c>
      <c r="AG123" t="n">
        <v>0.0</v>
      </c>
      <c r="AH123" t="n">
        <v>0.0</v>
      </c>
      <c r="AI123" t="n">
        <v>0.0</v>
      </c>
      <c r="AJ123" t="n">
        <v>0.0</v>
      </c>
      <c r="AK123" t="n">
        <v>0.0</v>
      </c>
      <c r="AL123" t="n">
        <v>0.0</v>
      </c>
      <c r="AM123" t="n">
        <v>0.0</v>
      </c>
      <c r="AN123" t="n">
        <v>0.0</v>
      </c>
      <c r="AO123" t="n">
        <v>808812.0</v>
      </c>
      <c r="AP123" t="n">
        <v>80881.0</v>
      </c>
      <c r="AQ123" t="n">
        <v>66333.1</v>
      </c>
      <c r="CH123">
        <f>IFERROR(U123*1,0)</f>
      </c>
    </row>
    <row r="124">
      <c r="A124" t="n">
        <v>2.0</v>
      </c>
      <c r="B124">
        <f>IF((K124-G124-H124&gt;2400000),10,(L124/(K124-G124-H124)*100))</f>
      </c>
      <c r="C124">
        <f>IF(N124&gt;2400000,240000,(N124*S124)/100)</f>
      </c>
      <c r="D124">
        <f>IF(S124=0,0,IF((N124-I124)&gt;2400000,((((((N124-I124-J124)-240000))*0.1+(I124+J124)*0.1)))-7000,((((((N124-I124-J124)-(N124-I124-J124)*S124/100)))*0.1+(I124+J124)*0.1)-7000)))</f>
      </c>
      <c r="E124">
        <f>C124-O124</f>
      </c>
      <c r="F124">
        <f>D124-P124</f>
      </c>
      <c r="G124">
        <f>SUMIF(negtgel!U$2:BL$2,'Tsalin uzuulelt'!B$1,negtgel!U124:BL124) + SUMIF(negtgel!U$2:BL$2,'Tsalin uzuulelt'!B$2,negtgel!U124:BL124)+SUMIF(negtgel!U$2:BL$2,'Tsalin uzuulelt'!B$3,negtgel!U124:BL124)+SUMIF(negtgel!U$2:BL$2,'Tsalin uzuulelt'!B$4,negtgel!U124:BL124)+SUMIF(negtgel!U$2:BL$2,'Tsalin uzuulelt'!B$5,negtgel!U124:BL124)</f>
      </c>
      <c r="H124">
        <f>SUMIF(negtgel!U$2:BL$2,'Tsalin uzuulelt'!F$1,negtgel!U124:BL124) + SUMIF(negtgel!U$2:BL$2,'Tsalin uzuulelt'!F$2,negtgel!U124:BL124)+SUMIF(negtgel!U$2:BL$2,'Tsalin uzuulelt'!F$3,negtgel!U124:BL124)+SUMIF(negtgel!U$2:BL$2,'Tsalin uzuulelt'!F$4,negtgel!U124:BL124)+SUMIF(negtgel!U$2:BL$2,'Tsalin uzuulelt'!F$5,negtgel!U124:BL124)</f>
      </c>
      <c r="I124">
        <f>SUMIF(negtgel!U$2:BL$2,'Tsalin uzuulelt'!H$1,negtgel!U124:BL124) + SUMIF(negtgel!U$2:BL$2,'Tsalin uzuulelt'!H$2,negtgel!U124:BL124)+SUMIF(negtgel!U$2:BL$2,'Tsalin uzuulelt'!H$3,negtgel!U124:BL124)+SUMIF(negtgel!U$2:BL$2,'Tsalin uzuulelt'!H$4,negtgel!U124:BL124)+SUMIF(negtgel!U$2:BL$2,'Tsalin uzuulelt'!H$5,negtgel!U124:BL124)</f>
      </c>
      <c r="J124">
        <f>SUMIF(negtgel!U$2:BL$2,'Tsalin uzuulelt'!J$1,negtgel!U124:BL124) + SUMIF(negtgel!U$2:BL$2,'Tsalin uzuulelt'!J$2,negtgel!U124:BL124)+SUMIF(negtgel!U$2:BL$2,'Tsalin uzuulelt'!J$3,negtgel!U124:BL124)+SUMIF(negtgel!U$2:BL$2,'Tsalin uzuulelt'!J$4,negtgel!U124:BL124)+SUMIF(negtgel!U$2:BL$2,'Tsalin uzuulelt'!J$5,negtgel!U124:BL124)</f>
      </c>
      <c r="K124">
        <f>SUMIF(negtgel!U$2:BL$2,'Tsalin uzuulelt'!L$1,negtgel!U124:BL124) + SUMIF(negtgel!U$2:BL$2,'Tsalin uzuulelt'!L$2,negtgel!U124:BL124)+SUMIF(negtgel!U$2:BL$2,'Tsalin uzuulelt'!L$3,negtgel!U124:BL124)+SUMIF(negtgel!U$2:BL$2,'Tsalin uzuulelt'!L$4,negtgel!U124:BL124)+SUMIF(negtgel!U$2:BL$2,'Tsalin uzuulelt'!L$5,negtgel!U124:BL124)</f>
      </c>
      <c r="L124">
        <f>SUMIF(negtgel!U$2:BL$2,'Tsalin uzuulelt'!N$1,negtgel!U124:BL124) + SUMIF(negtgel!U$2:BL$2,'Tsalin uzuulelt'!N$2,negtgel!U124:BL124)+SUMIF(negtgel!U$2:BL$2,'Tsalin uzuulelt'!N$3,negtgel!U124:BL124)+SUMIF(negtgel!U$2:BL$2,'Tsalin uzuulelt'!N$4,negtgel!U124:BL124)+SUMIF(negtgel!U$2:BL$2,'Tsalin uzuulelt'!N$5,negtgel!U124:BL124)</f>
      </c>
      <c r="M124">
        <f>SUMIF(negtgel!U$2:BL$2,'Tsalin uzuulelt'!P$1,negtgel!U124:BL124) + SUMIF(negtgel!U$2:BL$2,'Tsalin uzuulelt'!P$2,negtgel!U124:BL124)+ SUMIF(negtgel!U$2:BL$2,'Tsalin uzuulelt'!P$3,negtgel!U124:BL124)+ SUMIF(negtgel!U$2:BL$2,'Tsalin uzuulelt'!P$4,negtgel!U124:BL124)+ SUMIF(negtgel!U$2:BL$2,'Tsalin uzuulelt'!P$5,negtgel!U124:BL124)</f>
      </c>
      <c r="N124">
        <f>IF(ISNUMBER(U124*1)=CF124,0,K124-H124-G124)</f>
      </c>
      <c r="O124">
        <f>IF(ISNUMBER(U124*1)=CF124,0,L124)</f>
      </c>
      <c r="P124">
        <f>IF(ISNUMBER(U124*1)=CF124,0,M124)</f>
      </c>
      <c r="Q124">
        <f>IF(N124&gt;2400000,N124,0)</f>
      </c>
      <c r="R124">
        <f>IF(L124/Q124*100&lt;3,2,10)</f>
      </c>
      <c r="S124">
        <f>IF(CH124=0,0,IF(B124&gt;9,10,IF(B124&gt;8,B124,IF(B124&gt;7.7,7.8,IF(B124&gt;3,B124,IF(B124&gt;1.5,2))))))</f>
      </c>
      <c r="T124">
        <f>IF(Q124=0,S124,R124)</f>
      </c>
      <c r="U124" t="n">
        <v>90.0</v>
      </c>
      <c r="V124" t="s">
        <v>3842</v>
      </c>
      <c r="W124" t="s">
        <v>3790</v>
      </c>
      <c r="X124" t="n">
        <v>645556.0</v>
      </c>
      <c r="Y124" t="n">
        <v>645556.0</v>
      </c>
      <c r="Z124" t="n">
        <v>109745.0</v>
      </c>
      <c r="AA124" t="n">
        <v>64556.0</v>
      </c>
      <c r="AB124" t="n">
        <v>0.0</v>
      </c>
      <c r="AC124" t="n">
        <v>0.0</v>
      </c>
      <c r="AD124" t="n">
        <v>0.0</v>
      </c>
      <c r="AE124" t="n">
        <v>0.0</v>
      </c>
      <c r="AF124" t="n">
        <v>54000.0</v>
      </c>
      <c r="AG124" t="n">
        <v>0.0</v>
      </c>
      <c r="AH124" t="n">
        <v>0.0</v>
      </c>
      <c r="AI124" t="n">
        <v>0.0</v>
      </c>
      <c r="AJ124" t="n">
        <v>0.0</v>
      </c>
      <c r="AK124" t="n">
        <v>0.0</v>
      </c>
      <c r="AL124" t="n">
        <v>0.0</v>
      </c>
      <c r="AM124" t="n">
        <v>0.0</v>
      </c>
      <c r="AN124" t="n">
        <v>0.0</v>
      </c>
      <c r="AO124" t="n">
        <v>873857.0</v>
      </c>
      <c r="AP124" t="n">
        <v>87386.0</v>
      </c>
      <c r="AQ124" t="n">
        <v>72187.1</v>
      </c>
      <c r="CH124">
        <f>IFERROR(U124*1,0)</f>
      </c>
    </row>
    <row r="125">
      <c r="A125" t="n">
        <v>2.0</v>
      </c>
      <c r="B125">
        <f>IF((K125-G125-H125&gt;2400000),10,(L125/(K125-G125-H125)*100))</f>
      </c>
      <c r="C125">
        <f>IF(N125&gt;2400000,240000,(N125*S125)/100)</f>
      </c>
      <c r="D125">
        <f>IF(S125=0,0,IF((N125-I125)&gt;2400000,((((((N125-I125-J125)-240000))*0.1+(I125+J125)*0.1)))-7000,((((((N125-I125-J125)-(N125-I125-J125)*S125/100)))*0.1+(I125+J125)*0.1)-7000)))</f>
      </c>
      <c r="E125">
        <f>C125-O125</f>
      </c>
      <c r="F125">
        <f>D125-P125</f>
      </c>
      <c r="G125">
        <f>SUMIF(negtgel!U$2:BL$2,'Tsalin uzuulelt'!B$1,negtgel!U125:BL125) + SUMIF(negtgel!U$2:BL$2,'Tsalin uzuulelt'!B$2,negtgel!U125:BL125)+SUMIF(negtgel!U$2:BL$2,'Tsalin uzuulelt'!B$3,negtgel!U125:BL125)+SUMIF(negtgel!U$2:BL$2,'Tsalin uzuulelt'!B$4,negtgel!U125:BL125)+SUMIF(negtgel!U$2:BL$2,'Tsalin uzuulelt'!B$5,negtgel!U125:BL125)</f>
      </c>
      <c r="H125">
        <f>SUMIF(negtgel!U$2:BL$2,'Tsalin uzuulelt'!F$1,negtgel!U125:BL125) + SUMIF(negtgel!U$2:BL$2,'Tsalin uzuulelt'!F$2,negtgel!U125:BL125)+SUMIF(negtgel!U$2:BL$2,'Tsalin uzuulelt'!F$3,negtgel!U125:BL125)+SUMIF(negtgel!U$2:BL$2,'Tsalin uzuulelt'!F$4,negtgel!U125:BL125)+SUMIF(negtgel!U$2:BL$2,'Tsalin uzuulelt'!F$5,negtgel!U125:BL125)</f>
      </c>
      <c r="I125">
        <f>SUMIF(negtgel!U$2:BL$2,'Tsalin uzuulelt'!H$1,negtgel!U125:BL125) + SUMIF(negtgel!U$2:BL$2,'Tsalin uzuulelt'!H$2,negtgel!U125:BL125)+SUMIF(negtgel!U$2:BL$2,'Tsalin uzuulelt'!H$3,negtgel!U125:BL125)+SUMIF(negtgel!U$2:BL$2,'Tsalin uzuulelt'!H$4,negtgel!U125:BL125)+SUMIF(negtgel!U$2:BL$2,'Tsalin uzuulelt'!H$5,negtgel!U125:BL125)</f>
      </c>
      <c r="J125">
        <f>SUMIF(negtgel!U$2:BL$2,'Tsalin uzuulelt'!J$1,negtgel!U125:BL125) + SUMIF(negtgel!U$2:BL$2,'Tsalin uzuulelt'!J$2,negtgel!U125:BL125)+SUMIF(negtgel!U$2:BL$2,'Tsalin uzuulelt'!J$3,negtgel!U125:BL125)+SUMIF(negtgel!U$2:BL$2,'Tsalin uzuulelt'!J$4,negtgel!U125:BL125)+SUMIF(negtgel!U$2:BL$2,'Tsalin uzuulelt'!J$5,negtgel!U125:BL125)</f>
      </c>
      <c r="K125">
        <f>SUMIF(negtgel!U$2:BL$2,'Tsalin uzuulelt'!L$1,negtgel!U125:BL125) + SUMIF(negtgel!U$2:BL$2,'Tsalin uzuulelt'!L$2,negtgel!U125:BL125)+SUMIF(negtgel!U$2:BL$2,'Tsalin uzuulelt'!L$3,negtgel!U125:BL125)+SUMIF(negtgel!U$2:BL$2,'Tsalin uzuulelt'!L$4,negtgel!U125:BL125)+SUMIF(negtgel!U$2:BL$2,'Tsalin uzuulelt'!L$5,negtgel!U125:BL125)</f>
      </c>
      <c r="L125">
        <f>SUMIF(negtgel!U$2:BL$2,'Tsalin uzuulelt'!N$1,negtgel!U125:BL125) + SUMIF(negtgel!U$2:BL$2,'Tsalin uzuulelt'!N$2,negtgel!U125:BL125)+SUMIF(negtgel!U$2:BL$2,'Tsalin uzuulelt'!N$3,negtgel!U125:BL125)+SUMIF(negtgel!U$2:BL$2,'Tsalin uzuulelt'!N$4,negtgel!U125:BL125)+SUMIF(negtgel!U$2:BL$2,'Tsalin uzuulelt'!N$5,negtgel!U125:BL125)</f>
      </c>
      <c r="M125">
        <f>SUMIF(negtgel!U$2:BL$2,'Tsalin uzuulelt'!P$1,negtgel!U125:BL125) + SUMIF(negtgel!U$2:BL$2,'Tsalin uzuulelt'!P$2,negtgel!U125:BL125)+ SUMIF(negtgel!U$2:BL$2,'Tsalin uzuulelt'!P$3,negtgel!U125:BL125)+ SUMIF(negtgel!U$2:BL$2,'Tsalin uzuulelt'!P$4,negtgel!U125:BL125)+ SUMIF(negtgel!U$2:BL$2,'Tsalin uzuulelt'!P$5,negtgel!U125:BL125)</f>
      </c>
      <c r="N125">
        <f>IF(ISNUMBER(U125*1)=CF125,0,K125-H125-G125)</f>
      </c>
      <c r="O125">
        <f>IF(ISNUMBER(U125*1)=CF125,0,L125)</f>
      </c>
      <c r="P125">
        <f>IF(ISNUMBER(U125*1)=CF125,0,M125)</f>
      </c>
      <c r="Q125">
        <f>IF(N125&gt;2400000,N125,0)</f>
      </c>
      <c r="R125">
        <f>IF(L125/Q125*100&lt;3,2,10)</f>
      </c>
      <c r="S125">
        <f>IF(CH125=0,0,IF(B125&gt;9,10,IF(B125&gt;8,B125,IF(B125&gt;7.7,7.8,IF(B125&gt;3,B125,IF(B125&gt;1.5,2))))))</f>
      </c>
      <c r="T125">
        <f>IF(Q125=0,S125,R125)</f>
      </c>
      <c r="U125" t="n">
        <v>91.0</v>
      </c>
      <c r="V125" t="s">
        <v>3843</v>
      </c>
      <c r="W125" t="s">
        <v>3820</v>
      </c>
      <c r="X125" t="n">
        <v>698795.0</v>
      </c>
      <c r="Y125" t="n">
        <v>698795.0</v>
      </c>
      <c r="Z125" t="n">
        <v>139759.0</v>
      </c>
      <c r="AA125" t="n">
        <v>125783.0</v>
      </c>
      <c r="AB125" t="n">
        <v>0.0</v>
      </c>
      <c r="AC125" t="n">
        <v>0.0</v>
      </c>
      <c r="AD125" t="n">
        <v>0.0</v>
      </c>
      <c r="AE125" t="n">
        <v>0.0</v>
      </c>
      <c r="AF125" t="n">
        <v>54000.0</v>
      </c>
      <c r="AG125" t="n">
        <v>0.0</v>
      </c>
      <c r="AH125" t="n">
        <v>0.0</v>
      </c>
      <c r="AI125" t="n">
        <v>0.0</v>
      </c>
      <c r="AJ125" t="n">
        <v>0.0</v>
      </c>
      <c r="AK125" t="n">
        <v>0.0</v>
      </c>
      <c r="AL125" t="n">
        <v>0.0</v>
      </c>
      <c r="AM125" t="n">
        <v>0.0</v>
      </c>
      <c r="AN125" t="n">
        <v>0.0</v>
      </c>
      <c r="AO125" t="n">
        <v>1018337.0</v>
      </c>
      <c r="AP125" t="n">
        <v>101835.0</v>
      </c>
      <c r="AQ125" t="n">
        <v>85190.3</v>
      </c>
      <c r="CH125">
        <f>IFERROR(U125*1,0)</f>
      </c>
    </row>
    <row r="126">
      <c r="A126" t="n">
        <v>2.0</v>
      </c>
      <c r="B126">
        <f>IF((K126-G126-H126&gt;2400000),10,(L126/(K126-G126-H126)*100))</f>
      </c>
      <c r="C126">
        <f>IF(N126&gt;2400000,240000,(N126*S126)/100)</f>
      </c>
      <c r="D126">
        <f>IF(S126=0,0,IF((N126-I126)&gt;2400000,((((((N126-I126-J126)-240000))*0.1+(I126+J126)*0.1)))-7000,((((((N126-I126-J126)-(N126-I126-J126)*S126/100)))*0.1+(I126+J126)*0.1)-7000)))</f>
      </c>
      <c r="E126">
        <f>C126-O126</f>
      </c>
      <c r="F126">
        <f>D126-P126</f>
      </c>
      <c r="G126">
        <f>SUMIF(negtgel!U$2:BL$2,'Tsalin uzuulelt'!B$1,negtgel!U126:BL126) + SUMIF(negtgel!U$2:BL$2,'Tsalin uzuulelt'!B$2,negtgel!U126:BL126)+SUMIF(negtgel!U$2:BL$2,'Tsalin uzuulelt'!B$3,negtgel!U126:BL126)+SUMIF(negtgel!U$2:BL$2,'Tsalin uzuulelt'!B$4,negtgel!U126:BL126)+SUMIF(negtgel!U$2:BL$2,'Tsalin uzuulelt'!B$5,negtgel!U126:BL126)</f>
      </c>
      <c r="H126">
        <f>SUMIF(negtgel!U$2:BL$2,'Tsalin uzuulelt'!F$1,negtgel!U126:BL126) + SUMIF(negtgel!U$2:BL$2,'Tsalin uzuulelt'!F$2,negtgel!U126:BL126)+SUMIF(negtgel!U$2:BL$2,'Tsalin uzuulelt'!F$3,negtgel!U126:BL126)+SUMIF(negtgel!U$2:BL$2,'Tsalin uzuulelt'!F$4,negtgel!U126:BL126)+SUMIF(negtgel!U$2:BL$2,'Tsalin uzuulelt'!F$5,negtgel!U126:BL126)</f>
      </c>
      <c r="I126">
        <f>SUMIF(negtgel!U$2:BL$2,'Tsalin uzuulelt'!H$1,negtgel!U126:BL126) + SUMIF(negtgel!U$2:BL$2,'Tsalin uzuulelt'!H$2,negtgel!U126:BL126)+SUMIF(negtgel!U$2:BL$2,'Tsalin uzuulelt'!H$3,negtgel!U126:BL126)+SUMIF(negtgel!U$2:BL$2,'Tsalin uzuulelt'!H$4,negtgel!U126:BL126)+SUMIF(negtgel!U$2:BL$2,'Tsalin uzuulelt'!H$5,negtgel!U126:BL126)</f>
      </c>
      <c r="J126">
        <f>SUMIF(negtgel!U$2:BL$2,'Tsalin uzuulelt'!J$1,negtgel!U126:BL126) + SUMIF(negtgel!U$2:BL$2,'Tsalin uzuulelt'!J$2,negtgel!U126:BL126)+SUMIF(negtgel!U$2:BL$2,'Tsalin uzuulelt'!J$3,negtgel!U126:BL126)+SUMIF(negtgel!U$2:BL$2,'Tsalin uzuulelt'!J$4,negtgel!U126:BL126)+SUMIF(negtgel!U$2:BL$2,'Tsalin uzuulelt'!J$5,negtgel!U126:BL126)</f>
      </c>
      <c r="K126">
        <f>SUMIF(negtgel!U$2:BL$2,'Tsalin uzuulelt'!L$1,negtgel!U126:BL126) + SUMIF(negtgel!U$2:BL$2,'Tsalin uzuulelt'!L$2,negtgel!U126:BL126)+SUMIF(negtgel!U$2:BL$2,'Tsalin uzuulelt'!L$3,negtgel!U126:BL126)+SUMIF(negtgel!U$2:BL$2,'Tsalin uzuulelt'!L$4,negtgel!U126:BL126)+SUMIF(negtgel!U$2:BL$2,'Tsalin uzuulelt'!L$5,negtgel!U126:BL126)</f>
      </c>
      <c r="L126">
        <f>SUMIF(negtgel!U$2:BL$2,'Tsalin uzuulelt'!N$1,negtgel!U126:BL126) + SUMIF(negtgel!U$2:BL$2,'Tsalin uzuulelt'!N$2,negtgel!U126:BL126)+SUMIF(negtgel!U$2:BL$2,'Tsalin uzuulelt'!N$3,negtgel!U126:BL126)+SUMIF(negtgel!U$2:BL$2,'Tsalin uzuulelt'!N$4,negtgel!U126:BL126)+SUMIF(negtgel!U$2:BL$2,'Tsalin uzuulelt'!N$5,negtgel!U126:BL126)</f>
      </c>
      <c r="M126">
        <f>SUMIF(negtgel!U$2:BL$2,'Tsalin uzuulelt'!P$1,negtgel!U126:BL126) + SUMIF(negtgel!U$2:BL$2,'Tsalin uzuulelt'!P$2,negtgel!U126:BL126)+ SUMIF(negtgel!U$2:BL$2,'Tsalin uzuulelt'!P$3,negtgel!U126:BL126)+ SUMIF(negtgel!U$2:BL$2,'Tsalin uzuulelt'!P$4,negtgel!U126:BL126)+ SUMIF(negtgel!U$2:BL$2,'Tsalin uzuulelt'!P$5,negtgel!U126:BL126)</f>
      </c>
      <c r="N126">
        <f>IF(ISNUMBER(U126*1)=CF126,0,K126-H126-G126)</f>
      </c>
      <c r="O126">
        <f>IF(ISNUMBER(U126*1)=CF126,0,L126)</f>
      </c>
      <c r="P126">
        <f>IF(ISNUMBER(U126*1)=CF126,0,M126)</f>
      </c>
      <c r="Q126">
        <f>IF(N126&gt;2400000,N126,0)</f>
      </c>
      <c r="R126">
        <f>IF(L126/Q126*100&lt;3,2,10)</f>
      </c>
      <c r="S126">
        <f>IF(CH126=0,0,IF(B126&gt;9,10,IF(B126&gt;8,B126,IF(B126&gt;7.7,7.8,IF(B126&gt;3,B126,IF(B126&gt;1.5,2))))))</f>
      </c>
      <c r="T126">
        <f>IF(Q126=0,S126,R126)</f>
      </c>
      <c r="U126" t="n">
        <v>92.0</v>
      </c>
      <c r="V126" t="s">
        <v>3853</v>
      </c>
      <c r="W126" t="s">
        <v>3790</v>
      </c>
      <c r="X126" t="n">
        <v>613669.0</v>
      </c>
      <c r="Y126" t="n">
        <v>340927.0</v>
      </c>
      <c r="Z126" t="n">
        <v>17046.0</v>
      </c>
      <c r="AA126" t="n">
        <v>51139.0</v>
      </c>
      <c r="AB126" t="n">
        <v>0.0</v>
      </c>
      <c r="AC126" t="n">
        <v>0.0</v>
      </c>
      <c r="AD126" t="n">
        <v>0.0</v>
      </c>
      <c r="AE126" t="n">
        <v>0.0</v>
      </c>
      <c r="AF126" t="n">
        <v>30000.0</v>
      </c>
      <c r="AG126" t="n">
        <v>0.0</v>
      </c>
      <c r="AH126" t="n">
        <v>0.0</v>
      </c>
      <c r="AI126" t="n">
        <v>0.0</v>
      </c>
      <c r="AJ126" t="n">
        <v>0.0</v>
      </c>
      <c r="AK126" t="n">
        <v>0.0</v>
      </c>
      <c r="AL126" t="n">
        <v>142745.0</v>
      </c>
      <c r="AM126" t="n">
        <v>0.0</v>
      </c>
      <c r="AN126" t="n">
        <v>0.0</v>
      </c>
      <c r="AO126" t="n">
        <v>581857.0</v>
      </c>
      <c r="AP126" t="n">
        <v>43911.0</v>
      </c>
      <c r="AQ126" t="n">
        <v>32820.1</v>
      </c>
      <c r="CH126">
        <f>IFERROR(U126*1,0)</f>
      </c>
    </row>
    <row r="127">
      <c r="A127" t="n">
        <v>2.0</v>
      </c>
      <c r="B127">
        <f>IF((K127-G127-H127&gt;2400000),10,(L127/(K127-G127-H127)*100))</f>
      </c>
      <c r="C127">
        <f>IF(N127&gt;2400000,240000,(N127*S127)/100)</f>
      </c>
      <c r="D127">
        <f>IF(S127=0,0,IF((N127-I127)&gt;2400000,((((((N127-I127-J127)-240000))*0.1+(I127+J127)*0.1)))-7000,((((((N127-I127-J127)-(N127-I127-J127)*S127/100)))*0.1+(I127+J127)*0.1)-7000)))</f>
      </c>
      <c r="E127">
        <f>C127-O127</f>
      </c>
      <c r="F127">
        <f>D127-P127</f>
      </c>
      <c r="G127">
        <f>SUMIF(negtgel!U$2:BL$2,'Tsalin uzuulelt'!B$1,negtgel!U127:BL127) + SUMIF(negtgel!U$2:BL$2,'Tsalin uzuulelt'!B$2,negtgel!U127:BL127)+SUMIF(negtgel!U$2:BL$2,'Tsalin uzuulelt'!B$3,negtgel!U127:BL127)+SUMIF(negtgel!U$2:BL$2,'Tsalin uzuulelt'!B$4,negtgel!U127:BL127)+SUMIF(negtgel!U$2:BL$2,'Tsalin uzuulelt'!B$5,negtgel!U127:BL127)</f>
      </c>
      <c r="H127">
        <f>SUMIF(negtgel!U$2:BL$2,'Tsalin uzuulelt'!F$1,negtgel!U127:BL127) + SUMIF(negtgel!U$2:BL$2,'Tsalin uzuulelt'!F$2,negtgel!U127:BL127)+SUMIF(negtgel!U$2:BL$2,'Tsalin uzuulelt'!F$3,negtgel!U127:BL127)+SUMIF(negtgel!U$2:BL$2,'Tsalin uzuulelt'!F$4,negtgel!U127:BL127)+SUMIF(negtgel!U$2:BL$2,'Tsalin uzuulelt'!F$5,negtgel!U127:BL127)</f>
      </c>
      <c r="I127">
        <f>SUMIF(negtgel!U$2:BL$2,'Tsalin uzuulelt'!H$1,negtgel!U127:BL127) + SUMIF(negtgel!U$2:BL$2,'Tsalin uzuulelt'!H$2,negtgel!U127:BL127)+SUMIF(negtgel!U$2:BL$2,'Tsalin uzuulelt'!H$3,negtgel!U127:BL127)+SUMIF(negtgel!U$2:BL$2,'Tsalin uzuulelt'!H$4,negtgel!U127:BL127)+SUMIF(negtgel!U$2:BL$2,'Tsalin uzuulelt'!H$5,negtgel!U127:BL127)</f>
      </c>
      <c r="J127">
        <f>SUMIF(negtgel!U$2:BL$2,'Tsalin uzuulelt'!J$1,negtgel!U127:BL127) + SUMIF(negtgel!U$2:BL$2,'Tsalin uzuulelt'!J$2,negtgel!U127:BL127)+SUMIF(negtgel!U$2:BL$2,'Tsalin uzuulelt'!J$3,negtgel!U127:BL127)+SUMIF(negtgel!U$2:BL$2,'Tsalin uzuulelt'!J$4,negtgel!U127:BL127)+SUMIF(negtgel!U$2:BL$2,'Tsalin uzuulelt'!J$5,negtgel!U127:BL127)</f>
      </c>
      <c r="K127">
        <f>SUMIF(negtgel!U$2:BL$2,'Tsalin uzuulelt'!L$1,negtgel!U127:BL127) + SUMIF(negtgel!U$2:BL$2,'Tsalin uzuulelt'!L$2,negtgel!U127:BL127)+SUMIF(negtgel!U$2:BL$2,'Tsalin uzuulelt'!L$3,negtgel!U127:BL127)+SUMIF(negtgel!U$2:BL$2,'Tsalin uzuulelt'!L$4,negtgel!U127:BL127)+SUMIF(negtgel!U$2:BL$2,'Tsalin uzuulelt'!L$5,negtgel!U127:BL127)</f>
      </c>
      <c r="L127">
        <f>SUMIF(negtgel!U$2:BL$2,'Tsalin uzuulelt'!N$1,negtgel!U127:BL127) + SUMIF(negtgel!U$2:BL$2,'Tsalin uzuulelt'!N$2,negtgel!U127:BL127)+SUMIF(negtgel!U$2:BL$2,'Tsalin uzuulelt'!N$3,negtgel!U127:BL127)+SUMIF(negtgel!U$2:BL$2,'Tsalin uzuulelt'!N$4,negtgel!U127:BL127)+SUMIF(negtgel!U$2:BL$2,'Tsalin uzuulelt'!N$5,negtgel!U127:BL127)</f>
      </c>
      <c r="M127">
        <f>SUMIF(negtgel!U$2:BL$2,'Tsalin uzuulelt'!P$1,negtgel!U127:BL127) + SUMIF(negtgel!U$2:BL$2,'Tsalin uzuulelt'!P$2,negtgel!U127:BL127)+ SUMIF(negtgel!U$2:BL$2,'Tsalin uzuulelt'!P$3,negtgel!U127:BL127)+ SUMIF(negtgel!U$2:BL$2,'Tsalin uzuulelt'!P$4,negtgel!U127:BL127)+ SUMIF(negtgel!U$2:BL$2,'Tsalin uzuulelt'!P$5,negtgel!U127:BL127)</f>
      </c>
      <c r="N127">
        <f>IF(ISNUMBER(U127*1)=CF127,0,K127-H127-G127)</f>
      </c>
      <c r="O127">
        <f>IF(ISNUMBER(U127*1)=CF127,0,L127)</f>
      </c>
      <c r="P127">
        <f>IF(ISNUMBER(U127*1)=CF127,0,M127)</f>
      </c>
      <c r="Q127">
        <f>IF(N127&gt;2400000,N127,0)</f>
      </c>
      <c r="R127">
        <f>IF(L127/Q127*100&lt;3,2,10)</f>
      </c>
      <c r="S127">
        <f>IF(CH127=0,0,IF(B127&gt;9,10,IF(B127&gt;8,B127,IF(B127&gt;7.7,7.8,IF(B127&gt;3,B127,IF(B127&gt;1.5,2))))))</f>
      </c>
      <c r="T127">
        <f>IF(Q127=0,S127,R127)</f>
      </c>
      <c r="U127" t="n">
        <v>93.0</v>
      </c>
      <c r="V127" t="s">
        <v>3854</v>
      </c>
      <c r="W127" t="s">
        <v>3785</v>
      </c>
      <c r="X127" t="n">
        <v>795935.0</v>
      </c>
      <c r="Y127" t="n">
        <v>795935.0</v>
      </c>
      <c r="Z127" t="n">
        <v>159187.0</v>
      </c>
      <c r="AA127" t="n">
        <v>175106.0</v>
      </c>
      <c r="AB127" t="n">
        <v>0.0</v>
      </c>
      <c r="AC127" t="n">
        <v>0.0</v>
      </c>
      <c r="AD127" t="n">
        <v>0.0</v>
      </c>
      <c r="AE127" t="n">
        <v>0.0</v>
      </c>
      <c r="AF127" t="n">
        <v>54000.0</v>
      </c>
      <c r="AG127" t="n">
        <v>0.0</v>
      </c>
      <c r="AH127" t="n">
        <v>0.0</v>
      </c>
      <c r="AI127" t="n">
        <v>0.0</v>
      </c>
      <c r="AJ127" t="n">
        <v>0.0</v>
      </c>
      <c r="AK127" t="n">
        <v>0.0</v>
      </c>
      <c r="AL127" t="n">
        <v>0.0</v>
      </c>
      <c r="AM127" t="n">
        <v>0.0</v>
      </c>
      <c r="AN127" t="n">
        <v>0.0</v>
      </c>
      <c r="AO127" t="n">
        <v>1184228.0</v>
      </c>
      <c r="AP127" t="n">
        <v>118423.0</v>
      </c>
      <c r="AQ127" t="n">
        <v>100120.5</v>
      </c>
      <c r="CH127">
        <f>IFERROR(U127*1,0)</f>
      </c>
    </row>
    <row r="128">
      <c r="A128" t="n">
        <v>2.0</v>
      </c>
      <c r="B128">
        <f>IF((K128-G128-H128&gt;2400000),10,(L128/(K128-G128-H128)*100))</f>
      </c>
      <c r="C128">
        <f>IF(N128&gt;2400000,240000,(N128*S128)/100)</f>
      </c>
      <c r="D128">
        <f>IF(S128=0,0,IF((N128-I128)&gt;2400000,((((((N128-I128-J128)-240000))*0.1+(I128+J128)*0.1)))-7000,((((((N128-I128-J128)-(N128-I128-J128)*S128/100)))*0.1+(I128+J128)*0.1)-7000)))</f>
      </c>
      <c r="E128">
        <f>C128-O128</f>
      </c>
      <c r="F128">
        <f>D128-P128</f>
      </c>
      <c r="G128">
        <f>SUMIF(negtgel!U$2:BL$2,'Tsalin uzuulelt'!B$1,negtgel!U128:BL128) + SUMIF(negtgel!U$2:BL$2,'Tsalin uzuulelt'!B$2,negtgel!U128:BL128)+SUMIF(negtgel!U$2:BL$2,'Tsalin uzuulelt'!B$3,negtgel!U128:BL128)+SUMIF(negtgel!U$2:BL$2,'Tsalin uzuulelt'!B$4,negtgel!U128:BL128)+SUMIF(negtgel!U$2:BL$2,'Tsalin uzuulelt'!B$5,negtgel!U128:BL128)</f>
      </c>
      <c r="H128">
        <f>SUMIF(negtgel!U$2:BL$2,'Tsalin uzuulelt'!F$1,negtgel!U128:BL128) + SUMIF(negtgel!U$2:BL$2,'Tsalin uzuulelt'!F$2,negtgel!U128:BL128)+SUMIF(negtgel!U$2:BL$2,'Tsalin uzuulelt'!F$3,negtgel!U128:BL128)+SUMIF(negtgel!U$2:BL$2,'Tsalin uzuulelt'!F$4,negtgel!U128:BL128)+SUMIF(negtgel!U$2:BL$2,'Tsalin uzuulelt'!F$5,negtgel!U128:BL128)</f>
      </c>
      <c r="I128">
        <f>SUMIF(negtgel!U$2:BL$2,'Tsalin uzuulelt'!H$1,negtgel!U128:BL128) + SUMIF(negtgel!U$2:BL$2,'Tsalin uzuulelt'!H$2,negtgel!U128:BL128)+SUMIF(negtgel!U$2:BL$2,'Tsalin uzuulelt'!H$3,negtgel!U128:BL128)+SUMIF(negtgel!U$2:BL$2,'Tsalin uzuulelt'!H$4,negtgel!U128:BL128)+SUMIF(negtgel!U$2:BL$2,'Tsalin uzuulelt'!H$5,negtgel!U128:BL128)</f>
      </c>
      <c r="J128">
        <f>SUMIF(negtgel!U$2:BL$2,'Tsalin uzuulelt'!J$1,negtgel!U128:BL128) + SUMIF(negtgel!U$2:BL$2,'Tsalin uzuulelt'!J$2,negtgel!U128:BL128)+SUMIF(negtgel!U$2:BL$2,'Tsalin uzuulelt'!J$3,negtgel!U128:BL128)+SUMIF(negtgel!U$2:BL$2,'Tsalin uzuulelt'!J$4,negtgel!U128:BL128)+SUMIF(negtgel!U$2:BL$2,'Tsalin uzuulelt'!J$5,negtgel!U128:BL128)</f>
      </c>
      <c r="K128">
        <f>SUMIF(negtgel!U$2:BL$2,'Tsalin uzuulelt'!L$1,negtgel!U128:BL128) + SUMIF(negtgel!U$2:BL$2,'Tsalin uzuulelt'!L$2,negtgel!U128:BL128)+SUMIF(negtgel!U$2:BL$2,'Tsalin uzuulelt'!L$3,negtgel!U128:BL128)+SUMIF(negtgel!U$2:BL$2,'Tsalin uzuulelt'!L$4,negtgel!U128:BL128)+SUMIF(negtgel!U$2:BL$2,'Tsalin uzuulelt'!L$5,negtgel!U128:BL128)</f>
      </c>
      <c r="L128">
        <f>SUMIF(negtgel!U$2:BL$2,'Tsalin uzuulelt'!N$1,negtgel!U128:BL128) + SUMIF(negtgel!U$2:BL$2,'Tsalin uzuulelt'!N$2,negtgel!U128:BL128)+SUMIF(negtgel!U$2:BL$2,'Tsalin uzuulelt'!N$3,negtgel!U128:BL128)+SUMIF(negtgel!U$2:BL$2,'Tsalin uzuulelt'!N$4,negtgel!U128:BL128)+SUMIF(negtgel!U$2:BL$2,'Tsalin uzuulelt'!N$5,negtgel!U128:BL128)</f>
      </c>
      <c r="M128">
        <f>SUMIF(negtgel!U$2:BL$2,'Tsalin uzuulelt'!P$1,negtgel!U128:BL128) + SUMIF(negtgel!U$2:BL$2,'Tsalin uzuulelt'!P$2,negtgel!U128:BL128)+ SUMIF(negtgel!U$2:BL$2,'Tsalin uzuulelt'!P$3,negtgel!U128:BL128)+ SUMIF(negtgel!U$2:BL$2,'Tsalin uzuulelt'!P$4,negtgel!U128:BL128)+ SUMIF(negtgel!U$2:BL$2,'Tsalin uzuulelt'!P$5,negtgel!U128:BL128)</f>
      </c>
      <c r="N128">
        <f>IF(ISNUMBER(U128*1)=CF128,0,K128-H128-G128)</f>
      </c>
      <c r="O128">
        <f>IF(ISNUMBER(U128*1)=CF128,0,L128)</f>
      </c>
      <c r="P128">
        <f>IF(ISNUMBER(U128*1)=CF128,0,M128)</f>
      </c>
      <c r="Q128">
        <f>IF(N128&gt;2400000,N128,0)</f>
      </c>
      <c r="R128">
        <f>IF(L128/Q128*100&lt;3,2,10)</f>
      </c>
      <c r="S128">
        <f>IF(CH128=0,0,IF(B128&gt;9,10,IF(B128&gt;8,B128,IF(B128&gt;7.7,7.8,IF(B128&gt;3,B128,IF(B128&gt;1.5,2))))))</f>
      </c>
      <c r="T128">
        <f>IF(Q128=0,S128,R128)</f>
      </c>
      <c r="U128" t="n">
        <v>94.0</v>
      </c>
      <c r="V128" t="s">
        <v>3855</v>
      </c>
      <c r="W128" t="s">
        <v>3790</v>
      </c>
      <c r="X128" t="n">
        <v>580710.0</v>
      </c>
      <c r="Y128" t="n">
        <v>580710.0</v>
      </c>
      <c r="Z128" t="n">
        <v>0.0</v>
      </c>
      <c r="AA128" t="n">
        <v>0.0</v>
      </c>
      <c r="AB128" t="n">
        <v>0.0</v>
      </c>
      <c r="AC128" t="n">
        <v>0.0</v>
      </c>
      <c r="AD128" t="n">
        <v>0.0</v>
      </c>
      <c r="AE128" t="n">
        <v>0.0</v>
      </c>
      <c r="AF128" t="n">
        <v>54000.0</v>
      </c>
      <c r="AG128" t="n">
        <v>0.0</v>
      </c>
      <c r="AH128" t="n">
        <v>0.0</v>
      </c>
      <c r="AI128" t="n">
        <v>0.0</v>
      </c>
      <c r="AJ128" t="n">
        <v>0.0</v>
      </c>
      <c r="AK128" t="n">
        <v>0.0</v>
      </c>
      <c r="AL128" t="n">
        <v>0.0</v>
      </c>
      <c r="AM128" t="n">
        <v>0.0</v>
      </c>
      <c r="AN128" t="n">
        <v>0.0</v>
      </c>
      <c r="AO128" t="n">
        <v>634710.0</v>
      </c>
      <c r="AP128" t="n">
        <v>63471.0</v>
      </c>
      <c r="AQ128" t="n">
        <v>50663.9</v>
      </c>
      <c r="CH128">
        <f>IFERROR(U128*1,0)</f>
      </c>
    </row>
    <row r="129">
      <c r="A129" t="n">
        <v>2.0</v>
      </c>
      <c r="B129">
        <f>IF((K129-G129-H129&gt;2400000),10,(L129/(K129-G129-H129)*100))</f>
      </c>
      <c r="C129">
        <f>IF(N129&gt;2400000,240000,(N129*S129)/100)</f>
      </c>
      <c r="D129">
        <f>IF(S129=0,0,IF((N129-I129)&gt;2400000,((((((N129-I129-J129)-240000))*0.1+(I129+J129)*0.1)))-7000,((((((N129-I129-J129)-(N129-I129-J129)*S129/100)))*0.1+(I129+J129)*0.1)-7000)))</f>
      </c>
      <c r="E129">
        <f>C129-O129</f>
      </c>
      <c r="F129">
        <f>D129-P129</f>
      </c>
      <c r="G129">
        <f>SUMIF(negtgel!U$2:BL$2,'Tsalin uzuulelt'!B$1,negtgel!U129:BL129) + SUMIF(negtgel!U$2:BL$2,'Tsalin uzuulelt'!B$2,negtgel!U129:BL129)+SUMIF(negtgel!U$2:BL$2,'Tsalin uzuulelt'!B$3,negtgel!U129:BL129)+SUMIF(negtgel!U$2:BL$2,'Tsalin uzuulelt'!B$4,negtgel!U129:BL129)+SUMIF(negtgel!U$2:BL$2,'Tsalin uzuulelt'!B$5,negtgel!U129:BL129)</f>
      </c>
      <c r="H129">
        <f>SUMIF(negtgel!U$2:BL$2,'Tsalin uzuulelt'!F$1,negtgel!U129:BL129) + SUMIF(negtgel!U$2:BL$2,'Tsalin uzuulelt'!F$2,negtgel!U129:BL129)+SUMIF(negtgel!U$2:BL$2,'Tsalin uzuulelt'!F$3,negtgel!U129:BL129)+SUMIF(negtgel!U$2:BL$2,'Tsalin uzuulelt'!F$4,negtgel!U129:BL129)+SUMIF(negtgel!U$2:BL$2,'Tsalin uzuulelt'!F$5,negtgel!U129:BL129)</f>
      </c>
      <c r="I129">
        <f>SUMIF(negtgel!U$2:BL$2,'Tsalin uzuulelt'!H$1,negtgel!U129:BL129) + SUMIF(negtgel!U$2:BL$2,'Tsalin uzuulelt'!H$2,negtgel!U129:BL129)+SUMIF(negtgel!U$2:BL$2,'Tsalin uzuulelt'!H$3,negtgel!U129:BL129)+SUMIF(negtgel!U$2:BL$2,'Tsalin uzuulelt'!H$4,negtgel!U129:BL129)+SUMIF(negtgel!U$2:BL$2,'Tsalin uzuulelt'!H$5,negtgel!U129:BL129)</f>
      </c>
      <c r="J129">
        <f>SUMIF(negtgel!U$2:BL$2,'Tsalin uzuulelt'!J$1,negtgel!U129:BL129) + SUMIF(negtgel!U$2:BL$2,'Tsalin uzuulelt'!J$2,negtgel!U129:BL129)+SUMIF(negtgel!U$2:BL$2,'Tsalin uzuulelt'!J$3,negtgel!U129:BL129)+SUMIF(negtgel!U$2:BL$2,'Tsalin uzuulelt'!J$4,negtgel!U129:BL129)+SUMIF(negtgel!U$2:BL$2,'Tsalin uzuulelt'!J$5,negtgel!U129:BL129)</f>
      </c>
      <c r="K129">
        <f>SUMIF(negtgel!U$2:BL$2,'Tsalin uzuulelt'!L$1,negtgel!U129:BL129) + SUMIF(negtgel!U$2:BL$2,'Tsalin uzuulelt'!L$2,negtgel!U129:BL129)+SUMIF(negtgel!U$2:BL$2,'Tsalin uzuulelt'!L$3,negtgel!U129:BL129)+SUMIF(negtgel!U$2:BL$2,'Tsalin uzuulelt'!L$4,negtgel!U129:BL129)+SUMIF(negtgel!U$2:BL$2,'Tsalin uzuulelt'!L$5,negtgel!U129:BL129)</f>
      </c>
      <c r="L129">
        <f>SUMIF(negtgel!U$2:BL$2,'Tsalin uzuulelt'!N$1,negtgel!U129:BL129) + SUMIF(negtgel!U$2:BL$2,'Tsalin uzuulelt'!N$2,negtgel!U129:BL129)+SUMIF(negtgel!U$2:BL$2,'Tsalin uzuulelt'!N$3,negtgel!U129:BL129)+SUMIF(negtgel!U$2:BL$2,'Tsalin uzuulelt'!N$4,negtgel!U129:BL129)+SUMIF(negtgel!U$2:BL$2,'Tsalin uzuulelt'!N$5,negtgel!U129:BL129)</f>
      </c>
      <c r="M129">
        <f>SUMIF(negtgel!U$2:BL$2,'Tsalin uzuulelt'!P$1,negtgel!U129:BL129) + SUMIF(negtgel!U$2:BL$2,'Tsalin uzuulelt'!P$2,negtgel!U129:BL129)+ SUMIF(negtgel!U$2:BL$2,'Tsalin uzuulelt'!P$3,negtgel!U129:BL129)+ SUMIF(negtgel!U$2:BL$2,'Tsalin uzuulelt'!P$4,negtgel!U129:BL129)+ SUMIF(negtgel!U$2:BL$2,'Tsalin uzuulelt'!P$5,negtgel!U129:BL129)</f>
      </c>
      <c r="N129">
        <f>IF(ISNUMBER(U129*1)=CF129,0,K129-H129-G129)</f>
      </c>
      <c r="O129">
        <f>IF(ISNUMBER(U129*1)=CF129,0,L129)</f>
      </c>
      <c r="P129">
        <f>IF(ISNUMBER(U129*1)=CF129,0,M129)</f>
      </c>
      <c r="Q129">
        <f>IF(N129&gt;2400000,N129,0)</f>
      </c>
      <c r="R129">
        <f>IF(L129/Q129*100&lt;3,2,10)</f>
      </c>
      <c r="S129">
        <f>IF(CH129=0,0,IF(B129&gt;9,10,IF(B129&gt;8,B129,IF(B129&gt;7.7,7.8,IF(B129&gt;3,B129,IF(B129&gt;1.5,2))))))</f>
      </c>
      <c r="T129">
        <f>IF(Q129=0,S129,R129)</f>
      </c>
      <c r="U129" t="n">
        <v>95.0</v>
      </c>
      <c r="V129" t="s">
        <v>3856</v>
      </c>
      <c r="W129" t="s">
        <v>3820</v>
      </c>
      <c r="X129" t="n">
        <v>613669.0</v>
      </c>
      <c r="Y129" t="n">
        <v>613669.0</v>
      </c>
      <c r="Z129" t="n">
        <v>61367.0</v>
      </c>
      <c r="AA129" t="n">
        <v>104324.0</v>
      </c>
      <c r="AB129" t="n">
        <v>0.0</v>
      </c>
      <c r="AC129" t="n">
        <v>0.0</v>
      </c>
      <c r="AD129" t="n">
        <v>0.0</v>
      </c>
      <c r="AE129" t="n">
        <v>0.0</v>
      </c>
      <c r="AF129" t="n">
        <v>54000.0</v>
      </c>
      <c r="AG129" t="n">
        <v>0.0</v>
      </c>
      <c r="AH129" t="n">
        <v>0.0</v>
      </c>
      <c r="AI129" t="n">
        <v>0.0</v>
      </c>
      <c r="AJ129" t="n">
        <v>0.0</v>
      </c>
      <c r="AK129" t="n">
        <v>0.0</v>
      </c>
      <c r="AL129" t="n">
        <v>0.0</v>
      </c>
      <c r="AM129" t="n">
        <v>0.0</v>
      </c>
      <c r="AN129" t="n">
        <v>0.0</v>
      </c>
      <c r="AO129" t="n">
        <v>833360.0</v>
      </c>
      <c r="AP129" t="n">
        <v>83336.0</v>
      </c>
      <c r="AQ129" t="n">
        <v>68542.4</v>
      </c>
      <c r="CH129">
        <f>IFERROR(U129*1,0)</f>
      </c>
    </row>
    <row r="130">
      <c r="A130" t="n">
        <v>2.0</v>
      </c>
      <c r="B130">
        <f>IF((K130-G130-H130&gt;2400000),10,(L130/(K130-G130-H130)*100))</f>
      </c>
      <c r="C130">
        <f>IF(N130&gt;2400000,240000,(N130*S130)/100)</f>
      </c>
      <c r="D130">
        <f>IF(S130=0,0,IF((N130-I130)&gt;2400000,((((((N130-I130-J130)-240000))*0.1+(I130+J130)*0.1)))-7000,((((((N130-I130-J130)-(N130-I130-J130)*S130/100)))*0.1+(I130+J130)*0.1)-7000)))</f>
      </c>
      <c r="E130">
        <f>C130-O130</f>
      </c>
      <c r="F130">
        <f>D130-P130</f>
      </c>
      <c r="G130">
        <f>SUMIF(negtgel!U$2:BL$2,'Tsalin uzuulelt'!B$1,negtgel!U130:BL130) + SUMIF(negtgel!U$2:BL$2,'Tsalin uzuulelt'!B$2,negtgel!U130:BL130)+SUMIF(negtgel!U$2:BL$2,'Tsalin uzuulelt'!B$3,negtgel!U130:BL130)+SUMIF(negtgel!U$2:BL$2,'Tsalin uzuulelt'!B$4,negtgel!U130:BL130)+SUMIF(negtgel!U$2:BL$2,'Tsalin uzuulelt'!B$5,negtgel!U130:BL130)</f>
      </c>
      <c r="H130">
        <f>SUMIF(negtgel!U$2:BL$2,'Tsalin uzuulelt'!F$1,negtgel!U130:BL130) + SUMIF(negtgel!U$2:BL$2,'Tsalin uzuulelt'!F$2,negtgel!U130:BL130)+SUMIF(negtgel!U$2:BL$2,'Tsalin uzuulelt'!F$3,negtgel!U130:BL130)+SUMIF(negtgel!U$2:BL$2,'Tsalin uzuulelt'!F$4,negtgel!U130:BL130)+SUMIF(negtgel!U$2:BL$2,'Tsalin uzuulelt'!F$5,negtgel!U130:BL130)</f>
      </c>
      <c r="I130">
        <f>SUMIF(negtgel!U$2:BL$2,'Tsalin uzuulelt'!H$1,negtgel!U130:BL130) + SUMIF(negtgel!U$2:BL$2,'Tsalin uzuulelt'!H$2,negtgel!U130:BL130)+SUMIF(negtgel!U$2:BL$2,'Tsalin uzuulelt'!H$3,negtgel!U130:BL130)+SUMIF(negtgel!U$2:BL$2,'Tsalin uzuulelt'!H$4,negtgel!U130:BL130)+SUMIF(negtgel!U$2:BL$2,'Tsalin uzuulelt'!H$5,negtgel!U130:BL130)</f>
      </c>
      <c r="J130">
        <f>SUMIF(negtgel!U$2:BL$2,'Tsalin uzuulelt'!J$1,negtgel!U130:BL130) + SUMIF(negtgel!U$2:BL$2,'Tsalin uzuulelt'!J$2,negtgel!U130:BL130)+SUMIF(negtgel!U$2:BL$2,'Tsalin uzuulelt'!J$3,negtgel!U130:BL130)+SUMIF(negtgel!U$2:BL$2,'Tsalin uzuulelt'!J$4,negtgel!U130:BL130)+SUMIF(negtgel!U$2:BL$2,'Tsalin uzuulelt'!J$5,negtgel!U130:BL130)</f>
      </c>
      <c r="K130">
        <f>SUMIF(negtgel!U$2:BL$2,'Tsalin uzuulelt'!L$1,negtgel!U130:BL130) + SUMIF(negtgel!U$2:BL$2,'Tsalin uzuulelt'!L$2,negtgel!U130:BL130)+SUMIF(negtgel!U$2:BL$2,'Tsalin uzuulelt'!L$3,negtgel!U130:BL130)+SUMIF(negtgel!U$2:BL$2,'Tsalin uzuulelt'!L$4,negtgel!U130:BL130)+SUMIF(negtgel!U$2:BL$2,'Tsalin uzuulelt'!L$5,negtgel!U130:BL130)</f>
      </c>
      <c r="L130">
        <f>SUMIF(negtgel!U$2:BL$2,'Tsalin uzuulelt'!N$1,negtgel!U130:BL130) + SUMIF(negtgel!U$2:BL$2,'Tsalin uzuulelt'!N$2,negtgel!U130:BL130)+SUMIF(negtgel!U$2:BL$2,'Tsalin uzuulelt'!N$3,negtgel!U130:BL130)+SUMIF(negtgel!U$2:BL$2,'Tsalin uzuulelt'!N$4,negtgel!U130:BL130)+SUMIF(negtgel!U$2:BL$2,'Tsalin uzuulelt'!N$5,negtgel!U130:BL130)</f>
      </c>
      <c r="M130">
        <f>SUMIF(negtgel!U$2:BL$2,'Tsalin uzuulelt'!P$1,negtgel!U130:BL130) + SUMIF(negtgel!U$2:BL$2,'Tsalin uzuulelt'!P$2,negtgel!U130:BL130)+ SUMIF(negtgel!U$2:BL$2,'Tsalin uzuulelt'!P$3,negtgel!U130:BL130)+ SUMIF(negtgel!U$2:BL$2,'Tsalin uzuulelt'!P$4,negtgel!U130:BL130)+ SUMIF(negtgel!U$2:BL$2,'Tsalin uzuulelt'!P$5,negtgel!U130:BL130)</f>
      </c>
      <c r="N130">
        <f>IF(ISNUMBER(U130*1)=CF130,0,K130-H130-G130)</f>
      </c>
      <c r="O130">
        <f>IF(ISNUMBER(U130*1)=CF130,0,L130)</f>
      </c>
      <c r="P130">
        <f>IF(ISNUMBER(U130*1)=CF130,0,M130)</f>
      </c>
      <c r="Q130">
        <f>IF(N130&gt;2400000,N130,0)</f>
      </c>
      <c r="R130">
        <f>IF(L130/Q130*100&lt;3,2,10)</f>
      </c>
      <c r="S130">
        <f>IF(CH130=0,0,IF(B130&gt;9,10,IF(B130&gt;8,B130,IF(B130&gt;7.7,7.8,IF(B130&gt;3,B130,IF(B130&gt;1.5,2))))))</f>
      </c>
      <c r="T130">
        <f>IF(Q130=0,S130,R130)</f>
      </c>
      <c r="U130" t="n">
        <v>96.0</v>
      </c>
      <c r="V130" t="s">
        <v>3857</v>
      </c>
      <c r="W130" t="s">
        <v>3790</v>
      </c>
      <c r="X130" t="n">
        <v>613669.0</v>
      </c>
      <c r="Y130" t="n">
        <v>613669.0</v>
      </c>
      <c r="Z130" t="n">
        <v>61367.0</v>
      </c>
      <c r="AA130" t="n">
        <v>104324.0</v>
      </c>
      <c r="AB130" t="n">
        <v>0.0</v>
      </c>
      <c r="AC130" t="n">
        <v>0.0</v>
      </c>
      <c r="AD130" t="n">
        <v>0.0</v>
      </c>
      <c r="AE130" t="n">
        <v>0.0</v>
      </c>
      <c r="AF130" t="n">
        <v>54000.0</v>
      </c>
      <c r="AG130" t="n">
        <v>0.0</v>
      </c>
      <c r="AH130" t="n">
        <v>0.0</v>
      </c>
      <c r="AI130" t="n">
        <v>0.0</v>
      </c>
      <c r="AJ130" t="n">
        <v>0.0</v>
      </c>
      <c r="AK130" t="n">
        <v>0.0</v>
      </c>
      <c r="AL130" t="n">
        <v>0.0</v>
      </c>
      <c r="AM130" t="n">
        <v>0.0</v>
      </c>
      <c r="AN130" t="n">
        <v>0.0</v>
      </c>
      <c r="AO130" t="n">
        <v>833360.0</v>
      </c>
      <c r="AP130" t="n">
        <v>83336.0</v>
      </c>
      <c r="AQ130" t="n">
        <v>68542.4</v>
      </c>
      <c r="CH130">
        <f>IFERROR(U130*1,0)</f>
      </c>
    </row>
    <row r="131">
      <c r="A131" t="n">
        <v>2.0</v>
      </c>
      <c r="B131">
        <f>IF((K131-G131-H131&gt;2400000),10,(L131/(K131-G131-H131)*100))</f>
      </c>
      <c r="C131">
        <f>IF(N131&gt;2400000,240000,(N131*S131)/100)</f>
      </c>
      <c r="D131">
        <f>IF(S131=0,0,IF((N131-I131)&gt;2400000,((((((N131-I131-J131)-240000))*0.1+(I131+J131)*0.1)))-7000,((((((N131-I131-J131)-(N131-I131-J131)*S131/100)))*0.1+(I131+J131)*0.1)-7000)))</f>
      </c>
      <c r="E131">
        <f>C131-O131</f>
      </c>
      <c r="F131">
        <f>D131-P131</f>
      </c>
      <c r="G131">
        <f>SUMIF(negtgel!U$2:BL$2,'Tsalin uzuulelt'!B$1,negtgel!U131:BL131) + SUMIF(negtgel!U$2:BL$2,'Tsalin uzuulelt'!B$2,negtgel!U131:BL131)+SUMIF(negtgel!U$2:BL$2,'Tsalin uzuulelt'!B$3,negtgel!U131:BL131)+SUMIF(negtgel!U$2:BL$2,'Tsalin uzuulelt'!B$4,negtgel!U131:BL131)+SUMIF(negtgel!U$2:BL$2,'Tsalin uzuulelt'!B$5,negtgel!U131:BL131)</f>
      </c>
      <c r="H131">
        <f>SUMIF(negtgel!U$2:BL$2,'Tsalin uzuulelt'!F$1,negtgel!U131:BL131) + SUMIF(negtgel!U$2:BL$2,'Tsalin uzuulelt'!F$2,negtgel!U131:BL131)+SUMIF(negtgel!U$2:BL$2,'Tsalin uzuulelt'!F$3,negtgel!U131:BL131)+SUMIF(negtgel!U$2:BL$2,'Tsalin uzuulelt'!F$4,negtgel!U131:BL131)+SUMIF(negtgel!U$2:BL$2,'Tsalin uzuulelt'!F$5,negtgel!U131:BL131)</f>
      </c>
      <c r="I131">
        <f>SUMIF(negtgel!U$2:BL$2,'Tsalin uzuulelt'!H$1,negtgel!U131:BL131) + SUMIF(negtgel!U$2:BL$2,'Tsalin uzuulelt'!H$2,negtgel!U131:BL131)+SUMIF(negtgel!U$2:BL$2,'Tsalin uzuulelt'!H$3,negtgel!U131:BL131)+SUMIF(negtgel!U$2:BL$2,'Tsalin uzuulelt'!H$4,negtgel!U131:BL131)+SUMIF(negtgel!U$2:BL$2,'Tsalin uzuulelt'!H$5,negtgel!U131:BL131)</f>
      </c>
      <c r="J131">
        <f>SUMIF(negtgel!U$2:BL$2,'Tsalin uzuulelt'!J$1,negtgel!U131:BL131) + SUMIF(negtgel!U$2:BL$2,'Tsalin uzuulelt'!J$2,negtgel!U131:BL131)+SUMIF(negtgel!U$2:BL$2,'Tsalin uzuulelt'!J$3,negtgel!U131:BL131)+SUMIF(negtgel!U$2:BL$2,'Tsalin uzuulelt'!J$4,negtgel!U131:BL131)+SUMIF(negtgel!U$2:BL$2,'Tsalin uzuulelt'!J$5,negtgel!U131:BL131)</f>
      </c>
      <c r="K131">
        <f>SUMIF(negtgel!U$2:BL$2,'Tsalin uzuulelt'!L$1,negtgel!U131:BL131) + SUMIF(negtgel!U$2:BL$2,'Tsalin uzuulelt'!L$2,negtgel!U131:BL131)+SUMIF(negtgel!U$2:BL$2,'Tsalin uzuulelt'!L$3,negtgel!U131:BL131)+SUMIF(negtgel!U$2:BL$2,'Tsalin uzuulelt'!L$4,negtgel!U131:BL131)+SUMIF(negtgel!U$2:BL$2,'Tsalin uzuulelt'!L$5,negtgel!U131:BL131)</f>
      </c>
      <c r="L131">
        <f>SUMIF(negtgel!U$2:BL$2,'Tsalin uzuulelt'!N$1,negtgel!U131:BL131) + SUMIF(negtgel!U$2:BL$2,'Tsalin uzuulelt'!N$2,negtgel!U131:BL131)+SUMIF(negtgel!U$2:BL$2,'Tsalin uzuulelt'!N$3,negtgel!U131:BL131)+SUMIF(negtgel!U$2:BL$2,'Tsalin uzuulelt'!N$4,negtgel!U131:BL131)+SUMIF(negtgel!U$2:BL$2,'Tsalin uzuulelt'!N$5,negtgel!U131:BL131)</f>
      </c>
      <c r="M131">
        <f>SUMIF(negtgel!U$2:BL$2,'Tsalin uzuulelt'!P$1,negtgel!U131:BL131) + SUMIF(negtgel!U$2:BL$2,'Tsalin uzuulelt'!P$2,negtgel!U131:BL131)+ SUMIF(negtgel!U$2:BL$2,'Tsalin uzuulelt'!P$3,negtgel!U131:BL131)+ SUMIF(negtgel!U$2:BL$2,'Tsalin uzuulelt'!P$4,negtgel!U131:BL131)+ SUMIF(negtgel!U$2:BL$2,'Tsalin uzuulelt'!P$5,negtgel!U131:BL131)</f>
      </c>
      <c r="N131">
        <f>IF(ISNUMBER(U131*1)=CF131,0,K131-H131-G131)</f>
      </c>
      <c r="O131">
        <f>IF(ISNUMBER(U131*1)=CF131,0,L131)</f>
      </c>
      <c r="P131">
        <f>IF(ISNUMBER(U131*1)=CF131,0,M131)</f>
      </c>
      <c r="Q131">
        <f>IF(N131&gt;2400000,N131,0)</f>
      </c>
      <c r="R131">
        <f>IF(L131/Q131*100&lt;3,2,10)</f>
      </c>
      <c r="S131">
        <f>IF(CH131=0,0,IF(B131&gt;9,10,IF(B131&gt;8,B131,IF(B131&gt;7.7,7.8,IF(B131&gt;3,B131,IF(B131&gt;1.5,2))))))</f>
      </c>
      <c r="T131">
        <f>IF(Q131=0,S131,R131)</f>
      </c>
      <c r="U131" t="s">
        <v>3787</v>
      </c>
      <c r="V131"/>
      <c r="W131"/>
      <c r="X131" t="n">
        <v>7853536.0</v>
      </c>
      <c r="Y131" t="n">
        <v>7580794.0</v>
      </c>
      <c r="Z131" t="n">
        <v>1116320.0</v>
      </c>
      <c r="AA131" t="n">
        <v>1284813.0</v>
      </c>
      <c r="AB131" t="n">
        <v>33872.0</v>
      </c>
      <c r="AC131" t="n">
        <v>0.0</v>
      </c>
      <c r="AD131" t="n">
        <v>0.0</v>
      </c>
      <c r="AE131" t="n">
        <v>0.0</v>
      </c>
      <c r="AF131" t="n">
        <v>624000.0</v>
      </c>
      <c r="AG131" t="n">
        <v>0.0</v>
      </c>
      <c r="AH131" t="n">
        <v>0.0</v>
      </c>
      <c r="AI131" t="n">
        <v>0.0</v>
      </c>
      <c r="AJ131" t="n">
        <v>0.0</v>
      </c>
      <c r="AK131" t="n">
        <v>0.0</v>
      </c>
      <c r="AL131" t="n">
        <v>142745.0</v>
      </c>
      <c r="AM131" t="n">
        <v>0.0</v>
      </c>
      <c r="AN131" t="n">
        <v>0.0</v>
      </c>
      <c r="AO131" t="n">
        <v>1.0782544E7</v>
      </c>
      <c r="AP131" t="n">
        <v>1063983.0</v>
      </c>
      <c r="AQ131" t="n">
        <v>879821.9</v>
      </c>
      <c r="CH131">
        <f>IFERROR(U131*1,0)</f>
      </c>
    </row>
    <row r="132">
      <c r="A132" t="n">
        <v>2.0</v>
      </c>
      <c r="B132">
        <f>IF((K132-G132-H132&gt;2400000),10,(L132/(K132-G132-H132)*100))</f>
      </c>
      <c r="C132">
        <f>IF(N132&gt;2400000,240000,(N132*S132)/100)</f>
      </c>
      <c r="D132">
        <f>IF(S132=0,0,IF((N132-I132)&gt;2400000,((((((N132-I132-J132)-240000))*0.1+(I132+J132)*0.1)))-7000,((((((N132-I132-J132)-(N132-I132-J132)*S132/100)))*0.1+(I132+J132)*0.1)-7000)))</f>
      </c>
      <c r="E132">
        <f>C132-O132</f>
      </c>
      <c r="F132">
        <f>D132-P132</f>
      </c>
      <c r="G132">
        <f>SUMIF(negtgel!U$2:BL$2,'Tsalin uzuulelt'!B$1,negtgel!U132:BL132) + SUMIF(negtgel!U$2:BL$2,'Tsalin uzuulelt'!B$2,negtgel!U132:BL132)+SUMIF(negtgel!U$2:BL$2,'Tsalin uzuulelt'!B$3,negtgel!U132:BL132)+SUMIF(negtgel!U$2:BL$2,'Tsalin uzuulelt'!B$4,negtgel!U132:BL132)+SUMIF(negtgel!U$2:BL$2,'Tsalin uzuulelt'!B$5,negtgel!U132:BL132)</f>
      </c>
      <c r="H132">
        <f>SUMIF(negtgel!U$2:BL$2,'Tsalin uzuulelt'!F$1,negtgel!U132:BL132) + SUMIF(negtgel!U$2:BL$2,'Tsalin uzuulelt'!F$2,negtgel!U132:BL132)+SUMIF(negtgel!U$2:BL$2,'Tsalin uzuulelt'!F$3,negtgel!U132:BL132)+SUMIF(negtgel!U$2:BL$2,'Tsalin uzuulelt'!F$4,negtgel!U132:BL132)+SUMIF(negtgel!U$2:BL$2,'Tsalin uzuulelt'!F$5,negtgel!U132:BL132)</f>
      </c>
      <c r="I132">
        <f>SUMIF(negtgel!U$2:BL$2,'Tsalin uzuulelt'!H$1,negtgel!U132:BL132) + SUMIF(negtgel!U$2:BL$2,'Tsalin uzuulelt'!H$2,negtgel!U132:BL132)+SUMIF(negtgel!U$2:BL$2,'Tsalin uzuulelt'!H$3,negtgel!U132:BL132)+SUMIF(negtgel!U$2:BL$2,'Tsalin uzuulelt'!H$4,negtgel!U132:BL132)+SUMIF(negtgel!U$2:BL$2,'Tsalin uzuulelt'!H$5,negtgel!U132:BL132)</f>
      </c>
      <c r="J132">
        <f>SUMIF(negtgel!U$2:BL$2,'Tsalin uzuulelt'!J$1,negtgel!U132:BL132) + SUMIF(negtgel!U$2:BL$2,'Tsalin uzuulelt'!J$2,negtgel!U132:BL132)+SUMIF(negtgel!U$2:BL$2,'Tsalin uzuulelt'!J$3,negtgel!U132:BL132)+SUMIF(negtgel!U$2:BL$2,'Tsalin uzuulelt'!J$4,negtgel!U132:BL132)+SUMIF(negtgel!U$2:BL$2,'Tsalin uzuulelt'!J$5,negtgel!U132:BL132)</f>
      </c>
      <c r="K132">
        <f>SUMIF(negtgel!U$2:BL$2,'Tsalin uzuulelt'!L$1,negtgel!U132:BL132) + SUMIF(negtgel!U$2:BL$2,'Tsalin uzuulelt'!L$2,negtgel!U132:BL132)+SUMIF(negtgel!U$2:BL$2,'Tsalin uzuulelt'!L$3,negtgel!U132:BL132)+SUMIF(negtgel!U$2:BL$2,'Tsalin uzuulelt'!L$4,negtgel!U132:BL132)+SUMIF(negtgel!U$2:BL$2,'Tsalin uzuulelt'!L$5,negtgel!U132:BL132)</f>
      </c>
      <c r="L132">
        <f>SUMIF(negtgel!U$2:BL$2,'Tsalin uzuulelt'!N$1,negtgel!U132:BL132) + SUMIF(negtgel!U$2:BL$2,'Tsalin uzuulelt'!N$2,negtgel!U132:BL132)+SUMIF(negtgel!U$2:BL$2,'Tsalin uzuulelt'!N$3,negtgel!U132:BL132)+SUMIF(negtgel!U$2:BL$2,'Tsalin uzuulelt'!N$4,negtgel!U132:BL132)+SUMIF(negtgel!U$2:BL$2,'Tsalin uzuulelt'!N$5,negtgel!U132:BL132)</f>
      </c>
      <c r="M132">
        <f>SUMIF(negtgel!U$2:BL$2,'Tsalin uzuulelt'!P$1,negtgel!U132:BL132) + SUMIF(negtgel!U$2:BL$2,'Tsalin uzuulelt'!P$2,negtgel!U132:BL132)+ SUMIF(negtgel!U$2:BL$2,'Tsalin uzuulelt'!P$3,negtgel!U132:BL132)+ SUMIF(negtgel!U$2:BL$2,'Tsalin uzuulelt'!P$4,negtgel!U132:BL132)+ SUMIF(negtgel!U$2:BL$2,'Tsalin uzuulelt'!P$5,negtgel!U132:BL132)</f>
      </c>
      <c r="N132">
        <f>IF(ISNUMBER(U132*1)=CF132,0,K132-H132-G132)</f>
      </c>
      <c r="O132">
        <f>IF(ISNUMBER(U132*1)=CF132,0,L132)</f>
      </c>
      <c r="P132">
        <f>IF(ISNUMBER(U132*1)=CF132,0,M132)</f>
      </c>
      <c r="Q132">
        <f>IF(N132&gt;2400000,N132,0)</f>
      </c>
      <c r="R132">
        <f>IF(L132/Q132*100&lt;3,2,10)</f>
      </c>
      <c r="S132">
        <f>IF(CH132=0,0,IF(B132&gt;9,10,IF(B132&gt;8,B132,IF(B132&gt;7.7,7.8,IF(B132&gt;3,B132,IF(B132&gt;1.5,2))))))</f>
      </c>
      <c r="T132">
        <f>IF(Q132=0,S132,R132)</f>
      </c>
      <c r="U132" t="s">
        <v>3858</v>
      </c>
      <c r="V132"/>
      <c r="W132"/>
      <c r="X132"/>
      <c r="Y132"/>
      <c r="Z132"/>
      <c r="AA132"/>
      <c r="AB132"/>
      <c r="AC132"/>
      <c r="AD132"/>
      <c r="AE132"/>
      <c r="AF132"/>
      <c r="AG132"/>
      <c r="AH132"/>
      <c r="AI132"/>
      <c r="AJ132"/>
      <c r="AK132"/>
      <c r="AL132"/>
      <c r="AM132"/>
      <c r="AN132"/>
      <c r="AO132"/>
      <c r="AP132"/>
      <c r="AQ132"/>
      <c r="CH132">
        <f>IFERROR(U132*1,0)</f>
      </c>
    </row>
    <row r="133">
      <c r="A133" t="n">
        <v>2.0</v>
      </c>
      <c r="B133">
        <f>IF((K133-G133-H133&gt;2400000),10,(L133/(K133-G133-H133)*100))</f>
      </c>
      <c r="C133">
        <f>IF(N133&gt;2400000,240000,(N133*S133)/100)</f>
      </c>
      <c r="D133">
        <f>IF(S133=0,0,IF((N133-I133)&gt;2400000,((((((N133-I133-J133)-240000))*0.1+(I133+J133)*0.1)))-7000,((((((N133-I133-J133)-(N133-I133-J133)*S133/100)))*0.1+(I133+J133)*0.1)-7000)))</f>
      </c>
      <c r="E133">
        <f>C133-O133</f>
      </c>
      <c r="F133">
        <f>D133-P133</f>
      </c>
      <c r="G133">
        <f>SUMIF(negtgel!U$2:BL$2,'Tsalin uzuulelt'!B$1,negtgel!U133:BL133) + SUMIF(negtgel!U$2:BL$2,'Tsalin uzuulelt'!B$2,negtgel!U133:BL133)+SUMIF(negtgel!U$2:BL$2,'Tsalin uzuulelt'!B$3,negtgel!U133:BL133)+SUMIF(negtgel!U$2:BL$2,'Tsalin uzuulelt'!B$4,negtgel!U133:BL133)+SUMIF(negtgel!U$2:BL$2,'Tsalin uzuulelt'!B$5,negtgel!U133:BL133)</f>
      </c>
      <c r="H133">
        <f>SUMIF(negtgel!U$2:BL$2,'Tsalin uzuulelt'!F$1,negtgel!U133:BL133) + SUMIF(negtgel!U$2:BL$2,'Tsalin uzuulelt'!F$2,negtgel!U133:BL133)+SUMIF(negtgel!U$2:BL$2,'Tsalin uzuulelt'!F$3,negtgel!U133:BL133)+SUMIF(negtgel!U$2:BL$2,'Tsalin uzuulelt'!F$4,negtgel!U133:BL133)+SUMIF(negtgel!U$2:BL$2,'Tsalin uzuulelt'!F$5,negtgel!U133:BL133)</f>
      </c>
      <c r="I133">
        <f>SUMIF(negtgel!U$2:BL$2,'Tsalin uzuulelt'!H$1,negtgel!U133:BL133) + SUMIF(negtgel!U$2:BL$2,'Tsalin uzuulelt'!H$2,negtgel!U133:BL133)+SUMIF(negtgel!U$2:BL$2,'Tsalin uzuulelt'!H$3,negtgel!U133:BL133)+SUMIF(negtgel!U$2:BL$2,'Tsalin uzuulelt'!H$4,negtgel!U133:BL133)+SUMIF(negtgel!U$2:BL$2,'Tsalin uzuulelt'!H$5,negtgel!U133:BL133)</f>
      </c>
      <c r="J133">
        <f>SUMIF(negtgel!U$2:BL$2,'Tsalin uzuulelt'!J$1,negtgel!U133:BL133) + SUMIF(negtgel!U$2:BL$2,'Tsalin uzuulelt'!J$2,negtgel!U133:BL133)+SUMIF(negtgel!U$2:BL$2,'Tsalin uzuulelt'!J$3,negtgel!U133:BL133)+SUMIF(negtgel!U$2:BL$2,'Tsalin uzuulelt'!J$4,negtgel!U133:BL133)+SUMIF(negtgel!U$2:BL$2,'Tsalin uzuulelt'!J$5,negtgel!U133:BL133)</f>
      </c>
      <c r="K133">
        <f>SUMIF(negtgel!U$2:BL$2,'Tsalin uzuulelt'!L$1,negtgel!U133:BL133) + SUMIF(negtgel!U$2:BL$2,'Tsalin uzuulelt'!L$2,negtgel!U133:BL133)+SUMIF(negtgel!U$2:BL$2,'Tsalin uzuulelt'!L$3,negtgel!U133:BL133)+SUMIF(negtgel!U$2:BL$2,'Tsalin uzuulelt'!L$4,negtgel!U133:BL133)+SUMIF(negtgel!U$2:BL$2,'Tsalin uzuulelt'!L$5,negtgel!U133:BL133)</f>
      </c>
      <c r="L133">
        <f>SUMIF(negtgel!U$2:BL$2,'Tsalin uzuulelt'!N$1,negtgel!U133:BL133) + SUMIF(negtgel!U$2:BL$2,'Tsalin uzuulelt'!N$2,negtgel!U133:BL133)+SUMIF(negtgel!U$2:BL$2,'Tsalin uzuulelt'!N$3,negtgel!U133:BL133)+SUMIF(negtgel!U$2:BL$2,'Tsalin uzuulelt'!N$4,negtgel!U133:BL133)+SUMIF(negtgel!U$2:BL$2,'Tsalin uzuulelt'!N$5,negtgel!U133:BL133)</f>
      </c>
      <c r="M133">
        <f>SUMIF(negtgel!U$2:BL$2,'Tsalin uzuulelt'!P$1,negtgel!U133:BL133) + SUMIF(negtgel!U$2:BL$2,'Tsalin uzuulelt'!P$2,negtgel!U133:BL133)+ SUMIF(negtgel!U$2:BL$2,'Tsalin uzuulelt'!P$3,negtgel!U133:BL133)+ SUMIF(negtgel!U$2:BL$2,'Tsalin uzuulelt'!P$4,negtgel!U133:BL133)+ SUMIF(negtgel!U$2:BL$2,'Tsalin uzuulelt'!P$5,negtgel!U133:BL133)</f>
      </c>
      <c r="N133">
        <f>IF(ISNUMBER(U133*1)=CF133,0,K133-H133-G133)</f>
      </c>
      <c r="O133">
        <f>IF(ISNUMBER(U133*1)=CF133,0,L133)</f>
      </c>
      <c r="P133">
        <f>IF(ISNUMBER(U133*1)=CF133,0,M133)</f>
      </c>
      <c r="Q133">
        <f>IF(N133&gt;2400000,N133,0)</f>
      </c>
      <c r="R133">
        <f>IF(L133/Q133*100&lt;3,2,10)</f>
      </c>
      <c r="S133">
        <f>IF(CH133=0,0,IF(B133&gt;9,10,IF(B133&gt;8,B133,IF(B133&gt;7.7,7.8,IF(B133&gt;3,B133,IF(B133&gt;1.5,2))))))</f>
      </c>
      <c r="T133">
        <f>IF(Q133=0,S133,R133)</f>
      </c>
      <c r="U133" t="n">
        <v>97.0</v>
      </c>
      <c r="V133" t="s">
        <v>3859</v>
      </c>
      <c r="W133" t="s">
        <v>3790</v>
      </c>
      <c r="X133" t="n">
        <v>580710.0</v>
      </c>
      <c r="Y133" t="n">
        <v>0.0</v>
      </c>
      <c r="Z133" t="n">
        <v>0.0</v>
      </c>
      <c r="AA133" t="n">
        <v>0.0</v>
      </c>
      <c r="AB133" t="n">
        <v>0.0</v>
      </c>
      <c r="AC133" t="n">
        <v>0.0</v>
      </c>
      <c r="AD133" t="n">
        <v>0.0</v>
      </c>
      <c r="AE133" t="n">
        <v>0.0</v>
      </c>
      <c r="AF133" t="n">
        <v>0.0</v>
      </c>
      <c r="AG133" t="n">
        <v>0.0</v>
      </c>
      <c r="AH133" t="n">
        <v>0.0</v>
      </c>
      <c r="AI133" t="n">
        <v>0.0</v>
      </c>
      <c r="AJ133" t="n">
        <v>0.0</v>
      </c>
      <c r="AK133" t="n">
        <v>0.0</v>
      </c>
      <c r="AL133" t="n">
        <v>0.0</v>
      </c>
      <c r="AM133" t="n">
        <v>0.0</v>
      </c>
      <c r="AN133" t="n">
        <v>0.0</v>
      </c>
      <c r="AO133" t="n">
        <v>0.0</v>
      </c>
      <c r="AP133" t="n">
        <v>0.0</v>
      </c>
      <c r="AQ133" t="n">
        <v>0.0</v>
      </c>
      <c r="CH133">
        <f>IFERROR(U133*1,0)</f>
      </c>
    </row>
    <row r="134">
      <c r="A134" t="n">
        <v>2.0</v>
      </c>
      <c r="B134">
        <f>IF((K134-G134-H134&gt;2400000),10,(L134/(K134-G134-H134)*100))</f>
      </c>
      <c r="C134">
        <f>IF(N134&gt;2400000,240000,(N134*S134)/100)</f>
      </c>
      <c r="D134">
        <f>IF(S134=0,0,IF((N134-I134)&gt;2400000,((((((N134-I134-J134)-240000))*0.1+(I134+J134)*0.1)))-7000,((((((N134-I134-J134)-(N134-I134-J134)*S134/100)))*0.1+(I134+J134)*0.1)-7000)))</f>
      </c>
      <c r="E134">
        <f>C134-O134</f>
      </c>
      <c r="F134">
        <f>D134-P134</f>
      </c>
      <c r="G134">
        <f>SUMIF(negtgel!U$2:BL$2,'Tsalin uzuulelt'!B$1,negtgel!U134:BL134) + SUMIF(negtgel!U$2:BL$2,'Tsalin uzuulelt'!B$2,negtgel!U134:BL134)+SUMIF(negtgel!U$2:BL$2,'Tsalin uzuulelt'!B$3,negtgel!U134:BL134)+SUMIF(negtgel!U$2:BL$2,'Tsalin uzuulelt'!B$4,negtgel!U134:BL134)+SUMIF(negtgel!U$2:BL$2,'Tsalin uzuulelt'!B$5,negtgel!U134:BL134)</f>
      </c>
      <c r="H134">
        <f>SUMIF(negtgel!U$2:BL$2,'Tsalin uzuulelt'!F$1,negtgel!U134:BL134) + SUMIF(negtgel!U$2:BL$2,'Tsalin uzuulelt'!F$2,negtgel!U134:BL134)+SUMIF(negtgel!U$2:BL$2,'Tsalin uzuulelt'!F$3,negtgel!U134:BL134)+SUMIF(negtgel!U$2:BL$2,'Tsalin uzuulelt'!F$4,negtgel!U134:BL134)+SUMIF(negtgel!U$2:BL$2,'Tsalin uzuulelt'!F$5,negtgel!U134:BL134)</f>
      </c>
      <c r="I134">
        <f>SUMIF(negtgel!U$2:BL$2,'Tsalin uzuulelt'!H$1,negtgel!U134:BL134) + SUMIF(negtgel!U$2:BL$2,'Tsalin uzuulelt'!H$2,negtgel!U134:BL134)+SUMIF(negtgel!U$2:BL$2,'Tsalin uzuulelt'!H$3,negtgel!U134:BL134)+SUMIF(negtgel!U$2:BL$2,'Tsalin uzuulelt'!H$4,negtgel!U134:BL134)+SUMIF(negtgel!U$2:BL$2,'Tsalin uzuulelt'!H$5,negtgel!U134:BL134)</f>
      </c>
      <c r="J134">
        <f>SUMIF(negtgel!U$2:BL$2,'Tsalin uzuulelt'!J$1,negtgel!U134:BL134) + SUMIF(negtgel!U$2:BL$2,'Tsalin uzuulelt'!J$2,negtgel!U134:BL134)+SUMIF(negtgel!U$2:BL$2,'Tsalin uzuulelt'!J$3,negtgel!U134:BL134)+SUMIF(negtgel!U$2:BL$2,'Tsalin uzuulelt'!J$4,negtgel!U134:BL134)+SUMIF(negtgel!U$2:BL$2,'Tsalin uzuulelt'!J$5,negtgel!U134:BL134)</f>
      </c>
      <c r="K134">
        <f>SUMIF(negtgel!U$2:BL$2,'Tsalin uzuulelt'!L$1,negtgel!U134:BL134) + SUMIF(negtgel!U$2:BL$2,'Tsalin uzuulelt'!L$2,negtgel!U134:BL134)+SUMIF(negtgel!U$2:BL$2,'Tsalin uzuulelt'!L$3,negtgel!U134:BL134)+SUMIF(negtgel!U$2:BL$2,'Tsalin uzuulelt'!L$4,negtgel!U134:BL134)+SUMIF(negtgel!U$2:BL$2,'Tsalin uzuulelt'!L$5,negtgel!U134:BL134)</f>
      </c>
      <c r="L134">
        <f>SUMIF(negtgel!U$2:BL$2,'Tsalin uzuulelt'!N$1,negtgel!U134:BL134) + SUMIF(negtgel!U$2:BL$2,'Tsalin uzuulelt'!N$2,negtgel!U134:BL134)+SUMIF(negtgel!U$2:BL$2,'Tsalin uzuulelt'!N$3,negtgel!U134:BL134)+SUMIF(negtgel!U$2:BL$2,'Tsalin uzuulelt'!N$4,negtgel!U134:BL134)+SUMIF(negtgel!U$2:BL$2,'Tsalin uzuulelt'!N$5,negtgel!U134:BL134)</f>
      </c>
      <c r="M134">
        <f>SUMIF(negtgel!U$2:BL$2,'Tsalin uzuulelt'!P$1,negtgel!U134:BL134) + SUMIF(negtgel!U$2:BL$2,'Tsalin uzuulelt'!P$2,negtgel!U134:BL134)+ SUMIF(negtgel!U$2:BL$2,'Tsalin uzuulelt'!P$3,negtgel!U134:BL134)+ SUMIF(negtgel!U$2:BL$2,'Tsalin uzuulelt'!P$4,negtgel!U134:BL134)+ SUMIF(negtgel!U$2:BL$2,'Tsalin uzuulelt'!P$5,negtgel!U134:BL134)</f>
      </c>
      <c r="N134">
        <f>IF(ISNUMBER(U134*1)=CF134,0,K134-H134-G134)</f>
      </c>
      <c r="O134">
        <f>IF(ISNUMBER(U134*1)=CF134,0,L134)</f>
      </c>
      <c r="P134">
        <f>IF(ISNUMBER(U134*1)=CF134,0,M134)</f>
      </c>
      <c r="Q134">
        <f>IF(N134&gt;2400000,N134,0)</f>
      </c>
      <c r="R134">
        <f>IF(L134/Q134*100&lt;3,2,10)</f>
      </c>
      <c r="S134">
        <f>IF(CH134=0,0,IF(B134&gt;9,10,IF(B134&gt;8,B134,IF(B134&gt;7.7,7.8,IF(B134&gt;3,B134,IF(B134&gt;1.5,2))))))</f>
      </c>
      <c r="T134">
        <f>IF(Q134=0,S134,R134)</f>
      </c>
      <c r="U134" t="n">
        <v>151.0</v>
      </c>
      <c r="V134" t="s">
        <v>3860</v>
      </c>
      <c r="W134" t="s">
        <v>3790</v>
      </c>
      <c r="X134" t="n">
        <v>547759.0</v>
      </c>
      <c r="Y134" t="n">
        <v>0.0</v>
      </c>
      <c r="Z134" t="n">
        <v>0.0</v>
      </c>
      <c r="AA134" t="n">
        <v>0.0</v>
      </c>
      <c r="AB134" t="n">
        <v>0.0</v>
      </c>
      <c r="AC134" t="n">
        <v>0.0</v>
      </c>
      <c r="AD134" t="n">
        <v>0.0</v>
      </c>
      <c r="AE134" t="n">
        <v>0.0</v>
      </c>
      <c r="AF134" t="n">
        <v>0.0</v>
      </c>
      <c r="AG134" t="n">
        <v>0.0</v>
      </c>
      <c r="AH134" t="n">
        <v>0.0</v>
      </c>
      <c r="AI134" t="n">
        <v>0.0</v>
      </c>
      <c r="AJ134" t="n">
        <v>0.0</v>
      </c>
      <c r="AK134" t="n">
        <v>0.0</v>
      </c>
      <c r="AL134" t="n">
        <v>0.0</v>
      </c>
      <c r="AM134" t="n">
        <v>0.0</v>
      </c>
      <c r="AN134" t="n">
        <v>0.0</v>
      </c>
      <c r="AO134" t="n">
        <v>0.0</v>
      </c>
      <c r="AP134" t="n">
        <v>0.0</v>
      </c>
      <c r="AQ134" t="n">
        <v>0.0</v>
      </c>
      <c r="CH134">
        <f>IFERROR(U134*1,0)</f>
      </c>
    </row>
    <row r="135">
      <c r="A135" t="n">
        <v>2.0</v>
      </c>
      <c r="B135">
        <f>IF((K135-G135-H135&gt;2400000),10,(L135/(K135-G135-H135)*100))</f>
      </c>
      <c r="C135">
        <f>IF(N135&gt;2400000,240000,(N135*S135)/100)</f>
      </c>
      <c r="D135">
        <f>IF(S135=0,0,IF((N135-I135)&gt;2400000,((((((N135-I135-J135)-240000))*0.1+(I135+J135)*0.1)))-7000,((((((N135-I135-J135)-(N135-I135-J135)*S135/100)))*0.1+(I135+J135)*0.1)-7000)))</f>
      </c>
      <c r="E135">
        <f>C135-O135</f>
      </c>
      <c r="F135">
        <f>D135-P135</f>
      </c>
      <c r="G135">
        <f>SUMIF(negtgel!U$2:BL$2,'Tsalin uzuulelt'!B$1,negtgel!U135:BL135) + SUMIF(negtgel!U$2:BL$2,'Tsalin uzuulelt'!B$2,negtgel!U135:BL135)+SUMIF(negtgel!U$2:BL$2,'Tsalin uzuulelt'!B$3,negtgel!U135:BL135)+SUMIF(negtgel!U$2:BL$2,'Tsalin uzuulelt'!B$4,negtgel!U135:BL135)+SUMIF(negtgel!U$2:BL$2,'Tsalin uzuulelt'!B$5,negtgel!U135:BL135)</f>
      </c>
      <c r="H135">
        <f>SUMIF(negtgel!U$2:BL$2,'Tsalin uzuulelt'!F$1,negtgel!U135:BL135) + SUMIF(negtgel!U$2:BL$2,'Tsalin uzuulelt'!F$2,negtgel!U135:BL135)+SUMIF(negtgel!U$2:BL$2,'Tsalin uzuulelt'!F$3,negtgel!U135:BL135)+SUMIF(negtgel!U$2:BL$2,'Tsalin uzuulelt'!F$4,negtgel!U135:BL135)+SUMIF(negtgel!U$2:BL$2,'Tsalin uzuulelt'!F$5,negtgel!U135:BL135)</f>
      </c>
      <c r="I135">
        <f>SUMIF(negtgel!U$2:BL$2,'Tsalin uzuulelt'!H$1,negtgel!U135:BL135) + SUMIF(negtgel!U$2:BL$2,'Tsalin uzuulelt'!H$2,negtgel!U135:BL135)+SUMIF(negtgel!U$2:BL$2,'Tsalin uzuulelt'!H$3,negtgel!U135:BL135)+SUMIF(negtgel!U$2:BL$2,'Tsalin uzuulelt'!H$4,negtgel!U135:BL135)+SUMIF(negtgel!U$2:BL$2,'Tsalin uzuulelt'!H$5,negtgel!U135:BL135)</f>
      </c>
      <c r="J135">
        <f>SUMIF(negtgel!U$2:BL$2,'Tsalin uzuulelt'!J$1,negtgel!U135:BL135) + SUMIF(negtgel!U$2:BL$2,'Tsalin uzuulelt'!J$2,negtgel!U135:BL135)+SUMIF(negtgel!U$2:BL$2,'Tsalin uzuulelt'!J$3,negtgel!U135:BL135)+SUMIF(negtgel!U$2:BL$2,'Tsalin uzuulelt'!J$4,negtgel!U135:BL135)+SUMIF(negtgel!U$2:BL$2,'Tsalin uzuulelt'!J$5,negtgel!U135:BL135)</f>
      </c>
      <c r="K135">
        <f>SUMIF(negtgel!U$2:BL$2,'Tsalin uzuulelt'!L$1,negtgel!U135:BL135) + SUMIF(negtgel!U$2:BL$2,'Tsalin uzuulelt'!L$2,negtgel!U135:BL135)+SUMIF(negtgel!U$2:BL$2,'Tsalin uzuulelt'!L$3,negtgel!U135:BL135)+SUMIF(negtgel!U$2:BL$2,'Tsalin uzuulelt'!L$4,negtgel!U135:BL135)+SUMIF(negtgel!U$2:BL$2,'Tsalin uzuulelt'!L$5,negtgel!U135:BL135)</f>
      </c>
      <c r="L135">
        <f>SUMIF(negtgel!U$2:BL$2,'Tsalin uzuulelt'!N$1,negtgel!U135:BL135) + SUMIF(negtgel!U$2:BL$2,'Tsalin uzuulelt'!N$2,negtgel!U135:BL135)+SUMIF(negtgel!U$2:BL$2,'Tsalin uzuulelt'!N$3,negtgel!U135:BL135)+SUMIF(negtgel!U$2:BL$2,'Tsalin uzuulelt'!N$4,negtgel!U135:BL135)+SUMIF(negtgel!U$2:BL$2,'Tsalin uzuulelt'!N$5,negtgel!U135:BL135)</f>
      </c>
      <c r="M135">
        <f>SUMIF(negtgel!U$2:BL$2,'Tsalin uzuulelt'!P$1,negtgel!U135:BL135) + SUMIF(negtgel!U$2:BL$2,'Tsalin uzuulelt'!P$2,negtgel!U135:BL135)+ SUMIF(negtgel!U$2:BL$2,'Tsalin uzuulelt'!P$3,negtgel!U135:BL135)+ SUMIF(negtgel!U$2:BL$2,'Tsalin uzuulelt'!P$4,negtgel!U135:BL135)+ SUMIF(negtgel!U$2:BL$2,'Tsalin uzuulelt'!P$5,negtgel!U135:BL135)</f>
      </c>
      <c r="N135">
        <f>IF(ISNUMBER(U135*1)=CF135,0,K135-H135-G135)</f>
      </c>
      <c r="O135">
        <f>IF(ISNUMBER(U135*1)=CF135,0,L135)</f>
      </c>
      <c r="P135">
        <f>IF(ISNUMBER(U135*1)=CF135,0,M135)</f>
      </c>
      <c r="Q135">
        <f>IF(N135&gt;2400000,N135,0)</f>
      </c>
      <c r="R135">
        <f>IF(L135/Q135*100&lt;3,2,10)</f>
      </c>
      <c r="S135">
        <f>IF(CH135=0,0,IF(B135&gt;9,10,IF(B135&gt;8,B135,IF(B135&gt;7.7,7.8,IF(B135&gt;3,B135,IF(B135&gt;1.5,2))))))</f>
      </c>
      <c r="T135">
        <f>IF(Q135=0,S135,R135)</f>
      </c>
      <c r="U135" t="n">
        <v>152.0</v>
      </c>
      <c r="V135" t="s">
        <v>3844</v>
      </c>
      <c r="W135" t="s">
        <v>3790</v>
      </c>
      <c r="X135" t="n">
        <v>677436.0</v>
      </c>
      <c r="Y135" t="n">
        <v>0.0</v>
      </c>
      <c r="Z135" t="n">
        <v>0.0</v>
      </c>
      <c r="AA135" t="n">
        <v>0.0</v>
      </c>
      <c r="AB135" t="n">
        <v>0.0</v>
      </c>
      <c r="AC135" t="n">
        <v>0.0</v>
      </c>
      <c r="AD135" t="n">
        <v>0.0</v>
      </c>
      <c r="AE135" t="n">
        <v>0.0</v>
      </c>
      <c r="AF135" t="n">
        <v>0.0</v>
      </c>
      <c r="AG135" t="n">
        <v>0.0</v>
      </c>
      <c r="AH135" t="n">
        <v>0.0</v>
      </c>
      <c r="AI135" t="n">
        <v>0.0</v>
      </c>
      <c r="AJ135" t="n">
        <v>0.0</v>
      </c>
      <c r="AK135" t="n">
        <v>0.0</v>
      </c>
      <c r="AL135" t="n">
        <v>0.0</v>
      </c>
      <c r="AM135" t="n">
        <v>0.0</v>
      </c>
      <c r="AN135" t="n">
        <v>0.0</v>
      </c>
      <c r="AO135" t="n">
        <v>0.0</v>
      </c>
      <c r="AP135" t="n">
        <v>0.0</v>
      </c>
      <c r="AQ135" t="n">
        <v>0.0</v>
      </c>
      <c r="CH135">
        <f>IFERROR(U135*1,0)</f>
      </c>
    </row>
    <row r="136">
      <c r="A136" t="n">
        <v>2.0</v>
      </c>
      <c r="B136">
        <f>IF((K136-G136-H136&gt;2400000),10,(L136/(K136-G136-H136)*100))</f>
      </c>
      <c r="C136">
        <f>IF(N136&gt;2400000,240000,(N136*S136)/100)</f>
      </c>
      <c r="D136">
        <f>IF(S136=0,0,IF((N136-I136)&gt;2400000,((((((N136-I136-J136)-240000))*0.1+(I136+J136)*0.1)))-7000,((((((N136-I136-J136)-(N136-I136-J136)*S136/100)))*0.1+(I136+J136)*0.1)-7000)))</f>
      </c>
      <c r="E136">
        <f>C136-O136</f>
      </c>
      <c r="F136">
        <f>D136-P136</f>
      </c>
      <c r="G136">
        <f>SUMIF(negtgel!U$2:BL$2,'Tsalin uzuulelt'!B$1,negtgel!U136:BL136) + SUMIF(negtgel!U$2:BL$2,'Tsalin uzuulelt'!B$2,negtgel!U136:BL136)+SUMIF(negtgel!U$2:BL$2,'Tsalin uzuulelt'!B$3,negtgel!U136:BL136)+SUMIF(negtgel!U$2:BL$2,'Tsalin uzuulelt'!B$4,negtgel!U136:BL136)+SUMIF(negtgel!U$2:BL$2,'Tsalin uzuulelt'!B$5,negtgel!U136:BL136)</f>
      </c>
      <c r="H136">
        <f>SUMIF(negtgel!U$2:BL$2,'Tsalin uzuulelt'!F$1,negtgel!U136:BL136) + SUMIF(negtgel!U$2:BL$2,'Tsalin uzuulelt'!F$2,negtgel!U136:BL136)+SUMIF(negtgel!U$2:BL$2,'Tsalin uzuulelt'!F$3,negtgel!U136:BL136)+SUMIF(negtgel!U$2:BL$2,'Tsalin uzuulelt'!F$4,negtgel!U136:BL136)+SUMIF(negtgel!U$2:BL$2,'Tsalin uzuulelt'!F$5,negtgel!U136:BL136)</f>
      </c>
      <c r="I136">
        <f>SUMIF(negtgel!U$2:BL$2,'Tsalin uzuulelt'!H$1,negtgel!U136:BL136) + SUMIF(negtgel!U$2:BL$2,'Tsalin uzuulelt'!H$2,negtgel!U136:BL136)+SUMIF(negtgel!U$2:BL$2,'Tsalin uzuulelt'!H$3,negtgel!U136:BL136)+SUMIF(negtgel!U$2:BL$2,'Tsalin uzuulelt'!H$4,negtgel!U136:BL136)+SUMIF(negtgel!U$2:BL$2,'Tsalin uzuulelt'!H$5,negtgel!U136:BL136)</f>
      </c>
      <c r="J136">
        <f>SUMIF(negtgel!U$2:BL$2,'Tsalin uzuulelt'!J$1,negtgel!U136:BL136) + SUMIF(negtgel!U$2:BL$2,'Tsalin uzuulelt'!J$2,negtgel!U136:BL136)+SUMIF(negtgel!U$2:BL$2,'Tsalin uzuulelt'!J$3,negtgel!U136:BL136)+SUMIF(negtgel!U$2:BL$2,'Tsalin uzuulelt'!J$4,negtgel!U136:BL136)+SUMIF(negtgel!U$2:BL$2,'Tsalin uzuulelt'!J$5,negtgel!U136:BL136)</f>
      </c>
      <c r="K136">
        <f>SUMIF(negtgel!U$2:BL$2,'Tsalin uzuulelt'!L$1,negtgel!U136:BL136) + SUMIF(negtgel!U$2:BL$2,'Tsalin uzuulelt'!L$2,negtgel!U136:BL136)+SUMIF(negtgel!U$2:BL$2,'Tsalin uzuulelt'!L$3,negtgel!U136:BL136)+SUMIF(negtgel!U$2:BL$2,'Tsalin uzuulelt'!L$4,negtgel!U136:BL136)+SUMIF(negtgel!U$2:BL$2,'Tsalin uzuulelt'!L$5,negtgel!U136:BL136)</f>
      </c>
      <c r="L136">
        <f>SUMIF(negtgel!U$2:BL$2,'Tsalin uzuulelt'!N$1,negtgel!U136:BL136) + SUMIF(negtgel!U$2:BL$2,'Tsalin uzuulelt'!N$2,negtgel!U136:BL136)+SUMIF(negtgel!U$2:BL$2,'Tsalin uzuulelt'!N$3,negtgel!U136:BL136)+SUMIF(negtgel!U$2:BL$2,'Tsalin uzuulelt'!N$4,negtgel!U136:BL136)+SUMIF(negtgel!U$2:BL$2,'Tsalin uzuulelt'!N$5,negtgel!U136:BL136)</f>
      </c>
      <c r="M136">
        <f>SUMIF(negtgel!U$2:BL$2,'Tsalin uzuulelt'!P$1,negtgel!U136:BL136) + SUMIF(negtgel!U$2:BL$2,'Tsalin uzuulelt'!P$2,negtgel!U136:BL136)+ SUMIF(negtgel!U$2:BL$2,'Tsalin uzuulelt'!P$3,negtgel!U136:BL136)+ SUMIF(negtgel!U$2:BL$2,'Tsalin uzuulelt'!P$4,negtgel!U136:BL136)+ SUMIF(negtgel!U$2:BL$2,'Tsalin uzuulelt'!P$5,negtgel!U136:BL136)</f>
      </c>
      <c r="N136">
        <f>IF(ISNUMBER(U136*1)=CF136,0,K136-H136-G136)</f>
      </c>
      <c r="O136">
        <f>IF(ISNUMBER(U136*1)=CF136,0,L136)</f>
      </c>
      <c r="P136">
        <f>IF(ISNUMBER(U136*1)=CF136,0,M136)</f>
      </c>
      <c r="Q136">
        <f>IF(N136&gt;2400000,N136,0)</f>
      </c>
      <c r="R136">
        <f>IF(L136/Q136*100&lt;3,2,10)</f>
      </c>
      <c r="S136">
        <f>IF(CH136=0,0,IF(B136&gt;9,10,IF(B136&gt;8,B136,IF(B136&gt;7.7,7.8,IF(B136&gt;3,B136,IF(B136&gt;1.5,2))))))</f>
      </c>
      <c r="T136">
        <f>IF(Q136=0,S136,R136)</f>
      </c>
      <c r="U136" t="n">
        <v>153.0</v>
      </c>
      <c r="V136" t="s">
        <v>3845</v>
      </c>
      <c r="W136" t="s">
        <v>3790</v>
      </c>
      <c r="X136" t="n">
        <v>677436.0</v>
      </c>
      <c r="Y136" t="n">
        <v>0.0</v>
      </c>
      <c r="Z136" t="n">
        <v>0.0</v>
      </c>
      <c r="AA136" t="n">
        <v>0.0</v>
      </c>
      <c r="AB136" t="n">
        <v>0.0</v>
      </c>
      <c r="AC136" t="n">
        <v>0.0</v>
      </c>
      <c r="AD136" t="n">
        <v>0.0</v>
      </c>
      <c r="AE136" t="n">
        <v>0.0</v>
      </c>
      <c r="AF136" t="n">
        <v>0.0</v>
      </c>
      <c r="AG136" t="n">
        <v>0.0</v>
      </c>
      <c r="AH136" t="n">
        <v>0.0</v>
      </c>
      <c r="AI136" t="n">
        <v>0.0</v>
      </c>
      <c r="AJ136" t="n">
        <v>0.0</v>
      </c>
      <c r="AK136" t="n">
        <v>0.0</v>
      </c>
      <c r="AL136" t="n">
        <v>0.0</v>
      </c>
      <c r="AM136" t="n">
        <v>0.0</v>
      </c>
      <c r="AN136" t="n">
        <v>0.0</v>
      </c>
      <c r="AO136" t="n">
        <v>0.0</v>
      </c>
      <c r="AP136" t="n">
        <v>0.0</v>
      </c>
      <c r="AQ136" t="n">
        <v>0.0</v>
      </c>
      <c r="CH136">
        <f>IFERROR(U136*1,0)</f>
      </c>
    </row>
    <row r="137">
      <c r="A137" t="n">
        <v>2.0</v>
      </c>
      <c r="B137">
        <f>IF((K137-G137-H137&gt;2400000),10,(L137/(K137-G137-H137)*100))</f>
      </c>
      <c r="C137">
        <f>IF(N137&gt;2400000,240000,(N137*S137)/100)</f>
      </c>
      <c r="D137">
        <f>IF(S137=0,0,IF((N137-I137)&gt;2400000,((((((N137-I137-J137)-240000))*0.1+(I137+J137)*0.1)))-7000,((((((N137-I137-J137)-(N137-I137-J137)*S137/100)))*0.1+(I137+J137)*0.1)-7000)))</f>
      </c>
      <c r="E137">
        <f>C137-O137</f>
      </c>
      <c r="F137">
        <f>D137-P137</f>
      </c>
      <c r="G137">
        <f>SUMIF(negtgel!U$2:BL$2,'Tsalin uzuulelt'!B$1,negtgel!U137:BL137) + SUMIF(negtgel!U$2:BL$2,'Tsalin uzuulelt'!B$2,negtgel!U137:BL137)+SUMIF(negtgel!U$2:BL$2,'Tsalin uzuulelt'!B$3,negtgel!U137:BL137)+SUMIF(negtgel!U$2:BL$2,'Tsalin uzuulelt'!B$4,negtgel!U137:BL137)+SUMIF(negtgel!U$2:BL$2,'Tsalin uzuulelt'!B$5,negtgel!U137:BL137)</f>
      </c>
      <c r="H137">
        <f>SUMIF(negtgel!U$2:BL$2,'Tsalin uzuulelt'!F$1,negtgel!U137:BL137) + SUMIF(negtgel!U$2:BL$2,'Tsalin uzuulelt'!F$2,negtgel!U137:BL137)+SUMIF(negtgel!U$2:BL$2,'Tsalin uzuulelt'!F$3,negtgel!U137:BL137)+SUMIF(negtgel!U$2:BL$2,'Tsalin uzuulelt'!F$4,negtgel!U137:BL137)+SUMIF(negtgel!U$2:BL$2,'Tsalin uzuulelt'!F$5,negtgel!U137:BL137)</f>
      </c>
      <c r="I137">
        <f>SUMIF(negtgel!U$2:BL$2,'Tsalin uzuulelt'!H$1,negtgel!U137:BL137) + SUMIF(negtgel!U$2:BL$2,'Tsalin uzuulelt'!H$2,negtgel!U137:BL137)+SUMIF(negtgel!U$2:BL$2,'Tsalin uzuulelt'!H$3,negtgel!U137:BL137)+SUMIF(negtgel!U$2:BL$2,'Tsalin uzuulelt'!H$4,negtgel!U137:BL137)+SUMIF(negtgel!U$2:BL$2,'Tsalin uzuulelt'!H$5,negtgel!U137:BL137)</f>
      </c>
      <c r="J137">
        <f>SUMIF(negtgel!U$2:BL$2,'Tsalin uzuulelt'!J$1,negtgel!U137:BL137) + SUMIF(negtgel!U$2:BL$2,'Tsalin uzuulelt'!J$2,negtgel!U137:BL137)+SUMIF(negtgel!U$2:BL$2,'Tsalin uzuulelt'!J$3,negtgel!U137:BL137)+SUMIF(negtgel!U$2:BL$2,'Tsalin uzuulelt'!J$4,negtgel!U137:BL137)+SUMIF(negtgel!U$2:BL$2,'Tsalin uzuulelt'!J$5,negtgel!U137:BL137)</f>
      </c>
      <c r="K137">
        <f>SUMIF(negtgel!U$2:BL$2,'Tsalin uzuulelt'!L$1,negtgel!U137:BL137) + SUMIF(negtgel!U$2:BL$2,'Tsalin uzuulelt'!L$2,negtgel!U137:BL137)+SUMIF(negtgel!U$2:BL$2,'Tsalin uzuulelt'!L$3,negtgel!U137:BL137)+SUMIF(negtgel!U$2:BL$2,'Tsalin uzuulelt'!L$4,negtgel!U137:BL137)+SUMIF(negtgel!U$2:BL$2,'Tsalin uzuulelt'!L$5,negtgel!U137:BL137)</f>
      </c>
      <c r="L137">
        <f>SUMIF(negtgel!U$2:BL$2,'Tsalin uzuulelt'!N$1,negtgel!U137:BL137) + SUMIF(negtgel!U$2:BL$2,'Tsalin uzuulelt'!N$2,negtgel!U137:BL137)+SUMIF(negtgel!U$2:BL$2,'Tsalin uzuulelt'!N$3,negtgel!U137:BL137)+SUMIF(negtgel!U$2:BL$2,'Tsalin uzuulelt'!N$4,negtgel!U137:BL137)+SUMIF(negtgel!U$2:BL$2,'Tsalin uzuulelt'!N$5,negtgel!U137:BL137)</f>
      </c>
      <c r="M137">
        <f>SUMIF(negtgel!U$2:BL$2,'Tsalin uzuulelt'!P$1,negtgel!U137:BL137) + SUMIF(negtgel!U$2:BL$2,'Tsalin uzuulelt'!P$2,negtgel!U137:BL137)+ SUMIF(negtgel!U$2:BL$2,'Tsalin uzuulelt'!P$3,negtgel!U137:BL137)+ SUMIF(negtgel!U$2:BL$2,'Tsalin uzuulelt'!P$4,negtgel!U137:BL137)+ SUMIF(negtgel!U$2:BL$2,'Tsalin uzuulelt'!P$5,negtgel!U137:BL137)</f>
      </c>
      <c r="N137">
        <f>IF(ISNUMBER(U137*1)=CF137,0,K137-H137-G137)</f>
      </c>
      <c r="O137">
        <f>IF(ISNUMBER(U137*1)=CF137,0,L137)</f>
      </c>
      <c r="P137">
        <f>IF(ISNUMBER(U137*1)=CF137,0,M137)</f>
      </c>
      <c r="Q137">
        <f>IF(N137&gt;2400000,N137,0)</f>
      </c>
      <c r="R137">
        <f>IF(L137/Q137*100&lt;3,2,10)</f>
      </c>
      <c r="S137">
        <f>IF(CH137=0,0,IF(B137&gt;9,10,IF(B137&gt;8,B137,IF(B137&gt;7.7,7.8,IF(B137&gt;3,B137,IF(B137&gt;1.5,2))))))</f>
      </c>
      <c r="T137">
        <f>IF(Q137=0,S137,R137)</f>
      </c>
      <c r="U137" t="n">
        <v>154.0</v>
      </c>
      <c r="V137" t="s">
        <v>3846</v>
      </c>
      <c r="W137" t="s">
        <v>3790</v>
      </c>
      <c r="X137" t="n">
        <v>645556.0</v>
      </c>
      <c r="Y137" t="n">
        <v>0.0</v>
      </c>
      <c r="Z137" t="n">
        <v>0.0</v>
      </c>
      <c r="AA137" t="n">
        <v>0.0</v>
      </c>
      <c r="AB137" t="n">
        <v>0.0</v>
      </c>
      <c r="AC137" t="n">
        <v>0.0</v>
      </c>
      <c r="AD137" t="n">
        <v>0.0</v>
      </c>
      <c r="AE137" t="n">
        <v>0.0</v>
      </c>
      <c r="AF137" t="n">
        <v>0.0</v>
      </c>
      <c r="AG137" t="n">
        <v>0.0</v>
      </c>
      <c r="AH137" t="n">
        <v>0.0</v>
      </c>
      <c r="AI137" t="n">
        <v>0.0</v>
      </c>
      <c r="AJ137" t="n">
        <v>0.0</v>
      </c>
      <c r="AK137" t="n">
        <v>0.0</v>
      </c>
      <c r="AL137" t="n">
        <v>0.0</v>
      </c>
      <c r="AM137" t="n">
        <v>0.0</v>
      </c>
      <c r="AN137" t="n">
        <v>0.0</v>
      </c>
      <c r="AO137" t="n">
        <v>0.0</v>
      </c>
      <c r="AP137" t="n">
        <v>0.0</v>
      </c>
      <c r="AQ137" t="n">
        <v>0.0</v>
      </c>
      <c r="CH137">
        <f>IFERROR(U137*1,0)</f>
      </c>
    </row>
    <row r="138">
      <c r="A138" t="n">
        <v>2.0</v>
      </c>
      <c r="B138">
        <f>IF((K138-G138-H138&gt;2400000),10,(L138/(K138-G138-H138)*100))</f>
      </c>
      <c r="C138">
        <f>IF(N138&gt;2400000,240000,(N138*S138)/100)</f>
      </c>
      <c r="D138">
        <f>IF(S138=0,0,IF((N138-I138)&gt;2400000,((((((N138-I138-J138)-240000))*0.1+(I138+J138)*0.1)))-7000,((((((N138-I138-J138)-(N138-I138-J138)*S138/100)))*0.1+(I138+J138)*0.1)-7000)))</f>
      </c>
      <c r="E138">
        <f>C138-O138</f>
      </c>
      <c r="F138">
        <f>D138-P138</f>
      </c>
      <c r="G138">
        <f>SUMIF(negtgel!U$2:BL$2,'Tsalin uzuulelt'!B$1,negtgel!U138:BL138) + SUMIF(negtgel!U$2:BL$2,'Tsalin uzuulelt'!B$2,negtgel!U138:BL138)+SUMIF(negtgel!U$2:BL$2,'Tsalin uzuulelt'!B$3,negtgel!U138:BL138)+SUMIF(negtgel!U$2:BL$2,'Tsalin uzuulelt'!B$4,negtgel!U138:BL138)+SUMIF(negtgel!U$2:BL$2,'Tsalin uzuulelt'!B$5,negtgel!U138:BL138)</f>
      </c>
      <c r="H138">
        <f>SUMIF(negtgel!U$2:BL$2,'Tsalin uzuulelt'!F$1,negtgel!U138:BL138) + SUMIF(negtgel!U$2:BL$2,'Tsalin uzuulelt'!F$2,negtgel!U138:BL138)+SUMIF(negtgel!U$2:BL$2,'Tsalin uzuulelt'!F$3,negtgel!U138:BL138)+SUMIF(negtgel!U$2:BL$2,'Tsalin uzuulelt'!F$4,negtgel!U138:BL138)+SUMIF(negtgel!U$2:BL$2,'Tsalin uzuulelt'!F$5,negtgel!U138:BL138)</f>
      </c>
      <c r="I138">
        <f>SUMIF(negtgel!U$2:BL$2,'Tsalin uzuulelt'!H$1,negtgel!U138:BL138) + SUMIF(negtgel!U$2:BL$2,'Tsalin uzuulelt'!H$2,negtgel!U138:BL138)+SUMIF(negtgel!U$2:BL$2,'Tsalin uzuulelt'!H$3,negtgel!U138:BL138)+SUMIF(negtgel!U$2:BL$2,'Tsalin uzuulelt'!H$4,negtgel!U138:BL138)+SUMIF(negtgel!U$2:BL$2,'Tsalin uzuulelt'!H$5,negtgel!U138:BL138)</f>
      </c>
      <c r="J138">
        <f>SUMIF(negtgel!U$2:BL$2,'Tsalin uzuulelt'!J$1,negtgel!U138:BL138) + SUMIF(negtgel!U$2:BL$2,'Tsalin uzuulelt'!J$2,negtgel!U138:BL138)+SUMIF(negtgel!U$2:BL$2,'Tsalin uzuulelt'!J$3,negtgel!U138:BL138)+SUMIF(negtgel!U$2:BL$2,'Tsalin uzuulelt'!J$4,negtgel!U138:BL138)+SUMIF(negtgel!U$2:BL$2,'Tsalin uzuulelt'!J$5,negtgel!U138:BL138)</f>
      </c>
      <c r="K138">
        <f>SUMIF(negtgel!U$2:BL$2,'Tsalin uzuulelt'!L$1,negtgel!U138:BL138) + SUMIF(negtgel!U$2:BL$2,'Tsalin uzuulelt'!L$2,negtgel!U138:BL138)+SUMIF(negtgel!U$2:BL$2,'Tsalin uzuulelt'!L$3,negtgel!U138:BL138)+SUMIF(negtgel!U$2:BL$2,'Tsalin uzuulelt'!L$4,negtgel!U138:BL138)+SUMIF(negtgel!U$2:BL$2,'Tsalin uzuulelt'!L$5,negtgel!U138:BL138)</f>
      </c>
      <c r="L138">
        <f>SUMIF(negtgel!U$2:BL$2,'Tsalin uzuulelt'!N$1,negtgel!U138:BL138) + SUMIF(negtgel!U$2:BL$2,'Tsalin uzuulelt'!N$2,negtgel!U138:BL138)+SUMIF(negtgel!U$2:BL$2,'Tsalin uzuulelt'!N$3,negtgel!U138:BL138)+SUMIF(negtgel!U$2:BL$2,'Tsalin uzuulelt'!N$4,negtgel!U138:BL138)+SUMIF(negtgel!U$2:BL$2,'Tsalin uzuulelt'!N$5,negtgel!U138:BL138)</f>
      </c>
      <c r="M138">
        <f>SUMIF(negtgel!U$2:BL$2,'Tsalin uzuulelt'!P$1,negtgel!U138:BL138) + SUMIF(negtgel!U$2:BL$2,'Tsalin uzuulelt'!P$2,negtgel!U138:BL138)+ SUMIF(negtgel!U$2:BL$2,'Tsalin uzuulelt'!P$3,negtgel!U138:BL138)+ SUMIF(negtgel!U$2:BL$2,'Tsalin uzuulelt'!P$4,negtgel!U138:BL138)+ SUMIF(negtgel!U$2:BL$2,'Tsalin uzuulelt'!P$5,negtgel!U138:BL138)</f>
      </c>
      <c r="N138">
        <f>IF(ISNUMBER(U138*1)=CF138,0,K138-H138-G138)</f>
      </c>
      <c r="O138">
        <f>IF(ISNUMBER(U138*1)=CF138,0,L138)</f>
      </c>
      <c r="P138">
        <f>IF(ISNUMBER(U138*1)=CF138,0,M138)</f>
      </c>
      <c r="Q138">
        <f>IF(N138&gt;2400000,N138,0)</f>
      </c>
      <c r="R138">
        <f>IF(L138/Q138*100&lt;3,2,10)</f>
      </c>
      <c r="S138">
        <f>IF(CH138=0,0,IF(B138&gt;9,10,IF(B138&gt;8,B138,IF(B138&gt;7.7,7.8,IF(B138&gt;3,B138,IF(B138&gt;1.5,2))))))</f>
      </c>
      <c r="T138">
        <f>IF(Q138=0,S138,R138)</f>
      </c>
      <c r="U138" t="s">
        <v>3787</v>
      </c>
      <c r="V138"/>
      <c r="W138"/>
      <c r="X138" t="n">
        <v>3.6824104E7</v>
      </c>
      <c r="Y138" t="n">
        <v>0.0</v>
      </c>
      <c r="Z138" t="n">
        <v>0.0</v>
      </c>
      <c r="AA138" t="n">
        <v>0.0</v>
      </c>
      <c r="AB138" t="n">
        <v>0.0</v>
      </c>
      <c r="AC138" t="n">
        <v>0.0</v>
      </c>
      <c r="AD138" t="n">
        <v>0.0</v>
      </c>
      <c r="AE138" t="n">
        <v>0.0</v>
      </c>
      <c r="AF138" t="n">
        <v>0.0</v>
      </c>
      <c r="AG138" t="n">
        <v>0.0</v>
      </c>
      <c r="AH138" t="n">
        <v>0.0</v>
      </c>
      <c r="AI138" t="n">
        <v>0.0</v>
      </c>
      <c r="AJ138" t="n">
        <v>0.0</v>
      </c>
      <c r="AK138" t="n">
        <v>0.0</v>
      </c>
      <c r="AL138" t="n">
        <v>0.0</v>
      </c>
      <c r="AM138" t="n">
        <v>0.0</v>
      </c>
      <c r="AN138" t="n">
        <v>0.0</v>
      </c>
      <c r="AO138" t="n">
        <v>0.0</v>
      </c>
      <c r="AP138" t="n">
        <v>0.0</v>
      </c>
      <c r="AQ138" t="n">
        <v>0.0</v>
      </c>
      <c r="CH138">
        <f>IFERROR(U138*1,0)</f>
      </c>
    </row>
    <row r="139">
      <c r="A139" t="n">
        <v>2.0</v>
      </c>
      <c r="B139">
        <f>IF((K139-G139-H139&gt;2400000),10,(L139/(K139-G139-H139)*100))</f>
      </c>
      <c r="C139">
        <f>IF(N139&gt;2400000,240000,(N139*S139)/100)</f>
      </c>
      <c r="D139">
        <f>IF(S139=0,0,IF((N139-I139)&gt;2400000,((((((N139-I139-J139)-240000))*0.1+(I139+J139)*0.1)))-7000,((((((N139-I139-J139)-(N139-I139-J139)*S139/100)))*0.1+(I139+J139)*0.1)-7000)))</f>
      </c>
      <c r="E139">
        <f>C139-O139</f>
      </c>
      <c r="F139">
        <f>D139-P139</f>
      </c>
      <c r="G139">
        <f>SUMIF(negtgel!U$2:BL$2,'Tsalin uzuulelt'!B$1,negtgel!U139:BL139) + SUMIF(negtgel!U$2:BL$2,'Tsalin uzuulelt'!B$2,negtgel!U139:BL139)+SUMIF(negtgel!U$2:BL$2,'Tsalin uzuulelt'!B$3,negtgel!U139:BL139)+SUMIF(negtgel!U$2:BL$2,'Tsalin uzuulelt'!B$4,negtgel!U139:BL139)+SUMIF(negtgel!U$2:BL$2,'Tsalin uzuulelt'!B$5,negtgel!U139:BL139)</f>
      </c>
      <c r="H139">
        <f>SUMIF(negtgel!U$2:BL$2,'Tsalin uzuulelt'!F$1,negtgel!U139:BL139) + SUMIF(negtgel!U$2:BL$2,'Tsalin uzuulelt'!F$2,negtgel!U139:BL139)+SUMIF(negtgel!U$2:BL$2,'Tsalin uzuulelt'!F$3,negtgel!U139:BL139)+SUMIF(negtgel!U$2:BL$2,'Tsalin uzuulelt'!F$4,negtgel!U139:BL139)+SUMIF(negtgel!U$2:BL$2,'Tsalin uzuulelt'!F$5,negtgel!U139:BL139)</f>
      </c>
      <c r="I139">
        <f>SUMIF(negtgel!U$2:BL$2,'Tsalin uzuulelt'!H$1,negtgel!U139:BL139) + SUMIF(negtgel!U$2:BL$2,'Tsalin uzuulelt'!H$2,negtgel!U139:BL139)+SUMIF(negtgel!U$2:BL$2,'Tsalin uzuulelt'!H$3,negtgel!U139:BL139)+SUMIF(negtgel!U$2:BL$2,'Tsalin uzuulelt'!H$4,negtgel!U139:BL139)+SUMIF(negtgel!U$2:BL$2,'Tsalin uzuulelt'!H$5,negtgel!U139:BL139)</f>
      </c>
      <c r="J139">
        <f>SUMIF(negtgel!U$2:BL$2,'Tsalin uzuulelt'!J$1,negtgel!U139:BL139) + SUMIF(negtgel!U$2:BL$2,'Tsalin uzuulelt'!J$2,negtgel!U139:BL139)+SUMIF(negtgel!U$2:BL$2,'Tsalin uzuulelt'!J$3,negtgel!U139:BL139)+SUMIF(negtgel!U$2:BL$2,'Tsalin uzuulelt'!J$4,negtgel!U139:BL139)+SUMIF(negtgel!U$2:BL$2,'Tsalin uzuulelt'!J$5,negtgel!U139:BL139)</f>
      </c>
      <c r="K139">
        <f>SUMIF(negtgel!U$2:BL$2,'Tsalin uzuulelt'!L$1,negtgel!U139:BL139) + SUMIF(negtgel!U$2:BL$2,'Tsalin uzuulelt'!L$2,negtgel!U139:BL139)+SUMIF(negtgel!U$2:BL$2,'Tsalin uzuulelt'!L$3,negtgel!U139:BL139)+SUMIF(negtgel!U$2:BL$2,'Tsalin uzuulelt'!L$4,negtgel!U139:BL139)+SUMIF(negtgel!U$2:BL$2,'Tsalin uzuulelt'!L$5,negtgel!U139:BL139)</f>
      </c>
      <c r="L139">
        <f>SUMIF(negtgel!U$2:BL$2,'Tsalin uzuulelt'!N$1,negtgel!U139:BL139) + SUMIF(negtgel!U$2:BL$2,'Tsalin uzuulelt'!N$2,negtgel!U139:BL139)+SUMIF(negtgel!U$2:BL$2,'Tsalin uzuulelt'!N$3,negtgel!U139:BL139)+SUMIF(negtgel!U$2:BL$2,'Tsalin uzuulelt'!N$4,negtgel!U139:BL139)+SUMIF(negtgel!U$2:BL$2,'Tsalin uzuulelt'!N$5,negtgel!U139:BL139)</f>
      </c>
      <c r="M139">
        <f>SUMIF(negtgel!U$2:BL$2,'Tsalin uzuulelt'!P$1,negtgel!U139:BL139) + SUMIF(negtgel!U$2:BL$2,'Tsalin uzuulelt'!P$2,negtgel!U139:BL139)+ SUMIF(negtgel!U$2:BL$2,'Tsalin uzuulelt'!P$3,negtgel!U139:BL139)+ SUMIF(negtgel!U$2:BL$2,'Tsalin uzuulelt'!P$4,negtgel!U139:BL139)+ SUMIF(negtgel!U$2:BL$2,'Tsalin uzuulelt'!P$5,negtgel!U139:BL139)</f>
      </c>
      <c r="N139">
        <f>IF(ISNUMBER(U139*1)=CF139,0,K139-H139-G139)</f>
      </c>
      <c r="O139">
        <f>IF(ISNUMBER(U139*1)=CF139,0,L139)</f>
      </c>
      <c r="P139">
        <f>IF(ISNUMBER(U139*1)=CF139,0,M139)</f>
      </c>
      <c r="Q139">
        <f>IF(N139&gt;2400000,N139,0)</f>
      </c>
      <c r="R139">
        <f>IF(L139/Q139*100&lt;3,2,10)</f>
      </c>
      <c r="S139">
        <f>IF(CH139=0,0,IF(B139&gt;9,10,IF(B139&gt;8,B139,IF(B139&gt;7.7,7.8,IF(B139&gt;3,B139,IF(B139&gt;1.5,2))))))</f>
      </c>
      <c r="T139">
        <f>IF(Q139=0,S139,R139)</f>
      </c>
      <c r="U139" t="s">
        <v>3847</v>
      </c>
      <c r="V139"/>
      <c r="W139"/>
      <c r="X139"/>
      <c r="Y139"/>
      <c r="Z139"/>
      <c r="AA139"/>
      <c r="AB139"/>
      <c r="AC139"/>
      <c r="AD139"/>
      <c r="AE139"/>
      <c r="AF139"/>
      <c r="AG139"/>
      <c r="AH139"/>
      <c r="AI139"/>
      <c r="AJ139"/>
      <c r="AK139"/>
      <c r="AL139"/>
      <c r="AM139"/>
      <c r="AN139"/>
      <c r="AO139"/>
      <c r="AP139"/>
      <c r="AQ139"/>
      <c r="CH139">
        <f>IFERROR(U139*1,0)</f>
      </c>
    </row>
    <row r="140">
      <c r="A140" t="n">
        <v>2.0</v>
      </c>
      <c r="B140">
        <f>IF((K140-G140-H140&gt;2400000),10,(L140/(K140-G140-H140)*100))</f>
      </c>
      <c r="C140">
        <f>IF(N140&gt;2400000,240000,(N140*S140)/100)</f>
      </c>
      <c r="D140">
        <f>IF(S140=0,0,IF((N140-I140)&gt;2400000,((((((N140-I140-J140)-240000))*0.1+(I140+J140)*0.1)))-7000,((((((N140-I140-J140)-(N140-I140-J140)*S140/100)))*0.1+(I140+J140)*0.1)-7000)))</f>
      </c>
      <c r="E140">
        <f>C140-O140</f>
      </c>
      <c r="F140">
        <f>D140-P140</f>
      </c>
      <c r="G140">
        <f>SUMIF(negtgel!U$2:BL$2,'Tsalin uzuulelt'!B$1,negtgel!U140:BL140) + SUMIF(negtgel!U$2:BL$2,'Tsalin uzuulelt'!B$2,negtgel!U140:BL140)+SUMIF(negtgel!U$2:BL$2,'Tsalin uzuulelt'!B$3,negtgel!U140:BL140)+SUMIF(negtgel!U$2:BL$2,'Tsalin uzuulelt'!B$4,negtgel!U140:BL140)+SUMIF(negtgel!U$2:BL$2,'Tsalin uzuulelt'!B$5,negtgel!U140:BL140)</f>
      </c>
      <c r="H140">
        <f>SUMIF(negtgel!U$2:BL$2,'Tsalin uzuulelt'!F$1,negtgel!U140:BL140) + SUMIF(negtgel!U$2:BL$2,'Tsalin uzuulelt'!F$2,negtgel!U140:BL140)+SUMIF(negtgel!U$2:BL$2,'Tsalin uzuulelt'!F$3,negtgel!U140:BL140)+SUMIF(negtgel!U$2:BL$2,'Tsalin uzuulelt'!F$4,negtgel!U140:BL140)+SUMIF(negtgel!U$2:BL$2,'Tsalin uzuulelt'!F$5,negtgel!U140:BL140)</f>
      </c>
      <c r="I140">
        <f>SUMIF(negtgel!U$2:BL$2,'Tsalin uzuulelt'!H$1,negtgel!U140:BL140) + SUMIF(negtgel!U$2:BL$2,'Tsalin uzuulelt'!H$2,negtgel!U140:BL140)+SUMIF(negtgel!U$2:BL$2,'Tsalin uzuulelt'!H$3,negtgel!U140:BL140)+SUMIF(negtgel!U$2:BL$2,'Tsalin uzuulelt'!H$4,negtgel!U140:BL140)+SUMIF(negtgel!U$2:BL$2,'Tsalin uzuulelt'!H$5,negtgel!U140:BL140)</f>
      </c>
      <c r="J140">
        <f>SUMIF(negtgel!U$2:BL$2,'Tsalin uzuulelt'!J$1,negtgel!U140:BL140) + SUMIF(negtgel!U$2:BL$2,'Tsalin uzuulelt'!J$2,negtgel!U140:BL140)+SUMIF(negtgel!U$2:BL$2,'Tsalin uzuulelt'!J$3,negtgel!U140:BL140)+SUMIF(negtgel!U$2:BL$2,'Tsalin uzuulelt'!J$4,negtgel!U140:BL140)+SUMIF(negtgel!U$2:BL$2,'Tsalin uzuulelt'!J$5,negtgel!U140:BL140)</f>
      </c>
      <c r="K140">
        <f>SUMIF(negtgel!U$2:BL$2,'Tsalin uzuulelt'!L$1,negtgel!U140:BL140) + SUMIF(negtgel!U$2:BL$2,'Tsalin uzuulelt'!L$2,negtgel!U140:BL140)+SUMIF(negtgel!U$2:BL$2,'Tsalin uzuulelt'!L$3,negtgel!U140:BL140)+SUMIF(negtgel!U$2:BL$2,'Tsalin uzuulelt'!L$4,negtgel!U140:BL140)+SUMIF(negtgel!U$2:BL$2,'Tsalin uzuulelt'!L$5,negtgel!U140:BL140)</f>
      </c>
      <c r="L140">
        <f>SUMIF(negtgel!U$2:BL$2,'Tsalin uzuulelt'!N$1,negtgel!U140:BL140) + SUMIF(negtgel!U$2:BL$2,'Tsalin uzuulelt'!N$2,negtgel!U140:BL140)+SUMIF(negtgel!U$2:BL$2,'Tsalin uzuulelt'!N$3,negtgel!U140:BL140)+SUMIF(negtgel!U$2:BL$2,'Tsalin uzuulelt'!N$4,negtgel!U140:BL140)+SUMIF(negtgel!U$2:BL$2,'Tsalin uzuulelt'!N$5,negtgel!U140:BL140)</f>
      </c>
      <c r="M140">
        <f>SUMIF(negtgel!U$2:BL$2,'Tsalin uzuulelt'!P$1,negtgel!U140:BL140) + SUMIF(negtgel!U$2:BL$2,'Tsalin uzuulelt'!P$2,negtgel!U140:BL140)+ SUMIF(negtgel!U$2:BL$2,'Tsalin uzuulelt'!P$3,negtgel!U140:BL140)+ SUMIF(negtgel!U$2:BL$2,'Tsalin uzuulelt'!P$4,negtgel!U140:BL140)+ SUMIF(negtgel!U$2:BL$2,'Tsalin uzuulelt'!P$5,negtgel!U140:BL140)</f>
      </c>
      <c r="N140">
        <f>IF(ISNUMBER(U140*1)=CF140,0,K140-H140-G140)</f>
      </c>
      <c r="O140">
        <f>IF(ISNUMBER(U140*1)=CF140,0,L140)</f>
      </c>
      <c r="P140">
        <f>IF(ISNUMBER(U140*1)=CF140,0,M140)</f>
      </c>
      <c r="Q140">
        <f>IF(N140&gt;2400000,N140,0)</f>
      </c>
      <c r="R140">
        <f>IF(L140/Q140*100&lt;3,2,10)</f>
      </c>
      <c r="S140">
        <f>IF(CH140=0,0,IF(B140&gt;9,10,IF(B140&gt;8,B140,IF(B140&gt;7.7,7.8,IF(B140&gt;3,B140,IF(B140&gt;1.5,2))))))</f>
      </c>
      <c r="T140">
        <f>IF(Q140=0,S140,R140)</f>
      </c>
      <c r="U140" t="n">
        <v>155.0</v>
      </c>
      <c r="V140" t="s">
        <v>3848</v>
      </c>
      <c r="W140" t="s">
        <v>3790</v>
      </c>
      <c r="X140" t="n">
        <v>613669.0</v>
      </c>
      <c r="Y140" t="n">
        <v>0.0</v>
      </c>
      <c r="Z140" t="n">
        <v>0.0</v>
      </c>
      <c r="AA140" t="n">
        <v>0.0</v>
      </c>
      <c r="AB140" t="n">
        <v>0.0</v>
      </c>
      <c r="AC140" t="n">
        <v>0.0</v>
      </c>
      <c r="AD140" t="n">
        <v>0.0</v>
      </c>
      <c r="AE140" t="n">
        <v>0.0</v>
      </c>
      <c r="AF140" t="n">
        <v>0.0</v>
      </c>
      <c r="AG140" t="n">
        <v>0.0</v>
      </c>
      <c r="AH140" t="n">
        <v>0.0</v>
      </c>
      <c r="AI140" t="n">
        <v>0.0</v>
      </c>
      <c r="AJ140" t="n">
        <v>0.0</v>
      </c>
      <c r="AK140" t="n">
        <v>0.0</v>
      </c>
      <c r="AL140" t="n">
        <v>0.0</v>
      </c>
      <c r="AM140" t="n">
        <v>0.0</v>
      </c>
      <c r="AN140" t="n">
        <v>0.0</v>
      </c>
      <c r="AO140" t="n">
        <v>0.0</v>
      </c>
      <c r="AP140" t="n">
        <v>0.0</v>
      </c>
      <c r="AQ140" t="n">
        <v>0.0</v>
      </c>
      <c r="CH140">
        <f>IFERROR(U140*1,0)</f>
      </c>
    </row>
    <row r="143">
      <c r="A143" t="n">
        <v>3.0</v>
      </c>
      <c r="B143">
        <f>IF((K143-G143-H143&gt;2400000),10,(L143/(K143-G143-H143)*100))</f>
      </c>
      <c r="C143">
        <f>IF(N143&gt;2400000,240000,(N143*S143)/100)</f>
      </c>
      <c r="D143">
        <f>IF(S143=0,0,IF((N143-I143)&gt;2400000,((((((N143-I143-J143)-240000))*0.1+(I143+J143)*0.1)))-7000,((((((N143-I143-J143)-(N143-I143-J143)*S143/100)))*0.1+(I143+J143)*0.1)-7000)))</f>
      </c>
      <c r="E143">
        <f>C143-O143</f>
      </c>
      <c r="F143">
        <f>D143-P143</f>
      </c>
      <c r="G143">
        <f>SUMIF(negtgel!U$2:BL$2,'Tsalin uzuulelt'!B$1,negtgel!U143:BL143) + SUMIF(negtgel!U$2:BL$2,'Tsalin uzuulelt'!B$2,negtgel!U143:BL143)+SUMIF(negtgel!U$2:BL$2,'Tsalin uzuulelt'!B$3,negtgel!U143:BL143)+SUMIF(negtgel!U$2:BL$2,'Tsalin uzuulelt'!B$4,negtgel!U143:BL143)+SUMIF(negtgel!U$2:BL$2,'Tsalin uzuulelt'!B$5,negtgel!U143:BL143)</f>
      </c>
      <c r="H143">
        <f>SUMIF(negtgel!U$2:BL$2,'Tsalin uzuulelt'!F$1,negtgel!U143:BL143) + SUMIF(negtgel!U$2:BL$2,'Tsalin uzuulelt'!F$2,negtgel!U143:BL143)+SUMIF(negtgel!U$2:BL$2,'Tsalin uzuulelt'!F$3,negtgel!U143:BL143)+SUMIF(negtgel!U$2:BL$2,'Tsalin uzuulelt'!F$4,negtgel!U143:BL143)+SUMIF(negtgel!U$2:BL$2,'Tsalin uzuulelt'!F$5,negtgel!U143:BL143)</f>
      </c>
      <c r="I143">
        <f>SUMIF(negtgel!U$2:BL$2,'Tsalin uzuulelt'!H$1,negtgel!U143:BL143) + SUMIF(negtgel!U$2:BL$2,'Tsalin uzuulelt'!H$2,negtgel!U143:BL143)+SUMIF(negtgel!U$2:BL$2,'Tsalin uzuulelt'!H$3,negtgel!U143:BL143)+SUMIF(negtgel!U$2:BL$2,'Tsalin uzuulelt'!H$4,negtgel!U143:BL143)+SUMIF(negtgel!U$2:BL$2,'Tsalin uzuulelt'!H$5,negtgel!U143:BL143)</f>
      </c>
      <c r="J143">
        <f>SUMIF(negtgel!U$2:BL$2,'Tsalin uzuulelt'!J$1,negtgel!U143:BL143) + SUMIF(negtgel!U$2:BL$2,'Tsalin uzuulelt'!J$2,negtgel!U143:BL143)+SUMIF(negtgel!U$2:BL$2,'Tsalin uzuulelt'!J$3,negtgel!U143:BL143)+SUMIF(negtgel!U$2:BL$2,'Tsalin uzuulelt'!J$4,negtgel!U143:BL143)+SUMIF(negtgel!U$2:BL$2,'Tsalin uzuulelt'!J$5,negtgel!U143:BL143)</f>
      </c>
      <c r="K143">
        <f>SUMIF(negtgel!U$2:BL$2,'Tsalin uzuulelt'!L$1,negtgel!U143:BL143) + SUMIF(negtgel!U$2:BL$2,'Tsalin uzuulelt'!L$2,negtgel!U143:BL143)+SUMIF(negtgel!U$2:BL$2,'Tsalin uzuulelt'!L$3,negtgel!U143:BL143)+SUMIF(negtgel!U$2:BL$2,'Tsalin uzuulelt'!L$4,negtgel!U143:BL143)+SUMIF(negtgel!U$2:BL$2,'Tsalin uzuulelt'!L$5,negtgel!U143:BL143)</f>
      </c>
      <c r="L143">
        <f>SUMIF(negtgel!U$2:BL$2,'Tsalin uzuulelt'!N$1,negtgel!U143:BL143) + SUMIF(negtgel!U$2:BL$2,'Tsalin uzuulelt'!N$2,negtgel!U143:BL143)+SUMIF(negtgel!U$2:BL$2,'Tsalin uzuulelt'!N$3,negtgel!U143:BL143)+SUMIF(negtgel!U$2:BL$2,'Tsalin uzuulelt'!N$4,negtgel!U143:BL143)+SUMIF(negtgel!U$2:BL$2,'Tsalin uzuulelt'!N$5,negtgel!U143:BL143)</f>
      </c>
      <c r="M143">
        <f>SUMIF(negtgel!U$2:BL$2,'Tsalin uzuulelt'!P$1,negtgel!U143:BL143) + SUMIF(negtgel!U$2:BL$2,'Tsalin uzuulelt'!P$2,negtgel!U143:BL143)+ SUMIF(negtgel!U$2:BL$2,'Tsalin uzuulelt'!P$3,negtgel!U143:BL143)+ SUMIF(negtgel!U$2:BL$2,'Tsalin uzuulelt'!P$4,negtgel!U143:BL143)+ SUMIF(negtgel!U$2:BL$2,'Tsalin uzuulelt'!P$5,negtgel!U143:BL143)</f>
      </c>
      <c r="N143">
        <f>IF(ISNUMBER(U143*1)=CF143,0,K143-H143-G143)</f>
      </c>
      <c r="O143">
        <f>IF(ISNUMBER(U143*1)=CF143,0,L143)</f>
      </c>
      <c r="P143">
        <f>IF(ISNUMBER(U143*1)=CF143,0,M143)</f>
      </c>
      <c r="Q143">
        <f>IF(N143&gt;2400000,N143,0)</f>
      </c>
      <c r="R143">
        <f>IF(L143/Q143*100&lt;3,2,10)</f>
      </c>
      <c r="S143">
        <f>IF(CH143=0,0,IF(B143&gt;9,10,IF(B143&gt;8,B143,IF(B143&gt;7.7,7.8,IF(B143&gt;3,B143,IF(B143&gt;1.5,2))))))</f>
      </c>
      <c r="T143">
        <f>IF(Q143=0,S143,R143)</f>
      </c>
      <c r="U143" t="s">
        <v>3781</v>
      </c>
      <c r="V143"/>
      <c r="W143"/>
      <c r="X143"/>
      <c r="Y143"/>
      <c r="Z143"/>
      <c r="AA143"/>
      <c r="AB143"/>
      <c r="AC143"/>
      <c r="AD143"/>
      <c r="AE143"/>
      <c r="AF143"/>
      <c r="AG143"/>
      <c r="AH143"/>
      <c r="AI143"/>
      <c r="AJ143"/>
      <c r="AK143"/>
      <c r="AL143"/>
      <c r="AM143"/>
      <c r="AN143"/>
      <c r="AO143"/>
      <c r="AP143"/>
      <c r="AQ143"/>
      <c r="CH143">
        <f>IFERROR(U143*1,0)</f>
      </c>
    </row>
    <row r="144">
      <c r="A144" t="n">
        <v>3.0</v>
      </c>
      <c r="B144">
        <f>IF((K144-G144-H144&gt;2400000),10,(L144/(K144-G144-H144)*100))</f>
      </c>
      <c r="C144">
        <f>IF(N144&gt;2400000,240000,(N144*S144)/100)</f>
      </c>
      <c r="D144">
        <f>IF(S144=0,0,IF((N144-I144)&gt;2400000,((((((N144-I144-J144)-240000))*0.1+(I144+J144)*0.1)))-7000,((((((N144-I144-J144)-(N144-I144-J144)*S144/100)))*0.1+(I144+J144)*0.1)-7000)))</f>
      </c>
      <c r="E144">
        <f>C144-O144</f>
      </c>
      <c r="F144">
        <f>D144-P144</f>
      </c>
      <c r="G144">
        <f>SUMIF(negtgel!U$2:BL$2,'Tsalin uzuulelt'!B$1,negtgel!U144:BL144) + SUMIF(negtgel!U$2:BL$2,'Tsalin uzuulelt'!B$2,negtgel!U144:BL144)+SUMIF(negtgel!U$2:BL$2,'Tsalin uzuulelt'!B$3,negtgel!U144:BL144)+SUMIF(negtgel!U$2:BL$2,'Tsalin uzuulelt'!B$4,negtgel!U144:BL144)+SUMIF(negtgel!U$2:BL$2,'Tsalin uzuulelt'!B$5,negtgel!U144:BL144)</f>
      </c>
      <c r="H144">
        <f>SUMIF(negtgel!U$2:BL$2,'Tsalin uzuulelt'!F$1,negtgel!U144:BL144) + SUMIF(negtgel!U$2:BL$2,'Tsalin uzuulelt'!F$2,negtgel!U144:BL144)+SUMIF(negtgel!U$2:BL$2,'Tsalin uzuulelt'!F$3,negtgel!U144:BL144)+SUMIF(negtgel!U$2:BL$2,'Tsalin uzuulelt'!F$4,negtgel!U144:BL144)+SUMIF(negtgel!U$2:BL$2,'Tsalin uzuulelt'!F$5,negtgel!U144:BL144)</f>
      </c>
      <c r="I144">
        <f>SUMIF(negtgel!U$2:BL$2,'Tsalin uzuulelt'!H$1,negtgel!U144:BL144) + SUMIF(negtgel!U$2:BL$2,'Tsalin uzuulelt'!H$2,negtgel!U144:BL144)+SUMIF(negtgel!U$2:BL$2,'Tsalin uzuulelt'!H$3,negtgel!U144:BL144)+SUMIF(negtgel!U$2:BL$2,'Tsalin uzuulelt'!H$4,negtgel!U144:BL144)+SUMIF(negtgel!U$2:BL$2,'Tsalin uzuulelt'!H$5,negtgel!U144:BL144)</f>
      </c>
      <c r="J144">
        <f>SUMIF(negtgel!U$2:BL$2,'Tsalin uzuulelt'!J$1,negtgel!U144:BL144) + SUMIF(negtgel!U$2:BL$2,'Tsalin uzuulelt'!J$2,negtgel!U144:BL144)+SUMIF(negtgel!U$2:BL$2,'Tsalin uzuulelt'!J$3,negtgel!U144:BL144)+SUMIF(negtgel!U$2:BL$2,'Tsalin uzuulelt'!J$4,negtgel!U144:BL144)+SUMIF(negtgel!U$2:BL$2,'Tsalin uzuulelt'!J$5,negtgel!U144:BL144)</f>
      </c>
      <c r="K144">
        <f>SUMIF(negtgel!U$2:BL$2,'Tsalin uzuulelt'!L$1,negtgel!U144:BL144) + SUMIF(negtgel!U$2:BL$2,'Tsalin uzuulelt'!L$2,negtgel!U144:BL144)+SUMIF(negtgel!U$2:BL$2,'Tsalin uzuulelt'!L$3,negtgel!U144:BL144)+SUMIF(negtgel!U$2:BL$2,'Tsalin uzuulelt'!L$4,negtgel!U144:BL144)+SUMIF(negtgel!U$2:BL$2,'Tsalin uzuulelt'!L$5,negtgel!U144:BL144)</f>
      </c>
      <c r="L144">
        <f>SUMIF(negtgel!U$2:BL$2,'Tsalin uzuulelt'!N$1,negtgel!U144:BL144) + SUMIF(negtgel!U$2:BL$2,'Tsalin uzuulelt'!N$2,negtgel!U144:BL144)+SUMIF(negtgel!U$2:BL$2,'Tsalin uzuulelt'!N$3,negtgel!U144:BL144)+SUMIF(negtgel!U$2:BL$2,'Tsalin uzuulelt'!N$4,negtgel!U144:BL144)+SUMIF(negtgel!U$2:BL$2,'Tsalin uzuulelt'!N$5,negtgel!U144:BL144)</f>
      </c>
      <c r="M144">
        <f>SUMIF(negtgel!U$2:BL$2,'Tsalin uzuulelt'!P$1,negtgel!U144:BL144) + SUMIF(negtgel!U$2:BL$2,'Tsalin uzuulelt'!P$2,negtgel!U144:BL144)+ SUMIF(negtgel!U$2:BL$2,'Tsalin uzuulelt'!P$3,negtgel!U144:BL144)+ SUMIF(negtgel!U$2:BL$2,'Tsalin uzuulelt'!P$4,negtgel!U144:BL144)+ SUMIF(negtgel!U$2:BL$2,'Tsalin uzuulelt'!P$5,negtgel!U144:BL144)</f>
      </c>
      <c r="N144">
        <f>IF(ISNUMBER(U144*1)=CF144,0,K144-H144-G144)</f>
      </c>
      <c r="O144">
        <f>IF(ISNUMBER(U144*1)=CF144,0,L144)</f>
      </c>
      <c r="P144">
        <f>IF(ISNUMBER(U144*1)=CF144,0,M144)</f>
      </c>
      <c r="Q144">
        <f>IF(N144&gt;2400000,N144,0)</f>
      </c>
      <c r="R144">
        <f>IF(L144/Q144*100&lt;3,2,10)</f>
      </c>
      <c r="S144">
        <f>IF(CH144=0,0,IF(B144&gt;9,10,IF(B144&gt;8,B144,IF(B144&gt;7.7,7.8,IF(B144&gt;3,B144,IF(B144&gt;1.5,2))))))</f>
      </c>
      <c r="T144">
        <f>IF(Q144=0,S144,R144)</f>
      </c>
      <c r="U144" t="n">
        <v>20.0</v>
      </c>
      <c r="V144" t="s">
        <v>3784</v>
      </c>
      <c r="W144" t="s">
        <v>3785</v>
      </c>
      <c r="X144" t="n">
        <v>757359.0</v>
      </c>
      <c r="Y144" t="n">
        <v>757359.0</v>
      </c>
      <c r="Z144" t="n">
        <v>113604.0</v>
      </c>
      <c r="AA144" t="n">
        <v>166619.0</v>
      </c>
      <c r="AB144" t="n">
        <v>0.0</v>
      </c>
      <c r="AC144" t="n">
        <v>113604.0</v>
      </c>
      <c r="AD144" t="n">
        <v>0.0</v>
      </c>
      <c r="AE144" t="n">
        <v>0.0</v>
      </c>
      <c r="AF144" t="n">
        <v>63000.0</v>
      </c>
      <c r="AG144" t="n">
        <v>0.0</v>
      </c>
      <c r="AH144" t="n">
        <v>0.0</v>
      </c>
      <c r="AI144" t="n">
        <v>0.0</v>
      </c>
      <c r="AJ144" t="n">
        <v>0.0</v>
      </c>
      <c r="AK144" t="n">
        <v>0.0</v>
      </c>
      <c r="AL144" t="n">
        <v>0.0</v>
      </c>
      <c r="AM144" t="n">
        <v>0.0</v>
      </c>
      <c r="AN144" t="n">
        <v>0.0</v>
      </c>
      <c r="AO144" t="n">
        <v>1214186.0</v>
      </c>
      <c r="AP144" t="n">
        <v>121418.0</v>
      </c>
      <c r="AQ144" t="n">
        <v>102906.7</v>
      </c>
      <c r="CH144">
        <f>IFERROR(U144*1,0)</f>
      </c>
    </row>
    <row r="145">
      <c r="A145" t="n">
        <v>3.0</v>
      </c>
      <c r="B145">
        <f>IF((K145-G145-H145&gt;2400000),10,(L145/(K145-G145-H145)*100))</f>
      </c>
      <c r="C145">
        <f>IF(N145&gt;2400000,240000,(N145*S145)/100)</f>
      </c>
      <c r="D145">
        <f>IF(S145=0,0,IF((N145-I145)&gt;2400000,((((((N145-I145-J145)-240000))*0.1+(I145+J145)*0.1)))-7000,((((((N145-I145-J145)-(N145-I145-J145)*S145/100)))*0.1+(I145+J145)*0.1)-7000)))</f>
      </c>
      <c r="E145">
        <f>C145-O145</f>
      </c>
      <c r="F145">
        <f>D145-P145</f>
      </c>
      <c r="G145">
        <f>SUMIF(negtgel!U$2:BL$2,'Tsalin uzuulelt'!B$1,negtgel!U145:BL145) + SUMIF(negtgel!U$2:BL$2,'Tsalin uzuulelt'!B$2,negtgel!U145:BL145)+SUMIF(negtgel!U$2:BL$2,'Tsalin uzuulelt'!B$3,negtgel!U145:BL145)+SUMIF(negtgel!U$2:BL$2,'Tsalin uzuulelt'!B$4,negtgel!U145:BL145)+SUMIF(negtgel!U$2:BL$2,'Tsalin uzuulelt'!B$5,negtgel!U145:BL145)</f>
      </c>
      <c r="H145">
        <f>SUMIF(negtgel!U$2:BL$2,'Tsalin uzuulelt'!F$1,negtgel!U145:BL145) + SUMIF(negtgel!U$2:BL$2,'Tsalin uzuulelt'!F$2,negtgel!U145:BL145)+SUMIF(negtgel!U$2:BL$2,'Tsalin uzuulelt'!F$3,negtgel!U145:BL145)+SUMIF(negtgel!U$2:BL$2,'Tsalin uzuulelt'!F$4,negtgel!U145:BL145)+SUMIF(negtgel!U$2:BL$2,'Tsalin uzuulelt'!F$5,negtgel!U145:BL145)</f>
      </c>
      <c r="I145">
        <f>SUMIF(negtgel!U$2:BL$2,'Tsalin uzuulelt'!H$1,negtgel!U145:BL145) + SUMIF(negtgel!U$2:BL$2,'Tsalin uzuulelt'!H$2,negtgel!U145:BL145)+SUMIF(negtgel!U$2:BL$2,'Tsalin uzuulelt'!H$3,negtgel!U145:BL145)+SUMIF(negtgel!U$2:BL$2,'Tsalin uzuulelt'!H$4,negtgel!U145:BL145)+SUMIF(negtgel!U$2:BL$2,'Tsalin uzuulelt'!H$5,negtgel!U145:BL145)</f>
      </c>
      <c r="J145">
        <f>SUMIF(negtgel!U$2:BL$2,'Tsalin uzuulelt'!J$1,negtgel!U145:BL145) + SUMIF(negtgel!U$2:BL$2,'Tsalin uzuulelt'!J$2,negtgel!U145:BL145)+SUMIF(negtgel!U$2:BL$2,'Tsalin uzuulelt'!J$3,negtgel!U145:BL145)+SUMIF(negtgel!U$2:BL$2,'Tsalin uzuulelt'!J$4,negtgel!U145:BL145)+SUMIF(negtgel!U$2:BL$2,'Tsalin uzuulelt'!J$5,negtgel!U145:BL145)</f>
      </c>
      <c r="K145">
        <f>SUMIF(negtgel!U$2:BL$2,'Tsalin uzuulelt'!L$1,negtgel!U145:BL145) + SUMIF(negtgel!U$2:BL$2,'Tsalin uzuulelt'!L$2,negtgel!U145:BL145)+SUMIF(negtgel!U$2:BL$2,'Tsalin uzuulelt'!L$3,negtgel!U145:BL145)+SUMIF(negtgel!U$2:BL$2,'Tsalin uzuulelt'!L$4,negtgel!U145:BL145)+SUMIF(negtgel!U$2:BL$2,'Tsalin uzuulelt'!L$5,negtgel!U145:BL145)</f>
      </c>
      <c r="L145">
        <f>SUMIF(negtgel!U$2:BL$2,'Tsalin uzuulelt'!N$1,negtgel!U145:BL145) + SUMIF(negtgel!U$2:BL$2,'Tsalin uzuulelt'!N$2,negtgel!U145:BL145)+SUMIF(negtgel!U$2:BL$2,'Tsalin uzuulelt'!N$3,negtgel!U145:BL145)+SUMIF(negtgel!U$2:BL$2,'Tsalin uzuulelt'!N$4,negtgel!U145:BL145)+SUMIF(negtgel!U$2:BL$2,'Tsalin uzuulelt'!N$5,negtgel!U145:BL145)</f>
      </c>
      <c r="M145">
        <f>SUMIF(negtgel!U$2:BL$2,'Tsalin uzuulelt'!P$1,negtgel!U145:BL145) + SUMIF(negtgel!U$2:BL$2,'Tsalin uzuulelt'!P$2,negtgel!U145:BL145)+ SUMIF(negtgel!U$2:BL$2,'Tsalin uzuulelt'!P$3,negtgel!U145:BL145)+ SUMIF(negtgel!U$2:BL$2,'Tsalin uzuulelt'!P$4,negtgel!U145:BL145)+ SUMIF(negtgel!U$2:BL$2,'Tsalin uzuulelt'!P$5,negtgel!U145:BL145)</f>
      </c>
      <c r="N145">
        <f>IF(ISNUMBER(U145*1)=CF145,0,K145-H145-G145)</f>
      </c>
      <c r="O145">
        <f>IF(ISNUMBER(U145*1)=CF145,0,L145)</f>
      </c>
      <c r="P145">
        <f>IF(ISNUMBER(U145*1)=CF145,0,M145)</f>
      </c>
      <c r="Q145">
        <f>IF(N145&gt;2400000,N145,0)</f>
      </c>
      <c r="R145">
        <f>IF(L145/Q145*100&lt;3,2,10)</f>
      </c>
      <c r="S145">
        <f>IF(CH145=0,0,IF(B145&gt;9,10,IF(B145&gt;8,B145,IF(B145&gt;7.7,7.8,IF(B145&gt;3,B145,IF(B145&gt;1.5,2))))))</f>
      </c>
      <c r="T145">
        <f>IF(Q145=0,S145,R145)</f>
      </c>
      <c r="U145" t="n">
        <v>21.0</v>
      </c>
      <c r="V145" t="s">
        <v>3786</v>
      </c>
      <c r="W145" t="s">
        <v>3785</v>
      </c>
      <c r="X145" t="n">
        <v>627465.0</v>
      </c>
      <c r="Y145" t="n">
        <v>0.0</v>
      </c>
      <c r="Z145" t="n">
        <v>0.0</v>
      </c>
      <c r="AA145" t="n">
        <v>0.0</v>
      </c>
      <c r="AB145" t="n">
        <v>0.0</v>
      </c>
      <c r="AC145" t="n">
        <v>0.0</v>
      </c>
      <c r="AD145" t="n">
        <v>0.0</v>
      </c>
      <c r="AE145" t="n">
        <v>0.0</v>
      </c>
      <c r="AF145" t="n">
        <v>0.0</v>
      </c>
      <c r="AG145" t="n">
        <v>0.0</v>
      </c>
      <c r="AH145" t="n">
        <v>0.0</v>
      </c>
      <c r="AI145" t="n">
        <v>0.0</v>
      </c>
      <c r="AJ145" t="n">
        <v>0.0</v>
      </c>
      <c r="AK145" t="n">
        <v>0.0</v>
      </c>
      <c r="AL145" t="n">
        <v>0.0</v>
      </c>
      <c r="AM145" t="n">
        <v>0.0</v>
      </c>
      <c r="AN145" t="n">
        <v>0.0</v>
      </c>
      <c r="AO145" t="n">
        <v>0.0</v>
      </c>
      <c r="AP145" t="n">
        <v>0.0</v>
      </c>
      <c r="AQ145" t="n">
        <v>0.0</v>
      </c>
      <c r="CH145">
        <f>IFERROR(U145*1,0)</f>
      </c>
    </row>
    <row r="146">
      <c r="A146" t="n">
        <v>3.0</v>
      </c>
      <c r="B146">
        <f>IF((K146-G146-H146&gt;2400000),10,(L146/(K146-G146-H146)*100))</f>
      </c>
      <c r="C146">
        <f>IF(N146&gt;2400000,240000,(N146*S146)/100)</f>
      </c>
      <c r="D146">
        <f>IF(S146=0,0,IF((N146-I146)&gt;2400000,((((((N146-I146-J146)-240000))*0.1+(I146+J146)*0.1)))-7000,((((((N146-I146-J146)-(N146-I146-J146)*S146/100)))*0.1+(I146+J146)*0.1)-7000)))</f>
      </c>
      <c r="E146">
        <f>C146-O146</f>
      </c>
      <c r="F146">
        <f>D146-P146</f>
      </c>
      <c r="G146">
        <f>SUMIF(negtgel!U$2:BL$2,'Tsalin uzuulelt'!B$1,negtgel!U146:BL146) + SUMIF(negtgel!U$2:BL$2,'Tsalin uzuulelt'!B$2,negtgel!U146:BL146)+SUMIF(negtgel!U$2:BL$2,'Tsalin uzuulelt'!B$3,negtgel!U146:BL146)+SUMIF(negtgel!U$2:BL$2,'Tsalin uzuulelt'!B$4,negtgel!U146:BL146)+SUMIF(negtgel!U$2:BL$2,'Tsalin uzuulelt'!B$5,negtgel!U146:BL146)</f>
      </c>
      <c r="H146">
        <f>SUMIF(negtgel!U$2:BL$2,'Tsalin uzuulelt'!F$1,negtgel!U146:BL146) + SUMIF(negtgel!U$2:BL$2,'Tsalin uzuulelt'!F$2,negtgel!U146:BL146)+SUMIF(negtgel!U$2:BL$2,'Tsalin uzuulelt'!F$3,negtgel!U146:BL146)+SUMIF(negtgel!U$2:BL$2,'Tsalin uzuulelt'!F$4,negtgel!U146:BL146)+SUMIF(negtgel!U$2:BL$2,'Tsalin uzuulelt'!F$5,negtgel!U146:BL146)</f>
      </c>
      <c r="I146">
        <f>SUMIF(negtgel!U$2:BL$2,'Tsalin uzuulelt'!H$1,negtgel!U146:BL146) + SUMIF(negtgel!U$2:BL$2,'Tsalin uzuulelt'!H$2,negtgel!U146:BL146)+SUMIF(negtgel!U$2:BL$2,'Tsalin uzuulelt'!H$3,negtgel!U146:BL146)+SUMIF(negtgel!U$2:BL$2,'Tsalin uzuulelt'!H$4,negtgel!U146:BL146)+SUMIF(negtgel!U$2:BL$2,'Tsalin uzuulelt'!H$5,negtgel!U146:BL146)</f>
      </c>
      <c r="J146">
        <f>SUMIF(negtgel!U$2:BL$2,'Tsalin uzuulelt'!J$1,negtgel!U146:BL146) + SUMIF(negtgel!U$2:BL$2,'Tsalin uzuulelt'!J$2,negtgel!U146:BL146)+SUMIF(negtgel!U$2:BL$2,'Tsalin uzuulelt'!J$3,negtgel!U146:BL146)+SUMIF(negtgel!U$2:BL$2,'Tsalin uzuulelt'!J$4,negtgel!U146:BL146)+SUMIF(negtgel!U$2:BL$2,'Tsalin uzuulelt'!J$5,negtgel!U146:BL146)</f>
      </c>
      <c r="K146">
        <f>SUMIF(negtgel!U$2:BL$2,'Tsalin uzuulelt'!L$1,negtgel!U146:BL146) + SUMIF(negtgel!U$2:BL$2,'Tsalin uzuulelt'!L$2,negtgel!U146:BL146)+SUMIF(negtgel!U$2:BL$2,'Tsalin uzuulelt'!L$3,negtgel!U146:BL146)+SUMIF(negtgel!U$2:BL$2,'Tsalin uzuulelt'!L$4,negtgel!U146:BL146)+SUMIF(negtgel!U$2:BL$2,'Tsalin uzuulelt'!L$5,negtgel!U146:BL146)</f>
      </c>
      <c r="L146">
        <f>SUMIF(negtgel!U$2:BL$2,'Tsalin uzuulelt'!N$1,negtgel!U146:BL146) + SUMIF(negtgel!U$2:BL$2,'Tsalin uzuulelt'!N$2,negtgel!U146:BL146)+SUMIF(negtgel!U$2:BL$2,'Tsalin uzuulelt'!N$3,negtgel!U146:BL146)+SUMIF(negtgel!U$2:BL$2,'Tsalin uzuulelt'!N$4,negtgel!U146:BL146)+SUMIF(negtgel!U$2:BL$2,'Tsalin uzuulelt'!N$5,negtgel!U146:BL146)</f>
      </c>
      <c r="M146">
        <f>SUMIF(negtgel!U$2:BL$2,'Tsalin uzuulelt'!P$1,negtgel!U146:BL146) + SUMIF(negtgel!U$2:BL$2,'Tsalin uzuulelt'!P$2,negtgel!U146:BL146)+ SUMIF(negtgel!U$2:BL$2,'Tsalin uzuulelt'!P$3,negtgel!U146:BL146)+ SUMIF(negtgel!U$2:BL$2,'Tsalin uzuulelt'!P$4,negtgel!U146:BL146)+ SUMIF(negtgel!U$2:BL$2,'Tsalin uzuulelt'!P$5,negtgel!U146:BL146)</f>
      </c>
      <c r="N146">
        <f>IF(ISNUMBER(U146*1)=CF146,0,K146-H146-G146)</f>
      </c>
      <c r="O146">
        <f>IF(ISNUMBER(U146*1)=CF146,0,L146)</f>
      </c>
      <c r="P146">
        <f>IF(ISNUMBER(U146*1)=CF146,0,M146)</f>
      </c>
      <c r="Q146">
        <f>IF(N146&gt;2400000,N146,0)</f>
      </c>
      <c r="R146">
        <f>IF(L146/Q146*100&lt;3,2,10)</f>
      </c>
      <c r="S146">
        <f>IF(CH146=0,0,IF(B146&gt;9,10,IF(B146&gt;8,B146,IF(B146&gt;7.7,7.8,IF(B146&gt;3,B146,IF(B146&gt;1.5,2))))))</f>
      </c>
      <c r="T146">
        <f>IF(Q146=0,S146,R146)</f>
      </c>
      <c r="U146" t="n">
        <v>22.0</v>
      </c>
      <c r="V146" t="s">
        <v>3861</v>
      </c>
      <c r="W146" t="s">
        <v>3790</v>
      </c>
      <c r="X146" t="n">
        <v>645556.0</v>
      </c>
      <c r="Y146" t="n">
        <v>399630.0</v>
      </c>
      <c r="Z146" t="n">
        <v>59944.0</v>
      </c>
      <c r="AA146" t="n">
        <v>79926.0</v>
      </c>
      <c r="AB146" t="n">
        <v>0.0</v>
      </c>
      <c r="AC146" t="n">
        <v>59944.0</v>
      </c>
      <c r="AD146" t="n">
        <v>0.0</v>
      </c>
      <c r="AE146" t="n">
        <v>0.0</v>
      </c>
      <c r="AF146" t="n">
        <v>39000.0</v>
      </c>
      <c r="AG146" t="n">
        <v>0.0</v>
      </c>
      <c r="AH146" t="n">
        <v>0.0</v>
      </c>
      <c r="AI146" t="n">
        <v>0.0</v>
      </c>
      <c r="AJ146" t="n">
        <v>0.0</v>
      </c>
      <c r="AK146" t="n">
        <v>0.0</v>
      </c>
      <c r="AL146" t="n">
        <v>0.0</v>
      </c>
      <c r="AM146" t="n">
        <v>0.0</v>
      </c>
      <c r="AN146" t="n">
        <v>0.0</v>
      </c>
      <c r="AO146" t="n">
        <v>638444.0</v>
      </c>
      <c r="AP146" t="n">
        <v>63845.0</v>
      </c>
      <c r="AQ146" t="n">
        <v>50850.0</v>
      </c>
      <c r="CH146">
        <f>IFERROR(U146*1,0)</f>
      </c>
    </row>
    <row r="147">
      <c r="A147" t="n">
        <v>3.0</v>
      </c>
      <c r="B147">
        <f>IF((K147-G147-H147&gt;2400000),10,(L147/(K147-G147-H147)*100))</f>
      </c>
      <c r="C147">
        <f>IF(N147&gt;2400000,240000,(N147*S147)/100)</f>
      </c>
      <c r="D147">
        <f>IF(S147=0,0,IF((N147-I147)&gt;2400000,((((((N147-I147-J147)-240000))*0.1+(I147+J147)*0.1)))-7000,((((((N147-I147-J147)-(N147-I147-J147)*S147/100)))*0.1+(I147+J147)*0.1)-7000)))</f>
      </c>
      <c r="E147">
        <f>C147-O147</f>
      </c>
      <c r="F147">
        <f>D147-P147</f>
      </c>
      <c r="G147">
        <f>SUMIF(negtgel!U$2:BL$2,'Tsalin uzuulelt'!B$1,negtgel!U147:BL147) + SUMIF(negtgel!U$2:BL$2,'Tsalin uzuulelt'!B$2,negtgel!U147:BL147)+SUMIF(negtgel!U$2:BL$2,'Tsalin uzuulelt'!B$3,negtgel!U147:BL147)+SUMIF(negtgel!U$2:BL$2,'Tsalin uzuulelt'!B$4,negtgel!U147:BL147)+SUMIF(negtgel!U$2:BL$2,'Tsalin uzuulelt'!B$5,negtgel!U147:BL147)</f>
      </c>
      <c r="H147">
        <f>SUMIF(negtgel!U$2:BL$2,'Tsalin uzuulelt'!F$1,negtgel!U147:BL147) + SUMIF(negtgel!U$2:BL$2,'Tsalin uzuulelt'!F$2,negtgel!U147:BL147)+SUMIF(negtgel!U$2:BL$2,'Tsalin uzuulelt'!F$3,negtgel!U147:BL147)+SUMIF(negtgel!U$2:BL$2,'Tsalin uzuulelt'!F$4,negtgel!U147:BL147)+SUMIF(negtgel!U$2:BL$2,'Tsalin uzuulelt'!F$5,negtgel!U147:BL147)</f>
      </c>
      <c r="I147">
        <f>SUMIF(negtgel!U$2:BL$2,'Tsalin uzuulelt'!H$1,negtgel!U147:BL147) + SUMIF(negtgel!U$2:BL$2,'Tsalin uzuulelt'!H$2,negtgel!U147:BL147)+SUMIF(negtgel!U$2:BL$2,'Tsalin uzuulelt'!H$3,negtgel!U147:BL147)+SUMIF(negtgel!U$2:BL$2,'Tsalin uzuulelt'!H$4,negtgel!U147:BL147)+SUMIF(negtgel!U$2:BL$2,'Tsalin uzuulelt'!H$5,negtgel!U147:BL147)</f>
      </c>
      <c r="J147">
        <f>SUMIF(negtgel!U$2:BL$2,'Tsalin uzuulelt'!J$1,negtgel!U147:BL147) + SUMIF(negtgel!U$2:BL$2,'Tsalin uzuulelt'!J$2,negtgel!U147:BL147)+SUMIF(negtgel!U$2:BL$2,'Tsalin uzuulelt'!J$3,negtgel!U147:BL147)+SUMIF(negtgel!U$2:BL$2,'Tsalin uzuulelt'!J$4,negtgel!U147:BL147)+SUMIF(negtgel!U$2:BL$2,'Tsalin uzuulelt'!J$5,negtgel!U147:BL147)</f>
      </c>
      <c r="K147">
        <f>SUMIF(negtgel!U$2:BL$2,'Tsalin uzuulelt'!L$1,negtgel!U147:BL147) + SUMIF(negtgel!U$2:BL$2,'Tsalin uzuulelt'!L$2,negtgel!U147:BL147)+SUMIF(negtgel!U$2:BL$2,'Tsalin uzuulelt'!L$3,negtgel!U147:BL147)+SUMIF(negtgel!U$2:BL$2,'Tsalin uzuulelt'!L$4,negtgel!U147:BL147)+SUMIF(negtgel!U$2:BL$2,'Tsalin uzuulelt'!L$5,negtgel!U147:BL147)</f>
      </c>
      <c r="L147">
        <f>SUMIF(negtgel!U$2:BL$2,'Tsalin uzuulelt'!N$1,negtgel!U147:BL147) + SUMIF(negtgel!U$2:BL$2,'Tsalin uzuulelt'!N$2,negtgel!U147:BL147)+SUMIF(negtgel!U$2:BL$2,'Tsalin uzuulelt'!N$3,negtgel!U147:BL147)+SUMIF(negtgel!U$2:BL$2,'Tsalin uzuulelt'!N$4,negtgel!U147:BL147)+SUMIF(negtgel!U$2:BL$2,'Tsalin uzuulelt'!N$5,negtgel!U147:BL147)</f>
      </c>
      <c r="M147">
        <f>SUMIF(negtgel!U$2:BL$2,'Tsalin uzuulelt'!P$1,negtgel!U147:BL147) + SUMIF(negtgel!U$2:BL$2,'Tsalin uzuulelt'!P$2,negtgel!U147:BL147)+ SUMIF(negtgel!U$2:BL$2,'Tsalin uzuulelt'!P$3,negtgel!U147:BL147)+ SUMIF(negtgel!U$2:BL$2,'Tsalin uzuulelt'!P$4,negtgel!U147:BL147)+ SUMIF(negtgel!U$2:BL$2,'Tsalin uzuulelt'!P$5,negtgel!U147:BL147)</f>
      </c>
      <c r="N147">
        <f>IF(ISNUMBER(U147*1)=CF147,0,K147-H147-G147)</f>
      </c>
      <c r="O147">
        <f>IF(ISNUMBER(U147*1)=CF147,0,L147)</f>
      </c>
      <c r="P147">
        <f>IF(ISNUMBER(U147*1)=CF147,0,M147)</f>
      </c>
      <c r="Q147">
        <f>IF(N147&gt;2400000,N147,0)</f>
      </c>
      <c r="R147">
        <f>IF(L147/Q147*100&lt;3,2,10)</f>
      </c>
      <c r="S147">
        <f>IF(CH147=0,0,IF(B147&gt;9,10,IF(B147&gt;8,B147,IF(B147&gt;7.7,7.8,IF(B147&gt;3,B147,IF(B147&gt;1.5,2))))))</f>
      </c>
      <c r="T147">
        <f>IF(Q147=0,S147,R147)</f>
      </c>
      <c r="U147" t="s">
        <v>3787</v>
      </c>
      <c r="V147"/>
      <c r="W147"/>
      <c r="X147" t="n">
        <v>1.3012458E7</v>
      </c>
      <c r="Y147" t="n">
        <v>1.1415296E7</v>
      </c>
      <c r="Z147" t="n">
        <v>1282570.0</v>
      </c>
      <c r="AA147" t="n">
        <v>1428456.0</v>
      </c>
      <c r="AB147" t="n">
        <v>774760.0</v>
      </c>
      <c r="AC147" t="n">
        <v>346532.0</v>
      </c>
      <c r="AD147" t="n">
        <v>778470.0</v>
      </c>
      <c r="AE147" t="n">
        <v>0.0</v>
      </c>
      <c r="AF147" t="n">
        <v>1209000.0</v>
      </c>
      <c r="AG147" t="n">
        <v>0.0</v>
      </c>
      <c r="AH147" t="n">
        <v>0.0</v>
      </c>
      <c r="AI147" t="n">
        <v>0.0</v>
      </c>
      <c r="AJ147" t="n">
        <v>922011.0</v>
      </c>
      <c r="AK147" t="n">
        <v>0.0</v>
      </c>
      <c r="AL147" t="n">
        <v>204659.0</v>
      </c>
      <c r="AM147" t="n">
        <v>0.0</v>
      </c>
      <c r="AN147" t="n">
        <v>0.0</v>
      </c>
      <c r="AO147" t="n">
        <v>1.849854E7</v>
      </c>
      <c r="AP147" t="n">
        <v>1829389.0</v>
      </c>
      <c r="AQ147" t="n">
        <v>1511539.1</v>
      </c>
      <c r="CH147">
        <f>IFERROR(U147*1,0)</f>
      </c>
    </row>
    <row r="148">
      <c r="A148" t="n">
        <v>3.0</v>
      </c>
      <c r="B148">
        <f>IF((K148-G148-H148&gt;2400000),10,(L148/(K148-G148-H148)*100))</f>
      </c>
      <c r="C148">
        <f>IF(N148&gt;2400000,240000,(N148*S148)/100)</f>
      </c>
      <c r="D148">
        <f>IF(S148=0,0,IF((N148-I148)&gt;2400000,((((((N148-I148-J148)-240000))*0.1+(I148+J148)*0.1)))-7000,((((((N148-I148-J148)-(N148-I148-J148)*S148/100)))*0.1+(I148+J148)*0.1)-7000)))</f>
      </c>
      <c r="E148">
        <f>C148-O148</f>
      </c>
      <c r="F148">
        <f>D148-P148</f>
      </c>
      <c r="G148">
        <f>SUMIF(negtgel!U$2:BL$2,'Tsalin uzuulelt'!B$1,negtgel!U148:BL148) + SUMIF(negtgel!U$2:BL$2,'Tsalin uzuulelt'!B$2,negtgel!U148:BL148)+SUMIF(negtgel!U$2:BL$2,'Tsalin uzuulelt'!B$3,negtgel!U148:BL148)+SUMIF(negtgel!U$2:BL$2,'Tsalin uzuulelt'!B$4,negtgel!U148:BL148)+SUMIF(negtgel!U$2:BL$2,'Tsalin uzuulelt'!B$5,negtgel!U148:BL148)</f>
      </c>
      <c r="H148">
        <f>SUMIF(negtgel!U$2:BL$2,'Tsalin uzuulelt'!F$1,negtgel!U148:BL148) + SUMIF(negtgel!U$2:BL$2,'Tsalin uzuulelt'!F$2,negtgel!U148:BL148)+SUMIF(negtgel!U$2:BL$2,'Tsalin uzuulelt'!F$3,negtgel!U148:BL148)+SUMIF(negtgel!U$2:BL$2,'Tsalin uzuulelt'!F$4,negtgel!U148:BL148)+SUMIF(negtgel!U$2:BL$2,'Tsalin uzuulelt'!F$5,negtgel!U148:BL148)</f>
      </c>
      <c r="I148">
        <f>SUMIF(negtgel!U$2:BL$2,'Tsalin uzuulelt'!H$1,negtgel!U148:BL148) + SUMIF(negtgel!U$2:BL$2,'Tsalin uzuulelt'!H$2,negtgel!U148:BL148)+SUMIF(negtgel!U$2:BL$2,'Tsalin uzuulelt'!H$3,negtgel!U148:BL148)+SUMIF(negtgel!U$2:BL$2,'Tsalin uzuulelt'!H$4,negtgel!U148:BL148)+SUMIF(negtgel!U$2:BL$2,'Tsalin uzuulelt'!H$5,negtgel!U148:BL148)</f>
      </c>
      <c r="J148">
        <f>SUMIF(negtgel!U$2:BL$2,'Tsalin uzuulelt'!J$1,negtgel!U148:BL148) + SUMIF(negtgel!U$2:BL$2,'Tsalin uzuulelt'!J$2,negtgel!U148:BL148)+SUMIF(negtgel!U$2:BL$2,'Tsalin uzuulelt'!J$3,negtgel!U148:BL148)+SUMIF(negtgel!U$2:BL$2,'Tsalin uzuulelt'!J$4,negtgel!U148:BL148)+SUMIF(negtgel!U$2:BL$2,'Tsalin uzuulelt'!J$5,negtgel!U148:BL148)</f>
      </c>
      <c r="K148">
        <f>SUMIF(negtgel!U$2:BL$2,'Tsalin uzuulelt'!L$1,negtgel!U148:BL148) + SUMIF(negtgel!U$2:BL$2,'Tsalin uzuulelt'!L$2,negtgel!U148:BL148)+SUMIF(negtgel!U$2:BL$2,'Tsalin uzuulelt'!L$3,negtgel!U148:BL148)+SUMIF(negtgel!U$2:BL$2,'Tsalin uzuulelt'!L$4,negtgel!U148:BL148)+SUMIF(negtgel!U$2:BL$2,'Tsalin uzuulelt'!L$5,negtgel!U148:BL148)</f>
      </c>
      <c r="L148">
        <f>SUMIF(negtgel!U$2:BL$2,'Tsalin uzuulelt'!N$1,negtgel!U148:BL148) + SUMIF(negtgel!U$2:BL$2,'Tsalin uzuulelt'!N$2,negtgel!U148:BL148)+SUMIF(negtgel!U$2:BL$2,'Tsalin uzuulelt'!N$3,negtgel!U148:BL148)+SUMIF(negtgel!U$2:BL$2,'Tsalin uzuulelt'!N$4,negtgel!U148:BL148)+SUMIF(negtgel!U$2:BL$2,'Tsalin uzuulelt'!N$5,negtgel!U148:BL148)</f>
      </c>
      <c r="M148">
        <f>SUMIF(negtgel!U$2:BL$2,'Tsalin uzuulelt'!P$1,negtgel!U148:BL148) + SUMIF(negtgel!U$2:BL$2,'Tsalin uzuulelt'!P$2,negtgel!U148:BL148)+ SUMIF(negtgel!U$2:BL$2,'Tsalin uzuulelt'!P$3,negtgel!U148:BL148)+ SUMIF(negtgel!U$2:BL$2,'Tsalin uzuulelt'!P$4,negtgel!U148:BL148)+ SUMIF(negtgel!U$2:BL$2,'Tsalin uzuulelt'!P$5,negtgel!U148:BL148)</f>
      </c>
      <c r="N148">
        <f>IF(ISNUMBER(U148*1)=CF148,0,K148-H148-G148)</f>
      </c>
      <c r="O148">
        <f>IF(ISNUMBER(U148*1)=CF148,0,L148)</f>
      </c>
      <c r="P148">
        <f>IF(ISNUMBER(U148*1)=CF148,0,M148)</f>
      </c>
      <c r="Q148">
        <f>IF(N148&gt;2400000,N148,0)</f>
      </c>
      <c r="R148">
        <f>IF(L148/Q148*100&lt;3,2,10)</f>
      </c>
      <c r="S148">
        <f>IF(CH148=0,0,IF(B148&gt;9,10,IF(B148&gt;8,B148,IF(B148&gt;7.7,7.8,IF(B148&gt;3,B148,IF(B148&gt;1.5,2))))))</f>
      </c>
      <c r="T148">
        <f>IF(Q148=0,S148,R148)</f>
      </c>
      <c r="U148" t="s">
        <v>3788</v>
      </c>
      <c r="V148"/>
      <c r="W148"/>
      <c r="X148"/>
      <c r="Y148"/>
      <c r="Z148"/>
      <c r="AA148"/>
      <c r="AB148"/>
      <c r="AC148"/>
      <c r="AD148"/>
      <c r="AE148"/>
      <c r="AF148"/>
      <c r="AG148"/>
      <c r="AH148"/>
      <c r="AI148"/>
      <c r="AJ148"/>
      <c r="AK148"/>
      <c r="AL148"/>
      <c r="AM148"/>
      <c r="AN148"/>
      <c r="AO148"/>
      <c r="AP148"/>
      <c r="AQ148"/>
      <c r="CH148">
        <f>IFERROR(U148*1,0)</f>
      </c>
    </row>
    <row r="149">
      <c r="A149" t="n">
        <v>3.0</v>
      </c>
      <c r="B149">
        <f>IF((K149-G149-H149&gt;2400000),10,(L149/(K149-G149-H149)*100))</f>
      </c>
      <c r="C149">
        <f>IF(N149&gt;2400000,240000,(N149*S149)/100)</f>
      </c>
      <c r="D149">
        <f>IF(S149=0,0,IF((N149-I149)&gt;2400000,((((((N149-I149-J149)-240000))*0.1+(I149+J149)*0.1)))-7000,((((((N149-I149-J149)-(N149-I149-J149)*S149/100)))*0.1+(I149+J149)*0.1)-7000)))</f>
      </c>
      <c r="E149">
        <f>C149-O149</f>
      </c>
      <c r="F149">
        <f>D149-P149</f>
      </c>
      <c r="G149">
        <f>SUMIF(negtgel!U$2:BL$2,'Tsalin uzuulelt'!B$1,negtgel!U149:BL149) + SUMIF(negtgel!U$2:BL$2,'Tsalin uzuulelt'!B$2,negtgel!U149:BL149)+SUMIF(negtgel!U$2:BL$2,'Tsalin uzuulelt'!B$3,negtgel!U149:BL149)+SUMIF(negtgel!U$2:BL$2,'Tsalin uzuulelt'!B$4,negtgel!U149:BL149)+SUMIF(negtgel!U$2:BL$2,'Tsalin uzuulelt'!B$5,negtgel!U149:BL149)</f>
      </c>
      <c r="H149">
        <f>SUMIF(negtgel!U$2:BL$2,'Tsalin uzuulelt'!F$1,negtgel!U149:BL149) + SUMIF(negtgel!U$2:BL$2,'Tsalin uzuulelt'!F$2,negtgel!U149:BL149)+SUMIF(negtgel!U$2:BL$2,'Tsalin uzuulelt'!F$3,negtgel!U149:BL149)+SUMIF(negtgel!U$2:BL$2,'Tsalin uzuulelt'!F$4,negtgel!U149:BL149)+SUMIF(negtgel!U$2:BL$2,'Tsalin uzuulelt'!F$5,negtgel!U149:BL149)</f>
      </c>
      <c r="I149">
        <f>SUMIF(negtgel!U$2:BL$2,'Tsalin uzuulelt'!H$1,negtgel!U149:BL149) + SUMIF(negtgel!U$2:BL$2,'Tsalin uzuulelt'!H$2,negtgel!U149:BL149)+SUMIF(negtgel!U$2:BL$2,'Tsalin uzuulelt'!H$3,negtgel!U149:BL149)+SUMIF(negtgel!U$2:BL$2,'Tsalin uzuulelt'!H$4,negtgel!U149:BL149)+SUMIF(negtgel!U$2:BL$2,'Tsalin uzuulelt'!H$5,negtgel!U149:BL149)</f>
      </c>
      <c r="J149">
        <f>SUMIF(negtgel!U$2:BL$2,'Tsalin uzuulelt'!J$1,negtgel!U149:BL149) + SUMIF(negtgel!U$2:BL$2,'Tsalin uzuulelt'!J$2,negtgel!U149:BL149)+SUMIF(negtgel!U$2:BL$2,'Tsalin uzuulelt'!J$3,negtgel!U149:BL149)+SUMIF(negtgel!U$2:BL$2,'Tsalin uzuulelt'!J$4,negtgel!U149:BL149)+SUMIF(negtgel!U$2:BL$2,'Tsalin uzuulelt'!J$5,negtgel!U149:BL149)</f>
      </c>
      <c r="K149">
        <f>SUMIF(negtgel!U$2:BL$2,'Tsalin uzuulelt'!L$1,negtgel!U149:BL149) + SUMIF(negtgel!U$2:BL$2,'Tsalin uzuulelt'!L$2,negtgel!U149:BL149)+SUMIF(negtgel!U$2:BL$2,'Tsalin uzuulelt'!L$3,negtgel!U149:BL149)+SUMIF(negtgel!U$2:BL$2,'Tsalin uzuulelt'!L$4,negtgel!U149:BL149)+SUMIF(negtgel!U$2:BL$2,'Tsalin uzuulelt'!L$5,negtgel!U149:BL149)</f>
      </c>
      <c r="L149">
        <f>SUMIF(negtgel!U$2:BL$2,'Tsalin uzuulelt'!N$1,negtgel!U149:BL149) + SUMIF(negtgel!U$2:BL$2,'Tsalin uzuulelt'!N$2,negtgel!U149:BL149)+SUMIF(negtgel!U$2:BL$2,'Tsalin uzuulelt'!N$3,negtgel!U149:BL149)+SUMIF(negtgel!U$2:BL$2,'Tsalin uzuulelt'!N$4,negtgel!U149:BL149)+SUMIF(negtgel!U$2:BL$2,'Tsalin uzuulelt'!N$5,negtgel!U149:BL149)</f>
      </c>
      <c r="M149">
        <f>SUMIF(negtgel!U$2:BL$2,'Tsalin uzuulelt'!P$1,negtgel!U149:BL149) + SUMIF(negtgel!U$2:BL$2,'Tsalin uzuulelt'!P$2,negtgel!U149:BL149)+ SUMIF(negtgel!U$2:BL$2,'Tsalin uzuulelt'!P$3,negtgel!U149:BL149)+ SUMIF(negtgel!U$2:BL$2,'Tsalin uzuulelt'!P$4,negtgel!U149:BL149)+ SUMIF(negtgel!U$2:BL$2,'Tsalin uzuulelt'!P$5,negtgel!U149:BL149)</f>
      </c>
      <c r="N149">
        <f>IF(ISNUMBER(U149*1)=CF149,0,K149-H149-G149)</f>
      </c>
      <c r="O149">
        <f>IF(ISNUMBER(U149*1)=CF149,0,L149)</f>
      </c>
      <c r="P149">
        <f>IF(ISNUMBER(U149*1)=CF149,0,M149)</f>
      </c>
      <c r="Q149">
        <f>IF(N149&gt;2400000,N149,0)</f>
      </c>
      <c r="R149">
        <f>IF(L149/Q149*100&lt;3,2,10)</f>
      </c>
      <c r="S149">
        <f>IF(CH149=0,0,IF(B149&gt;9,10,IF(B149&gt;8,B149,IF(B149&gt;7.7,7.8,IF(B149&gt;3,B149,IF(B149&gt;1.5,2))))))</f>
      </c>
      <c r="T149">
        <f>IF(Q149=0,S149,R149)</f>
      </c>
      <c r="U149" t="n">
        <v>23.0</v>
      </c>
      <c r="V149" t="s">
        <v>3789</v>
      </c>
      <c r="W149" t="s">
        <v>3790</v>
      </c>
      <c r="X149" t="n">
        <v>613669.0</v>
      </c>
      <c r="Y149" t="n">
        <v>526002.0</v>
      </c>
      <c r="Z149" t="n">
        <v>52600.0</v>
      </c>
      <c r="AA149" t="n">
        <v>78900.0</v>
      </c>
      <c r="AB149" t="n">
        <v>0.0</v>
      </c>
      <c r="AC149" t="n">
        <v>0.0</v>
      </c>
      <c r="AD149" t="n">
        <v>0.0</v>
      </c>
      <c r="AE149" t="n">
        <v>0.0</v>
      </c>
      <c r="AF149" t="n">
        <v>54000.0</v>
      </c>
      <c r="AG149" t="n">
        <v>0.0</v>
      </c>
      <c r="AH149" t="n">
        <v>0.0</v>
      </c>
      <c r="AI149" t="n">
        <v>0.0</v>
      </c>
      <c r="AJ149" t="n">
        <v>0.0</v>
      </c>
      <c r="AK149" t="n">
        <v>0.0</v>
      </c>
      <c r="AL149" t="n">
        <v>0.0</v>
      </c>
      <c r="AM149" t="n">
        <v>0.0</v>
      </c>
      <c r="AN149" t="n">
        <v>0.0</v>
      </c>
      <c r="AO149" t="n">
        <v>711502.0</v>
      </c>
      <c r="AP149" t="n">
        <v>71150.0</v>
      </c>
      <c r="AQ149" t="n">
        <v>57575.2</v>
      </c>
      <c r="CH149">
        <f>IFERROR(U149*1,0)</f>
      </c>
    </row>
    <row r="150">
      <c r="A150" t="n">
        <v>3.0</v>
      </c>
      <c r="B150">
        <f>IF((K150-G150-H150&gt;2400000),10,(L150/(K150-G150-H150)*100))</f>
      </c>
      <c r="C150">
        <f>IF(N150&gt;2400000,240000,(N150*S150)/100)</f>
      </c>
      <c r="D150">
        <f>IF(S150=0,0,IF((N150-I150)&gt;2400000,((((((N150-I150-J150)-240000))*0.1+(I150+J150)*0.1)))-7000,((((((N150-I150-J150)-(N150-I150-J150)*S150/100)))*0.1+(I150+J150)*0.1)-7000)))</f>
      </c>
      <c r="E150">
        <f>C150-O150</f>
      </c>
      <c r="F150">
        <f>D150-P150</f>
      </c>
      <c r="G150">
        <f>SUMIF(negtgel!U$2:BL$2,'Tsalin uzuulelt'!B$1,negtgel!U150:BL150) + SUMIF(negtgel!U$2:BL$2,'Tsalin uzuulelt'!B$2,negtgel!U150:BL150)+SUMIF(negtgel!U$2:BL$2,'Tsalin uzuulelt'!B$3,negtgel!U150:BL150)+SUMIF(negtgel!U$2:BL$2,'Tsalin uzuulelt'!B$4,negtgel!U150:BL150)+SUMIF(negtgel!U$2:BL$2,'Tsalin uzuulelt'!B$5,negtgel!U150:BL150)</f>
      </c>
      <c r="H150">
        <f>SUMIF(negtgel!U$2:BL$2,'Tsalin uzuulelt'!F$1,negtgel!U150:BL150) + SUMIF(negtgel!U$2:BL$2,'Tsalin uzuulelt'!F$2,negtgel!U150:BL150)+SUMIF(negtgel!U$2:BL$2,'Tsalin uzuulelt'!F$3,negtgel!U150:BL150)+SUMIF(negtgel!U$2:BL$2,'Tsalin uzuulelt'!F$4,negtgel!U150:BL150)+SUMIF(negtgel!U$2:BL$2,'Tsalin uzuulelt'!F$5,negtgel!U150:BL150)</f>
      </c>
      <c r="I150">
        <f>SUMIF(negtgel!U$2:BL$2,'Tsalin uzuulelt'!H$1,negtgel!U150:BL150) + SUMIF(negtgel!U$2:BL$2,'Tsalin uzuulelt'!H$2,negtgel!U150:BL150)+SUMIF(negtgel!U$2:BL$2,'Tsalin uzuulelt'!H$3,negtgel!U150:BL150)+SUMIF(negtgel!U$2:BL$2,'Tsalin uzuulelt'!H$4,negtgel!U150:BL150)+SUMIF(negtgel!U$2:BL$2,'Tsalin uzuulelt'!H$5,negtgel!U150:BL150)</f>
      </c>
      <c r="J150">
        <f>SUMIF(negtgel!U$2:BL$2,'Tsalin uzuulelt'!J$1,negtgel!U150:BL150) + SUMIF(negtgel!U$2:BL$2,'Tsalin uzuulelt'!J$2,negtgel!U150:BL150)+SUMIF(negtgel!U$2:BL$2,'Tsalin uzuulelt'!J$3,negtgel!U150:BL150)+SUMIF(negtgel!U$2:BL$2,'Tsalin uzuulelt'!J$4,negtgel!U150:BL150)+SUMIF(negtgel!U$2:BL$2,'Tsalin uzuulelt'!J$5,negtgel!U150:BL150)</f>
      </c>
      <c r="K150">
        <f>SUMIF(negtgel!U$2:BL$2,'Tsalin uzuulelt'!L$1,negtgel!U150:BL150) + SUMIF(negtgel!U$2:BL$2,'Tsalin uzuulelt'!L$2,negtgel!U150:BL150)+SUMIF(negtgel!U$2:BL$2,'Tsalin uzuulelt'!L$3,negtgel!U150:BL150)+SUMIF(negtgel!U$2:BL$2,'Tsalin uzuulelt'!L$4,negtgel!U150:BL150)+SUMIF(negtgel!U$2:BL$2,'Tsalin uzuulelt'!L$5,negtgel!U150:BL150)</f>
      </c>
      <c r="L150">
        <f>SUMIF(negtgel!U$2:BL$2,'Tsalin uzuulelt'!N$1,negtgel!U150:BL150) + SUMIF(negtgel!U$2:BL$2,'Tsalin uzuulelt'!N$2,negtgel!U150:BL150)+SUMIF(negtgel!U$2:BL$2,'Tsalin uzuulelt'!N$3,negtgel!U150:BL150)+SUMIF(negtgel!U$2:BL$2,'Tsalin uzuulelt'!N$4,negtgel!U150:BL150)+SUMIF(negtgel!U$2:BL$2,'Tsalin uzuulelt'!N$5,negtgel!U150:BL150)</f>
      </c>
      <c r="M150">
        <f>SUMIF(negtgel!U$2:BL$2,'Tsalin uzuulelt'!P$1,negtgel!U150:BL150) + SUMIF(negtgel!U$2:BL$2,'Tsalin uzuulelt'!P$2,negtgel!U150:BL150)+ SUMIF(negtgel!U$2:BL$2,'Tsalin uzuulelt'!P$3,negtgel!U150:BL150)+ SUMIF(negtgel!U$2:BL$2,'Tsalin uzuulelt'!P$4,negtgel!U150:BL150)+ SUMIF(negtgel!U$2:BL$2,'Tsalin uzuulelt'!P$5,negtgel!U150:BL150)</f>
      </c>
      <c r="N150">
        <f>IF(ISNUMBER(U150*1)=CF150,0,K150-H150-G150)</f>
      </c>
      <c r="O150">
        <f>IF(ISNUMBER(U150*1)=CF150,0,L150)</f>
      </c>
      <c r="P150">
        <f>IF(ISNUMBER(U150*1)=CF150,0,M150)</f>
      </c>
      <c r="Q150">
        <f>IF(N150&gt;2400000,N150,0)</f>
      </c>
      <c r="R150">
        <f>IF(L150/Q150*100&lt;3,2,10)</f>
      </c>
      <c r="S150">
        <f>IF(CH150=0,0,IF(B150&gt;9,10,IF(B150&gt;8,B150,IF(B150&gt;7.7,7.8,IF(B150&gt;3,B150,IF(B150&gt;1.5,2))))))</f>
      </c>
      <c r="T150">
        <f>IF(Q150=0,S150,R150)</f>
      </c>
      <c r="U150" t="n">
        <v>24.0</v>
      </c>
      <c r="V150" t="s">
        <v>3791</v>
      </c>
      <c r="W150" t="s">
        <v>3792</v>
      </c>
      <c r="X150" t="n">
        <v>577826.0</v>
      </c>
      <c r="Y150" t="n">
        <v>550310.0</v>
      </c>
      <c r="Z150" t="n">
        <v>0.0</v>
      </c>
      <c r="AA150" t="n">
        <v>0.0</v>
      </c>
      <c r="AB150" t="n">
        <v>0.0</v>
      </c>
      <c r="AC150" t="n">
        <v>0.0</v>
      </c>
      <c r="AD150" t="n">
        <v>0.0</v>
      </c>
      <c r="AE150" t="n">
        <v>0.0</v>
      </c>
      <c r="AF150" t="n">
        <v>60000.0</v>
      </c>
      <c r="AG150" t="n">
        <v>0.0</v>
      </c>
      <c r="AH150" t="n">
        <v>0.0</v>
      </c>
      <c r="AI150" t="n">
        <v>0.0</v>
      </c>
      <c r="AJ150" t="n">
        <v>0.0</v>
      </c>
      <c r="AK150" t="n">
        <v>0.0</v>
      </c>
      <c r="AL150" t="n">
        <v>0.0</v>
      </c>
      <c r="AM150" t="n">
        <v>0.0</v>
      </c>
      <c r="AN150" t="n">
        <v>0.0</v>
      </c>
      <c r="AO150" t="n">
        <v>610310.0</v>
      </c>
      <c r="AP150" t="n">
        <v>61031.0</v>
      </c>
      <c r="AQ150" t="n">
        <v>48527.9</v>
      </c>
      <c r="CH150">
        <f>IFERROR(U150*1,0)</f>
      </c>
    </row>
    <row r="151">
      <c r="A151" t="n">
        <v>3.0</v>
      </c>
      <c r="B151">
        <f>IF((K151-G151-H151&gt;2400000),10,(L151/(K151-G151-H151)*100))</f>
      </c>
      <c r="C151">
        <f>IF(N151&gt;2400000,240000,(N151*S151)/100)</f>
      </c>
      <c r="D151">
        <f>IF(S151=0,0,IF((N151-I151)&gt;2400000,((((((N151-I151-J151)-240000))*0.1+(I151+J151)*0.1)))-7000,((((((N151-I151-J151)-(N151-I151-J151)*S151/100)))*0.1+(I151+J151)*0.1)-7000)))</f>
      </c>
      <c r="E151">
        <f>C151-O151</f>
      </c>
      <c r="F151">
        <f>D151-P151</f>
      </c>
      <c r="G151">
        <f>SUMIF(negtgel!U$2:BL$2,'Tsalin uzuulelt'!B$1,negtgel!U151:BL151) + SUMIF(negtgel!U$2:BL$2,'Tsalin uzuulelt'!B$2,negtgel!U151:BL151)+SUMIF(negtgel!U$2:BL$2,'Tsalin uzuulelt'!B$3,negtgel!U151:BL151)+SUMIF(negtgel!U$2:BL$2,'Tsalin uzuulelt'!B$4,negtgel!U151:BL151)+SUMIF(negtgel!U$2:BL$2,'Tsalin uzuulelt'!B$5,negtgel!U151:BL151)</f>
      </c>
      <c r="H151">
        <f>SUMIF(negtgel!U$2:BL$2,'Tsalin uzuulelt'!F$1,negtgel!U151:BL151) + SUMIF(negtgel!U$2:BL$2,'Tsalin uzuulelt'!F$2,negtgel!U151:BL151)+SUMIF(negtgel!U$2:BL$2,'Tsalin uzuulelt'!F$3,negtgel!U151:BL151)+SUMIF(negtgel!U$2:BL$2,'Tsalin uzuulelt'!F$4,negtgel!U151:BL151)+SUMIF(negtgel!U$2:BL$2,'Tsalin uzuulelt'!F$5,negtgel!U151:BL151)</f>
      </c>
      <c r="I151">
        <f>SUMIF(negtgel!U$2:BL$2,'Tsalin uzuulelt'!H$1,negtgel!U151:BL151) + SUMIF(negtgel!U$2:BL$2,'Tsalin uzuulelt'!H$2,negtgel!U151:BL151)+SUMIF(negtgel!U$2:BL$2,'Tsalin uzuulelt'!H$3,negtgel!U151:BL151)+SUMIF(negtgel!U$2:BL$2,'Tsalin uzuulelt'!H$4,negtgel!U151:BL151)+SUMIF(negtgel!U$2:BL$2,'Tsalin uzuulelt'!H$5,negtgel!U151:BL151)</f>
      </c>
      <c r="J151">
        <f>SUMIF(negtgel!U$2:BL$2,'Tsalin uzuulelt'!J$1,negtgel!U151:BL151) + SUMIF(negtgel!U$2:BL$2,'Tsalin uzuulelt'!J$2,negtgel!U151:BL151)+SUMIF(negtgel!U$2:BL$2,'Tsalin uzuulelt'!J$3,negtgel!U151:BL151)+SUMIF(negtgel!U$2:BL$2,'Tsalin uzuulelt'!J$4,negtgel!U151:BL151)+SUMIF(negtgel!U$2:BL$2,'Tsalin uzuulelt'!J$5,negtgel!U151:BL151)</f>
      </c>
      <c r="K151">
        <f>SUMIF(negtgel!U$2:BL$2,'Tsalin uzuulelt'!L$1,negtgel!U151:BL151) + SUMIF(negtgel!U$2:BL$2,'Tsalin uzuulelt'!L$2,negtgel!U151:BL151)+SUMIF(negtgel!U$2:BL$2,'Tsalin uzuulelt'!L$3,negtgel!U151:BL151)+SUMIF(negtgel!U$2:BL$2,'Tsalin uzuulelt'!L$4,negtgel!U151:BL151)+SUMIF(negtgel!U$2:BL$2,'Tsalin uzuulelt'!L$5,negtgel!U151:BL151)</f>
      </c>
      <c r="L151">
        <f>SUMIF(negtgel!U$2:BL$2,'Tsalin uzuulelt'!N$1,negtgel!U151:BL151) + SUMIF(negtgel!U$2:BL$2,'Tsalin uzuulelt'!N$2,negtgel!U151:BL151)+SUMIF(negtgel!U$2:BL$2,'Tsalin uzuulelt'!N$3,negtgel!U151:BL151)+SUMIF(negtgel!U$2:BL$2,'Tsalin uzuulelt'!N$4,negtgel!U151:BL151)+SUMIF(negtgel!U$2:BL$2,'Tsalin uzuulelt'!N$5,negtgel!U151:BL151)</f>
      </c>
      <c r="M151">
        <f>SUMIF(negtgel!U$2:BL$2,'Tsalin uzuulelt'!P$1,negtgel!U151:BL151) + SUMIF(negtgel!U$2:BL$2,'Tsalin uzuulelt'!P$2,negtgel!U151:BL151)+ SUMIF(negtgel!U$2:BL$2,'Tsalin uzuulelt'!P$3,negtgel!U151:BL151)+ SUMIF(negtgel!U$2:BL$2,'Tsalin uzuulelt'!P$4,negtgel!U151:BL151)+ SUMIF(negtgel!U$2:BL$2,'Tsalin uzuulelt'!P$5,negtgel!U151:BL151)</f>
      </c>
      <c r="N151">
        <f>IF(ISNUMBER(U151*1)=CF151,0,K151-H151-G151)</f>
      </c>
      <c r="O151">
        <f>IF(ISNUMBER(U151*1)=CF151,0,L151)</f>
      </c>
      <c r="P151">
        <f>IF(ISNUMBER(U151*1)=CF151,0,M151)</f>
      </c>
      <c r="Q151">
        <f>IF(N151&gt;2400000,N151,0)</f>
      </c>
      <c r="R151">
        <f>IF(L151/Q151*100&lt;3,2,10)</f>
      </c>
      <c r="S151">
        <f>IF(CH151=0,0,IF(B151&gt;9,10,IF(B151&gt;8,B151,IF(B151&gt;7.7,7.8,IF(B151&gt;3,B151,IF(B151&gt;1.5,2))))))</f>
      </c>
      <c r="T151">
        <f>IF(Q151=0,S151,R151)</f>
      </c>
      <c r="U151" t="n">
        <v>25.0</v>
      </c>
      <c r="V151" t="s">
        <v>3793</v>
      </c>
      <c r="W151" t="s">
        <v>3790</v>
      </c>
      <c r="X151" t="n">
        <v>645556.0</v>
      </c>
      <c r="Y151" t="n">
        <v>645556.0</v>
      </c>
      <c r="Z151" t="n">
        <v>96833.0</v>
      </c>
      <c r="AA151" t="n">
        <v>0.0</v>
      </c>
      <c r="AB151" t="n">
        <v>0.0</v>
      </c>
      <c r="AC151" t="n">
        <v>0.0</v>
      </c>
      <c r="AD151" t="n">
        <v>0.0</v>
      </c>
      <c r="AE151" t="n">
        <v>0.0</v>
      </c>
      <c r="AF151" t="n">
        <v>63000.0</v>
      </c>
      <c r="AG151" t="n">
        <v>0.0</v>
      </c>
      <c r="AH151" t="n">
        <v>0.0</v>
      </c>
      <c r="AI151" t="n">
        <v>0.0</v>
      </c>
      <c r="AJ151" t="n">
        <v>0.0</v>
      </c>
      <c r="AK151" t="n">
        <v>0.0</v>
      </c>
      <c r="AL151" t="n">
        <v>0.0</v>
      </c>
      <c r="AM151" t="n">
        <v>0.0</v>
      </c>
      <c r="AN151" t="n">
        <v>0.0</v>
      </c>
      <c r="AO151" t="n">
        <v>805389.0</v>
      </c>
      <c r="AP151" t="n">
        <v>80539.0</v>
      </c>
      <c r="AQ151" t="n">
        <v>66115.0</v>
      </c>
      <c r="CH151">
        <f>IFERROR(U151*1,0)</f>
      </c>
    </row>
    <row r="152">
      <c r="A152" t="n">
        <v>3.0</v>
      </c>
      <c r="B152">
        <f>IF((K152-G152-H152&gt;2400000),10,(L152/(K152-G152-H152)*100))</f>
      </c>
      <c r="C152">
        <f>IF(N152&gt;2400000,240000,(N152*S152)/100)</f>
      </c>
      <c r="D152">
        <f>IF(S152=0,0,IF((N152-I152)&gt;2400000,((((((N152-I152-J152)-240000))*0.1+(I152+J152)*0.1)))-7000,((((((N152-I152-J152)-(N152-I152-J152)*S152/100)))*0.1+(I152+J152)*0.1)-7000)))</f>
      </c>
      <c r="E152">
        <f>C152-O152</f>
      </c>
      <c r="F152">
        <f>D152-P152</f>
      </c>
      <c r="G152">
        <f>SUMIF(negtgel!U$2:BL$2,'Tsalin uzuulelt'!B$1,negtgel!U152:BL152) + SUMIF(negtgel!U$2:BL$2,'Tsalin uzuulelt'!B$2,negtgel!U152:BL152)+SUMIF(negtgel!U$2:BL$2,'Tsalin uzuulelt'!B$3,negtgel!U152:BL152)+SUMIF(negtgel!U$2:BL$2,'Tsalin uzuulelt'!B$4,negtgel!U152:BL152)+SUMIF(negtgel!U$2:BL$2,'Tsalin uzuulelt'!B$5,negtgel!U152:BL152)</f>
      </c>
      <c r="H152">
        <f>SUMIF(negtgel!U$2:BL$2,'Tsalin uzuulelt'!F$1,negtgel!U152:BL152) + SUMIF(negtgel!U$2:BL$2,'Tsalin uzuulelt'!F$2,negtgel!U152:BL152)+SUMIF(negtgel!U$2:BL$2,'Tsalin uzuulelt'!F$3,negtgel!U152:BL152)+SUMIF(negtgel!U$2:BL$2,'Tsalin uzuulelt'!F$4,negtgel!U152:BL152)+SUMIF(negtgel!U$2:BL$2,'Tsalin uzuulelt'!F$5,negtgel!U152:BL152)</f>
      </c>
      <c r="I152">
        <f>SUMIF(negtgel!U$2:BL$2,'Tsalin uzuulelt'!H$1,negtgel!U152:BL152) + SUMIF(negtgel!U$2:BL$2,'Tsalin uzuulelt'!H$2,negtgel!U152:BL152)+SUMIF(negtgel!U$2:BL$2,'Tsalin uzuulelt'!H$3,negtgel!U152:BL152)+SUMIF(negtgel!U$2:BL$2,'Tsalin uzuulelt'!H$4,negtgel!U152:BL152)+SUMIF(negtgel!U$2:BL$2,'Tsalin uzuulelt'!H$5,negtgel!U152:BL152)</f>
      </c>
      <c r="J152">
        <f>SUMIF(negtgel!U$2:BL$2,'Tsalin uzuulelt'!J$1,negtgel!U152:BL152) + SUMIF(negtgel!U$2:BL$2,'Tsalin uzuulelt'!J$2,negtgel!U152:BL152)+SUMIF(negtgel!U$2:BL$2,'Tsalin uzuulelt'!J$3,negtgel!U152:BL152)+SUMIF(negtgel!U$2:BL$2,'Tsalin uzuulelt'!J$4,negtgel!U152:BL152)+SUMIF(negtgel!U$2:BL$2,'Tsalin uzuulelt'!J$5,negtgel!U152:BL152)</f>
      </c>
      <c r="K152">
        <f>SUMIF(negtgel!U$2:BL$2,'Tsalin uzuulelt'!L$1,negtgel!U152:BL152) + SUMIF(negtgel!U$2:BL$2,'Tsalin uzuulelt'!L$2,negtgel!U152:BL152)+SUMIF(negtgel!U$2:BL$2,'Tsalin uzuulelt'!L$3,negtgel!U152:BL152)+SUMIF(negtgel!U$2:BL$2,'Tsalin uzuulelt'!L$4,negtgel!U152:BL152)+SUMIF(negtgel!U$2:BL$2,'Tsalin uzuulelt'!L$5,negtgel!U152:BL152)</f>
      </c>
      <c r="L152">
        <f>SUMIF(negtgel!U$2:BL$2,'Tsalin uzuulelt'!N$1,negtgel!U152:BL152) + SUMIF(negtgel!U$2:BL$2,'Tsalin uzuulelt'!N$2,negtgel!U152:BL152)+SUMIF(negtgel!U$2:BL$2,'Tsalin uzuulelt'!N$3,negtgel!U152:BL152)+SUMIF(negtgel!U$2:BL$2,'Tsalin uzuulelt'!N$4,negtgel!U152:BL152)+SUMIF(negtgel!U$2:BL$2,'Tsalin uzuulelt'!N$5,negtgel!U152:BL152)</f>
      </c>
      <c r="M152">
        <f>SUMIF(negtgel!U$2:BL$2,'Tsalin uzuulelt'!P$1,negtgel!U152:BL152) + SUMIF(negtgel!U$2:BL$2,'Tsalin uzuulelt'!P$2,negtgel!U152:BL152)+ SUMIF(negtgel!U$2:BL$2,'Tsalin uzuulelt'!P$3,negtgel!U152:BL152)+ SUMIF(negtgel!U$2:BL$2,'Tsalin uzuulelt'!P$4,negtgel!U152:BL152)+ SUMIF(negtgel!U$2:BL$2,'Tsalin uzuulelt'!P$5,negtgel!U152:BL152)</f>
      </c>
      <c r="N152">
        <f>IF(ISNUMBER(U152*1)=CF152,0,K152-H152-G152)</f>
      </c>
      <c r="O152">
        <f>IF(ISNUMBER(U152*1)=CF152,0,L152)</f>
      </c>
      <c r="P152">
        <f>IF(ISNUMBER(U152*1)=CF152,0,M152)</f>
      </c>
      <c r="Q152">
        <f>IF(N152&gt;2400000,N152,0)</f>
      </c>
      <c r="R152">
        <f>IF(L152/Q152*100&lt;3,2,10)</f>
      </c>
      <c r="S152">
        <f>IF(CH152=0,0,IF(B152&gt;9,10,IF(B152&gt;8,B152,IF(B152&gt;7.7,7.8,IF(B152&gt;3,B152,IF(B152&gt;1.5,2))))))</f>
      </c>
      <c r="T152">
        <f>IF(Q152=0,S152,R152)</f>
      </c>
      <c r="U152" t="n">
        <v>26.0</v>
      </c>
      <c r="V152" t="s">
        <v>3794</v>
      </c>
      <c r="W152" t="s">
        <v>3792</v>
      </c>
      <c r="X152" t="n">
        <v>535286.0</v>
      </c>
      <c r="Y152" t="n">
        <v>535286.0</v>
      </c>
      <c r="Z152" t="n">
        <v>0.0</v>
      </c>
      <c r="AA152" t="n">
        <v>0.0</v>
      </c>
      <c r="AB152" t="n">
        <v>0.0</v>
      </c>
      <c r="AC152" t="n">
        <v>0.0</v>
      </c>
      <c r="AD152" t="n">
        <v>0.0</v>
      </c>
      <c r="AE152" t="n">
        <v>0.0</v>
      </c>
      <c r="AF152" t="n">
        <v>63000.0</v>
      </c>
      <c r="AG152" t="n">
        <v>0.0</v>
      </c>
      <c r="AH152" t="n">
        <v>0.0</v>
      </c>
      <c r="AI152" t="n">
        <v>0.0</v>
      </c>
      <c r="AJ152" t="n">
        <v>0.0</v>
      </c>
      <c r="AK152" t="n">
        <v>0.0</v>
      </c>
      <c r="AL152" t="n">
        <v>0.0</v>
      </c>
      <c r="AM152" t="n">
        <v>0.0</v>
      </c>
      <c r="AN152" t="n">
        <v>0.0</v>
      </c>
      <c r="AO152" t="n">
        <v>598286.0</v>
      </c>
      <c r="AP152" t="n">
        <v>59829.0</v>
      </c>
      <c r="AQ152" t="n">
        <v>47475.7</v>
      </c>
      <c r="CH152">
        <f>IFERROR(U152*1,0)</f>
      </c>
    </row>
    <row r="153">
      <c r="A153" t="n">
        <v>3.0</v>
      </c>
      <c r="B153">
        <f>IF((K153-G153-H153&gt;2400000),10,(L153/(K153-G153-H153)*100))</f>
      </c>
      <c r="C153">
        <f>IF(N153&gt;2400000,240000,(N153*S153)/100)</f>
      </c>
      <c r="D153">
        <f>IF(S153=0,0,IF((N153-I153)&gt;2400000,((((((N153-I153-J153)-240000))*0.1+(I153+J153)*0.1)))-7000,((((((N153-I153-J153)-(N153-I153-J153)*S153/100)))*0.1+(I153+J153)*0.1)-7000)))</f>
      </c>
      <c r="E153">
        <f>C153-O153</f>
      </c>
      <c r="F153">
        <f>D153-P153</f>
      </c>
      <c r="G153">
        <f>SUMIF(negtgel!U$2:BL$2,'Tsalin uzuulelt'!B$1,negtgel!U153:BL153) + SUMIF(negtgel!U$2:BL$2,'Tsalin uzuulelt'!B$2,negtgel!U153:BL153)+SUMIF(negtgel!U$2:BL$2,'Tsalin uzuulelt'!B$3,negtgel!U153:BL153)+SUMIF(negtgel!U$2:BL$2,'Tsalin uzuulelt'!B$4,negtgel!U153:BL153)+SUMIF(negtgel!U$2:BL$2,'Tsalin uzuulelt'!B$5,negtgel!U153:BL153)</f>
      </c>
      <c r="H153">
        <f>SUMIF(negtgel!U$2:BL$2,'Tsalin uzuulelt'!F$1,negtgel!U153:BL153) + SUMIF(negtgel!U$2:BL$2,'Tsalin uzuulelt'!F$2,negtgel!U153:BL153)+SUMIF(negtgel!U$2:BL$2,'Tsalin uzuulelt'!F$3,negtgel!U153:BL153)+SUMIF(negtgel!U$2:BL$2,'Tsalin uzuulelt'!F$4,negtgel!U153:BL153)+SUMIF(negtgel!U$2:BL$2,'Tsalin uzuulelt'!F$5,negtgel!U153:BL153)</f>
      </c>
      <c r="I153">
        <f>SUMIF(negtgel!U$2:BL$2,'Tsalin uzuulelt'!H$1,negtgel!U153:BL153) + SUMIF(negtgel!U$2:BL$2,'Tsalin uzuulelt'!H$2,negtgel!U153:BL153)+SUMIF(negtgel!U$2:BL$2,'Tsalin uzuulelt'!H$3,negtgel!U153:BL153)+SUMIF(negtgel!U$2:BL$2,'Tsalin uzuulelt'!H$4,negtgel!U153:BL153)+SUMIF(negtgel!U$2:BL$2,'Tsalin uzuulelt'!H$5,negtgel!U153:BL153)</f>
      </c>
      <c r="J153">
        <f>SUMIF(negtgel!U$2:BL$2,'Tsalin uzuulelt'!J$1,negtgel!U153:BL153) + SUMIF(negtgel!U$2:BL$2,'Tsalin uzuulelt'!J$2,negtgel!U153:BL153)+SUMIF(negtgel!U$2:BL$2,'Tsalin uzuulelt'!J$3,negtgel!U153:BL153)+SUMIF(negtgel!U$2:BL$2,'Tsalin uzuulelt'!J$4,negtgel!U153:BL153)+SUMIF(negtgel!U$2:BL$2,'Tsalin uzuulelt'!J$5,negtgel!U153:BL153)</f>
      </c>
      <c r="K153">
        <f>SUMIF(negtgel!U$2:BL$2,'Tsalin uzuulelt'!L$1,negtgel!U153:BL153) + SUMIF(negtgel!U$2:BL$2,'Tsalin uzuulelt'!L$2,negtgel!U153:BL153)+SUMIF(negtgel!U$2:BL$2,'Tsalin uzuulelt'!L$3,negtgel!U153:BL153)+SUMIF(negtgel!U$2:BL$2,'Tsalin uzuulelt'!L$4,negtgel!U153:BL153)+SUMIF(negtgel!U$2:BL$2,'Tsalin uzuulelt'!L$5,negtgel!U153:BL153)</f>
      </c>
      <c r="L153">
        <f>SUMIF(negtgel!U$2:BL$2,'Tsalin uzuulelt'!N$1,negtgel!U153:BL153) + SUMIF(negtgel!U$2:BL$2,'Tsalin uzuulelt'!N$2,negtgel!U153:BL153)+SUMIF(negtgel!U$2:BL$2,'Tsalin uzuulelt'!N$3,negtgel!U153:BL153)+SUMIF(negtgel!U$2:BL$2,'Tsalin uzuulelt'!N$4,negtgel!U153:BL153)+SUMIF(negtgel!U$2:BL$2,'Tsalin uzuulelt'!N$5,negtgel!U153:BL153)</f>
      </c>
      <c r="M153">
        <f>SUMIF(negtgel!U$2:BL$2,'Tsalin uzuulelt'!P$1,negtgel!U153:BL153) + SUMIF(negtgel!U$2:BL$2,'Tsalin uzuulelt'!P$2,negtgel!U153:BL153)+ SUMIF(negtgel!U$2:BL$2,'Tsalin uzuulelt'!P$3,negtgel!U153:BL153)+ SUMIF(negtgel!U$2:BL$2,'Tsalin uzuulelt'!P$4,negtgel!U153:BL153)+ SUMIF(negtgel!U$2:BL$2,'Tsalin uzuulelt'!P$5,negtgel!U153:BL153)</f>
      </c>
      <c r="N153">
        <f>IF(ISNUMBER(U153*1)=CF153,0,K153-H153-G153)</f>
      </c>
      <c r="O153">
        <f>IF(ISNUMBER(U153*1)=CF153,0,L153)</f>
      </c>
      <c r="P153">
        <f>IF(ISNUMBER(U153*1)=CF153,0,M153)</f>
      </c>
      <c r="Q153">
        <f>IF(N153&gt;2400000,N153,0)</f>
      </c>
      <c r="R153">
        <f>IF(L153/Q153*100&lt;3,2,10)</f>
      </c>
      <c r="S153">
        <f>IF(CH153=0,0,IF(B153&gt;9,10,IF(B153&gt;8,B153,IF(B153&gt;7.7,7.8,IF(B153&gt;3,B153,IF(B153&gt;1.5,2))))))</f>
      </c>
      <c r="T153">
        <f>IF(Q153=0,S153,R153)</f>
      </c>
      <c r="U153" t="n">
        <v>49.0</v>
      </c>
      <c r="V153" t="s">
        <v>3862</v>
      </c>
      <c r="W153" t="s">
        <v>3790</v>
      </c>
      <c r="X153" t="n">
        <v>677436.0</v>
      </c>
      <c r="Y153" t="n">
        <v>677436.0</v>
      </c>
      <c r="Z153" t="n">
        <v>101615.0</v>
      </c>
      <c r="AA153" t="n">
        <v>135487.0</v>
      </c>
      <c r="AB153" t="n">
        <v>0.0</v>
      </c>
      <c r="AC153" t="n">
        <v>101615.0</v>
      </c>
      <c r="AD153" t="n">
        <v>0.0</v>
      </c>
      <c r="AE153" t="n">
        <v>0.0</v>
      </c>
      <c r="AF153" t="n">
        <v>63000.0</v>
      </c>
      <c r="AG153" t="n">
        <v>0.0</v>
      </c>
      <c r="AH153" t="n">
        <v>0.0</v>
      </c>
      <c r="AI153" t="n">
        <v>0.0</v>
      </c>
      <c r="AJ153" t="n">
        <v>0.0</v>
      </c>
      <c r="AK153" t="n">
        <v>0.0</v>
      </c>
      <c r="AL153" t="n">
        <v>0.0</v>
      </c>
      <c r="AM153" t="n">
        <v>0.0</v>
      </c>
      <c r="AN153" t="n">
        <v>0.0</v>
      </c>
      <c r="AO153" t="n">
        <v>1079153.0</v>
      </c>
      <c r="AP153" t="n">
        <v>107915.0</v>
      </c>
      <c r="AQ153" t="n">
        <v>90753.8</v>
      </c>
      <c r="CH153">
        <f>IFERROR(U153*1,0)</f>
      </c>
    </row>
    <row r="154">
      <c r="A154" t="n">
        <v>3.0</v>
      </c>
      <c r="B154">
        <f>IF((K154-G154-H154&gt;2400000),10,(L154/(K154-G154-H154)*100))</f>
      </c>
      <c r="C154">
        <f>IF(N154&gt;2400000,240000,(N154*S154)/100)</f>
      </c>
      <c r="D154">
        <f>IF(S154=0,0,IF((N154-I154)&gt;2400000,((((((N154-I154-J154)-240000))*0.1+(I154+J154)*0.1)))-7000,((((((N154-I154-J154)-(N154-I154-J154)*S154/100)))*0.1+(I154+J154)*0.1)-7000)))</f>
      </c>
      <c r="E154">
        <f>C154-O154</f>
      </c>
      <c r="F154">
        <f>D154-P154</f>
      </c>
      <c r="G154">
        <f>SUMIF(negtgel!U$2:BL$2,'Tsalin uzuulelt'!B$1,negtgel!U154:BL154) + SUMIF(negtgel!U$2:BL$2,'Tsalin uzuulelt'!B$2,negtgel!U154:BL154)+SUMIF(negtgel!U$2:BL$2,'Tsalin uzuulelt'!B$3,negtgel!U154:BL154)+SUMIF(negtgel!U$2:BL$2,'Tsalin uzuulelt'!B$4,negtgel!U154:BL154)+SUMIF(negtgel!U$2:BL$2,'Tsalin uzuulelt'!B$5,negtgel!U154:BL154)</f>
      </c>
      <c r="H154">
        <f>SUMIF(negtgel!U$2:BL$2,'Tsalin uzuulelt'!F$1,negtgel!U154:BL154) + SUMIF(negtgel!U$2:BL$2,'Tsalin uzuulelt'!F$2,negtgel!U154:BL154)+SUMIF(negtgel!U$2:BL$2,'Tsalin uzuulelt'!F$3,negtgel!U154:BL154)+SUMIF(negtgel!U$2:BL$2,'Tsalin uzuulelt'!F$4,negtgel!U154:BL154)+SUMIF(negtgel!U$2:BL$2,'Tsalin uzuulelt'!F$5,negtgel!U154:BL154)</f>
      </c>
      <c r="I154">
        <f>SUMIF(negtgel!U$2:BL$2,'Tsalin uzuulelt'!H$1,negtgel!U154:BL154) + SUMIF(negtgel!U$2:BL$2,'Tsalin uzuulelt'!H$2,negtgel!U154:BL154)+SUMIF(negtgel!U$2:BL$2,'Tsalin uzuulelt'!H$3,negtgel!U154:BL154)+SUMIF(negtgel!U$2:BL$2,'Tsalin uzuulelt'!H$4,negtgel!U154:BL154)+SUMIF(negtgel!U$2:BL$2,'Tsalin uzuulelt'!H$5,negtgel!U154:BL154)</f>
      </c>
      <c r="J154">
        <f>SUMIF(negtgel!U$2:BL$2,'Tsalin uzuulelt'!J$1,negtgel!U154:BL154) + SUMIF(negtgel!U$2:BL$2,'Tsalin uzuulelt'!J$2,negtgel!U154:BL154)+SUMIF(negtgel!U$2:BL$2,'Tsalin uzuulelt'!J$3,negtgel!U154:BL154)+SUMIF(negtgel!U$2:BL$2,'Tsalin uzuulelt'!J$4,negtgel!U154:BL154)+SUMIF(negtgel!U$2:BL$2,'Tsalin uzuulelt'!J$5,negtgel!U154:BL154)</f>
      </c>
      <c r="K154">
        <f>SUMIF(negtgel!U$2:BL$2,'Tsalin uzuulelt'!L$1,negtgel!U154:BL154) + SUMIF(negtgel!U$2:BL$2,'Tsalin uzuulelt'!L$2,negtgel!U154:BL154)+SUMIF(negtgel!U$2:BL$2,'Tsalin uzuulelt'!L$3,negtgel!U154:BL154)+SUMIF(negtgel!U$2:BL$2,'Tsalin uzuulelt'!L$4,negtgel!U154:BL154)+SUMIF(negtgel!U$2:BL$2,'Tsalin uzuulelt'!L$5,negtgel!U154:BL154)</f>
      </c>
      <c r="L154">
        <f>SUMIF(negtgel!U$2:BL$2,'Tsalin uzuulelt'!N$1,negtgel!U154:BL154) + SUMIF(negtgel!U$2:BL$2,'Tsalin uzuulelt'!N$2,negtgel!U154:BL154)+SUMIF(negtgel!U$2:BL$2,'Tsalin uzuulelt'!N$3,negtgel!U154:BL154)+SUMIF(negtgel!U$2:BL$2,'Tsalin uzuulelt'!N$4,negtgel!U154:BL154)+SUMIF(negtgel!U$2:BL$2,'Tsalin uzuulelt'!N$5,negtgel!U154:BL154)</f>
      </c>
      <c r="M154">
        <f>SUMIF(negtgel!U$2:BL$2,'Tsalin uzuulelt'!P$1,negtgel!U154:BL154) + SUMIF(negtgel!U$2:BL$2,'Tsalin uzuulelt'!P$2,negtgel!U154:BL154)+ SUMIF(negtgel!U$2:BL$2,'Tsalin uzuulelt'!P$3,negtgel!U154:BL154)+ SUMIF(negtgel!U$2:BL$2,'Tsalin uzuulelt'!P$4,negtgel!U154:BL154)+ SUMIF(negtgel!U$2:BL$2,'Tsalin uzuulelt'!P$5,negtgel!U154:BL154)</f>
      </c>
      <c r="N154">
        <f>IF(ISNUMBER(U154*1)=CF154,0,K154-H154-G154)</f>
      </c>
      <c r="O154">
        <f>IF(ISNUMBER(U154*1)=CF154,0,L154)</f>
      </c>
      <c r="P154">
        <f>IF(ISNUMBER(U154*1)=CF154,0,M154)</f>
      </c>
      <c r="Q154">
        <f>IF(N154&gt;2400000,N154,0)</f>
      </c>
      <c r="R154">
        <f>IF(L154/Q154*100&lt;3,2,10)</f>
      </c>
      <c r="S154">
        <f>IF(CH154=0,0,IF(B154&gt;9,10,IF(B154&gt;8,B154,IF(B154&gt;7.7,7.8,IF(B154&gt;3,B154,IF(B154&gt;1.5,2))))))</f>
      </c>
      <c r="T154">
        <f>IF(Q154=0,S154,R154)</f>
      </c>
      <c r="U154" t="n">
        <v>50.0</v>
      </c>
      <c r="V154" t="s">
        <v>3796</v>
      </c>
      <c r="W154" t="s">
        <v>3792</v>
      </c>
      <c r="X154" t="n">
        <v>535286.0</v>
      </c>
      <c r="Y154" t="n">
        <v>331368.0</v>
      </c>
      <c r="Z154" t="n">
        <v>0.0</v>
      </c>
      <c r="AA154" t="n">
        <v>0.0</v>
      </c>
      <c r="AB154" t="n">
        <v>0.0</v>
      </c>
      <c r="AC154" t="n">
        <v>0.0</v>
      </c>
      <c r="AD154" t="n">
        <v>0.0</v>
      </c>
      <c r="AE154" t="n">
        <v>0.0</v>
      </c>
      <c r="AF154" t="n">
        <v>39000.0</v>
      </c>
      <c r="AG154" t="n">
        <v>0.0</v>
      </c>
      <c r="AH154" t="n">
        <v>0.0</v>
      </c>
      <c r="AI154" t="n">
        <v>0.0</v>
      </c>
      <c r="AJ154" t="n">
        <v>0.0</v>
      </c>
      <c r="AK154" t="n">
        <v>0.0</v>
      </c>
      <c r="AL154" t="n">
        <v>0.0</v>
      </c>
      <c r="AM154" t="n">
        <v>0.0</v>
      </c>
      <c r="AN154" t="n">
        <v>0.0</v>
      </c>
      <c r="AO154" t="n">
        <v>370368.0</v>
      </c>
      <c r="AP154" t="n">
        <v>37037.0</v>
      </c>
      <c r="AQ154" t="n">
        <v>26723.1</v>
      </c>
      <c r="CH154">
        <f>IFERROR(U154*1,0)</f>
      </c>
    </row>
    <row r="155">
      <c r="A155" t="n">
        <v>3.0</v>
      </c>
      <c r="B155">
        <f>IF((K155-G155-H155&gt;2400000),10,(L155/(K155-G155-H155)*100))</f>
      </c>
      <c r="C155">
        <f>IF(N155&gt;2400000,240000,(N155*S155)/100)</f>
      </c>
      <c r="D155">
        <f>IF(S155=0,0,IF((N155-I155)&gt;2400000,((((((N155-I155-J155)-240000))*0.1+(I155+J155)*0.1)))-7000,((((((N155-I155-J155)-(N155-I155-J155)*S155/100)))*0.1+(I155+J155)*0.1)-7000)))</f>
      </c>
      <c r="E155">
        <f>C155-O155</f>
      </c>
      <c r="F155">
        <f>D155-P155</f>
      </c>
      <c r="G155">
        <f>SUMIF(negtgel!U$2:BL$2,'Tsalin uzuulelt'!B$1,negtgel!U155:BL155) + SUMIF(negtgel!U$2:BL$2,'Tsalin uzuulelt'!B$2,negtgel!U155:BL155)+SUMIF(negtgel!U$2:BL$2,'Tsalin uzuulelt'!B$3,negtgel!U155:BL155)+SUMIF(negtgel!U$2:BL$2,'Tsalin uzuulelt'!B$4,negtgel!U155:BL155)+SUMIF(negtgel!U$2:BL$2,'Tsalin uzuulelt'!B$5,negtgel!U155:BL155)</f>
      </c>
      <c r="H155">
        <f>SUMIF(negtgel!U$2:BL$2,'Tsalin uzuulelt'!F$1,negtgel!U155:BL155) + SUMIF(negtgel!U$2:BL$2,'Tsalin uzuulelt'!F$2,negtgel!U155:BL155)+SUMIF(negtgel!U$2:BL$2,'Tsalin uzuulelt'!F$3,negtgel!U155:BL155)+SUMIF(negtgel!U$2:BL$2,'Tsalin uzuulelt'!F$4,negtgel!U155:BL155)+SUMIF(negtgel!U$2:BL$2,'Tsalin uzuulelt'!F$5,negtgel!U155:BL155)</f>
      </c>
      <c r="I155">
        <f>SUMIF(negtgel!U$2:BL$2,'Tsalin uzuulelt'!H$1,negtgel!U155:BL155) + SUMIF(negtgel!U$2:BL$2,'Tsalin uzuulelt'!H$2,negtgel!U155:BL155)+SUMIF(negtgel!U$2:BL$2,'Tsalin uzuulelt'!H$3,negtgel!U155:BL155)+SUMIF(negtgel!U$2:BL$2,'Tsalin uzuulelt'!H$4,negtgel!U155:BL155)+SUMIF(negtgel!U$2:BL$2,'Tsalin uzuulelt'!H$5,negtgel!U155:BL155)</f>
      </c>
      <c r="J155">
        <f>SUMIF(negtgel!U$2:BL$2,'Tsalin uzuulelt'!J$1,negtgel!U155:BL155) + SUMIF(negtgel!U$2:BL$2,'Tsalin uzuulelt'!J$2,negtgel!U155:BL155)+SUMIF(negtgel!U$2:BL$2,'Tsalin uzuulelt'!J$3,negtgel!U155:BL155)+SUMIF(negtgel!U$2:BL$2,'Tsalin uzuulelt'!J$4,negtgel!U155:BL155)+SUMIF(negtgel!U$2:BL$2,'Tsalin uzuulelt'!J$5,negtgel!U155:BL155)</f>
      </c>
      <c r="K155">
        <f>SUMIF(negtgel!U$2:BL$2,'Tsalin uzuulelt'!L$1,negtgel!U155:BL155) + SUMIF(negtgel!U$2:BL$2,'Tsalin uzuulelt'!L$2,negtgel!U155:BL155)+SUMIF(negtgel!U$2:BL$2,'Tsalin uzuulelt'!L$3,negtgel!U155:BL155)+SUMIF(negtgel!U$2:BL$2,'Tsalin uzuulelt'!L$4,negtgel!U155:BL155)+SUMIF(negtgel!U$2:BL$2,'Tsalin uzuulelt'!L$5,negtgel!U155:BL155)</f>
      </c>
      <c r="L155">
        <f>SUMIF(negtgel!U$2:BL$2,'Tsalin uzuulelt'!N$1,negtgel!U155:BL155) + SUMIF(negtgel!U$2:BL$2,'Tsalin uzuulelt'!N$2,negtgel!U155:BL155)+SUMIF(negtgel!U$2:BL$2,'Tsalin uzuulelt'!N$3,negtgel!U155:BL155)+SUMIF(negtgel!U$2:BL$2,'Tsalin uzuulelt'!N$4,negtgel!U155:BL155)+SUMIF(negtgel!U$2:BL$2,'Tsalin uzuulelt'!N$5,negtgel!U155:BL155)</f>
      </c>
      <c r="M155">
        <f>SUMIF(negtgel!U$2:BL$2,'Tsalin uzuulelt'!P$1,negtgel!U155:BL155) + SUMIF(negtgel!U$2:BL$2,'Tsalin uzuulelt'!P$2,negtgel!U155:BL155)+ SUMIF(negtgel!U$2:BL$2,'Tsalin uzuulelt'!P$3,negtgel!U155:BL155)+ SUMIF(negtgel!U$2:BL$2,'Tsalin uzuulelt'!P$4,negtgel!U155:BL155)+ SUMIF(negtgel!U$2:BL$2,'Tsalin uzuulelt'!P$5,negtgel!U155:BL155)</f>
      </c>
      <c r="N155">
        <f>IF(ISNUMBER(U155*1)=CF155,0,K155-H155-G155)</f>
      </c>
      <c r="O155">
        <f>IF(ISNUMBER(U155*1)=CF155,0,L155)</f>
      </c>
      <c r="P155">
        <f>IF(ISNUMBER(U155*1)=CF155,0,M155)</f>
      </c>
      <c r="Q155">
        <f>IF(N155&gt;2400000,N155,0)</f>
      </c>
      <c r="R155">
        <f>IF(L155/Q155*100&lt;3,2,10)</f>
      </c>
      <c r="S155">
        <f>IF(CH155=0,0,IF(B155&gt;9,10,IF(B155&gt;8,B155,IF(B155&gt;7.7,7.8,IF(B155&gt;3,B155,IF(B155&gt;1.5,2))))))</f>
      </c>
      <c r="T155">
        <f>IF(Q155=0,S155,R155)</f>
      </c>
      <c r="U155" t="n">
        <v>51.0</v>
      </c>
      <c r="V155" t="s">
        <v>3797</v>
      </c>
      <c r="W155" t="s">
        <v>3790</v>
      </c>
      <c r="X155" t="n">
        <v>580710.0</v>
      </c>
      <c r="Y155" t="n">
        <v>580710.0</v>
      </c>
      <c r="Z155" t="n">
        <v>29036.0</v>
      </c>
      <c r="AA155" t="n">
        <v>87106.0</v>
      </c>
      <c r="AB155" t="n">
        <v>0.0</v>
      </c>
      <c r="AC155" t="n">
        <v>0.0</v>
      </c>
      <c r="AD155" t="n">
        <v>0.0</v>
      </c>
      <c r="AE155" t="n">
        <v>0.0</v>
      </c>
      <c r="AF155" t="n">
        <v>63000.0</v>
      </c>
      <c r="AG155" t="n">
        <v>0.0</v>
      </c>
      <c r="AH155" t="n">
        <v>0.0</v>
      </c>
      <c r="AI155" t="n">
        <v>0.0</v>
      </c>
      <c r="AJ155" t="n">
        <v>0.0</v>
      </c>
      <c r="AK155" t="n">
        <v>0.0</v>
      </c>
      <c r="AL155" t="n">
        <v>0.0</v>
      </c>
      <c r="AM155" t="n">
        <v>0.0</v>
      </c>
      <c r="AN155" t="n">
        <v>0.0</v>
      </c>
      <c r="AO155" t="n">
        <v>759852.0</v>
      </c>
      <c r="AP155" t="n">
        <v>75986.0</v>
      </c>
      <c r="AQ155" t="n">
        <v>62016.7</v>
      </c>
      <c r="CH155">
        <f>IFERROR(U155*1,0)</f>
      </c>
    </row>
    <row r="156">
      <c r="A156" t="n">
        <v>3.0</v>
      </c>
      <c r="B156">
        <f>IF((K156-G156-H156&gt;2400000),10,(L156/(K156-G156-H156)*100))</f>
      </c>
      <c r="C156">
        <f>IF(N156&gt;2400000,240000,(N156*S156)/100)</f>
      </c>
      <c r="D156">
        <f>IF(S156=0,0,IF((N156-I156)&gt;2400000,((((((N156-I156-J156)-240000))*0.1+(I156+J156)*0.1)))-7000,((((((N156-I156-J156)-(N156-I156-J156)*S156/100)))*0.1+(I156+J156)*0.1)-7000)))</f>
      </c>
      <c r="E156">
        <f>C156-O156</f>
      </c>
      <c r="F156">
        <f>D156-P156</f>
      </c>
      <c r="G156">
        <f>SUMIF(negtgel!U$2:BL$2,'Tsalin uzuulelt'!B$1,negtgel!U156:BL156) + SUMIF(negtgel!U$2:BL$2,'Tsalin uzuulelt'!B$2,negtgel!U156:BL156)+SUMIF(negtgel!U$2:BL$2,'Tsalin uzuulelt'!B$3,negtgel!U156:BL156)+SUMIF(negtgel!U$2:BL$2,'Tsalin uzuulelt'!B$4,negtgel!U156:BL156)+SUMIF(negtgel!U$2:BL$2,'Tsalin uzuulelt'!B$5,negtgel!U156:BL156)</f>
      </c>
      <c r="H156">
        <f>SUMIF(negtgel!U$2:BL$2,'Tsalin uzuulelt'!F$1,negtgel!U156:BL156) + SUMIF(negtgel!U$2:BL$2,'Tsalin uzuulelt'!F$2,negtgel!U156:BL156)+SUMIF(negtgel!U$2:BL$2,'Tsalin uzuulelt'!F$3,negtgel!U156:BL156)+SUMIF(negtgel!U$2:BL$2,'Tsalin uzuulelt'!F$4,negtgel!U156:BL156)+SUMIF(negtgel!U$2:BL$2,'Tsalin uzuulelt'!F$5,negtgel!U156:BL156)</f>
      </c>
      <c r="I156">
        <f>SUMIF(negtgel!U$2:BL$2,'Tsalin uzuulelt'!H$1,negtgel!U156:BL156) + SUMIF(negtgel!U$2:BL$2,'Tsalin uzuulelt'!H$2,negtgel!U156:BL156)+SUMIF(negtgel!U$2:BL$2,'Tsalin uzuulelt'!H$3,negtgel!U156:BL156)+SUMIF(negtgel!U$2:BL$2,'Tsalin uzuulelt'!H$4,negtgel!U156:BL156)+SUMIF(negtgel!U$2:BL$2,'Tsalin uzuulelt'!H$5,negtgel!U156:BL156)</f>
      </c>
      <c r="J156">
        <f>SUMIF(negtgel!U$2:BL$2,'Tsalin uzuulelt'!J$1,negtgel!U156:BL156) + SUMIF(negtgel!U$2:BL$2,'Tsalin uzuulelt'!J$2,negtgel!U156:BL156)+SUMIF(negtgel!U$2:BL$2,'Tsalin uzuulelt'!J$3,negtgel!U156:BL156)+SUMIF(negtgel!U$2:BL$2,'Tsalin uzuulelt'!J$4,negtgel!U156:BL156)+SUMIF(negtgel!U$2:BL$2,'Tsalin uzuulelt'!J$5,negtgel!U156:BL156)</f>
      </c>
      <c r="K156">
        <f>SUMIF(negtgel!U$2:BL$2,'Tsalin uzuulelt'!L$1,negtgel!U156:BL156) + SUMIF(negtgel!U$2:BL$2,'Tsalin uzuulelt'!L$2,negtgel!U156:BL156)+SUMIF(negtgel!U$2:BL$2,'Tsalin uzuulelt'!L$3,negtgel!U156:BL156)+SUMIF(negtgel!U$2:BL$2,'Tsalin uzuulelt'!L$4,negtgel!U156:BL156)+SUMIF(negtgel!U$2:BL$2,'Tsalin uzuulelt'!L$5,negtgel!U156:BL156)</f>
      </c>
      <c r="L156">
        <f>SUMIF(negtgel!U$2:BL$2,'Tsalin uzuulelt'!N$1,negtgel!U156:BL156) + SUMIF(negtgel!U$2:BL$2,'Tsalin uzuulelt'!N$2,negtgel!U156:BL156)+SUMIF(negtgel!U$2:BL$2,'Tsalin uzuulelt'!N$3,negtgel!U156:BL156)+SUMIF(negtgel!U$2:BL$2,'Tsalin uzuulelt'!N$4,negtgel!U156:BL156)+SUMIF(negtgel!U$2:BL$2,'Tsalin uzuulelt'!N$5,negtgel!U156:BL156)</f>
      </c>
      <c r="M156">
        <f>SUMIF(negtgel!U$2:BL$2,'Tsalin uzuulelt'!P$1,negtgel!U156:BL156) + SUMIF(negtgel!U$2:BL$2,'Tsalin uzuulelt'!P$2,negtgel!U156:BL156)+ SUMIF(negtgel!U$2:BL$2,'Tsalin uzuulelt'!P$3,negtgel!U156:BL156)+ SUMIF(negtgel!U$2:BL$2,'Tsalin uzuulelt'!P$4,negtgel!U156:BL156)+ SUMIF(negtgel!U$2:BL$2,'Tsalin uzuulelt'!P$5,negtgel!U156:BL156)</f>
      </c>
      <c r="N156">
        <f>IF(ISNUMBER(U156*1)=CF156,0,K156-H156-G156)</f>
      </c>
      <c r="O156">
        <f>IF(ISNUMBER(U156*1)=CF156,0,L156)</f>
      </c>
      <c r="P156">
        <f>IF(ISNUMBER(U156*1)=CF156,0,M156)</f>
      </c>
      <c r="Q156">
        <f>IF(N156&gt;2400000,N156,0)</f>
      </c>
      <c r="R156">
        <f>IF(L156/Q156*100&lt;3,2,10)</f>
      </c>
      <c r="S156">
        <f>IF(CH156=0,0,IF(B156&gt;9,10,IF(B156&gt;8,B156,IF(B156&gt;7.7,7.8,IF(B156&gt;3,B156,IF(B156&gt;1.5,2))))))</f>
      </c>
      <c r="T156">
        <f>IF(Q156=0,S156,R156)</f>
      </c>
      <c r="U156" t="n">
        <v>52.0</v>
      </c>
      <c r="V156" t="s">
        <v>3798</v>
      </c>
      <c r="W156" t="s">
        <v>3792</v>
      </c>
      <c r="X156" t="n">
        <v>535286.0</v>
      </c>
      <c r="Y156" t="n">
        <v>535286.0</v>
      </c>
      <c r="Z156" t="n">
        <v>0.0</v>
      </c>
      <c r="AA156" t="n">
        <v>0.0</v>
      </c>
      <c r="AB156" t="n">
        <v>0.0</v>
      </c>
      <c r="AC156" t="n">
        <v>0.0</v>
      </c>
      <c r="AD156" t="n">
        <v>0.0</v>
      </c>
      <c r="AE156" t="n">
        <v>0.0</v>
      </c>
      <c r="AF156" t="n">
        <v>63000.0</v>
      </c>
      <c r="AG156" t="n">
        <v>0.0</v>
      </c>
      <c r="AH156" t="n">
        <v>0.0</v>
      </c>
      <c r="AI156" t="n">
        <v>0.0</v>
      </c>
      <c r="AJ156" t="n">
        <v>0.0</v>
      </c>
      <c r="AK156" t="n">
        <v>0.0</v>
      </c>
      <c r="AL156" t="n">
        <v>0.0</v>
      </c>
      <c r="AM156" t="n">
        <v>0.0</v>
      </c>
      <c r="AN156" t="n">
        <v>0.0</v>
      </c>
      <c r="AO156" t="n">
        <v>598286.0</v>
      </c>
      <c r="AP156" t="n">
        <v>59829.0</v>
      </c>
      <c r="AQ156" t="n">
        <v>47475.7</v>
      </c>
      <c r="CH156">
        <f>IFERROR(U156*1,0)</f>
      </c>
    </row>
    <row r="157">
      <c r="A157" t="n">
        <v>3.0</v>
      </c>
      <c r="B157">
        <f>IF((K157-G157-H157&gt;2400000),10,(L157/(K157-G157-H157)*100))</f>
      </c>
      <c r="C157">
        <f>IF(N157&gt;2400000,240000,(N157*S157)/100)</f>
      </c>
      <c r="D157">
        <f>IF(S157=0,0,IF((N157-I157)&gt;2400000,((((((N157-I157-J157)-240000))*0.1+(I157+J157)*0.1)))-7000,((((((N157-I157-J157)-(N157-I157-J157)*S157/100)))*0.1+(I157+J157)*0.1)-7000)))</f>
      </c>
      <c r="E157">
        <f>C157-O157</f>
      </c>
      <c r="F157">
        <f>D157-P157</f>
      </c>
      <c r="G157">
        <f>SUMIF(negtgel!U$2:BL$2,'Tsalin uzuulelt'!B$1,negtgel!U157:BL157) + SUMIF(negtgel!U$2:BL$2,'Tsalin uzuulelt'!B$2,negtgel!U157:BL157)+SUMIF(negtgel!U$2:BL$2,'Tsalin uzuulelt'!B$3,negtgel!U157:BL157)+SUMIF(negtgel!U$2:BL$2,'Tsalin uzuulelt'!B$4,negtgel!U157:BL157)+SUMIF(negtgel!U$2:BL$2,'Tsalin uzuulelt'!B$5,negtgel!U157:BL157)</f>
      </c>
      <c r="H157">
        <f>SUMIF(negtgel!U$2:BL$2,'Tsalin uzuulelt'!F$1,negtgel!U157:BL157) + SUMIF(negtgel!U$2:BL$2,'Tsalin uzuulelt'!F$2,negtgel!U157:BL157)+SUMIF(negtgel!U$2:BL$2,'Tsalin uzuulelt'!F$3,negtgel!U157:BL157)+SUMIF(negtgel!U$2:BL$2,'Tsalin uzuulelt'!F$4,negtgel!U157:BL157)+SUMIF(negtgel!U$2:BL$2,'Tsalin uzuulelt'!F$5,negtgel!U157:BL157)</f>
      </c>
      <c r="I157">
        <f>SUMIF(negtgel!U$2:BL$2,'Tsalin uzuulelt'!H$1,negtgel!U157:BL157) + SUMIF(negtgel!U$2:BL$2,'Tsalin uzuulelt'!H$2,negtgel!U157:BL157)+SUMIF(negtgel!U$2:BL$2,'Tsalin uzuulelt'!H$3,negtgel!U157:BL157)+SUMIF(negtgel!U$2:BL$2,'Tsalin uzuulelt'!H$4,negtgel!U157:BL157)+SUMIF(negtgel!U$2:BL$2,'Tsalin uzuulelt'!H$5,negtgel!U157:BL157)</f>
      </c>
      <c r="J157">
        <f>SUMIF(negtgel!U$2:BL$2,'Tsalin uzuulelt'!J$1,negtgel!U157:BL157) + SUMIF(negtgel!U$2:BL$2,'Tsalin uzuulelt'!J$2,negtgel!U157:BL157)+SUMIF(negtgel!U$2:BL$2,'Tsalin uzuulelt'!J$3,negtgel!U157:BL157)+SUMIF(negtgel!U$2:BL$2,'Tsalin uzuulelt'!J$4,negtgel!U157:BL157)+SUMIF(negtgel!U$2:BL$2,'Tsalin uzuulelt'!J$5,negtgel!U157:BL157)</f>
      </c>
      <c r="K157">
        <f>SUMIF(negtgel!U$2:BL$2,'Tsalin uzuulelt'!L$1,negtgel!U157:BL157) + SUMIF(negtgel!U$2:BL$2,'Tsalin uzuulelt'!L$2,negtgel!U157:BL157)+SUMIF(negtgel!U$2:BL$2,'Tsalin uzuulelt'!L$3,negtgel!U157:BL157)+SUMIF(negtgel!U$2:BL$2,'Tsalin uzuulelt'!L$4,negtgel!U157:BL157)+SUMIF(negtgel!U$2:BL$2,'Tsalin uzuulelt'!L$5,negtgel!U157:BL157)</f>
      </c>
      <c r="L157">
        <f>SUMIF(negtgel!U$2:BL$2,'Tsalin uzuulelt'!N$1,negtgel!U157:BL157) + SUMIF(negtgel!U$2:BL$2,'Tsalin uzuulelt'!N$2,negtgel!U157:BL157)+SUMIF(negtgel!U$2:BL$2,'Tsalin uzuulelt'!N$3,negtgel!U157:BL157)+SUMIF(negtgel!U$2:BL$2,'Tsalin uzuulelt'!N$4,negtgel!U157:BL157)+SUMIF(negtgel!U$2:BL$2,'Tsalin uzuulelt'!N$5,negtgel!U157:BL157)</f>
      </c>
      <c r="M157">
        <f>SUMIF(negtgel!U$2:BL$2,'Tsalin uzuulelt'!P$1,negtgel!U157:BL157) + SUMIF(negtgel!U$2:BL$2,'Tsalin uzuulelt'!P$2,negtgel!U157:BL157)+ SUMIF(negtgel!U$2:BL$2,'Tsalin uzuulelt'!P$3,negtgel!U157:BL157)+ SUMIF(negtgel!U$2:BL$2,'Tsalin uzuulelt'!P$4,negtgel!U157:BL157)+ SUMIF(negtgel!U$2:BL$2,'Tsalin uzuulelt'!P$5,negtgel!U157:BL157)</f>
      </c>
      <c r="N157">
        <f>IF(ISNUMBER(U157*1)=CF157,0,K157-H157-G157)</f>
      </c>
      <c r="O157">
        <f>IF(ISNUMBER(U157*1)=CF157,0,L157)</f>
      </c>
      <c r="P157">
        <f>IF(ISNUMBER(U157*1)=CF157,0,M157)</f>
      </c>
      <c r="Q157">
        <f>IF(N157&gt;2400000,N157,0)</f>
      </c>
      <c r="R157">
        <f>IF(L157/Q157*100&lt;3,2,10)</f>
      </c>
      <c r="S157">
        <f>IF(CH157=0,0,IF(B157&gt;9,10,IF(B157&gt;8,B157,IF(B157&gt;7.7,7.8,IF(B157&gt;3,B157,IF(B157&gt;1.5,2))))))</f>
      </c>
      <c r="T157">
        <f>IF(Q157=0,S157,R157)</f>
      </c>
      <c r="U157" t="n">
        <v>53.0</v>
      </c>
      <c r="V157" t="s">
        <v>3799</v>
      </c>
      <c r="W157" t="s">
        <v>3785</v>
      </c>
      <c r="X157" t="n">
        <v>795935.0</v>
      </c>
      <c r="Y157" t="n">
        <v>795935.0</v>
      </c>
      <c r="Z157" t="n">
        <v>119390.0</v>
      </c>
      <c r="AA157" t="n">
        <v>159187.0</v>
      </c>
      <c r="AB157" t="n">
        <v>0.0</v>
      </c>
      <c r="AC157" t="n">
        <v>0.0</v>
      </c>
      <c r="AD157" t="n">
        <v>0.0</v>
      </c>
      <c r="AE157" t="n">
        <v>0.0</v>
      </c>
      <c r="AF157" t="n">
        <v>63000.0</v>
      </c>
      <c r="AG157" t="n">
        <v>0.0</v>
      </c>
      <c r="AH157" t="n">
        <v>0.0</v>
      </c>
      <c r="AI157" t="n">
        <v>0.0</v>
      </c>
      <c r="AJ157" t="n">
        <v>0.0</v>
      </c>
      <c r="AK157" t="n">
        <v>0.0</v>
      </c>
      <c r="AL157" t="n">
        <v>0.0</v>
      </c>
      <c r="AM157" t="n">
        <v>0.0</v>
      </c>
      <c r="AN157" t="n">
        <v>0.0</v>
      </c>
      <c r="AO157" t="n">
        <v>1137512.0</v>
      </c>
      <c r="AP157" t="n">
        <v>113751.0</v>
      </c>
      <c r="AQ157" t="n">
        <v>96006.1</v>
      </c>
      <c r="CH157">
        <f>IFERROR(U157*1,0)</f>
      </c>
    </row>
    <row r="158">
      <c r="A158" t="n">
        <v>3.0</v>
      </c>
      <c r="B158">
        <f>IF((K158-G158-H158&gt;2400000),10,(L158/(K158-G158-H158)*100))</f>
      </c>
      <c r="C158">
        <f>IF(N158&gt;2400000,240000,(N158*S158)/100)</f>
      </c>
      <c r="D158">
        <f>IF(S158=0,0,IF((N158-I158)&gt;2400000,((((((N158-I158-J158)-240000))*0.1+(I158+J158)*0.1)))-7000,((((((N158-I158-J158)-(N158-I158-J158)*S158/100)))*0.1+(I158+J158)*0.1)-7000)))</f>
      </c>
      <c r="E158">
        <f>C158-O158</f>
      </c>
      <c r="F158">
        <f>D158-P158</f>
      </c>
      <c r="G158">
        <f>SUMIF(negtgel!U$2:BL$2,'Tsalin uzuulelt'!B$1,negtgel!U158:BL158) + SUMIF(negtgel!U$2:BL$2,'Tsalin uzuulelt'!B$2,negtgel!U158:BL158)+SUMIF(negtgel!U$2:BL$2,'Tsalin uzuulelt'!B$3,negtgel!U158:BL158)+SUMIF(negtgel!U$2:BL$2,'Tsalin uzuulelt'!B$4,negtgel!U158:BL158)+SUMIF(negtgel!U$2:BL$2,'Tsalin uzuulelt'!B$5,negtgel!U158:BL158)</f>
      </c>
      <c r="H158">
        <f>SUMIF(negtgel!U$2:BL$2,'Tsalin uzuulelt'!F$1,negtgel!U158:BL158) + SUMIF(negtgel!U$2:BL$2,'Tsalin uzuulelt'!F$2,negtgel!U158:BL158)+SUMIF(negtgel!U$2:BL$2,'Tsalin uzuulelt'!F$3,negtgel!U158:BL158)+SUMIF(negtgel!U$2:BL$2,'Tsalin uzuulelt'!F$4,negtgel!U158:BL158)+SUMIF(negtgel!U$2:BL$2,'Tsalin uzuulelt'!F$5,negtgel!U158:BL158)</f>
      </c>
      <c r="I158">
        <f>SUMIF(negtgel!U$2:BL$2,'Tsalin uzuulelt'!H$1,negtgel!U158:BL158) + SUMIF(negtgel!U$2:BL$2,'Tsalin uzuulelt'!H$2,negtgel!U158:BL158)+SUMIF(negtgel!U$2:BL$2,'Tsalin uzuulelt'!H$3,negtgel!U158:BL158)+SUMIF(negtgel!U$2:BL$2,'Tsalin uzuulelt'!H$4,negtgel!U158:BL158)+SUMIF(negtgel!U$2:BL$2,'Tsalin uzuulelt'!H$5,negtgel!U158:BL158)</f>
      </c>
      <c r="J158">
        <f>SUMIF(negtgel!U$2:BL$2,'Tsalin uzuulelt'!J$1,negtgel!U158:BL158) + SUMIF(negtgel!U$2:BL$2,'Tsalin uzuulelt'!J$2,negtgel!U158:BL158)+SUMIF(negtgel!U$2:BL$2,'Tsalin uzuulelt'!J$3,negtgel!U158:BL158)+SUMIF(negtgel!U$2:BL$2,'Tsalin uzuulelt'!J$4,negtgel!U158:BL158)+SUMIF(negtgel!U$2:BL$2,'Tsalin uzuulelt'!J$5,negtgel!U158:BL158)</f>
      </c>
      <c r="K158">
        <f>SUMIF(negtgel!U$2:BL$2,'Tsalin uzuulelt'!L$1,negtgel!U158:BL158) + SUMIF(negtgel!U$2:BL$2,'Tsalin uzuulelt'!L$2,negtgel!U158:BL158)+SUMIF(negtgel!U$2:BL$2,'Tsalin uzuulelt'!L$3,negtgel!U158:BL158)+SUMIF(negtgel!U$2:BL$2,'Tsalin uzuulelt'!L$4,negtgel!U158:BL158)+SUMIF(negtgel!U$2:BL$2,'Tsalin uzuulelt'!L$5,negtgel!U158:BL158)</f>
      </c>
      <c r="L158">
        <f>SUMIF(negtgel!U$2:BL$2,'Tsalin uzuulelt'!N$1,negtgel!U158:BL158) + SUMIF(negtgel!U$2:BL$2,'Tsalin uzuulelt'!N$2,negtgel!U158:BL158)+SUMIF(negtgel!U$2:BL$2,'Tsalin uzuulelt'!N$3,negtgel!U158:BL158)+SUMIF(negtgel!U$2:BL$2,'Tsalin uzuulelt'!N$4,negtgel!U158:BL158)+SUMIF(negtgel!U$2:BL$2,'Tsalin uzuulelt'!N$5,negtgel!U158:BL158)</f>
      </c>
      <c r="M158">
        <f>SUMIF(negtgel!U$2:BL$2,'Tsalin uzuulelt'!P$1,negtgel!U158:BL158) + SUMIF(negtgel!U$2:BL$2,'Tsalin uzuulelt'!P$2,negtgel!U158:BL158)+ SUMIF(negtgel!U$2:BL$2,'Tsalin uzuulelt'!P$3,negtgel!U158:BL158)+ SUMIF(negtgel!U$2:BL$2,'Tsalin uzuulelt'!P$4,negtgel!U158:BL158)+ SUMIF(negtgel!U$2:BL$2,'Tsalin uzuulelt'!P$5,negtgel!U158:BL158)</f>
      </c>
      <c r="N158">
        <f>IF(ISNUMBER(U158*1)=CF158,0,K158-H158-G158)</f>
      </c>
      <c r="O158">
        <f>IF(ISNUMBER(U158*1)=CF158,0,L158)</f>
      </c>
      <c r="P158">
        <f>IF(ISNUMBER(U158*1)=CF158,0,M158)</f>
      </c>
      <c r="Q158">
        <f>IF(N158&gt;2400000,N158,0)</f>
      </c>
      <c r="R158">
        <f>IF(L158/Q158*100&lt;3,2,10)</f>
      </c>
      <c r="S158">
        <f>IF(CH158=0,0,IF(B158&gt;9,10,IF(B158&gt;8,B158,IF(B158&gt;7.7,7.8,IF(B158&gt;3,B158,IF(B158&gt;1.5,2))))))</f>
      </c>
      <c r="T158">
        <f>IF(Q158=0,S158,R158)</f>
      </c>
      <c r="U158" t="n">
        <v>54.0</v>
      </c>
      <c r="V158" t="s">
        <v>3801</v>
      </c>
      <c r="W158" t="s">
        <v>3790</v>
      </c>
      <c r="X158" t="n">
        <v>580710.0</v>
      </c>
      <c r="Y158" t="n">
        <v>580710.0</v>
      </c>
      <c r="Z158" t="n">
        <v>0.0</v>
      </c>
      <c r="AA158" t="n">
        <v>0.0</v>
      </c>
      <c r="AB158" t="n">
        <v>0.0</v>
      </c>
      <c r="AC158" t="n">
        <v>0.0</v>
      </c>
      <c r="AD158" t="n">
        <v>0.0</v>
      </c>
      <c r="AE158" t="n">
        <v>0.0</v>
      </c>
      <c r="AF158" t="n">
        <v>63000.0</v>
      </c>
      <c r="AG158" t="n">
        <v>0.0</v>
      </c>
      <c r="AH158" t="n">
        <v>0.0</v>
      </c>
      <c r="AI158" t="n">
        <v>0.0</v>
      </c>
      <c r="AJ158" t="n">
        <v>0.0</v>
      </c>
      <c r="AK158" t="n">
        <v>0.0</v>
      </c>
      <c r="AL158" t="n">
        <v>0.0</v>
      </c>
      <c r="AM158" t="n">
        <v>0.0</v>
      </c>
      <c r="AN158" t="n">
        <v>0.0</v>
      </c>
      <c r="AO158" t="n">
        <v>643710.0</v>
      </c>
      <c r="AP158" t="n">
        <v>64371.0</v>
      </c>
      <c r="AQ158" t="n">
        <v>51563.9</v>
      </c>
      <c r="CH158">
        <f>IFERROR(U158*1,0)</f>
      </c>
    </row>
    <row r="159">
      <c r="A159" t="n">
        <v>3.0</v>
      </c>
      <c r="B159">
        <f>IF((K159-G159-H159&gt;2400000),10,(L159/(K159-G159-H159)*100))</f>
      </c>
      <c r="C159">
        <f>IF(N159&gt;2400000,240000,(N159*S159)/100)</f>
      </c>
      <c r="D159">
        <f>IF(S159=0,0,IF((N159-I159)&gt;2400000,((((((N159-I159-J159)-240000))*0.1+(I159+J159)*0.1)))-7000,((((((N159-I159-J159)-(N159-I159-J159)*S159/100)))*0.1+(I159+J159)*0.1)-7000)))</f>
      </c>
      <c r="E159">
        <f>C159-O159</f>
      </c>
      <c r="F159">
        <f>D159-P159</f>
      </c>
      <c r="G159">
        <f>SUMIF(negtgel!U$2:BL$2,'Tsalin uzuulelt'!B$1,negtgel!U159:BL159) + SUMIF(negtgel!U$2:BL$2,'Tsalin uzuulelt'!B$2,negtgel!U159:BL159)+SUMIF(negtgel!U$2:BL$2,'Tsalin uzuulelt'!B$3,negtgel!U159:BL159)+SUMIF(negtgel!U$2:BL$2,'Tsalin uzuulelt'!B$4,negtgel!U159:BL159)+SUMIF(negtgel!U$2:BL$2,'Tsalin uzuulelt'!B$5,negtgel!U159:BL159)</f>
      </c>
      <c r="H159">
        <f>SUMIF(negtgel!U$2:BL$2,'Tsalin uzuulelt'!F$1,negtgel!U159:BL159) + SUMIF(negtgel!U$2:BL$2,'Tsalin uzuulelt'!F$2,negtgel!U159:BL159)+SUMIF(negtgel!U$2:BL$2,'Tsalin uzuulelt'!F$3,negtgel!U159:BL159)+SUMIF(negtgel!U$2:BL$2,'Tsalin uzuulelt'!F$4,negtgel!U159:BL159)+SUMIF(negtgel!U$2:BL$2,'Tsalin uzuulelt'!F$5,negtgel!U159:BL159)</f>
      </c>
      <c r="I159">
        <f>SUMIF(negtgel!U$2:BL$2,'Tsalin uzuulelt'!H$1,negtgel!U159:BL159) + SUMIF(negtgel!U$2:BL$2,'Tsalin uzuulelt'!H$2,negtgel!U159:BL159)+SUMIF(negtgel!U$2:BL$2,'Tsalin uzuulelt'!H$3,negtgel!U159:BL159)+SUMIF(negtgel!U$2:BL$2,'Tsalin uzuulelt'!H$4,negtgel!U159:BL159)+SUMIF(negtgel!U$2:BL$2,'Tsalin uzuulelt'!H$5,negtgel!U159:BL159)</f>
      </c>
      <c r="J159">
        <f>SUMIF(negtgel!U$2:BL$2,'Tsalin uzuulelt'!J$1,negtgel!U159:BL159) + SUMIF(negtgel!U$2:BL$2,'Tsalin uzuulelt'!J$2,negtgel!U159:BL159)+SUMIF(negtgel!U$2:BL$2,'Tsalin uzuulelt'!J$3,negtgel!U159:BL159)+SUMIF(negtgel!U$2:BL$2,'Tsalin uzuulelt'!J$4,negtgel!U159:BL159)+SUMIF(negtgel!U$2:BL$2,'Tsalin uzuulelt'!J$5,negtgel!U159:BL159)</f>
      </c>
      <c r="K159">
        <f>SUMIF(negtgel!U$2:BL$2,'Tsalin uzuulelt'!L$1,negtgel!U159:BL159) + SUMIF(negtgel!U$2:BL$2,'Tsalin uzuulelt'!L$2,negtgel!U159:BL159)+SUMIF(negtgel!U$2:BL$2,'Tsalin uzuulelt'!L$3,negtgel!U159:BL159)+SUMIF(negtgel!U$2:BL$2,'Tsalin uzuulelt'!L$4,negtgel!U159:BL159)+SUMIF(negtgel!U$2:BL$2,'Tsalin uzuulelt'!L$5,negtgel!U159:BL159)</f>
      </c>
      <c r="L159">
        <f>SUMIF(negtgel!U$2:BL$2,'Tsalin uzuulelt'!N$1,negtgel!U159:BL159) + SUMIF(negtgel!U$2:BL$2,'Tsalin uzuulelt'!N$2,negtgel!U159:BL159)+SUMIF(negtgel!U$2:BL$2,'Tsalin uzuulelt'!N$3,negtgel!U159:BL159)+SUMIF(negtgel!U$2:BL$2,'Tsalin uzuulelt'!N$4,negtgel!U159:BL159)+SUMIF(negtgel!U$2:BL$2,'Tsalin uzuulelt'!N$5,negtgel!U159:BL159)</f>
      </c>
      <c r="M159">
        <f>SUMIF(negtgel!U$2:BL$2,'Tsalin uzuulelt'!P$1,negtgel!U159:BL159) + SUMIF(negtgel!U$2:BL$2,'Tsalin uzuulelt'!P$2,negtgel!U159:BL159)+ SUMIF(negtgel!U$2:BL$2,'Tsalin uzuulelt'!P$3,negtgel!U159:BL159)+ SUMIF(negtgel!U$2:BL$2,'Tsalin uzuulelt'!P$4,negtgel!U159:BL159)+ SUMIF(negtgel!U$2:BL$2,'Tsalin uzuulelt'!P$5,negtgel!U159:BL159)</f>
      </c>
      <c r="N159">
        <f>IF(ISNUMBER(U159*1)=CF159,0,K159-H159-G159)</f>
      </c>
      <c r="O159">
        <f>IF(ISNUMBER(U159*1)=CF159,0,L159)</f>
      </c>
      <c r="P159">
        <f>IF(ISNUMBER(U159*1)=CF159,0,M159)</f>
      </c>
      <c r="Q159">
        <f>IF(N159&gt;2400000,N159,0)</f>
      </c>
      <c r="R159">
        <f>IF(L159/Q159*100&lt;3,2,10)</f>
      </c>
      <c r="S159">
        <f>IF(CH159=0,0,IF(B159&gt;9,10,IF(B159&gt;8,B159,IF(B159&gt;7.7,7.8,IF(B159&gt;3,B159,IF(B159&gt;1.5,2))))))</f>
      </c>
      <c r="T159">
        <f>IF(Q159=0,S159,R159)</f>
      </c>
      <c r="U159" t="n">
        <v>55.0</v>
      </c>
      <c r="V159" t="s">
        <v>3802</v>
      </c>
      <c r="W159" t="s">
        <v>3792</v>
      </c>
      <c r="X159" t="n">
        <v>535286.0</v>
      </c>
      <c r="Y159" t="n">
        <v>535286.0</v>
      </c>
      <c r="Z159" t="n">
        <v>0.0</v>
      </c>
      <c r="AA159" t="n">
        <v>0.0</v>
      </c>
      <c r="AB159" t="n">
        <v>0.0</v>
      </c>
      <c r="AC159" t="n">
        <v>0.0</v>
      </c>
      <c r="AD159" t="n">
        <v>0.0</v>
      </c>
      <c r="AE159" t="n">
        <v>0.0</v>
      </c>
      <c r="AF159" t="n">
        <v>63000.0</v>
      </c>
      <c r="AG159" t="n">
        <v>0.0</v>
      </c>
      <c r="AH159" t="n">
        <v>0.0</v>
      </c>
      <c r="AI159" t="n">
        <v>0.0</v>
      </c>
      <c r="AJ159" t="n">
        <v>0.0</v>
      </c>
      <c r="AK159" t="n">
        <v>0.0</v>
      </c>
      <c r="AL159" t="n">
        <v>0.0</v>
      </c>
      <c r="AM159" t="n">
        <v>0.0</v>
      </c>
      <c r="AN159" t="n">
        <v>0.0</v>
      </c>
      <c r="AO159" t="n">
        <v>598286.0</v>
      </c>
      <c r="AP159" t="n">
        <v>59829.0</v>
      </c>
      <c r="AQ159" t="n">
        <v>47475.7</v>
      </c>
      <c r="CH159">
        <f>IFERROR(U159*1,0)</f>
      </c>
    </row>
    <row r="160">
      <c r="A160" t="n">
        <v>3.0</v>
      </c>
      <c r="B160">
        <f>IF((K160-G160-H160&gt;2400000),10,(L160/(K160-G160-H160)*100))</f>
      </c>
      <c r="C160">
        <f>IF(N160&gt;2400000,240000,(N160*S160)/100)</f>
      </c>
      <c r="D160">
        <f>IF(S160=0,0,IF((N160-I160)&gt;2400000,((((((N160-I160-J160)-240000))*0.1+(I160+J160)*0.1)))-7000,((((((N160-I160-J160)-(N160-I160-J160)*S160/100)))*0.1+(I160+J160)*0.1)-7000)))</f>
      </c>
      <c r="E160">
        <f>C160-O160</f>
      </c>
      <c r="F160">
        <f>D160-P160</f>
      </c>
      <c r="G160">
        <f>SUMIF(negtgel!U$2:BL$2,'Tsalin uzuulelt'!B$1,negtgel!U160:BL160) + SUMIF(negtgel!U$2:BL$2,'Tsalin uzuulelt'!B$2,negtgel!U160:BL160)+SUMIF(negtgel!U$2:BL$2,'Tsalin uzuulelt'!B$3,negtgel!U160:BL160)+SUMIF(negtgel!U$2:BL$2,'Tsalin uzuulelt'!B$4,negtgel!U160:BL160)+SUMIF(negtgel!U$2:BL$2,'Tsalin uzuulelt'!B$5,negtgel!U160:BL160)</f>
      </c>
      <c r="H160">
        <f>SUMIF(negtgel!U$2:BL$2,'Tsalin uzuulelt'!F$1,negtgel!U160:BL160) + SUMIF(negtgel!U$2:BL$2,'Tsalin uzuulelt'!F$2,negtgel!U160:BL160)+SUMIF(negtgel!U$2:BL$2,'Tsalin uzuulelt'!F$3,negtgel!U160:BL160)+SUMIF(negtgel!U$2:BL$2,'Tsalin uzuulelt'!F$4,negtgel!U160:BL160)+SUMIF(negtgel!U$2:BL$2,'Tsalin uzuulelt'!F$5,negtgel!U160:BL160)</f>
      </c>
      <c r="I160">
        <f>SUMIF(negtgel!U$2:BL$2,'Tsalin uzuulelt'!H$1,negtgel!U160:BL160) + SUMIF(negtgel!U$2:BL$2,'Tsalin uzuulelt'!H$2,negtgel!U160:BL160)+SUMIF(negtgel!U$2:BL$2,'Tsalin uzuulelt'!H$3,negtgel!U160:BL160)+SUMIF(negtgel!U$2:BL$2,'Tsalin uzuulelt'!H$4,negtgel!U160:BL160)+SUMIF(negtgel!U$2:BL$2,'Tsalin uzuulelt'!H$5,negtgel!U160:BL160)</f>
      </c>
      <c r="J160">
        <f>SUMIF(negtgel!U$2:BL$2,'Tsalin uzuulelt'!J$1,negtgel!U160:BL160) + SUMIF(negtgel!U$2:BL$2,'Tsalin uzuulelt'!J$2,negtgel!U160:BL160)+SUMIF(negtgel!U$2:BL$2,'Tsalin uzuulelt'!J$3,negtgel!U160:BL160)+SUMIF(negtgel!U$2:BL$2,'Tsalin uzuulelt'!J$4,negtgel!U160:BL160)+SUMIF(negtgel!U$2:BL$2,'Tsalin uzuulelt'!J$5,negtgel!U160:BL160)</f>
      </c>
      <c r="K160">
        <f>SUMIF(negtgel!U$2:BL$2,'Tsalin uzuulelt'!L$1,negtgel!U160:BL160) + SUMIF(negtgel!U$2:BL$2,'Tsalin uzuulelt'!L$2,negtgel!U160:BL160)+SUMIF(negtgel!U$2:BL$2,'Tsalin uzuulelt'!L$3,negtgel!U160:BL160)+SUMIF(negtgel!U$2:BL$2,'Tsalin uzuulelt'!L$4,negtgel!U160:BL160)+SUMIF(negtgel!U$2:BL$2,'Tsalin uzuulelt'!L$5,negtgel!U160:BL160)</f>
      </c>
      <c r="L160">
        <f>SUMIF(negtgel!U$2:BL$2,'Tsalin uzuulelt'!N$1,negtgel!U160:BL160) + SUMIF(negtgel!U$2:BL$2,'Tsalin uzuulelt'!N$2,negtgel!U160:BL160)+SUMIF(negtgel!U$2:BL$2,'Tsalin uzuulelt'!N$3,negtgel!U160:BL160)+SUMIF(negtgel!U$2:BL$2,'Tsalin uzuulelt'!N$4,negtgel!U160:BL160)+SUMIF(negtgel!U$2:BL$2,'Tsalin uzuulelt'!N$5,negtgel!U160:BL160)</f>
      </c>
      <c r="M160">
        <f>SUMIF(negtgel!U$2:BL$2,'Tsalin uzuulelt'!P$1,negtgel!U160:BL160) + SUMIF(negtgel!U$2:BL$2,'Tsalin uzuulelt'!P$2,negtgel!U160:BL160)+ SUMIF(negtgel!U$2:BL$2,'Tsalin uzuulelt'!P$3,negtgel!U160:BL160)+ SUMIF(negtgel!U$2:BL$2,'Tsalin uzuulelt'!P$4,negtgel!U160:BL160)+ SUMIF(negtgel!U$2:BL$2,'Tsalin uzuulelt'!P$5,negtgel!U160:BL160)</f>
      </c>
      <c r="N160">
        <f>IF(ISNUMBER(U160*1)=CF160,0,K160-H160-G160)</f>
      </c>
      <c r="O160">
        <f>IF(ISNUMBER(U160*1)=CF160,0,L160)</f>
      </c>
      <c r="P160">
        <f>IF(ISNUMBER(U160*1)=CF160,0,M160)</f>
      </c>
      <c r="Q160">
        <f>IF(N160&gt;2400000,N160,0)</f>
      </c>
      <c r="R160">
        <f>IF(L160/Q160*100&lt;3,2,10)</f>
      </c>
      <c r="S160">
        <f>IF(CH160=0,0,IF(B160&gt;9,10,IF(B160&gt;8,B160,IF(B160&gt;7.7,7.8,IF(B160&gt;3,B160,IF(B160&gt;1.5,2))))))</f>
      </c>
      <c r="T160">
        <f>IF(Q160=0,S160,R160)</f>
      </c>
      <c r="U160" t="n">
        <v>56.0</v>
      </c>
      <c r="V160" t="s">
        <v>3803</v>
      </c>
      <c r="W160" t="s">
        <v>3790</v>
      </c>
      <c r="X160" t="n">
        <v>733863.0</v>
      </c>
      <c r="Y160" t="n">
        <v>733863.0</v>
      </c>
      <c r="Z160" t="n">
        <v>146773.0</v>
      </c>
      <c r="AA160" t="n">
        <v>146773.0</v>
      </c>
      <c r="AB160" t="n">
        <v>0.0</v>
      </c>
      <c r="AC160" t="n">
        <v>110079.0</v>
      </c>
      <c r="AD160" t="n">
        <v>0.0</v>
      </c>
      <c r="AE160" t="n">
        <v>0.0</v>
      </c>
      <c r="AF160" t="n">
        <v>63000.0</v>
      </c>
      <c r="AG160" t="n">
        <v>0.0</v>
      </c>
      <c r="AH160" t="n">
        <v>0.0</v>
      </c>
      <c r="AI160" t="n">
        <v>0.0</v>
      </c>
      <c r="AJ160" t="n">
        <v>0.0</v>
      </c>
      <c r="AK160" t="n">
        <v>0.0</v>
      </c>
      <c r="AL160" t="n">
        <v>0.0</v>
      </c>
      <c r="AM160" t="n">
        <v>0.0</v>
      </c>
      <c r="AN160" t="n">
        <v>0.0</v>
      </c>
      <c r="AO160" t="n">
        <v>1200488.0</v>
      </c>
      <c r="AP160" t="n">
        <v>120049.0</v>
      </c>
      <c r="AQ160" t="n">
        <v>101673.9</v>
      </c>
      <c r="CH160">
        <f>IFERROR(U160*1,0)</f>
      </c>
    </row>
    <row r="161">
      <c r="A161" t="n">
        <v>3.0</v>
      </c>
      <c r="B161">
        <f>IF((K161-G161-H161&gt;2400000),10,(L161/(K161-G161-H161)*100))</f>
      </c>
      <c r="C161">
        <f>IF(N161&gt;2400000,240000,(N161*S161)/100)</f>
      </c>
      <c r="D161">
        <f>IF(S161=0,0,IF((N161-I161)&gt;2400000,((((((N161-I161-J161)-240000))*0.1+(I161+J161)*0.1)))-7000,((((((N161-I161-J161)-(N161-I161-J161)*S161/100)))*0.1+(I161+J161)*0.1)-7000)))</f>
      </c>
      <c r="E161">
        <f>C161-O161</f>
      </c>
      <c r="F161">
        <f>D161-P161</f>
      </c>
      <c r="G161">
        <f>SUMIF(negtgel!U$2:BL$2,'Tsalin uzuulelt'!B$1,negtgel!U161:BL161) + SUMIF(negtgel!U$2:BL$2,'Tsalin uzuulelt'!B$2,negtgel!U161:BL161)+SUMIF(negtgel!U$2:BL$2,'Tsalin uzuulelt'!B$3,negtgel!U161:BL161)+SUMIF(negtgel!U$2:BL$2,'Tsalin uzuulelt'!B$4,negtgel!U161:BL161)+SUMIF(negtgel!U$2:BL$2,'Tsalin uzuulelt'!B$5,negtgel!U161:BL161)</f>
      </c>
      <c r="H161">
        <f>SUMIF(negtgel!U$2:BL$2,'Tsalin uzuulelt'!F$1,negtgel!U161:BL161) + SUMIF(negtgel!U$2:BL$2,'Tsalin uzuulelt'!F$2,negtgel!U161:BL161)+SUMIF(negtgel!U$2:BL$2,'Tsalin uzuulelt'!F$3,negtgel!U161:BL161)+SUMIF(negtgel!U$2:BL$2,'Tsalin uzuulelt'!F$4,negtgel!U161:BL161)+SUMIF(negtgel!U$2:BL$2,'Tsalin uzuulelt'!F$5,negtgel!U161:BL161)</f>
      </c>
      <c r="I161">
        <f>SUMIF(negtgel!U$2:BL$2,'Tsalin uzuulelt'!H$1,negtgel!U161:BL161) + SUMIF(negtgel!U$2:BL$2,'Tsalin uzuulelt'!H$2,negtgel!U161:BL161)+SUMIF(negtgel!U$2:BL$2,'Tsalin uzuulelt'!H$3,negtgel!U161:BL161)+SUMIF(negtgel!U$2:BL$2,'Tsalin uzuulelt'!H$4,negtgel!U161:BL161)+SUMIF(negtgel!U$2:BL$2,'Tsalin uzuulelt'!H$5,negtgel!U161:BL161)</f>
      </c>
      <c r="J161">
        <f>SUMIF(negtgel!U$2:BL$2,'Tsalin uzuulelt'!J$1,negtgel!U161:BL161) + SUMIF(negtgel!U$2:BL$2,'Tsalin uzuulelt'!J$2,negtgel!U161:BL161)+SUMIF(negtgel!U$2:BL$2,'Tsalin uzuulelt'!J$3,negtgel!U161:BL161)+SUMIF(negtgel!U$2:BL$2,'Tsalin uzuulelt'!J$4,negtgel!U161:BL161)+SUMIF(negtgel!U$2:BL$2,'Tsalin uzuulelt'!J$5,negtgel!U161:BL161)</f>
      </c>
      <c r="K161">
        <f>SUMIF(negtgel!U$2:BL$2,'Tsalin uzuulelt'!L$1,negtgel!U161:BL161) + SUMIF(negtgel!U$2:BL$2,'Tsalin uzuulelt'!L$2,negtgel!U161:BL161)+SUMIF(negtgel!U$2:BL$2,'Tsalin uzuulelt'!L$3,negtgel!U161:BL161)+SUMIF(negtgel!U$2:BL$2,'Tsalin uzuulelt'!L$4,negtgel!U161:BL161)+SUMIF(negtgel!U$2:BL$2,'Tsalin uzuulelt'!L$5,negtgel!U161:BL161)</f>
      </c>
      <c r="L161">
        <f>SUMIF(negtgel!U$2:BL$2,'Tsalin uzuulelt'!N$1,negtgel!U161:BL161) + SUMIF(negtgel!U$2:BL$2,'Tsalin uzuulelt'!N$2,negtgel!U161:BL161)+SUMIF(negtgel!U$2:BL$2,'Tsalin uzuulelt'!N$3,negtgel!U161:BL161)+SUMIF(negtgel!U$2:BL$2,'Tsalin uzuulelt'!N$4,negtgel!U161:BL161)+SUMIF(negtgel!U$2:BL$2,'Tsalin uzuulelt'!N$5,negtgel!U161:BL161)</f>
      </c>
      <c r="M161">
        <f>SUMIF(negtgel!U$2:BL$2,'Tsalin uzuulelt'!P$1,negtgel!U161:BL161) + SUMIF(negtgel!U$2:BL$2,'Tsalin uzuulelt'!P$2,negtgel!U161:BL161)+ SUMIF(negtgel!U$2:BL$2,'Tsalin uzuulelt'!P$3,negtgel!U161:BL161)+ SUMIF(negtgel!U$2:BL$2,'Tsalin uzuulelt'!P$4,negtgel!U161:BL161)+ SUMIF(negtgel!U$2:BL$2,'Tsalin uzuulelt'!P$5,negtgel!U161:BL161)</f>
      </c>
      <c r="N161">
        <f>IF(ISNUMBER(U161*1)=CF161,0,K161-H161-G161)</f>
      </c>
      <c r="O161">
        <f>IF(ISNUMBER(U161*1)=CF161,0,L161)</f>
      </c>
      <c r="P161">
        <f>IF(ISNUMBER(U161*1)=CF161,0,M161)</f>
      </c>
      <c r="Q161">
        <f>IF(N161&gt;2400000,N161,0)</f>
      </c>
      <c r="R161">
        <f>IF(L161/Q161*100&lt;3,2,10)</f>
      </c>
      <c r="S161">
        <f>IF(CH161=0,0,IF(B161&gt;9,10,IF(B161&gt;8,B161,IF(B161&gt;7.7,7.8,IF(B161&gt;3,B161,IF(B161&gt;1.5,2))))))</f>
      </c>
      <c r="T161">
        <f>IF(Q161=0,S161,R161)</f>
      </c>
      <c r="U161" t="s">
        <v>3787</v>
      </c>
      <c r="V161"/>
      <c r="W161"/>
      <c r="X161" t="n">
        <v>5555222.0</v>
      </c>
      <c r="Y161" t="n">
        <v>5351304.0</v>
      </c>
      <c r="Z161" t="n">
        <v>425850.0</v>
      </c>
      <c r="AA161" t="n">
        <v>615659.0</v>
      </c>
      <c r="AB161" t="n">
        <v>0.0</v>
      </c>
      <c r="AC161" t="n">
        <v>211694.0</v>
      </c>
      <c r="AD161" t="n">
        <v>0.0</v>
      </c>
      <c r="AE161" t="n">
        <v>0.0</v>
      </c>
      <c r="AF161" t="n">
        <v>543000.0</v>
      </c>
      <c r="AG161" t="n">
        <v>0.0</v>
      </c>
      <c r="AH161" t="n">
        <v>0.0</v>
      </c>
      <c r="AI161" t="n">
        <v>0.0</v>
      </c>
      <c r="AJ161" t="n">
        <v>0.0</v>
      </c>
      <c r="AK161" t="n">
        <v>0.0</v>
      </c>
      <c r="AL161" t="n">
        <v>0.0</v>
      </c>
      <c r="AM161" t="n">
        <v>0.0</v>
      </c>
      <c r="AN161" t="n">
        <v>0.0</v>
      </c>
      <c r="AO161" t="n">
        <v>7147507.0</v>
      </c>
      <c r="AP161" t="n">
        <v>714753.0</v>
      </c>
      <c r="AQ161" t="n">
        <v>585705.6</v>
      </c>
      <c r="CH161">
        <f>IFERROR(U161*1,0)</f>
      </c>
    </row>
    <row r="162">
      <c r="A162" t="n">
        <v>3.0</v>
      </c>
      <c r="B162">
        <f>IF((K162-G162-H162&gt;2400000),10,(L162/(K162-G162-H162)*100))</f>
      </c>
      <c r="C162">
        <f>IF(N162&gt;2400000,240000,(N162*S162)/100)</f>
      </c>
      <c r="D162">
        <f>IF(S162=0,0,IF((N162-I162)&gt;2400000,((((((N162-I162-J162)-240000))*0.1+(I162+J162)*0.1)))-7000,((((((N162-I162-J162)-(N162-I162-J162)*S162/100)))*0.1+(I162+J162)*0.1)-7000)))</f>
      </c>
      <c r="E162">
        <f>C162-O162</f>
      </c>
      <c r="F162">
        <f>D162-P162</f>
      </c>
      <c r="G162">
        <f>SUMIF(negtgel!U$2:BL$2,'Tsalin uzuulelt'!B$1,negtgel!U162:BL162) + SUMIF(negtgel!U$2:BL$2,'Tsalin uzuulelt'!B$2,negtgel!U162:BL162)+SUMIF(negtgel!U$2:BL$2,'Tsalin uzuulelt'!B$3,negtgel!U162:BL162)+SUMIF(negtgel!U$2:BL$2,'Tsalin uzuulelt'!B$4,negtgel!U162:BL162)+SUMIF(negtgel!U$2:BL$2,'Tsalin uzuulelt'!B$5,negtgel!U162:BL162)</f>
      </c>
      <c r="H162">
        <f>SUMIF(negtgel!U$2:BL$2,'Tsalin uzuulelt'!F$1,negtgel!U162:BL162) + SUMIF(negtgel!U$2:BL$2,'Tsalin uzuulelt'!F$2,negtgel!U162:BL162)+SUMIF(negtgel!U$2:BL$2,'Tsalin uzuulelt'!F$3,negtgel!U162:BL162)+SUMIF(negtgel!U$2:BL$2,'Tsalin uzuulelt'!F$4,negtgel!U162:BL162)+SUMIF(negtgel!U$2:BL$2,'Tsalin uzuulelt'!F$5,negtgel!U162:BL162)</f>
      </c>
      <c r="I162">
        <f>SUMIF(negtgel!U$2:BL$2,'Tsalin uzuulelt'!H$1,negtgel!U162:BL162) + SUMIF(negtgel!U$2:BL$2,'Tsalin uzuulelt'!H$2,negtgel!U162:BL162)+SUMIF(negtgel!U$2:BL$2,'Tsalin uzuulelt'!H$3,negtgel!U162:BL162)+SUMIF(negtgel!U$2:BL$2,'Tsalin uzuulelt'!H$4,negtgel!U162:BL162)+SUMIF(negtgel!U$2:BL$2,'Tsalin uzuulelt'!H$5,negtgel!U162:BL162)</f>
      </c>
      <c r="J162">
        <f>SUMIF(negtgel!U$2:BL$2,'Tsalin uzuulelt'!J$1,negtgel!U162:BL162) + SUMIF(negtgel!U$2:BL$2,'Tsalin uzuulelt'!J$2,negtgel!U162:BL162)+SUMIF(negtgel!U$2:BL$2,'Tsalin uzuulelt'!J$3,negtgel!U162:BL162)+SUMIF(negtgel!U$2:BL$2,'Tsalin uzuulelt'!J$4,negtgel!U162:BL162)+SUMIF(negtgel!U$2:BL$2,'Tsalin uzuulelt'!J$5,negtgel!U162:BL162)</f>
      </c>
      <c r="K162">
        <f>SUMIF(negtgel!U$2:BL$2,'Tsalin uzuulelt'!L$1,negtgel!U162:BL162) + SUMIF(negtgel!U$2:BL$2,'Tsalin uzuulelt'!L$2,negtgel!U162:BL162)+SUMIF(negtgel!U$2:BL$2,'Tsalin uzuulelt'!L$3,negtgel!U162:BL162)+SUMIF(negtgel!U$2:BL$2,'Tsalin uzuulelt'!L$4,negtgel!U162:BL162)+SUMIF(negtgel!U$2:BL$2,'Tsalin uzuulelt'!L$5,negtgel!U162:BL162)</f>
      </c>
      <c r="L162">
        <f>SUMIF(negtgel!U$2:BL$2,'Tsalin uzuulelt'!N$1,negtgel!U162:BL162) + SUMIF(negtgel!U$2:BL$2,'Tsalin uzuulelt'!N$2,negtgel!U162:BL162)+SUMIF(negtgel!U$2:BL$2,'Tsalin uzuulelt'!N$3,negtgel!U162:BL162)+SUMIF(negtgel!U$2:BL$2,'Tsalin uzuulelt'!N$4,negtgel!U162:BL162)+SUMIF(negtgel!U$2:BL$2,'Tsalin uzuulelt'!N$5,negtgel!U162:BL162)</f>
      </c>
      <c r="M162">
        <f>SUMIF(negtgel!U$2:BL$2,'Tsalin uzuulelt'!P$1,negtgel!U162:BL162) + SUMIF(negtgel!U$2:BL$2,'Tsalin uzuulelt'!P$2,negtgel!U162:BL162)+ SUMIF(negtgel!U$2:BL$2,'Tsalin uzuulelt'!P$3,negtgel!U162:BL162)+ SUMIF(negtgel!U$2:BL$2,'Tsalin uzuulelt'!P$4,negtgel!U162:BL162)+ SUMIF(negtgel!U$2:BL$2,'Tsalin uzuulelt'!P$5,negtgel!U162:BL162)</f>
      </c>
      <c r="N162">
        <f>IF(ISNUMBER(U162*1)=CF162,0,K162-H162-G162)</f>
      </c>
      <c r="O162">
        <f>IF(ISNUMBER(U162*1)=CF162,0,L162)</f>
      </c>
      <c r="P162">
        <f>IF(ISNUMBER(U162*1)=CF162,0,M162)</f>
      </c>
      <c r="Q162">
        <f>IF(N162&gt;2400000,N162,0)</f>
      </c>
      <c r="R162">
        <f>IF(L162/Q162*100&lt;3,2,10)</f>
      </c>
      <c r="S162">
        <f>IF(CH162=0,0,IF(B162&gt;9,10,IF(B162&gt;8,B162,IF(B162&gt;7.7,7.8,IF(B162&gt;3,B162,IF(B162&gt;1.5,2))))))</f>
      </c>
      <c r="T162">
        <f>IF(Q162=0,S162,R162)</f>
      </c>
      <c r="U162" t="s">
        <v>3804</v>
      </c>
      <c r="V162"/>
      <c r="W162"/>
      <c r="X162"/>
      <c r="Y162"/>
      <c r="Z162"/>
      <c r="AA162"/>
      <c r="AB162"/>
      <c r="AC162"/>
      <c r="AD162"/>
      <c r="AE162"/>
      <c r="AF162"/>
      <c r="AG162"/>
      <c r="AH162"/>
      <c r="AI162"/>
      <c r="AJ162"/>
      <c r="AK162"/>
      <c r="AL162"/>
      <c r="AM162"/>
      <c r="AN162"/>
      <c r="AO162"/>
      <c r="AP162"/>
      <c r="AQ162"/>
      <c r="CH162">
        <f>IFERROR(U162*1,0)</f>
      </c>
    </row>
    <row r="163">
      <c r="A163" t="n">
        <v>3.0</v>
      </c>
      <c r="B163">
        <f>IF((K163-G163-H163&gt;2400000),10,(L163/(K163-G163-H163)*100))</f>
      </c>
      <c r="C163">
        <f>IF(N163&gt;2400000,240000,(N163*S163)/100)</f>
      </c>
      <c r="D163">
        <f>IF(S163=0,0,IF((N163-I163)&gt;2400000,((((((N163-I163-J163)-240000))*0.1+(I163+J163)*0.1)))-7000,((((((N163-I163-J163)-(N163-I163-J163)*S163/100)))*0.1+(I163+J163)*0.1)-7000)))</f>
      </c>
      <c r="E163">
        <f>C163-O163</f>
      </c>
      <c r="F163">
        <f>D163-P163</f>
      </c>
      <c r="G163">
        <f>SUMIF(negtgel!U$2:BL$2,'Tsalin uzuulelt'!B$1,negtgel!U163:BL163) + SUMIF(negtgel!U$2:BL$2,'Tsalin uzuulelt'!B$2,negtgel!U163:BL163)+SUMIF(negtgel!U$2:BL$2,'Tsalin uzuulelt'!B$3,negtgel!U163:BL163)+SUMIF(negtgel!U$2:BL$2,'Tsalin uzuulelt'!B$4,negtgel!U163:BL163)+SUMIF(negtgel!U$2:BL$2,'Tsalin uzuulelt'!B$5,negtgel!U163:BL163)</f>
      </c>
      <c r="H163">
        <f>SUMIF(negtgel!U$2:BL$2,'Tsalin uzuulelt'!F$1,negtgel!U163:BL163) + SUMIF(negtgel!U$2:BL$2,'Tsalin uzuulelt'!F$2,negtgel!U163:BL163)+SUMIF(negtgel!U$2:BL$2,'Tsalin uzuulelt'!F$3,negtgel!U163:BL163)+SUMIF(negtgel!U$2:BL$2,'Tsalin uzuulelt'!F$4,negtgel!U163:BL163)+SUMIF(negtgel!U$2:BL$2,'Tsalin uzuulelt'!F$5,negtgel!U163:BL163)</f>
      </c>
      <c r="I163">
        <f>SUMIF(negtgel!U$2:BL$2,'Tsalin uzuulelt'!H$1,negtgel!U163:BL163) + SUMIF(negtgel!U$2:BL$2,'Tsalin uzuulelt'!H$2,negtgel!U163:BL163)+SUMIF(negtgel!U$2:BL$2,'Tsalin uzuulelt'!H$3,negtgel!U163:BL163)+SUMIF(negtgel!U$2:BL$2,'Tsalin uzuulelt'!H$4,negtgel!U163:BL163)+SUMIF(negtgel!U$2:BL$2,'Tsalin uzuulelt'!H$5,negtgel!U163:BL163)</f>
      </c>
      <c r="J163">
        <f>SUMIF(negtgel!U$2:BL$2,'Tsalin uzuulelt'!J$1,negtgel!U163:BL163) + SUMIF(negtgel!U$2:BL$2,'Tsalin uzuulelt'!J$2,negtgel!U163:BL163)+SUMIF(negtgel!U$2:BL$2,'Tsalin uzuulelt'!J$3,negtgel!U163:BL163)+SUMIF(negtgel!U$2:BL$2,'Tsalin uzuulelt'!J$4,negtgel!U163:BL163)+SUMIF(negtgel!U$2:BL$2,'Tsalin uzuulelt'!J$5,negtgel!U163:BL163)</f>
      </c>
      <c r="K163">
        <f>SUMIF(negtgel!U$2:BL$2,'Tsalin uzuulelt'!L$1,negtgel!U163:BL163) + SUMIF(negtgel!U$2:BL$2,'Tsalin uzuulelt'!L$2,negtgel!U163:BL163)+SUMIF(negtgel!U$2:BL$2,'Tsalin uzuulelt'!L$3,negtgel!U163:BL163)+SUMIF(negtgel!U$2:BL$2,'Tsalin uzuulelt'!L$4,negtgel!U163:BL163)+SUMIF(negtgel!U$2:BL$2,'Tsalin uzuulelt'!L$5,negtgel!U163:BL163)</f>
      </c>
      <c r="L163">
        <f>SUMIF(negtgel!U$2:BL$2,'Tsalin uzuulelt'!N$1,negtgel!U163:BL163) + SUMIF(negtgel!U$2:BL$2,'Tsalin uzuulelt'!N$2,negtgel!U163:BL163)+SUMIF(negtgel!U$2:BL$2,'Tsalin uzuulelt'!N$3,negtgel!U163:BL163)+SUMIF(negtgel!U$2:BL$2,'Tsalin uzuulelt'!N$4,negtgel!U163:BL163)+SUMIF(negtgel!U$2:BL$2,'Tsalin uzuulelt'!N$5,negtgel!U163:BL163)</f>
      </c>
      <c r="M163">
        <f>SUMIF(negtgel!U$2:BL$2,'Tsalin uzuulelt'!P$1,negtgel!U163:BL163) + SUMIF(negtgel!U$2:BL$2,'Tsalin uzuulelt'!P$2,negtgel!U163:BL163)+ SUMIF(negtgel!U$2:BL$2,'Tsalin uzuulelt'!P$3,negtgel!U163:BL163)+ SUMIF(negtgel!U$2:BL$2,'Tsalin uzuulelt'!P$4,negtgel!U163:BL163)+ SUMIF(negtgel!U$2:BL$2,'Tsalin uzuulelt'!P$5,negtgel!U163:BL163)</f>
      </c>
      <c r="N163">
        <f>IF(ISNUMBER(U163*1)=CF163,0,K163-H163-G163)</f>
      </c>
      <c r="O163">
        <f>IF(ISNUMBER(U163*1)=CF163,0,L163)</f>
      </c>
      <c r="P163">
        <f>IF(ISNUMBER(U163*1)=CF163,0,M163)</f>
      </c>
      <c r="Q163">
        <f>IF(N163&gt;2400000,N163,0)</f>
      </c>
      <c r="R163">
        <f>IF(L163/Q163*100&lt;3,2,10)</f>
      </c>
      <c r="S163">
        <f>IF(CH163=0,0,IF(B163&gt;9,10,IF(B163&gt;8,B163,IF(B163&gt;7.7,7.8,IF(B163&gt;3,B163,IF(B163&gt;1.5,2))))))</f>
      </c>
      <c r="T163">
        <f>IF(Q163=0,S163,R163)</f>
      </c>
      <c r="U163" t="n">
        <v>57.0</v>
      </c>
      <c r="V163" t="s">
        <v>3805</v>
      </c>
      <c r="W163" t="s">
        <v>3790</v>
      </c>
      <c r="X163" t="n">
        <v>613669.0</v>
      </c>
      <c r="Y163" t="n">
        <v>613669.0</v>
      </c>
      <c r="Z163" t="n">
        <v>61367.0</v>
      </c>
      <c r="AA163" t="n">
        <v>92050.0</v>
      </c>
      <c r="AB163" t="n">
        <v>0.0</v>
      </c>
      <c r="AC163" t="n">
        <v>0.0</v>
      </c>
      <c r="AD163" t="n">
        <v>0.0</v>
      </c>
      <c r="AE163" t="n">
        <v>0.0</v>
      </c>
      <c r="AF163" t="n">
        <v>63000.0</v>
      </c>
      <c r="AG163" t="n">
        <v>0.0</v>
      </c>
      <c r="AH163" t="n">
        <v>0.0</v>
      </c>
      <c r="AI163" t="n">
        <v>0.0</v>
      </c>
      <c r="AJ163" t="n">
        <v>0.0</v>
      </c>
      <c r="AK163" t="n">
        <v>0.0</v>
      </c>
      <c r="AL163" t="n">
        <v>0.0</v>
      </c>
      <c r="AM163" t="n">
        <v>0.0</v>
      </c>
      <c r="AN163" t="n">
        <v>0.0</v>
      </c>
      <c r="AO163" t="n">
        <v>830086.0</v>
      </c>
      <c r="AP163" t="n">
        <v>83009.0</v>
      </c>
      <c r="AQ163" t="n">
        <v>68337.7</v>
      </c>
      <c r="CH163">
        <f>IFERROR(U163*1,0)</f>
      </c>
    </row>
    <row r="164">
      <c r="A164" t="n">
        <v>3.0</v>
      </c>
      <c r="B164">
        <f>IF((K164-G164-H164&gt;2400000),10,(L164/(K164-G164-H164)*100))</f>
      </c>
      <c r="C164">
        <f>IF(N164&gt;2400000,240000,(N164*S164)/100)</f>
      </c>
      <c r="D164">
        <f>IF(S164=0,0,IF((N164-I164)&gt;2400000,((((((N164-I164-J164)-240000))*0.1+(I164+J164)*0.1)))-7000,((((((N164-I164-J164)-(N164-I164-J164)*S164/100)))*0.1+(I164+J164)*0.1)-7000)))</f>
      </c>
      <c r="E164">
        <f>C164-O164</f>
      </c>
      <c r="F164">
        <f>D164-P164</f>
      </c>
      <c r="G164">
        <f>SUMIF(negtgel!U$2:BL$2,'Tsalin uzuulelt'!B$1,negtgel!U164:BL164) + SUMIF(negtgel!U$2:BL$2,'Tsalin uzuulelt'!B$2,negtgel!U164:BL164)+SUMIF(negtgel!U$2:BL$2,'Tsalin uzuulelt'!B$3,negtgel!U164:BL164)+SUMIF(negtgel!U$2:BL$2,'Tsalin uzuulelt'!B$4,negtgel!U164:BL164)+SUMIF(negtgel!U$2:BL$2,'Tsalin uzuulelt'!B$5,negtgel!U164:BL164)</f>
      </c>
      <c r="H164">
        <f>SUMIF(negtgel!U$2:BL$2,'Tsalin uzuulelt'!F$1,negtgel!U164:BL164) + SUMIF(negtgel!U$2:BL$2,'Tsalin uzuulelt'!F$2,negtgel!U164:BL164)+SUMIF(negtgel!U$2:BL$2,'Tsalin uzuulelt'!F$3,negtgel!U164:BL164)+SUMIF(negtgel!U$2:BL$2,'Tsalin uzuulelt'!F$4,negtgel!U164:BL164)+SUMIF(negtgel!U$2:BL$2,'Tsalin uzuulelt'!F$5,negtgel!U164:BL164)</f>
      </c>
      <c r="I164">
        <f>SUMIF(negtgel!U$2:BL$2,'Tsalin uzuulelt'!H$1,negtgel!U164:BL164) + SUMIF(negtgel!U$2:BL$2,'Tsalin uzuulelt'!H$2,negtgel!U164:BL164)+SUMIF(negtgel!U$2:BL$2,'Tsalin uzuulelt'!H$3,negtgel!U164:BL164)+SUMIF(negtgel!U$2:BL$2,'Tsalin uzuulelt'!H$4,negtgel!U164:BL164)+SUMIF(negtgel!U$2:BL$2,'Tsalin uzuulelt'!H$5,negtgel!U164:BL164)</f>
      </c>
      <c r="J164">
        <f>SUMIF(negtgel!U$2:BL$2,'Tsalin uzuulelt'!J$1,negtgel!U164:BL164) + SUMIF(negtgel!U$2:BL$2,'Tsalin uzuulelt'!J$2,negtgel!U164:BL164)+SUMIF(negtgel!U$2:BL$2,'Tsalin uzuulelt'!J$3,negtgel!U164:BL164)+SUMIF(negtgel!U$2:BL$2,'Tsalin uzuulelt'!J$4,negtgel!U164:BL164)+SUMIF(negtgel!U$2:BL$2,'Tsalin uzuulelt'!J$5,negtgel!U164:BL164)</f>
      </c>
      <c r="K164">
        <f>SUMIF(negtgel!U$2:BL$2,'Tsalin uzuulelt'!L$1,negtgel!U164:BL164) + SUMIF(negtgel!U$2:BL$2,'Tsalin uzuulelt'!L$2,negtgel!U164:BL164)+SUMIF(negtgel!U$2:BL$2,'Tsalin uzuulelt'!L$3,negtgel!U164:BL164)+SUMIF(negtgel!U$2:BL$2,'Tsalin uzuulelt'!L$4,negtgel!U164:BL164)+SUMIF(negtgel!U$2:BL$2,'Tsalin uzuulelt'!L$5,negtgel!U164:BL164)</f>
      </c>
      <c r="L164">
        <f>SUMIF(negtgel!U$2:BL$2,'Tsalin uzuulelt'!N$1,negtgel!U164:BL164) + SUMIF(negtgel!U$2:BL$2,'Tsalin uzuulelt'!N$2,negtgel!U164:BL164)+SUMIF(negtgel!U$2:BL$2,'Tsalin uzuulelt'!N$3,negtgel!U164:BL164)+SUMIF(negtgel!U$2:BL$2,'Tsalin uzuulelt'!N$4,negtgel!U164:BL164)+SUMIF(negtgel!U$2:BL$2,'Tsalin uzuulelt'!N$5,negtgel!U164:BL164)</f>
      </c>
      <c r="M164">
        <f>SUMIF(negtgel!U$2:BL$2,'Tsalin uzuulelt'!P$1,negtgel!U164:BL164) + SUMIF(negtgel!U$2:BL$2,'Tsalin uzuulelt'!P$2,negtgel!U164:BL164)+ SUMIF(negtgel!U$2:BL$2,'Tsalin uzuulelt'!P$3,negtgel!U164:BL164)+ SUMIF(negtgel!U$2:BL$2,'Tsalin uzuulelt'!P$4,negtgel!U164:BL164)+ SUMIF(negtgel!U$2:BL$2,'Tsalin uzuulelt'!P$5,negtgel!U164:BL164)</f>
      </c>
      <c r="N164">
        <f>IF(ISNUMBER(U164*1)=CF164,0,K164-H164-G164)</f>
      </c>
      <c r="O164">
        <f>IF(ISNUMBER(U164*1)=CF164,0,L164)</f>
      </c>
      <c r="P164">
        <f>IF(ISNUMBER(U164*1)=CF164,0,M164)</f>
      </c>
      <c r="Q164">
        <f>IF(N164&gt;2400000,N164,0)</f>
      </c>
      <c r="R164">
        <f>IF(L164/Q164*100&lt;3,2,10)</f>
      </c>
      <c r="S164">
        <f>IF(CH164=0,0,IF(B164&gt;9,10,IF(B164&gt;8,B164,IF(B164&gt;7.7,7.8,IF(B164&gt;3,B164,IF(B164&gt;1.5,2))))))</f>
      </c>
      <c r="T164">
        <f>IF(Q164=0,S164,R164)</f>
      </c>
      <c r="U164" t="n">
        <v>58.0</v>
      </c>
      <c r="V164" t="s">
        <v>3851</v>
      </c>
      <c r="W164" t="s">
        <v>3790</v>
      </c>
      <c r="X164" t="n">
        <v>547759.0</v>
      </c>
      <c r="Y164" t="n">
        <v>547759.0</v>
      </c>
      <c r="Z164" t="n">
        <v>0.0</v>
      </c>
      <c r="AA164" t="n">
        <v>0.0</v>
      </c>
      <c r="AB164" t="n">
        <v>0.0</v>
      </c>
      <c r="AC164" t="n">
        <v>0.0</v>
      </c>
      <c r="AD164" t="n">
        <v>0.0</v>
      </c>
      <c r="AE164" t="n">
        <v>0.0</v>
      </c>
      <c r="AF164" t="n">
        <v>63000.0</v>
      </c>
      <c r="AG164" t="n">
        <v>0.0</v>
      </c>
      <c r="AH164" t="n">
        <v>0.0</v>
      </c>
      <c r="AI164" t="n">
        <v>0.0</v>
      </c>
      <c r="AJ164" t="n">
        <v>0.0</v>
      </c>
      <c r="AK164" t="n">
        <v>0.0</v>
      </c>
      <c r="AL164" t="n">
        <v>0.0</v>
      </c>
      <c r="AM164" t="n">
        <v>0.0</v>
      </c>
      <c r="AN164" t="n">
        <v>0.0</v>
      </c>
      <c r="AO164" t="n">
        <v>610759.0</v>
      </c>
      <c r="AP164" t="n">
        <v>61076.0</v>
      </c>
      <c r="AQ164" t="n">
        <v>48598.3</v>
      </c>
      <c r="CH164">
        <f>IFERROR(U164*1,0)</f>
      </c>
    </row>
    <row r="165">
      <c r="A165" t="n">
        <v>3.0</v>
      </c>
      <c r="B165">
        <f>IF((K165-G165-H165&gt;2400000),10,(L165/(K165-G165-H165)*100))</f>
      </c>
      <c r="C165">
        <f>IF(N165&gt;2400000,240000,(N165*S165)/100)</f>
      </c>
      <c r="D165">
        <f>IF(S165=0,0,IF((N165-I165)&gt;2400000,((((((N165-I165-J165)-240000))*0.1+(I165+J165)*0.1)))-7000,((((((N165-I165-J165)-(N165-I165-J165)*S165/100)))*0.1+(I165+J165)*0.1)-7000)))</f>
      </c>
      <c r="E165">
        <f>C165-O165</f>
      </c>
      <c r="F165">
        <f>D165-P165</f>
      </c>
      <c r="G165">
        <f>SUMIF(negtgel!U$2:BL$2,'Tsalin uzuulelt'!B$1,negtgel!U165:BL165) + SUMIF(negtgel!U$2:BL$2,'Tsalin uzuulelt'!B$2,negtgel!U165:BL165)+SUMIF(negtgel!U$2:BL$2,'Tsalin uzuulelt'!B$3,negtgel!U165:BL165)+SUMIF(negtgel!U$2:BL$2,'Tsalin uzuulelt'!B$4,negtgel!U165:BL165)+SUMIF(negtgel!U$2:BL$2,'Tsalin uzuulelt'!B$5,negtgel!U165:BL165)</f>
      </c>
      <c r="H165">
        <f>SUMIF(negtgel!U$2:BL$2,'Tsalin uzuulelt'!F$1,negtgel!U165:BL165) + SUMIF(negtgel!U$2:BL$2,'Tsalin uzuulelt'!F$2,negtgel!U165:BL165)+SUMIF(negtgel!U$2:BL$2,'Tsalin uzuulelt'!F$3,negtgel!U165:BL165)+SUMIF(negtgel!U$2:BL$2,'Tsalin uzuulelt'!F$4,negtgel!U165:BL165)+SUMIF(negtgel!U$2:BL$2,'Tsalin uzuulelt'!F$5,negtgel!U165:BL165)</f>
      </c>
      <c r="I165">
        <f>SUMIF(negtgel!U$2:BL$2,'Tsalin uzuulelt'!H$1,negtgel!U165:BL165) + SUMIF(negtgel!U$2:BL$2,'Tsalin uzuulelt'!H$2,negtgel!U165:BL165)+SUMIF(negtgel!U$2:BL$2,'Tsalin uzuulelt'!H$3,negtgel!U165:BL165)+SUMIF(negtgel!U$2:BL$2,'Tsalin uzuulelt'!H$4,negtgel!U165:BL165)+SUMIF(negtgel!U$2:BL$2,'Tsalin uzuulelt'!H$5,negtgel!U165:BL165)</f>
      </c>
      <c r="J165">
        <f>SUMIF(negtgel!U$2:BL$2,'Tsalin uzuulelt'!J$1,negtgel!U165:BL165) + SUMIF(negtgel!U$2:BL$2,'Tsalin uzuulelt'!J$2,negtgel!U165:BL165)+SUMIF(negtgel!U$2:BL$2,'Tsalin uzuulelt'!J$3,negtgel!U165:BL165)+SUMIF(negtgel!U$2:BL$2,'Tsalin uzuulelt'!J$4,negtgel!U165:BL165)+SUMIF(negtgel!U$2:BL$2,'Tsalin uzuulelt'!J$5,negtgel!U165:BL165)</f>
      </c>
      <c r="K165">
        <f>SUMIF(negtgel!U$2:BL$2,'Tsalin uzuulelt'!L$1,negtgel!U165:BL165) + SUMIF(negtgel!U$2:BL$2,'Tsalin uzuulelt'!L$2,negtgel!U165:BL165)+SUMIF(negtgel!U$2:BL$2,'Tsalin uzuulelt'!L$3,negtgel!U165:BL165)+SUMIF(negtgel!U$2:BL$2,'Tsalin uzuulelt'!L$4,negtgel!U165:BL165)+SUMIF(negtgel!U$2:BL$2,'Tsalin uzuulelt'!L$5,negtgel!U165:BL165)</f>
      </c>
      <c r="L165">
        <f>SUMIF(negtgel!U$2:BL$2,'Tsalin uzuulelt'!N$1,negtgel!U165:BL165) + SUMIF(negtgel!U$2:BL$2,'Tsalin uzuulelt'!N$2,negtgel!U165:BL165)+SUMIF(negtgel!U$2:BL$2,'Tsalin uzuulelt'!N$3,negtgel!U165:BL165)+SUMIF(negtgel!U$2:BL$2,'Tsalin uzuulelt'!N$4,negtgel!U165:BL165)+SUMIF(negtgel!U$2:BL$2,'Tsalin uzuulelt'!N$5,negtgel!U165:BL165)</f>
      </c>
      <c r="M165">
        <f>SUMIF(negtgel!U$2:BL$2,'Tsalin uzuulelt'!P$1,negtgel!U165:BL165) + SUMIF(negtgel!U$2:BL$2,'Tsalin uzuulelt'!P$2,negtgel!U165:BL165)+ SUMIF(negtgel!U$2:BL$2,'Tsalin uzuulelt'!P$3,negtgel!U165:BL165)+ SUMIF(negtgel!U$2:BL$2,'Tsalin uzuulelt'!P$4,negtgel!U165:BL165)+ SUMIF(negtgel!U$2:BL$2,'Tsalin uzuulelt'!P$5,negtgel!U165:BL165)</f>
      </c>
      <c r="N165">
        <f>IF(ISNUMBER(U165*1)=CF165,0,K165-H165-G165)</f>
      </c>
      <c r="O165">
        <f>IF(ISNUMBER(U165*1)=CF165,0,L165)</f>
      </c>
      <c r="P165">
        <f>IF(ISNUMBER(U165*1)=CF165,0,M165)</f>
      </c>
      <c r="Q165">
        <f>IF(N165&gt;2400000,N165,0)</f>
      </c>
      <c r="R165">
        <f>IF(L165/Q165*100&lt;3,2,10)</f>
      </c>
      <c r="S165">
        <f>IF(CH165=0,0,IF(B165&gt;9,10,IF(B165&gt;8,B165,IF(B165&gt;7.7,7.8,IF(B165&gt;3,B165,IF(B165&gt;1.5,2))))))</f>
      </c>
      <c r="T165">
        <f>IF(Q165=0,S165,R165)</f>
      </c>
      <c r="U165" t="n">
        <v>59.0</v>
      </c>
      <c r="V165" t="s">
        <v>3852</v>
      </c>
      <c r="W165" t="s">
        <v>3792</v>
      </c>
      <c r="X165" t="n">
        <v>535286.0</v>
      </c>
      <c r="Y165" t="n">
        <v>458817.0</v>
      </c>
      <c r="Z165" t="n">
        <v>0.0</v>
      </c>
      <c r="AA165" t="n">
        <v>0.0</v>
      </c>
      <c r="AB165" t="n">
        <v>0.0</v>
      </c>
      <c r="AC165" t="n">
        <v>0.0</v>
      </c>
      <c r="AD165" t="n">
        <v>0.0</v>
      </c>
      <c r="AE165" t="n">
        <v>0.0</v>
      </c>
      <c r="AF165" t="n">
        <v>54000.0</v>
      </c>
      <c r="AG165" t="n">
        <v>0.0</v>
      </c>
      <c r="AH165" t="n">
        <v>0.0</v>
      </c>
      <c r="AI165" t="n">
        <v>0.0</v>
      </c>
      <c r="AJ165" t="n">
        <v>0.0</v>
      </c>
      <c r="AK165" t="n">
        <v>0.0</v>
      </c>
      <c r="AL165" t="n">
        <v>0.0</v>
      </c>
      <c r="AM165" t="n">
        <v>0.0</v>
      </c>
      <c r="AN165" t="n">
        <v>0.0</v>
      </c>
      <c r="AO165" t="n">
        <v>512817.0</v>
      </c>
      <c r="AP165" t="n">
        <v>51282.0</v>
      </c>
      <c r="AQ165" t="n">
        <v>39693.5</v>
      </c>
      <c r="CH165">
        <f>IFERROR(U165*1,0)</f>
      </c>
    </row>
    <row r="166">
      <c r="A166" t="n">
        <v>3.0</v>
      </c>
      <c r="B166">
        <f>IF((K166-G166-H166&gt;2400000),10,(L166/(K166-G166-H166)*100))</f>
      </c>
      <c r="C166">
        <f>IF(N166&gt;2400000,240000,(N166*S166)/100)</f>
      </c>
      <c r="D166">
        <f>IF(S166=0,0,IF((N166-I166)&gt;2400000,((((((N166-I166-J166)-240000))*0.1+(I166+J166)*0.1)))-7000,((((((N166-I166-J166)-(N166-I166-J166)*S166/100)))*0.1+(I166+J166)*0.1)-7000)))</f>
      </c>
      <c r="E166">
        <f>C166-O166</f>
      </c>
      <c r="F166">
        <f>D166-P166</f>
      </c>
      <c r="G166">
        <f>SUMIF(negtgel!U$2:BL$2,'Tsalin uzuulelt'!B$1,negtgel!U166:BL166) + SUMIF(negtgel!U$2:BL$2,'Tsalin uzuulelt'!B$2,negtgel!U166:BL166)+SUMIF(negtgel!U$2:BL$2,'Tsalin uzuulelt'!B$3,negtgel!U166:BL166)+SUMIF(negtgel!U$2:BL$2,'Tsalin uzuulelt'!B$4,negtgel!U166:BL166)+SUMIF(negtgel!U$2:BL$2,'Tsalin uzuulelt'!B$5,negtgel!U166:BL166)</f>
      </c>
      <c r="H166">
        <f>SUMIF(negtgel!U$2:BL$2,'Tsalin uzuulelt'!F$1,negtgel!U166:BL166) + SUMIF(negtgel!U$2:BL$2,'Tsalin uzuulelt'!F$2,negtgel!U166:BL166)+SUMIF(negtgel!U$2:BL$2,'Tsalin uzuulelt'!F$3,negtgel!U166:BL166)+SUMIF(negtgel!U$2:BL$2,'Tsalin uzuulelt'!F$4,negtgel!U166:BL166)+SUMIF(negtgel!U$2:BL$2,'Tsalin uzuulelt'!F$5,negtgel!U166:BL166)</f>
      </c>
      <c r="I166">
        <f>SUMIF(negtgel!U$2:BL$2,'Tsalin uzuulelt'!H$1,negtgel!U166:BL166) + SUMIF(negtgel!U$2:BL$2,'Tsalin uzuulelt'!H$2,negtgel!U166:BL166)+SUMIF(negtgel!U$2:BL$2,'Tsalin uzuulelt'!H$3,negtgel!U166:BL166)+SUMIF(negtgel!U$2:BL$2,'Tsalin uzuulelt'!H$4,negtgel!U166:BL166)+SUMIF(negtgel!U$2:BL$2,'Tsalin uzuulelt'!H$5,negtgel!U166:BL166)</f>
      </c>
      <c r="J166">
        <f>SUMIF(negtgel!U$2:BL$2,'Tsalin uzuulelt'!J$1,negtgel!U166:BL166) + SUMIF(negtgel!U$2:BL$2,'Tsalin uzuulelt'!J$2,negtgel!U166:BL166)+SUMIF(negtgel!U$2:BL$2,'Tsalin uzuulelt'!J$3,negtgel!U166:BL166)+SUMIF(negtgel!U$2:BL$2,'Tsalin uzuulelt'!J$4,negtgel!U166:BL166)+SUMIF(negtgel!U$2:BL$2,'Tsalin uzuulelt'!J$5,negtgel!U166:BL166)</f>
      </c>
      <c r="K166">
        <f>SUMIF(negtgel!U$2:BL$2,'Tsalin uzuulelt'!L$1,negtgel!U166:BL166) + SUMIF(negtgel!U$2:BL$2,'Tsalin uzuulelt'!L$2,negtgel!U166:BL166)+SUMIF(negtgel!U$2:BL$2,'Tsalin uzuulelt'!L$3,negtgel!U166:BL166)+SUMIF(negtgel!U$2:BL$2,'Tsalin uzuulelt'!L$4,negtgel!U166:BL166)+SUMIF(negtgel!U$2:BL$2,'Tsalin uzuulelt'!L$5,negtgel!U166:BL166)</f>
      </c>
      <c r="L166">
        <f>SUMIF(negtgel!U$2:BL$2,'Tsalin uzuulelt'!N$1,negtgel!U166:BL166) + SUMIF(negtgel!U$2:BL$2,'Tsalin uzuulelt'!N$2,negtgel!U166:BL166)+SUMIF(negtgel!U$2:BL$2,'Tsalin uzuulelt'!N$3,negtgel!U166:BL166)+SUMIF(negtgel!U$2:BL$2,'Tsalin uzuulelt'!N$4,negtgel!U166:BL166)+SUMIF(negtgel!U$2:BL$2,'Tsalin uzuulelt'!N$5,negtgel!U166:BL166)</f>
      </c>
      <c r="M166">
        <f>SUMIF(negtgel!U$2:BL$2,'Tsalin uzuulelt'!P$1,negtgel!U166:BL166) + SUMIF(negtgel!U$2:BL$2,'Tsalin uzuulelt'!P$2,negtgel!U166:BL166)+ SUMIF(negtgel!U$2:BL$2,'Tsalin uzuulelt'!P$3,negtgel!U166:BL166)+ SUMIF(negtgel!U$2:BL$2,'Tsalin uzuulelt'!P$4,negtgel!U166:BL166)+ SUMIF(negtgel!U$2:BL$2,'Tsalin uzuulelt'!P$5,negtgel!U166:BL166)</f>
      </c>
      <c r="N166">
        <f>IF(ISNUMBER(U166*1)=CF166,0,K166-H166-G166)</f>
      </c>
      <c r="O166">
        <f>IF(ISNUMBER(U166*1)=CF166,0,L166)</f>
      </c>
      <c r="P166">
        <f>IF(ISNUMBER(U166*1)=CF166,0,M166)</f>
      </c>
      <c r="Q166">
        <f>IF(N166&gt;2400000,N166,0)</f>
      </c>
      <c r="R166">
        <f>IF(L166/Q166*100&lt;3,2,10)</f>
      </c>
      <c r="S166">
        <f>IF(CH166=0,0,IF(B166&gt;9,10,IF(B166&gt;8,B166,IF(B166&gt;7.7,7.8,IF(B166&gt;3,B166,IF(B166&gt;1.5,2))))))</f>
      </c>
      <c r="T166">
        <f>IF(Q166=0,S166,R166)</f>
      </c>
      <c r="U166" t="n">
        <v>68.0</v>
      </c>
      <c r="V166" t="s">
        <v>3812</v>
      </c>
      <c r="W166" t="s">
        <v>3790</v>
      </c>
      <c r="X166" t="n">
        <v>580710.0</v>
      </c>
      <c r="Y166" t="n">
        <v>580710.0</v>
      </c>
      <c r="Z166" t="n">
        <v>29036.0</v>
      </c>
      <c r="AA166" t="n">
        <v>87106.0</v>
      </c>
      <c r="AB166" t="n">
        <v>0.0</v>
      </c>
      <c r="AC166" t="n">
        <v>0.0</v>
      </c>
      <c r="AD166" t="n">
        <v>0.0</v>
      </c>
      <c r="AE166" t="n">
        <v>0.0</v>
      </c>
      <c r="AF166" t="n">
        <v>63000.0</v>
      </c>
      <c r="AG166" t="n">
        <v>0.0</v>
      </c>
      <c r="AH166" t="n">
        <v>0.0</v>
      </c>
      <c r="AI166" t="n">
        <v>0.0</v>
      </c>
      <c r="AJ166" t="n">
        <v>0.0</v>
      </c>
      <c r="AK166" t="n">
        <v>0.0</v>
      </c>
      <c r="AL166" t="n">
        <v>0.0</v>
      </c>
      <c r="AM166" t="n">
        <v>0.0</v>
      </c>
      <c r="AN166" t="n">
        <v>0.0</v>
      </c>
      <c r="AO166" t="n">
        <v>759852.0</v>
      </c>
      <c r="AP166" t="n">
        <v>75986.0</v>
      </c>
      <c r="AQ166" t="n">
        <v>62016.7</v>
      </c>
      <c r="CH166">
        <f>IFERROR(U166*1,0)</f>
      </c>
    </row>
    <row r="167">
      <c r="A167" t="n">
        <v>3.0</v>
      </c>
      <c r="B167">
        <f>IF((K167-G167-H167&gt;2400000),10,(L167/(K167-G167-H167)*100))</f>
      </c>
      <c r="C167">
        <f>IF(N167&gt;2400000,240000,(N167*S167)/100)</f>
      </c>
      <c r="D167">
        <f>IF(S167=0,0,IF((N167-I167)&gt;2400000,((((((N167-I167-J167)-240000))*0.1+(I167+J167)*0.1)))-7000,((((((N167-I167-J167)-(N167-I167-J167)*S167/100)))*0.1+(I167+J167)*0.1)-7000)))</f>
      </c>
      <c r="E167">
        <f>C167-O167</f>
      </c>
      <c r="F167">
        <f>D167-P167</f>
      </c>
      <c r="G167">
        <f>SUMIF(negtgel!U$2:BL$2,'Tsalin uzuulelt'!B$1,negtgel!U167:BL167) + SUMIF(negtgel!U$2:BL$2,'Tsalin uzuulelt'!B$2,negtgel!U167:BL167)+SUMIF(negtgel!U$2:BL$2,'Tsalin uzuulelt'!B$3,negtgel!U167:BL167)+SUMIF(negtgel!U$2:BL$2,'Tsalin uzuulelt'!B$4,negtgel!U167:BL167)+SUMIF(negtgel!U$2:BL$2,'Tsalin uzuulelt'!B$5,negtgel!U167:BL167)</f>
      </c>
      <c r="H167">
        <f>SUMIF(negtgel!U$2:BL$2,'Tsalin uzuulelt'!F$1,negtgel!U167:BL167) + SUMIF(negtgel!U$2:BL$2,'Tsalin uzuulelt'!F$2,negtgel!U167:BL167)+SUMIF(negtgel!U$2:BL$2,'Tsalin uzuulelt'!F$3,negtgel!U167:BL167)+SUMIF(negtgel!U$2:BL$2,'Tsalin uzuulelt'!F$4,negtgel!U167:BL167)+SUMIF(negtgel!U$2:BL$2,'Tsalin uzuulelt'!F$5,negtgel!U167:BL167)</f>
      </c>
      <c r="I167">
        <f>SUMIF(negtgel!U$2:BL$2,'Tsalin uzuulelt'!H$1,negtgel!U167:BL167) + SUMIF(negtgel!U$2:BL$2,'Tsalin uzuulelt'!H$2,negtgel!U167:BL167)+SUMIF(negtgel!U$2:BL$2,'Tsalin uzuulelt'!H$3,negtgel!U167:BL167)+SUMIF(negtgel!U$2:BL$2,'Tsalin uzuulelt'!H$4,negtgel!U167:BL167)+SUMIF(negtgel!U$2:BL$2,'Tsalin uzuulelt'!H$5,negtgel!U167:BL167)</f>
      </c>
      <c r="J167">
        <f>SUMIF(negtgel!U$2:BL$2,'Tsalin uzuulelt'!J$1,negtgel!U167:BL167) + SUMIF(negtgel!U$2:BL$2,'Tsalin uzuulelt'!J$2,negtgel!U167:BL167)+SUMIF(negtgel!U$2:BL$2,'Tsalin uzuulelt'!J$3,negtgel!U167:BL167)+SUMIF(negtgel!U$2:BL$2,'Tsalin uzuulelt'!J$4,negtgel!U167:BL167)+SUMIF(negtgel!U$2:BL$2,'Tsalin uzuulelt'!J$5,negtgel!U167:BL167)</f>
      </c>
      <c r="K167">
        <f>SUMIF(negtgel!U$2:BL$2,'Tsalin uzuulelt'!L$1,negtgel!U167:BL167) + SUMIF(negtgel!U$2:BL$2,'Tsalin uzuulelt'!L$2,negtgel!U167:BL167)+SUMIF(negtgel!U$2:BL$2,'Tsalin uzuulelt'!L$3,negtgel!U167:BL167)+SUMIF(negtgel!U$2:BL$2,'Tsalin uzuulelt'!L$4,negtgel!U167:BL167)+SUMIF(negtgel!U$2:BL$2,'Tsalin uzuulelt'!L$5,negtgel!U167:BL167)</f>
      </c>
      <c r="L167">
        <f>SUMIF(negtgel!U$2:BL$2,'Tsalin uzuulelt'!N$1,negtgel!U167:BL167) + SUMIF(negtgel!U$2:BL$2,'Tsalin uzuulelt'!N$2,negtgel!U167:BL167)+SUMIF(negtgel!U$2:BL$2,'Tsalin uzuulelt'!N$3,negtgel!U167:BL167)+SUMIF(negtgel!U$2:BL$2,'Tsalin uzuulelt'!N$4,negtgel!U167:BL167)+SUMIF(negtgel!U$2:BL$2,'Tsalin uzuulelt'!N$5,negtgel!U167:BL167)</f>
      </c>
      <c r="M167">
        <f>SUMIF(negtgel!U$2:BL$2,'Tsalin uzuulelt'!P$1,negtgel!U167:BL167) + SUMIF(negtgel!U$2:BL$2,'Tsalin uzuulelt'!P$2,negtgel!U167:BL167)+ SUMIF(negtgel!U$2:BL$2,'Tsalin uzuulelt'!P$3,negtgel!U167:BL167)+ SUMIF(negtgel!U$2:BL$2,'Tsalin uzuulelt'!P$4,negtgel!U167:BL167)+ SUMIF(negtgel!U$2:BL$2,'Tsalin uzuulelt'!P$5,negtgel!U167:BL167)</f>
      </c>
      <c r="N167">
        <f>IF(ISNUMBER(U167*1)=CF167,0,K167-H167-G167)</f>
      </c>
      <c r="O167">
        <f>IF(ISNUMBER(U167*1)=CF167,0,L167)</f>
      </c>
      <c r="P167">
        <f>IF(ISNUMBER(U167*1)=CF167,0,M167)</f>
      </c>
      <c r="Q167">
        <f>IF(N167&gt;2400000,N167,0)</f>
      </c>
      <c r="R167">
        <f>IF(L167/Q167*100&lt;3,2,10)</f>
      </c>
      <c r="S167">
        <f>IF(CH167=0,0,IF(B167&gt;9,10,IF(B167&gt;8,B167,IF(B167&gt;7.7,7.8,IF(B167&gt;3,B167,IF(B167&gt;1.5,2))))))</f>
      </c>
      <c r="T167">
        <f>IF(Q167=0,S167,R167)</f>
      </c>
      <c r="U167" t="n">
        <v>69.0</v>
      </c>
      <c r="V167" t="s">
        <v>3813</v>
      </c>
      <c r="W167" t="s">
        <v>3790</v>
      </c>
      <c r="X167" t="n">
        <v>580710.0</v>
      </c>
      <c r="Y167" t="n">
        <v>580710.0</v>
      </c>
      <c r="Z167" t="n">
        <v>29036.0</v>
      </c>
      <c r="AA167" t="n">
        <v>87106.0</v>
      </c>
      <c r="AB167" t="n">
        <v>0.0</v>
      </c>
      <c r="AC167" t="n">
        <v>0.0</v>
      </c>
      <c r="AD167" t="n">
        <v>0.0</v>
      </c>
      <c r="AE167" t="n">
        <v>0.0</v>
      </c>
      <c r="AF167" t="n">
        <v>63000.0</v>
      </c>
      <c r="AG167" t="n">
        <v>0.0</v>
      </c>
      <c r="AH167" t="n">
        <v>0.0</v>
      </c>
      <c r="AI167" t="n">
        <v>0.0</v>
      </c>
      <c r="AJ167" t="n">
        <v>0.0</v>
      </c>
      <c r="AK167" t="n">
        <v>0.0</v>
      </c>
      <c r="AL167" t="n">
        <v>0.0</v>
      </c>
      <c r="AM167" t="n">
        <v>0.0</v>
      </c>
      <c r="AN167" t="n">
        <v>0.0</v>
      </c>
      <c r="AO167" t="n">
        <v>759852.0</v>
      </c>
      <c r="AP167" t="n">
        <v>75986.0</v>
      </c>
      <c r="AQ167" t="n">
        <v>62016.7</v>
      </c>
      <c r="CH167">
        <f>IFERROR(U167*1,0)</f>
      </c>
    </row>
    <row r="168">
      <c r="A168" t="n">
        <v>3.0</v>
      </c>
      <c r="B168">
        <f>IF((K168-G168-H168&gt;2400000),10,(L168/(K168-G168-H168)*100))</f>
      </c>
      <c r="C168">
        <f>IF(N168&gt;2400000,240000,(N168*S168)/100)</f>
      </c>
      <c r="D168">
        <f>IF(S168=0,0,IF((N168-I168)&gt;2400000,((((((N168-I168-J168)-240000))*0.1+(I168+J168)*0.1)))-7000,((((((N168-I168-J168)-(N168-I168-J168)*S168/100)))*0.1+(I168+J168)*0.1)-7000)))</f>
      </c>
      <c r="E168">
        <f>C168-O168</f>
      </c>
      <c r="F168">
        <f>D168-P168</f>
      </c>
      <c r="G168">
        <f>SUMIF(negtgel!U$2:BL$2,'Tsalin uzuulelt'!B$1,negtgel!U168:BL168) + SUMIF(negtgel!U$2:BL$2,'Tsalin uzuulelt'!B$2,negtgel!U168:BL168)+SUMIF(negtgel!U$2:BL$2,'Tsalin uzuulelt'!B$3,negtgel!U168:BL168)+SUMIF(negtgel!U$2:BL$2,'Tsalin uzuulelt'!B$4,negtgel!U168:BL168)+SUMIF(negtgel!U$2:BL$2,'Tsalin uzuulelt'!B$5,negtgel!U168:BL168)</f>
      </c>
      <c r="H168">
        <f>SUMIF(negtgel!U$2:BL$2,'Tsalin uzuulelt'!F$1,negtgel!U168:BL168) + SUMIF(negtgel!U$2:BL$2,'Tsalin uzuulelt'!F$2,negtgel!U168:BL168)+SUMIF(negtgel!U$2:BL$2,'Tsalin uzuulelt'!F$3,negtgel!U168:BL168)+SUMIF(negtgel!U$2:BL$2,'Tsalin uzuulelt'!F$4,negtgel!U168:BL168)+SUMIF(negtgel!U$2:BL$2,'Tsalin uzuulelt'!F$5,negtgel!U168:BL168)</f>
      </c>
      <c r="I168">
        <f>SUMIF(negtgel!U$2:BL$2,'Tsalin uzuulelt'!H$1,negtgel!U168:BL168) + SUMIF(negtgel!U$2:BL$2,'Tsalin uzuulelt'!H$2,negtgel!U168:BL168)+SUMIF(negtgel!U$2:BL$2,'Tsalin uzuulelt'!H$3,negtgel!U168:BL168)+SUMIF(negtgel!U$2:BL$2,'Tsalin uzuulelt'!H$4,negtgel!U168:BL168)+SUMIF(negtgel!U$2:BL$2,'Tsalin uzuulelt'!H$5,negtgel!U168:BL168)</f>
      </c>
      <c r="J168">
        <f>SUMIF(negtgel!U$2:BL$2,'Tsalin uzuulelt'!J$1,negtgel!U168:BL168) + SUMIF(negtgel!U$2:BL$2,'Tsalin uzuulelt'!J$2,negtgel!U168:BL168)+SUMIF(negtgel!U$2:BL$2,'Tsalin uzuulelt'!J$3,negtgel!U168:BL168)+SUMIF(negtgel!U$2:BL$2,'Tsalin uzuulelt'!J$4,negtgel!U168:BL168)+SUMIF(negtgel!U$2:BL$2,'Tsalin uzuulelt'!J$5,negtgel!U168:BL168)</f>
      </c>
      <c r="K168">
        <f>SUMIF(negtgel!U$2:BL$2,'Tsalin uzuulelt'!L$1,negtgel!U168:BL168) + SUMIF(negtgel!U$2:BL$2,'Tsalin uzuulelt'!L$2,negtgel!U168:BL168)+SUMIF(negtgel!U$2:BL$2,'Tsalin uzuulelt'!L$3,negtgel!U168:BL168)+SUMIF(negtgel!U$2:BL$2,'Tsalin uzuulelt'!L$4,negtgel!U168:BL168)+SUMIF(negtgel!U$2:BL$2,'Tsalin uzuulelt'!L$5,negtgel!U168:BL168)</f>
      </c>
      <c r="L168">
        <f>SUMIF(negtgel!U$2:BL$2,'Tsalin uzuulelt'!N$1,negtgel!U168:BL168) + SUMIF(negtgel!U$2:BL$2,'Tsalin uzuulelt'!N$2,negtgel!U168:BL168)+SUMIF(negtgel!U$2:BL$2,'Tsalin uzuulelt'!N$3,negtgel!U168:BL168)+SUMIF(negtgel!U$2:BL$2,'Tsalin uzuulelt'!N$4,negtgel!U168:BL168)+SUMIF(negtgel!U$2:BL$2,'Tsalin uzuulelt'!N$5,negtgel!U168:BL168)</f>
      </c>
      <c r="M168">
        <f>SUMIF(negtgel!U$2:BL$2,'Tsalin uzuulelt'!P$1,negtgel!U168:BL168) + SUMIF(negtgel!U$2:BL$2,'Tsalin uzuulelt'!P$2,negtgel!U168:BL168)+ SUMIF(negtgel!U$2:BL$2,'Tsalin uzuulelt'!P$3,negtgel!U168:BL168)+ SUMIF(negtgel!U$2:BL$2,'Tsalin uzuulelt'!P$4,negtgel!U168:BL168)+ SUMIF(negtgel!U$2:BL$2,'Tsalin uzuulelt'!P$5,negtgel!U168:BL168)</f>
      </c>
      <c r="N168">
        <f>IF(ISNUMBER(U168*1)=CF168,0,K168-H168-G168)</f>
      </c>
      <c r="O168">
        <f>IF(ISNUMBER(U168*1)=CF168,0,L168)</f>
      </c>
      <c r="P168">
        <f>IF(ISNUMBER(U168*1)=CF168,0,M168)</f>
      </c>
      <c r="Q168">
        <f>IF(N168&gt;2400000,N168,0)</f>
      </c>
      <c r="R168">
        <f>IF(L168/Q168*100&lt;3,2,10)</f>
      </c>
      <c r="S168">
        <f>IF(CH168=0,0,IF(B168&gt;9,10,IF(B168&gt;8,B168,IF(B168&gt;7.7,7.8,IF(B168&gt;3,B168,IF(B168&gt;1.5,2))))))</f>
      </c>
      <c r="T168">
        <f>IF(Q168=0,S168,R168)</f>
      </c>
      <c r="U168" t="n">
        <v>70.0</v>
      </c>
      <c r="V168" t="s">
        <v>3814</v>
      </c>
      <c r="W168" t="s">
        <v>3792</v>
      </c>
      <c r="X168" t="n">
        <v>539547.0</v>
      </c>
      <c r="Y168" t="n">
        <v>488162.0</v>
      </c>
      <c r="Z168" t="n">
        <v>0.0</v>
      </c>
      <c r="AA168" t="n">
        <v>0.0</v>
      </c>
      <c r="AB168" t="n">
        <v>0.0</v>
      </c>
      <c r="AC168" t="n">
        <v>0.0</v>
      </c>
      <c r="AD168" t="n">
        <v>0.0</v>
      </c>
      <c r="AE168" t="n">
        <v>0.0</v>
      </c>
      <c r="AF168" t="n">
        <v>57000.0</v>
      </c>
      <c r="AG168" t="n">
        <v>0.0</v>
      </c>
      <c r="AH168" t="n">
        <v>0.0</v>
      </c>
      <c r="AI168" t="n">
        <v>0.0</v>
      </c>
      <c r="AJ168" t="n">
        <v>0.0</v>
      </c>
      <c r="AK168" t="n">
        <v>0.0</v>
      </c>
      <c r="AL168" t="n">
        <v>0.0</v>
      </c>
      <c r="AM168" t="n">
        <v>0.0</v>
      </c>
      <c r="AN168" t="n">
        <v>0.0</v>
      </c>
      <c r="AO168" t="n">
        <v>545162.0</v>
      </c>
      <c r="AP168" t="n">
        <v>54515.0</v>
      </c>
      <c r="AQ168" t="n">
        <v>42634.6</v>
      </c>
      <c r="CH168">
        <f>IFERROR(U168*1,0)</f>
      </c>
    </row>
    <row r="169">
      <c r="A169" t="n">
        <v>3.0</v>
      </c>
      <c r="B169">
        <f>IF((K169-G169-H169&gt;2400000),10,(L169/(K169-G169-H169)*100))</f>
      </c>
      <c r="C169">
        <f>IF(N169&gt;2400000,240000,(N169*S169)/100)</f>
      </c>
      <c r="D169">
        <f>IF(S169=0,0,IF((N169-I169)&gt;2400000,((((((N169-I169-J169)-240000))*0.1+(I169+J169)*0.1)))-7000,((((((N169-I169-J169)-(N169-I169-J169)*S169/100)))*0.1+(I169+J169)*0.1)-7000)))</f>
      </c>
      <c r="E169">
        <f>C169-O169</f>
      </c>
      <c r="F169">
        <f>D169-P169</f>
      </c>
      <c r="G169">
        <f>SUMIF(negtgel!U$2:BL$2,'Tsalin uzuulelt'!B$1,negtgel!U169:BL169) + SUMIF(negtgel!U$2:BL$2,'Tsalin uzuulelt'!B$2,negtgel!U169:BL169)+SUMIF(negtgel!U$2:BL$2,'Tsalin uzuulelt'!B$3,negtgel!U169:BL169)+SUMIF(negtgel!U$2:BL$2,'Tsalin uzuulelt'!B$4,negtgel!U169:BL169)+SUMIF(negtgel!U$2:BL$2,'Tsalin uzuulelt'!B$5,negtgel!U169:BL169)</f>
      </c>
      <c r="H169">
        <f>SUMIF(negtgel!U$2:BL$2,'Tsalin uzuulelt'!F$1,negtgel!U169:BL169) + SUMIF(negtgel!U$2:BL$2,'Tsalin uzuulelt'!F$2,negtgel!U169:BL169)+SUMIF(negtgel!U$2:BL$2,'Tsalin uzuulelt'!F$3,negtgel!U169:BL169)+SUMIF(negtgel!U$2:BL$2,'Tsalin uzuulelt'!F$4,negtgel!U169:BL169)+SUMIF(negtgel!U$2:BL$2,'Tsalin uzuulelt'!F$5,negtgel!U169:BL169)</f>
      </c>
      <c r="I169">
        <f>SUMIF(negtgel!U$2:BL$2,'Tsalin uzuulelt'!H$1,negtgel!U169:BL169) + SUMIF(negtgel!U$2:BL$2,'Tsalin uzuulelt'!H$2,negtgel!U169:BL169)+SUMIF(negtgel!U$2:BL$2,'Tsalin uzuulelt'!H$3,negtgel!U169:BL169)+SUMIF(negtgel!U$2:BL$2,'Tsalin uzuulelt'!H$4,negtgel!U169:BL169)+SUMIF(negtgel!U$2:BL$2,'Tsalin uzuulelt'!H$5,negtgel!U169:BL169)</f>
      </c>
      <c r="J169">
        <f>SUMIF(negtgel!U$2:BL$2,'Tsalin uzuulelt'!J$1,negtgel!U169:BL169) + SUMIF(negtgel!U$2:BL$2,'Tsalin uzuulelt'!J$2,negtgel!U169:BL169)+SUMIF(negtgel!U$2:BL$2,'Tsalin uzuulelt'!J$3,negtgel!U169:BL169)+SUMIF(negtgel!U$2:BL$2,'Tsalin uzuulelt'!J$4,negtgel!U169:BL169)+SUMIF(negtgel!U$2:BL$2,'Tsalin uzuulelt'!J$5,negtgel!U169:BL169)</f>
      </c>
      <c r="K169">
        <f>SUMIF(negtgel!U$2:BL$2,'Tsalin uzuulelt'!L$1,negtgel!U169:BL169) + SUMIF(negtgel!U$2:BL$2,'Tsalin uzuulelt'!L$2,negtgel!U169:BL169)+SUMIF(negtgel!U$2:BL$2,'Tsalin uzuulelt'!L$3,negtgel!U169:BL169)+SUMIF(negtgel!U$2:BL$2,'Tsalin uzuulelt'!L$4,negtgel!U169:BL169)+SUMIF(negtgel!U$2:BL$2,'Tsalin uzuulelt'!L$5,negtgel!U169:BL169)</f>
      </c>
      <c r="L169">
        <f>SUMIF(negtgel!U$2:BL$2,'Tsalin uzuulelt'!N$1,negtgel!U169:BL169) + SUMIF(negtgel!U$2:BL$2,'Tsalin uzuulelt'!N$2,negtgel!U169:BL169)+SUMIF(negtgel!U$2:BL$2,'Tsalin uzuulelt'!N$3,negtgel!U169:BL169)+SUMIF(negtgel!U$2:BL$2,'Tsalin uzuulelt'!N$4,negtgel!U169:BL169)+SUMIF(negtgel!U$2:BL$2,'Tsalin uzuulelt'!N$5,negtgel!U169:BL169)</f>
      </c>
      <c r="M169">
        <f>SUMIF(negtgel!U$2:BL$2,'Tsalin uzuulelt'!P$1,negtgel!U169:BL169) + SUMIF(negtgel!U$2:BL$2,'Tsalin uzuulelt'!P$2,negtgel!U169:BL169)+ SUMIF(negtgel!U$2:BL$2,'Tsalin uzuulelt'!P$3,negtgel!U169:BL169)+ SUMIF(negtgel!U$2:BL$2,'Tsalin uzuulelt'!P$4,negtgel!U169:BL169)+ SUMIF(negtgel!U$2:BL$2,'Tsalin uzuulelt'!P$5,negtgel!U169:BL169)</f>
      </c>
      <c r="N169">
        <f>IF(ISNUMBER(U169*1)=CF169,0,K169-H169-G169)</f>
      </c>
      <c r="O169">
        <f>IF(ISNUMBER(U169*1)=CF169,0,L169)</f>
      </c>
      <c r="P169">
        <f>IF(ISNUMBER(U169*1)=CF169,0,M169)</f>
      </c>
      <c r="Q169">
        <f>IF(N169&gt;2400000,N169,0)</f>
      </c>
      <c r="R169">
        <f>IF(L169/Q169*100&lt;3,2,10)</f>
      </c>
      <c r="S169">
        <f>IF(CH169=0,0,IF(B169&gt;9,10,IF(B169&gt;8,B169,IF(B169&gt;7.7,7.8,IF(B169&gt;3,B169,IF(B169&gt;1.5,2))))))</f>
      </c>
      <c r="T169">
        <f>IF(Q169=0,S169,R169)</f>
      </c>
      <c r="U169" t="s">
        <v>3787</v>
      </c>
      <c r="V169"/>
      <c r="W169"/>
      <c r="X169" t="n">
        <v>8064114.0</v>
      </c>
      <c r="Y169" t="n">
        <v>6755418.0</v>
      </c>
      <c r="Z169" t="n">
        <v>266955.0</v>
      </c>
      <c r="AA169" t="n">
        <v>621700.0</v>
      </c>
      <c r="AB169" t="n">
        <v>0.0</v>
      </c>
      <c r="AC169" t="n">
        <v>0.0</v>
      </c>
      <c r="AD169" t="n">
        <v>0.0</v>
      </c>
      <c r="AE169" t="n">
        <v>0.0</v>
      </c>
      <c r="AF169" t="n">
        <v>741000.0</v>
      </c>
      <c r="AG169" t="n">
        <v>0.0</v>
      </c>
      <c r="AH169" t="n">
        <v>0.0</v>
      </c>
      <c r="AI169" t="n">
        <v>0.0</v>
      </c>
      <c r="AJ169" t="n">
        <v>0.0</v>
      </c>
      <c r="AK169" t="n">
        <v>0.0</v>
      </c>
      <c r="AL169" t="n">
        <v>0.0</v>
      </c>
      <c r="AM169" t="n">
        <v>0.0</v>
      </c>
      <c r="AN169" t="n">
        <v>0.0</v>
      </c>
      <c r="AO169" t="n">
        <v>8385073.0</v>
      </c>
      <c r="AP169" t="n">
        <v>838511.0</v>
      </c>
      <c r="AQ169" t="n">
        <v>678066.5</v>
      </c>
      <c r="CH169">
        <f>IFERROR(U169*1,0)</f>
      </c>
    </row>
    <row r="170">
      <c r="A170" t="n">
        <v>3.0</v>
      </c>
      <c r="B170">
        <f>IF((K170-G170-H170&gt;2400000),10,(L170/(K170-G170-H170)*100))</f>
      </c>
      <c r="C170">
        <f>IF(N170&gt;2400000,240000,(N170*S170)/100)</f>
      </c>
      <c r="D170">
        <f>IF(S170=0,0,IF((N170-I170)&gt;2400000,((((((N170-I170-J170)-240000))*0.1+(I170+J170)*0.1)))-7000,((((((N170-I170-J170)-(N170-I170-J170)*S170/100)))*0.1+(I170+J170)*0.1)-7000)))</f>
      </c>
      <c r="E170">
        <f>C170-O170</f>
      </c>
      <c r="F170">
        <f>D170-P170</f>
      </c>
      <c r="G170">
        <f>SUMIF(negtgel!U$2:BL$2,'Tsalin uzuulelt'!B$1,negtgel!U170:BL170) + SUMIF(negtgel!U$2:BL$2,'Tsalin uzuulelt'!B$2,negtgel!U170:BL170)+SUMIF(negtgel!U$2:BL$2,'Tsalin uzuulelt'!B$3,negtgel!U170:BL170)+SUMIF(negtgel!U$2:BL$2,'Tsalin uzuulelt'!B$4,negtgel!U170:BL170)+SUMIF(negtgel!U$2:BL$2,'Tsalin uzuulelt'!B$5,negtgel!U170:BL170)</f>
      </c>
      <c r="H170">
        <f>SUMIF(negtgel!U$2:BL$2,'Tsalin uzuulelt'!F$1,negtgel!U170:BL170) + SUMIF(negtgel!U$2:BL$2,'Tsalin uzuulelt'!F$2,negtgel!U170:BL170)+SUMIF(negtgel!U$2:BL$2,'Tsalin uzuulelt'!F$3,negtgel!U170:BL170)+SUMIF(negtgel!U$2:BL$2,'Tsalin uzuulelt'!F$4,negtgel!U170:BL170)+SUMIF(negtgel!U$2:BL$2,'Tsalin uzuulelt'!F$5,negtgel!U170:BL170)</f>
      </c>
      <c r="I170">
        <f>SUMIF(negtgel!U$2:BL$2,'Tsalin uzuulelt'!H$1,negtgel!U170:BL170) + SUMIF(negtgel!U$2:BL$2,'Tsalin uzuulelt'!H$2,negtgel!U170:BL170)+SUMIF(negtgel!U$2:BL$2,'Tsalin uzuulelt'!H$3,negtgel!U170:BL170)+SUMIF(negtgel!U$2:BL$2,'Tsalin uzuulelt'!H$4,negtgel!U170:BL170)+SUMIF(negtgel!U$2:BL$2,'Tsalin uzuulelt'!H$5,negtgel!U170:BL170)</f>
      </c>
      <c r="J170">
        <f>SUMIF(negtgel!U$2:BL$2,'Tsalin uzuulelt'!J$1,negtgel!U170:BL170) + SUMIF(negtgel!U$2:BL$2,'Tsalin uzuulelt'!J$2,negtgel!U170:BL170)+SUMIF(negtgel!U$2:BL$2,'Tsalin uzuulelt'!J$3,negtgel!U170:BL170)+SUMIF(negtgel!U$2:BL$2,'Tsalin uzuulelt'!J$4,negtgel!U170:BL170)+SUMIF(negtgel!U$2:BL$2,'Tsalin uzuulelt'!J$5,negtgel!U170:BL170)</f>
      </c>
      <c r="K170">
        <f>SUMIF(negtgel!U$2:BL$2,'Tsalin uzuulelt'!L$1,negtgel!U170:BL170) + SUMIF(negtgel!U$2:BL$2,'Tsalin uzuulelt'!L$2,negtgel!U170:BL170)+SUMIF(negtgel!U$2:BL$2,'Tsalin uzuulelt'!L$3,negtgel!U170:BL170)+SUMIF(negtgel!U$2:BL$2,'Tsalin uzuulelt'!L$4,negtgel!U170:BL170)+SUMIF(negtgel!U$2:BL$2,'Tsalin uzuulelt'!L$5,negtgel!U170:BL170)</f>
      </c>
      <c r="L170">
        <f>SUMIF(negtgel!U$2:BL$2,'Tsalin uzuulelt'!N$1,negtgel!U170:BL170) + SUMIF(negtgel!U$2:BL$2,'Tsalin uzuulelt'!N$2,negtgel!U170:BL170)+SUMIF(negtgel!U$2:BL$2,'Tsalin uzuulelt'!N$3,negtgel!U170:BL170)+SUMIF(negtgel!U$2:BL$2,'Tsalin uzuulelt'!N$4,negtgel!U170:BL170)+SUMIF(negtgel!U$2:BL$2,'Tsalin uzuulelt'!N$5,negtgel!U170:BL170)</f>
      </c>
      <c r="M170">
        <f>SUMIF(negtgel!U$2:BL$2,'Tsalin uzuulelt'!P$1,negtgel!U170:BL170) + SUMIF(negtgel!U$2:BL$2,'Tsalin uzuulelt'!P$2,negtgel!U170:BL170)+ SUMIF(negtgel!U$2:BL$2,'Tsalin uzuulelt'!P$3,negtgel!U170:BL170)+ SUMIF(negtgel!U$2:BL$2,'Tsalin uzuulelt'!P$4,negtgel!U170:BL170)+ SUMIF(negtgel!U$2:BL$2,'Tsalin uzuulelt'!P$5,negtgel!U170:BL170)</f>
      </c>
      <c r="N170">
        <f>IF(ISNUMBER(U170*1)=CF170,0,K170-H170-G170)</f>
      </c>
      <c r="O170">
        <f>IF(ISNUMBER(U170*1)=CF170,0,L170)</f>
      </c>
      <c r="P170">
        <f>IF(ISNUMBER(U170*1)=CF170,0,M170)</f>
      </c>
      <c r="Q170">
        <f>IF(N170&gt;2400000,N170,0)</f>
      </c>
      <c r="R170">
        <f>IF(L170/Q170*100&lt;3,2,10)</f>
      </c>
      <c r="S170">
        <f>IF(CH170=0,0,IF(B170&gt;9,10,IF(B170&gt;8,B170,IF(B170&gt;7.7,7.8,IF(B170&gt;3,B170,IF(B170&gt;1.5,2))))))</f>
      </c>
      <c r="T170">
        <f>IF(Q170=0,S170,R170)</f>
      </c>
      <c r="U170" t="s">
        <v>3815</v>
      </c>
      <c r="V170"/>
      <c r="W170"/>
      <c r="X170"/>
      <c r="Y170"/>
      <c r="Z170"/>
      <c r="AA170"/>
      <c r="AB170"/>
      <c r="AC170"/>
      <c r="AD170"/>
      <c r="AE170"/>
      <c r="AF170"/>
      <c r="AG170"/>
      <c r="AH170"/>
      <c r="AI170"/>
      <c r="AJ170"/>
      <c r="AK170"/>
      <c r="AL170"/>
      <c r="AM170"/>
      <c r="AN170"/>
      <c r="AO170"/>
      <c r="AP170"/>
      <c r="AQ170"/>
      <c r="CH170">
        <f>IFERROR(U170*1,0)</f>
      </c>
    </row>
    <row r="171">
      <c r="A171" t="n">
        <v>3.0</v>
      </c>
      <c r="B171">
        <f>IF((K171-G171-H171&gt;2400000),10,(L171/(K171-G171-H171)*100))</f>
      </c>
      <c r="C171">
        <f>IF(N171&gt;2400000,240000,(N171*S171)/100)</f>
      </c>
      <c r="D171">
        <f>IF(S171=0,0,IF((N171-I171)&gt;2400000,((((((N171-I171-J171)-240000))*0.1+(I171+J171)*0.1)))-7000,((((((N171-I171-J171)-(N171-I171-J171)*S171/100)))*0.1+(I171+J171)*0.1)-7000)))</f>
      </c>
      <c r="E171">
        <f>C171-O171</f>
      </c>
      <c r="F171">
        <f>D171-P171</f>
      </c>
      <c r="G171">
        <f>SUMIF(negtgel!U$2:BL$2,'Tsalin uzuulelt'!B$1,negtgel!U171:BL171) + SUMIF(negtgel!U$2:BL$2,'Tsalin uzuulelt'!B$2,negtgel!U171:BL171)+SUMIF(negtgel!U$2:BL$2,'Tsalin uzuulelt'!B$3,negtgel!U171:BL171)+SUMIF(negtgel!U$2:BL$2,'Tsalin uzuulelt'!B$4,negtgel!U171:BL171)+SUMIF(negtgel!U$2:BL$2,'Tsalin uzuulelt'!B$5,negtgel!U171:BL171)</f>
      </c>
      <c r="H171">
        <f>SUMIF(negtgel!U$2:BL$2,'Tsalin uzuulelt'!F$1,negtgel!U171:BL171) + SUMIF(negtgel!U$2:BL$2,'Tsalin uzuulelt'!F$2,negtgel!U171:BL171)+SUMIF(negtgel!U$2:BL$2,'Tsalin uzuulelt'!F$3,negtgel!U171:BL171)+SUMIF(negtgel!U$2:BL$2,'Tsalin uzuulelt'!F$4,negtgel!U171:BL171)+SUMIF(negtgel!U$2:BL$2,'Tsalin uzuulelt'!F$5,negtgel!U171:BL171)</f>
      </c>
      <c r="I171">
        <f>SUMIF(negtgel!U$2:BL$2,'Tsalin uzuulelt'!H$1,negtgel!U171:BL171) + SUMIF(negtgel!U$2:BL$2,'Tsalin uzuulelt'!H$2,negtgel!U171:BL171)+SUMIF(negtgel!U$2:BL$2,'Tsalin uzuulelt'!H$3,negtgel!U171:BL171)+SUMIF(negtgel!U$2:BL$2,'Tsalin uzuulelt'!H$4,negtgel!U171:BL171)+SUMIF(negtgel!U$2:BL$2,'Tsalin uzuulelt'!H$5,negtgel!U171:BL171)</f>
      </c>
      <c r="J171">
        <f>SUMIF(negtgel!U$2:BL$2,'Tsalin uzuulelt'!J$1,negtgel!U171:BL171) + SUMIF(negtgel!U$2:BL$2,'Tsalin uzuulelt'!J$2,negtgel!U171:BL171)+SUMIF(negtgel!U$2:BL$2,'Tsalin uzuulelt'!J$3,negtgel!U171:BL171)+SUMIF(negtgel!U$2:BL$2,'Tsalin uzuulelt'!J$4,negtgel!U171:BL171)+SUMIF(negtgel!U$2:BL$2,'Tsalin uzuulelt'!J$5,negtgel!U171:BL171)</f>
      </c>
      <c r="K171">
        <f>SUMIF(negtgel!U$2:BL$2,'Tsalin uzuulelt'!L$1,negtgel!U171:BL171) + SUMIF(negtgel!U$2:BL$2,'Tsalin uzuulelt'!L$2,negtgel!U171:BL171)+SUMIF(negtgel!U$2:BL$2,'Tsalin uzuulelt'!L$3,negtgel!U171:BL171)+SUMIF(negtgel!U$2:BL$2,'Tsalin uzuulelt'!L$4,negtgel!U171:BL171)+SUMIF(negtgel!U$2:BL$2,'Tsalin uzuulelt'!L$5,negtgel!U171:BL171)</f>
      </c>
      <c r="L171">
        <f>SUMIF(negtgel!U$2:BL$2,'Tsalin uzuulelt'!N$1,negtgel!U171:BL171) + SUMIF(negtgel!U$2:BL$2,'Tsalin uzuulelt'!N$2,negtgel!U171:BL171)+SUMIF(negtgel!U$2:BL$2,'Tsalin uzuulelt'!N$3,negtgel!U171:BL171)+SUMIF(negtgel!U$2:BL$2,'Tsalin uzuulelt'!N$4,negtgel!U171:BL171)+SUMIF(negtgel!U$2:BL$2,'Tsalin uzuulelt'!N$5,negtgel!U171:BL171)</f>
      </c>
      <c r="M171">
        <f>SUMIF(negtgel!U$2:BL$2,'Tsalin uzuulelt'!P$1,negtgel!U171:BL171) + SUMIF(negtgel!U$2:BL$2,'Tsalin uzuulelt'!P$2,negtgel!U171:BL171)+ SUMIF(negtgel!U$2:BL$2,'Tsalin uzuulelt'!P$3,negtgel!U171:BL171)+ SUMIF(negtgel!U$2:BL$2,'Tsalin uzuulelt'!P$4,negtgel!U171:BL171)+ SUMIF(negtgel!U$2:BL$2,'Tsalin uzuulelt'!P$5,negtgel!U171:BL171)</f>
      </c>
      <c r="N171">
        <f>IF(ISNUMBER(U171*1)=CF171,0,K171-H171-G171)</f>
      </c>
      <c r="O171">
        <f>IF(ISNUMBER(U171*1)=CF171,0,L171)</f>
      </c>
      <c r="P171">
        <f>IF(ISNUMBER(U171*1)=CF171,0,M171)</f>
      </c>
      <c r="Q171">
        <f>IF(N171&gt;2400000,N171,0)</f>
      </c>
      <c r="R171">
        <f>IF(L171/Q171*100&lt;3,2,10)</f>
      </c>
      <c r="S171">
        <f>IF(CH171=0,0,IF(B171&gt;9,10,IF(B171&gt;8,B171,IF(B171&gt;7.7,7.8,IF(B171&gt;3,B171,IF(B171&gt;1.5,2))))))</f>
      </c>
      <c r="T171">
        <f>IF(Q171=0,S171,R171)</f>
      </c>
      <c r="U171" t="n">
        <v>71.0</v>
      </c>
      <c r="V171" t="s">
        <v>3816</v>
      </c>
      <c r="W171" t="s">
        <v>3790</v>
      </c>
      <c r="X171" t="n">
        <v>547759.0</v>
      </c>
      <c r="Y171" t="n">
        <v>547759.0</v>
      </c>
      <c r="Z171" t="n">
        <v>0.0</v>
      </c>
      <c r="AA171" t="n">
        <v>0.0</v>
      </c>
      <c r="AB171" t="n">
        <v>0.0</v>
      </c>
      <c r="AC171" t="n">
        <v>0.0</v>
      </c>
      <c r="AD171" t="n">
        <v>0.0</v>
      </c>
      <c r="AE171" t="n">
        <v>0.0</v>
      </c>
      <c r="AF171" t="n">
        <v>63000.0</v>
      </c>
      <c r="AG171" t="n">
        <v>0.0</v>
      </c>
      <c r="AH171" t="n">
        <v>0.0</v>
      </c>
      <c r="AI171" t="n">
        <v>0.0</v>
      </c>
      <c r="AJ171" t="n">
        <v>0.0</v>
      </c>
      <c r="AK171" t="n">
        <v>0.0</v>
      </c>
      <c r="AL171" t="n">
        <v>0.0</v>
      </c>
      <c r="AM171" t="n">
        <v>0.0</v>
      </c>
      <c r="AN171" t="n">
        <v>0.0</v>
      </c>
      <c r="AO171" t="n">
        <v>610759.0</v>
      </c>
      <c r="AP171" t="n">
        <v>61076.0</v>
      </c>
      <c r="AQ171" t="n">
        <v>48598.3</v>
      </c>
      <c r="CH171">
        <f>IFERROR(U171*1,0)</f>
      </c>
    </row>
    <row r="172">
      <c r="A172" t="n">
        <v>3.0</v>
      </c>
      <c r="B172">
        <f>IF((K172-G172-H172&gt;2400000),10,(L172/(K172-G172-H172)*100))</f>
      </c>
      <c r="C172">
        <f>IF(N172&gt;2400000,240000,(N172*S172)/100)</f>
      </c>
      <c r="D172">
        <f>IF(S172=0,0,IF((N172-I172)&gt;2400000,((((((N172-I172-J172)-240000))*0.1+(I172+J172)*0.1)))-7000,((((((N172-I172-J172)-(N172-I172-J172)*S172/100)))*0.1+(I172+J172)*0.1)-7000)))</f>
      </c>
      <c r="E172">
        <f>C172-O172</f>
      </c>
      <c r="F172">
        <f>D172-P172</f>
      </c>
      <c r="G172">
        <f>SUMIF(negtgel!U$2:BL$2,'Tsalin uzuulelt'!B$1,negtgel!U172:BL172) + SUMIF(negtgel!U$2:BL$2,'Tsalin uzuulelt'!B$2,negtgel!U172:BL172)+SUMIF(negtgel!U$2:BL$2,'Tsalin uzuulelt'!B$3,negtgel!U172:BL172)+SUMIF(negtgel!U$2:BL$2,'Tsalin uzuulelt'!B$4,negtgel!U172:BL172)+SUMIF(negtgel!U$2:BL$2,'Tsalin uzuulelt'!B$5,negtgel!U172:BL172)</f>
      </c>
      <c r="H172">
        <f>SUMIF(negtgel!U$2:BL$2,'Tsalin uzuulelt'!F$1,negtgel!U172:BL172) + SUMIF(negtgel!U$2:BL$2,'Tsalin uzuulelt'!F$2,negtgel!U172:BL172)+SUMIF(negtgel!U$2:BL$2,'Tsalin uzuulelt'!F$3,negtgel!U172:BL172)+SUMIF(negtgel!U$2:BL$2,'Tsalin uzuulelt'!F$4,negtgel!U172:BL172)+SUMIF(negtgel!U$2:BL$2,'Tsalin uzuulelt'!F$5,negtgel!U172:BL172)</f>
      </c>
      <c r="I172">
        <f>SUMIF(negtgel!U$2:BL$2,'Tsalin uzuulelt'!H$1,negtgel!U172:BL172) + SUMIF(negtgel!U$2:BL$2,'Tsalin uzuulelt'!H$2,negtgel!U172:BL172)+SUMIF(negtgel!U$2:BL$2,'Tsalin uzuulelt'!H$3,negtgel!U172:BL172)+SUMIF(negtgel!U$2:BL$2,'Tsalin uzuulelt'!H$4,negtgel!U172:BL172)+SUMIF(negtgel!U$2:BL$2,'Tsalin uzuulelt'!H$5,negtgel!U172:BL172)</f>
      </c>
      <c r="J172">
        <f>SUMIF(negtgel!U$2:BL$2,'Tsalin uzuulelt'!J$1,negtgel!U172:BL172) + SUMIF(negtgel!U$2:BL$2,'Tsalin uzuulelt'!J$2,negtgel!U172:BL172)+SUMIF(negtgel!U$2:BL$2,'Tsalin uzuulelt'!J$3,negtgel!U172:BL172)+SUMIF(negtgel!U$2:BL$2,'Tsalin uzuulelt'!J$4,negtgel!U172:BL172)+SUMIF(negtgel!U$2:BL$2,'Tsalin uzuulelt'!J$5,negtgel!U172:BL172)</f>
      </c>
      <c r="K172">
        <f>SUMIF(negtgel!U$2:BL$2,'Tsalin uzuulelt'!L$1,negtgel!U172:BL172) + SUMIF(negtgel!U$2:BL$2,'Tsalin uzuulelt'!L$2,negtgel!U172:BL172)+SUMIF(negtgel!U$2:BL$2,'Tsalin uzuulelt'!L$3,negtgel!U172:BL172)+SUMIF(negtgel!U$2:BL$2,'Tsalin uzuulelt'!L$4,negtgel!U172:BL172)+SUMIF(negtgel!U$2:BL$2,'Tsalin uzuulelt'!L$5,negtgel!U172:BL172)</f>
      </c>
      <c r="L172">
        <f>SUMIF(negtgel!U$2:BL$2,'Tsalin uzuulelt'!N$1,negtgel!U172:BL172) + SUMIF(negtgel!U$2:BL$2,'Tsalin uzuulelt'!N$2,negtgel!U172:BL172)+SUMIF(negtgel!U$2:BL$2,'Tsalin uzuulelt'!N$3,negtgel!U172:BL172)+SUMIF(negtgel!U$2:BL$2,'Tsalin uzuulelt'!N$4,negtgel!U172:BL172)+SUMIF(negtgel!U$2:BL$2,'Tsalin uzuulelt'!N$5,negtgel!U172:BL172)</f>
      </c>
      <c r="M172">
        <f>SUMIF(negtgel!U$2:BL$2,'Tsalin uzuulelt'!P$1,negtgel!U172:BL172) + SUMIF(negtgel!U$2:BL$2,'Tsalin uzuulelt'!P$2,negtgel!U172:BL172)+ SUMIF(negtgel!U$2:BL$2,'Tsalin uzuulelt'!P$3,negtgel!U172:BL172)+ SUMIF(negtgel!U$2:BL$2,'Tsalin uzuulelt'!P$4,negtgel!U172:BL172)+ SUMIF(negtgel!U$2:BL$2,'Tsalin uzuulelt'!P$5,negtgel!U172:BL172)</f>
      </c>
      <c r="N172">
        <f>IF(ISNUMBER(U172*1)=CF172,0,K172-H172-G172)</f>
      </c>
      <c r="O172">
        <f>IF(ISNUMBER(U172*1)=CF172,0,L172)</f>
      </c>
      <c r="P172">
        <f>IF(ISNUMBER(U172*1)=CF172,0,M172)</f>
      </c>
      <c r="Q172">
        <f>IF(N172&gt;2400000,N172,0)</f>
      </c>
      <c r="R172">
        <f>IF(L172/Q172*100&lt;3,2,10)</f>
      </c>
      <c r="S172">
        <f>IF(CH172=0,0,IF(B172&gt;9,10,IF(B172&gt;8,B172,IF(B172&gt;7.7,7.8,IF(B172&gt;3,B172,IF(B172&gt;1.5,2))))))</f>
      </c>
      <c r="T172">
        <f>IF(Q172=0,S172,R172)</f>
      </c>
      <c r="U172" t="n">
        <v>72.0</v>
      </c>
      <c r="V172" t="s">
        <v>3817</v>
      </c>
      <c r="W172" t="s">
        <v>3790</v>
      </c>
      <c r="X172" t="n">
        <v>677436.0</v>
      </c>
      <c r="Y172" t="n">
        <v>677436.0</v>
      </c>
      <c r="Z172" t="n">
        <v>135487.0</v>
      </c>
      <c r="AA172" t="n">
        <v>135487.0</v>
      </c>
      <c r="AB172" t="n">
        <v>0.0</v>
      </c>
      <c r="AC172" t="n">
        <v>0.0</v>
      </c>
      <c r="AD172" t="n">
        <v>0.0</v>
      </c>
      <c r="AE172" t="n">
        <v>0.0</v>
      </c>
      <c r="AF172" t="n">
        <v>63000.0</v>
      </c>
      <c r="AG172" t="n">
        <v>0.0</v>
      </c>
      <c r="AH172" t="n">
        <v>0.0</v>
      </c>
      <c r="AI172" t="n">
        <v>0.0</v>
      </c>
      <c r="AJ172" t="n">
        <v>0.0</v>
      </c>
      <c r="AK172" t="n">
        <v>0.0</v>
      </c>
      <c r="AL172" t="n">
        <v>0.0</v>
      </c>
      <c r="AM172" t="n">
        <v>0.0</v>
      </c>
      <c r="AN172" t="n">
        <v>0.0</v>
      </c>
      <c r="AO172" t="n">
        <v>1011410.0</v>
      </c>
      <c r="AP172" t="n">
        <v>101141.0</v>
      </c>
      <c r="AQ172" t="n">
        <v>84656.9</v>
      </c>
      <c r="CH172">
        <f>IFERROR(U172*1,0)</f>
      </c>
    </row>
    <row r="173">
      <c r="A173" t="n">
        <v>3.0</v>
      </c>
      <c r="B173">
        <f>IF((K173-G173-H173&gt;2400000),10,(L173/(K173-G173-H173)*100))</f>
      </c>
      <c r="C173">
        <f>IF(N173&gt;2400000,240000,(N173*S173)/100)</f>
      </c>
      <c r="D173">
        <f>IF(S173=0,0,IF((N173-I173)&gt;2400000,((((((N173-I173-J173)-240000))*0.1+(I173+J173)*0.1)))-7000,((((((N173-I173-J173)-(N173-I173-J173)*S173/100)))*0.1+(I173+J173)*0.1)-7000)))</f>
      </c>
      <c r="E173">
        <f>C173-O173</f>
      </c>
      <c r="F173">
        <f>D173-P173</f>
      </c>
      <c r="G173">
        <f>SUMIF(negtgel!U$2:BL$2,'Tsalin uzuulelt'!B$1,negtgel!U173:BL173) + SUMIF(negtgel!U$2:BL$2,'Tsalin uzuulelt'!B$2,negtgel!U173:BL173)+SUMIF(negtgel!U$2:BL$2,'Tsalin uzuulelt'!B$3,negtgel!U173:BL173)+SUMIF(negtgel!U$2:BL$2,'Tsalin uzuulelt'!B$4,negtgel!U173:BL173)+SUMIF(negtgel!U$2:BL$2,'Tsalin uzuulelt'!B$5,negtgel!U173:BL173)</f>
      </c>
      <c r="H173">
        <f>SUMIF(negtgel!U$2:BL$2,'Tsalin uzuulelt'!F$1,negtgel!U173:BL173) + SUMIF(negtgel!U$2:BL$2,'Tsalin uzuulelt'!F$2,negtgel!U173:BL173)+SUMIF(negtgel!U$2:BL$2,'Tsalin uzuulelt'!F$3,negtgel!U173:BL173)+SUMIF(negtgel!U$2:BL$2,'Tsalin uzuulelt'!F$4,negtgel!U173:BL173)+SUMIF(negtgel!U$2:BL$2,'Tsalin uzuulelt'!F$5,negtgel!U173:BL173)</f>
      </c>
      <c r="I173">
        <f>SUMIF(negtgel!U$2:BL$2,'Tsalin uzuulelt'!H$1,negtgel!U173:BL173) + SUMIF(negtgel!U$2:BL$2,'Tsalin uzuulelt'!H$2,negtgel!U173:BL173)+SUMIF(negtgel!U$2:BL$2,'Tsalin uzuulelt'!H$3,negtgel!U173:BL173)+SUMIF(negtgel!U$2:BL$2,'Tsalin uzuulelt'!H$4,negtgel!U173:BL173)+SUMIF(negtgel!U$2:BL$2,'Tsalin uzuulelt'!H$5,negtgel!U173:BL173)</f>
      </c>
      <c r="J173">
        <f>SUMIF(negtgel!U$2:BL$2,'Tsalin uzuulelt'!J$1,negtgel!U173:BL173) + SUMIF(negtgel!U$2:BL$2,'Tsalin uzuulelt'!J$2,negtgel!U173:BL173)+SUMIF(negtgel!U$2:BL$2,'Tsalin uzuulelt'!J$3,negtgel!U173:BL173)+SUMIF(negtgel!U$2:BL$2,'Tsalin uzuulelt'!J$4,negtgel!U173:BL173)+SUMIF(negtgel!U$2:BL$2,'Tsalin uzuulelt'!J$5,negtgel!U173:BL173)</f>
      </c>
      <c r="K173">
        <f>SUMIF(negtgel!U$2:BL$2,'Tsalin uzuulelt'!L$1,negtgel!U173:BL173) + SUMIF(negtgel!U$2:BL$2,'Tsalin uzuulelt'!L$2,negtgel!U173:BL173)+SUMIF(negtgel!U$2:BL$2,'Tsalin uzuulelt'!L$3,negtgel!U173:BL173)+SUMIF(negtgel!U$2:BL$2,'Tsalin uzuulelt'!L$4,negtgel!U173:BL173)+SUMIF(negtgel!U$2:BL$2,'Tsalin uzuulelt'!L$5,negtgel!U173:BL173)</f>
      </c>
      <c r="L173">
        <f>SUMIF(negtgel!U$2:BL$2,'Tsalin uzuulelt'!N$1,negtgel!U173:BL173) + SUMIF(negtgel!U$2:BL$2,'Tsalin uzuulelt'!N$2,negtgel!U173:BL173)+SUMIF(negtgel!U$2:BL$2,'Tsalin uzuulelt'!N$3,negtgel!U173:BL173)+SUMIF(negtgel!U$2:BL$2,'Tsalin uzuulelt'!N$4,negtgel!U173:BL173)+SUMIF(negtgel!U$2:BL$2,'Tsalin uzuulelt'!N$5,negtgel!U173:BL173)</f>
      </c>
      <c r="M173">
        <f>SUMIF(negtgel!U$2:BL$2,'Tsalin uzuulelt'!P$1,negtgel!U173:BL173) + SUMIF(negtgel!U$2:BL$2,'Tsalin uzuulelt'!P$2,negtgel!U173:BL173)+ SUMIF(negtgel!U$2:BL$2,'Tsalin uzuulelt'!P$3,negtgel!U173:BL173)+ SUMIF(negtgel!U$2:BL$2,'Tsalin uzuulelt'!P$4,negtgel!U173:BL173)+ SUMIF(negtgel!U$2:BL$2,'Tsalin uzuulelt'!P$5,negtgel!U173:BL173)</f>
      </c>
      <c r="N173">
        <f>IF(ISNUMBER(U173*1)=CF173,0,K173-H173-G173)</f>
      </c>
      <c r="O173">
        <f>IF(ISNUMBER(U173*1)=CF173,0,L173)</f>
      </c>
      <c r="P173">
        <f>IF(ISNUMBER(U173*1)=CF173,0,M173)</f>
      </c>
      <c r="Q173">
        <f>IF(N173&gt;2400000,N173,0)</f>
      </c>
      <c r="R173">
        <f>IF(L173/Q173*100&lt;3,2,10)</f>
      </c>
      <c r="S173">
        <f>IF(CH173=0,0,IF(B173&gt;9,10,IF(B173&gt;8,B173,IF(B173&gt;7.7,7.8,IF(B173&gt;3,B173,IF(B173&gt;1.5,2))))))</f>
      </c>
      <c r="T173">
        <f>IF(Q173=0,S173,R173)</f>
      </c>
      <c r="U173" t="n">
        <v>73.0</v>
      </c>
      <c r="V173" t="s">
        <v>3818</v>
      </c>
      <c r="W173" t="s">
        <v>3785</v>
      </c>
      <c r="X173" t="n">
        <v>795935.0</v>
      </c>
      <c r="Y173" t="n">
        <v>795935.0</v>
      </c>
      <c r="Z173" t="n">
        <v>159187.0</v>
      </c>
      <c r="AA173" t="n">
        <v>143268.0</v>
      </c>
      <c r="AB173" t="n">
        <v>0.0</v>
      </c>
      <c r="AC173" t="n">
        <v>0.0</v>
      </c>
      <c r="AD173" t="n">
        <v>0.0</v>
      </c>
      <c r="AE173" t="n">
        <v>0.0</v>
      </c>
      <c r="AF173" t="n">
        <v>63000.0</v>
      </c>
      <c r="AG173" t="n">
        <v>0.0</v>
      </c>
      <c r="AH173" t="n">
        <v>0.0</v>
      </c>
      <c r="AI173" t="n">
        <v>0.0</v>
      </c>
      <c r="AJ173" t="n">
        <v>0.0</v>
      </c>
      <c r="AK173" t="n">
        <v>0.0</v>
      </c>
      <c r="AL173" t="n">
        <v>0.0</v>
      </c>
      <c r="AM173" t="n">
        <v>0.0</v>
      </c>
      <c r="AN173" t="n">
        <v>0.0</v>
      </c>
      <c r="AO173" t="n">
        <v>1161390.0</v>
      </c>
      <c r="AP173" t="n">
        <v>116139.0</v>
      </c>
      <c r="AQ173" t="n">
        <v>98155.1</v>
      </c>
      <c r="CH173">
        <f>IFERROR(U173*1,0)</f>
      </c>
    </row>
    <row r="174">
      <c r="A174" t="n">
        <v>3.0</v>
      </c>
      <c r="B174">
        <f>IF((K174-G174-H174&gt;2400000),10,(L174/(K174-G174-H174)*100))</f>
      </c>
      <c r="C174">
        <f>IF(N174&gt;2400000,240000,(N174*S174)/100)</f>
      </c>
      <c r="D174">
        <f>IF(S174=0,0,IF((N174-I174)&gt;2400000,((((((N174-I174-J174)-240000))*0.1+(I174+J174)*0.1)))-7000,((((((N174-I174-J174)-(N174-I174-J174)*S174/100)))*0.1+(I174+J174)*0.1)-7000)))</f>
      </c>
      <c r="E174">
        <f>C174-O174</f>
      </c>
      <c r="F174">
        <f>D174-P174</f>
      </c>
      <c r="G174">
        <f>SUMIF(negtgel!U$2:BL$2,'Tsalin uzuulelt'!B$1,negtgel!U174:BL174) + SUMIF(negtgel!U$2:BL$2,'Tsalin uzuulelt'!B$2,negtgel!U174:BL174)+SUMIF(negtgel!U$2:BL$2,'Tsalin uzuulelt'!B$3,negtgel!U174:BL174)+SUMIF(negtgel!U$2:BL$2,'Tsalin uzuulelt'!B$4,negtgel!U174:BL174)+SUMIF(negtgel!U$2:BL$2,'Tsalin uzuulelt'!B$5,negtgel!U174:BL174)</f>
      </c>
      <c r="H174">
        <f>SUMIF(negtgel!U$2:BL$2,'Tsalin uzuulelt'!F$1,negtgel!U174:BL174) + SUMIF(negtgel!U$2:BL$2,'Tsalin uzuulelt'!F$2,negtgel!U174:BL174)+SUMIF(negtgel!U$2:BL$2,'Tsalin uzuulelt'!F$3,negtgel!U174:BL174)+SUMIF(negtgel!U$2:BL$2,'Tsalin uzuulelt'!F$4,negtgel!U174:BL174)+SUMIF(negtgel!U$2:BL$2,'Tsalin uzuulelt'!F$5,negtgel!U174:BL174)</f>
      </c>
      <c r="I174">
        <f>SUMIF(negtgel!U$2:BL$2,'Tsalin uzuulelt'!H$1,negtgel!U174:BL174) + SUMIF(negtgel!U$2:BL$2,'Tsalin uzuulelt'!H$2,negtgel!U174:BL174)+SUMIF(negtgel!U$2:BL$2,'Tsalin uzuulelt'!H$3,negtgel!U174:BL174)+SUMIF(negtgel!U$2:BL$2,'Tsalin uzuulelt'!H$4,negtgel!U174:BL174)+SUMIF(negtgel!U$2:BL$2,'Tsalin uzuulelt'!H$5,negtgel!U174:BL174)</f>
      </c>
      <c r="J174">
        <f>SUMIF(negtgel!U$2:BL$2,'Tsalin uzuulelt'!J$1,negtgel!U174:BL174) + SUMIF(negtgel!U$2:BL$2,'Tsalin uzuulelt'!J$2,negtgel!U174:BL174)+SUMIF(negtgel!U$2:BL$2,'Tsalin uzuulelt'!J$3,negtgel!U174:BL174)+SUMIF(negtgel!U$2:BL$2,'Tsalin uzuulelt'!J$4,negtgel!U174:BL174)+SUMIF(negtgel!U$2:BL$2,'Tsalin uzuulelt'!J$5,negtgel!U174:BL174)</f>
      </c>
      <c r="K174">
        <f>SUMIF(negtgel!U$2:BL$2,'Tsalin uzuulelt'!L$1,negtgel!U174:BL174) + SUMIF(negtgel!U$2:BL$2,'Tsalin uzuulelt'!L$2,negtgel!U174:BL174)+SUMIF(negtgel!U$2:BL$2,'Tsalin uzuulelt'!L$3,negtgel!U174:BL174)+SUMIF(negtgel!U$2:BL$2,'Tsalin uzuulelt'!L$4,negtgel!U174:BL174)+SUMIF(negtgel!U$2:BL$2,'Tsalin uzuulelt'!L$5,negtgel!U174:BL174)</f>
      </c>
      <c r="L174">
        <f>SUMIF(negtgel!U$2:BL$2,'Tsalin uzuulelt'!N$1,negtgel!U174:BL174) + SUMIF(negtgel!U$2:BL$2,'Tsalin uzuulelt'!N$2,negtgel!U174:BL174)+SUMIF(negtgel!U$2:BL$2,'Tsalin uzuulelt'!N$3,negtgel!U174:BL174)+SUMIF(negtgel!U$2:BL$2,'Tsalin uzuulelt'!N$4,negtgel!U174:BL174)+SUMIF(negtgel!U$2:BL$2,'Tsalin uzuulelt'!N$5,negtgel!U174:BL174)</f>
      </c>
      <c r="M174">
        <f>SUMIF(negtgel!U$2:BL$2,'Tsalin uzuulelt'!P$1,negtgel!U174:BL174) + SUMIF(negtgel!U$2:BL$2,'Tsalin uzuulelt'!P$2,negtgel!U174:BL174)+ SUMIF(negtgel!U$2:BL$2,'Tsalin uzuulelt'!P$3,negtgel!U174:BL174)+ SUMIF(negtgel!U$2:BL$2,'Tsalin uzuulelt'!P$4,negtgel!U174:BL174)+ SUMIF(negtgel!U$2:BL$2,'Tsalin uzuulelt'!P$5,negtgel!U174:BL174)</f>
      </c>
      <c r="N174">
        <f>IF(ISNUMBER(U174*1)=CF174,0,K174-H174-G174)</f>
      </c>
      <c r="O174">
        <f>IF(ISNUMBER(U174*1)=CF174,0,L174)</f>
      </c>
      <c r="P174">
        <f>IF(ISNUMBER(U174*1)=CF174,0,M174)</f>
      </c>
      <c r="Q174">
        <f>IF(N174&gt;2400000,N174,0)</f>
      </c>
      <c r="R174">
        <f>IF(L174/Q174*100&lt;3,2,10)</f>
      </c>
      <c r="S174">
        <f>IF(CH174=0,0,IF(B174&gt;9,10,IF(B174&gt;8,B174,IF(B174&gt;7.7,7.8,IF(B174&gt;3,B174,IF(B174&gt;1.5,2))))))</f>
      </c>
      <c r="T174">
        <f>IF(Q174=0,S174,R174)</f>
      </c>
      <c r="U174" t="n">
        <v>74.0</v>
      </c>
      <c r="V174" t="s">
        <v>3819</v>
      </c>
      <c r="W174" t="s">
        <v>3820</v>
      </c>
      <c r="X174" t="n">
        <v>698795.0</v>
      </c>
      <c r="Y174" t="n">
        <v>632243.0</v>
      </c>
      <c r="Z174" t="n">
        <v>94836.0</v>
      </c>
      <c r="AA174" t="n">
        <v>113804.0</v>
      </c>
      <c r="AB174" t="n">
        <v>0.0</v>
      </c>
      <c r="AC174" t="n">
        <v>0.0</v>
      </c>
      <c r="AD174" t="n">
        <v>0.0</v>
      </c>
      <c r="AE174" t="n">
        <v>0.0</v>
      </c>
      <c r="AF174" t="n">
        <v>57000.0</v>
      </c>
      <c r="AG174" t="n">
        <v>0.0</v>
      </c>
      <c r="AH174" t="n">
        <v>0.0</v>
      </c>
      <c r="AI174" t="n">
        <v>0.0</v>
      </c>
      <c r="AJ174" t="n">
        <v>0.0</v>
      </c>
      <c r="AK174" t="n">
        <v>0.0</v>
      </c>
      <c r="AL174" t="n">
        <v>0.0</v>
      </c>
      <c r="AM174" t="n">
        <v>0.0</v>
      </c>
      <c r="AN174" t="n">
        <v>0.0</v>
      </c>
      <c r="AO174" t="n">
        <v>897883.0</v>
      </c>
      <c r="AP174" t="n">
        <v>89789.0</v>
      </c>
      <c r="AQ174" t="n">
        <v>74379.5</v>
      </c>
      <c r="CH174">
        <f>IFERROR(U174*1,0)</f>
      </c>
    </row>
    <row r="175">
      <c r="A175" t="n">
        <v>3.0</v>
      </c>
      <c r="B175">
        <f>IF((K175-G175-H175&gt;2400000),10,(L175/(K175-G175-H175)*100))</f>
      </c>
      <c r="C175">
        <f>IF(N175&gt;2400000,240000,(N175*S175)/100)</f>
      </c>
      <c r="D175">
        <f>IF(S175=0,0,IF((N175-I175)&gt;2400000,((((((N175-I175-J175)-240000))*0.1+(I175+J175)*0.1)))-7000,((((((N175-I175-J175)-(N175-I175-J175)*S175/100)))*0.1+(I175+J175)*0.1)-7000)))</f>
      </c>
      <c r="E175">
        <f>C175-O175</f>
      </c>
      <c r="F175">
        <f>D175-P175</f>
      </c>
      <c r="G175">
        <f>SUMIF(negtgel!U$2:BL$2,'Tsalin uzuulelt'!B$1,negtgel!U175:BL175) + SUMIF(negtgel!U$2:BL$2,'Tsalin uzuulelt'!B$2,negtgel!U175:BL175)+SUMIF(negtgel!U$2:BL$2,'Tsalin uzuulelt'!B$3,negtgel!U175:BL175)+SUMIF(negtgel!U$2:BL$2,'Tsalin uzuulelt'!B$4,negtgel!U175:BL175)+SUMIF(negtgel!U$2:BL$2,'Tsalin uzuulelt'!B$5,negtgel!U175:BL175)</f>
      </c>
      <c r="H175">
        <f>SUMIF(negtgel!U$2:BL$2,'Tsalin uzuulelt'!F$1,negtgel!U175:BL175) + SUMIF(negtgel!U$2:BL$2,'Tsalin uzuulelt'!F$2,negtgel!U175:BL175)+SUMIF(negtgel!U$2:BL$2,'Tsalin uzuulelt'!F$3,negtgel!U175:BL175)+SUMIF(negtgel!U$2:BL$2,'Tsalin uzuulelt'!F$4,negtgel!U175:BL175)+SUMIF(negtgel!U$2:BL$2,'Tsalin uzuulelt'!F$5,negtgel!U175:BL175)</f>
      </c>
      <c r="I175">
        <f>SUMIF(negtgel!U$2:BL$2,'Tsalin uzuulelt'!H$1,negtgel!U175:BL175) + SUMIF(negtgel!U$2:BL$2,'Tsalin uzuulelt'!H$2,negtgel!U175:BL175)+SUMIF(negtgel!U$2:BL$2,'Tsalin uzuulelt'!H$3,negtgel!U175:BL175)+SUMIF(negtgel!U$2:BL$2,'Tsalin uzuulelt'!H$4,negtgel!U175:BL175)+SUMIF(negtgel!U$2:BL$2,'Tsalin uzuulelt'!H$5,negtgel!U175:BL175)</f>
      </c>
      <c r="J175">
        <f>SUMIF(negtgel!U$2:BL$2,'Tsalin uzuulelt'!J$1,negtgel!U175:BL175) + SUMIF(negtgel!U$2:BL$2,'Tsalin uzuulelt'!J$2,negtgel!U175:BL175)+SUMIF(negtgel!U$2:BL$2,'Tsalin uzuulelt'!J$3,negtgel!U175:BL175)+SUMIF(negtgel!U$2:BL$2,'Tsalin uzuulelt'!J$4,negtgel!U175:BL175)+SUMIF(negtgel!U$2:BL$2,'Tsalin uzuulelt'!J$5,negtgel!U175:BL175)</f>
      </c>
      <c r="K175">
        <f>SUMIF(negtgel!U$2:BL$2,'Tsalin uzuulelt'!L$1,negtgel!U175:BL175) + SUMIF(negtgel!U$2:BL$2,'Tsalin uzuulelt'!L$2,negtgel!U175:BL175)+SUMIF(negtgel!U$2:BL$2,'Tsalin uzuulelt'!L$3,negtgel!U175:BL175)+SUMIF(negtgel!U$2:BL$2,'Tsalin uzuulelt'!L$4,negtgel!U175:BL175)+SUMIF(negtgel!U$2:BL$2,'Tsalin uzuulelt'!L$5,negtgel!U175:BL175)</f>
      </c>
      <c r="L175">
        <f>SUMIF(negtgel!U$2:BL$2,'Tsalin uzuulelt'!N$1,negtgel!U175:BL175) + SUMIF(negtgel!U$2:BL$2,'Tsalin uzuulelt'!N$2,negtgel!U175:BL175)+SUMIF(negtgel!U$2:BL$2,'Tsalin uzuulelt'!N$3,negtgel!U175:BL175)+SUMIF(negtgel!U$2:BL$2,'Tsalin uzuulelt'!N$4,negtgel!U175:BL175)+SUMIF(negtgel!U$2:BL$2,'Tsalin uzuulelt'!N$5,negtgel!U175:BL175)</f>
      </c>
      <c r="M175">
        <f>SUMIF(negtgel!U$2:BL$2,'Tsalin uzuulelt'!P$1,negtgel!U175:BL175) + SUMIF(negtgel!U$2:BL$2,'Tsalin uzuulelt'!P$2,negtgel!U175:BL175)+ SUMIF(negtgel!U$2:BL$2,'Tsalin uzuulelt'!P$3,negtgel!U175:BL175)+ SUMIF(negtgel!U$2:BL$2,'Tsalin uzuulelt'!P$4,negtgel!U175:BL175)+ SUMIF(negtgel!U$2:BL$2,'Tsalin uzuulelt'!P$5,negtgel!U175:BL175)</f>
      </c>
      <c r="N175">
        <f>IF(ISNUMBER(U175*1)=CF175,0,K175-H175-G175)</f>
      </c>
      <c r="O175">
        <f>IF(ISNUMBER(U175*1)=CF175,0,L175)</f>
      </c>
      <c r="P175">
        <f>IF(ISNUMBER(U175*1)=CF175,0,M175)</f>
      </c>
      <c r="Q175">
        <f>IF(N175&gt;2400000,N175,0)</f>
      </c>
      <c r="R175">
        <f>IF(L175/Q175*100&lt;3,2,10)</f>
      </c>
      <c r="S175">
        <f>IF(CH175=0,0,IF(B175&gt;9,10,IF(B175&gt;8,B175,IF(B175&gt;7.7,7.8,IF(B175&gt;3,B175,IF(B175&gt;1.5,2))))))</f>
      </c>
      <c r="T175">
        <f>IF(Q175=0,S175,R175)</f>
      </c>
      <c r="U175" t="n">
        <v>75.0</v>
      </c>
      <c r="V175" t="s">
        <v>3821</v>
      </c>
      <c r="W175" t="s">
        <v>3790</v>
      </c>
      <c r="X175" t="n">
        <v>547759.0</v>
      </c>
      <c r="Y175" t="n">
        <v>547759.0</v>
      </c>
      <c r="Z175" t="n">
        <v>0.0</v>
      </c>
      <c r="AA175" t="n">
        <v>0.0</v>
      </c>
      <c r="AB175" t="n">
        <v>0.0</v>
      </c>
      <c r="AC175" t="n">
        <v>0.0</v>
      </c>
      <c r="AD175" t="n">
        <v>0.0</v>
      </c>
      <c r="AE175" t="n">
        <v>0.0</v>
      </c>
      <c r="AF175" t="n">
        <v>63000.0</v>
      </c>
      <c r="AG175" t="n">
        <v>0.0</v>
      </c>
      <c r="AH175" t="n">
        <v>0.0</v>
      </c>
      <c r="AI175" t="n">
        <v>0.0</v>
      </c>
      <c r="AJ175" t="n">
        <v>0.0</v>
      </c>
      <c r="AK175" t="n">
        <v>0.0</v>
      </c>
      <c r="AL175" t="n">
        <v>0.0</v>
      </c>
      <c r="AM175" t="n">
        <v>0.0</v>
      </c>
      <c r="AN175" t="n">
        <v>0.0</v>
      </c>
      <c r="AO175" t="n">
        <v>610759.0</v>
      </c>
      <c r="AP175" t="n">
        <v>61076.0</v>
      </c>
      <c r="AQ175" t="n">
        <v>48598.3</v>
      </c>
      <c r="CH175">
        <f>IFERROR(U175*1,0)</f>
      </c>
    </row>
    <row r="176">
      <c r="A176" t="n">
        <v>3.0</v>
      </c>
      <c r="B176">
        <f>IF((K176-G176-H176&gt;2400000),10,(L176/(K176-G176-H176)*100))</f>
      </c>
      <c r="C176">
        <f>IF(N176&gt;2400000,240000,(N176*S176)/100)</f>
      </c>
      <c r="D176">
        <f>IF(S176=0,0,IF((N176-I176)&gt;2400000,((((((N176-I176-J176)-240000))*0.1+(I176+J176)*0.1)))-7000,((((((N176-I176-J176)-(N176-I176-J176)*S176/100)))*0.1+(I176+J176)*0.1)-7000)))</f>
      </c>
      <c r="E176">
        <f>C176-O176</f>
      </c>
      <c r="F176">
        <f>D176-P176</f>
      </c>
      <c r="G176">
        <f>SUMIF(negtgel!U$2:BL$2,'Tsalin uzuulelt'!B$1,negtgel!U176:BL176) + SUMIF(negtgel!U$2:BL$2,'Tsalin uzuulelt'!B$2,negtgel!U176:BL176)+SUMIF(negtgel!U$2:BL$2,'Tsalin uzuulelt'!B$3,negtgel!U176:BL176)+SUMIF(negtgel!U$2:BL$2,'Tsalin uzuulelt'!B$4,negtgel!U176:BL176)+SUMIF(negtgel!U$2:BL$2,'Tsalin uzuulelt'!B$5,negtgel!U176:BL176)</f>
      </c>
      <c r="H176">
        <f>SUMIF(negtgel!U$2:BL$2,'Tsalin uzuulelt'!F$1,negtgel!U176:BL176) + SUMIF(negtgel!U$2:BL$2,'Tsalin uzuulelt'!F$2,negtgel!U176:BL176)+SUMIF(negtgel!U$2:BL$2,'Tsalin uzuulelt'!F$3,negtgel!U176:BL176)+SUMIF(negtgel!U$2:BL$2,'Tsalin uzuulelt'!F$4,negtgel!U176:BL176)+SUMIF(negtgel!U$2:BL$2,'Tsalin uzuulelt'!F$5,negtgel!U176:BL176)</f>
      </c>
      <c r="I176">
        <f>SUMIF(negtgel!U$2:BL$2,'Tsalin uzuulelt'!H$1,negtgel!U176:BL176) + SUMIF(negtgel!U$2:BL$2,'Tsalin uzuulelt'!H$2,negtgel!U176:BL176)+SUMIF(negtgel!U$2:BL$2,'Tsalin uzuulelt'!H$3,negtgel!U176:BL176)+SUMIF(negtgel!U$2:BL$2,'Tsalin uzuulelt'!H$4,negtgel!U176:BL176)+SUMIF(negtgel!U$2:BL$2,'Tsalin uzuulelt'!H$5,negtgel!U176:BL176)</f>
      </c>
      <c r="J176">
        <f>SUMIF(negtgel!U$2:BL$2,'Tsalin uzuulelt'!J$1,negtgel!U176:BL176) + SUMIF(negtgel!U$2:BL$2,'Tsalin uzuulelt'!J$2,negtgel!U176:BL176)+SUMIF(negtgel!U$2:BL$2,'Tsalin uzuulelt'!J$3,negtgel!U176:BL176)+SUMIF(negtgel!U$2:BL$2,'Tsalin uzuulelt'!J$4,negtgel!U176:BL176)+SUMIF(negtgel!U$2:BL$2,'Tsalin uzuulelt'!J$5,negtgel!U176:BL176)</f>
      </c>
      <c r="K176">
        <f>SUMIF(negtgel!U$2:BL$2,'Tsalin uzuulelt'!L$1,negtgel!U176:BL176) + SUMIF(negtgel!U$2:BL$2,'Tsalin uzuulelt'!L$2,negtgel!U176:BL176)+SUMIF(negtgel!U$2:BL$2,'Tsalin uzuulelt'!L$3,negtgel!U176:BL176)+SUMIF(negtgel!U$2:BL$2,'Tsalin uzuulelt'!L$4,negtgel!U176:BL176)+SUMIF(negtgel!U$2:BL$2,'Tsalin uzuulelt'!L$5,negtgel!U176:BL176)</f>
      </c>
      <c r="L176">
        <f>SUMIF(negtgel!U$2:BL$2,'Tsalin uzuulelt'!N$1,negtgel!U176:BL176) + SUMIF(negtgel!U$2:BL$2,'Tsalin uzuulelt'!N$2,negtgel!U176:BL176)+SUMIF(negtgel!U$2:BL$2,'Tsalin uzuulelt'!N$3,negtgel!U176:BL176)+SUMIF(negtgel!U$2:BL$2,'Tsalin uzuulelt'!N$4,negtgel!U176:BL176)+SUMIF(negtgel!U$2:BL$2,'Tsalin uzuulelt'!N$5,negtgel!U176:BL176)</f>
      </c>
      <c r="M176">
        <f>SUMIF(negtgel!U$2:BL$2,'Tsalin uzuulelt'!P$1,negtgel!U176:BL176) + SUMIF(negtgel!U$2:BL$2,'Tsalin uzuulelt'!P$2,negtgel!U176:BL176)+ SUMIF(negtgel!U$2:BL$2,'Tsalin uzuulelt'!P$3,negtgel!U176:BL176)+ SUMIF(negtgel!U$2:BL$2,'Tsalin uzuulelt'!P$4,negtgel!U176:BL176)+ SUMIF(negtgel!U$2:BL$2,'Tsalin uzuulelt'!P$5,negtgel!U176:BL176)</f>
      </c>
      <c r="N176">
        <f>IF(ISNUMBER(U176*1)=CF176,0,K176-H176-G176)</f>
      </c>
      <c r="O176">
        <f>IF(ISNUMBER(U176*1)=CF176,0,L176)</f>
      </c>
      <c r="P176">
        <f>IF(ISNUMBER(U176*1)=CF176,0,M176)</f>
      </c>
      <c r="Q176">
        <f>IF(N176&gt;2400000,N176,0)</f>
      </c>
      <c r="R176">
        <f>IF(L176/Q176*100&lt;3,2,10)</f>
      </c>
      <c r="S176">
        <f>IF(CH176=0,0,IF(B176&gt;9,10,IF(B176&gt;8,B176,IF(B176&gt;7.7,7.8,IF(B176&gt;3,B176,IF(B176&gt;1.5,2))))))</f>
      </c>
      <c r="T176">
        <f>IF(Q176=0,S176,R176)</f>
      </c>
      <c r="U176" t="n">
        <v>76.0</v>
      </c>
      <c r="V176" t="s">
        <v>3822</v>
      </c>
      <c r="W176" t="s">
        <v>3823</v>
      </c>
      <c r="X176" t="n">
        <v>539547.0</v>
      </c>
      <c r="Y176" t="n">
        <v>513854.0</v>
      </c>
      <c r="Z176" t="n">
        <v>0.0</v>
      </c>
      <c r="AA176" t="n">
        <v>0.0</v>
      </c>
      <c r="AB176" t="n">
        <v>25693.0</v>
      </c>
      <c r="AC176" t="n">
        <v>0.0</v>
      </c>
      <c r="AD176" t="n">
        <v>0.0</v>
      </c>
      <c r="AE176" t="n">
        <v>0.0</v>
      </c>
      <c r="AF176" t="n">
        <v>60000.0</v>
      </c>
      <c r="AG176" t="n">
        <v>0.0</v>
      </c>
      <c r="AH176" t="n">
        <v>0.0</v>
      </c>
      <c r="AI176" t="n">
        <v>0.0</v>
      </c>
      <c r="AJ176" t="n">
        <v>0.0</v>
      </c>
      <c r="AK176" t="n">
        <v>0.0</v>
      </c>
      <c r="AL176" t="n">
        <v>0.0</v>
      </c>
      <c r="AM176" t="n">
        <v>0.0</v>
      </c>
      <c r="AN176" t="n">
        <v>0.0</v>
      </c>
      <c r="AO176" t="n">
        <v>599547.0</v>
      </c>
      <c r="AP176" t="n">
        <v>59954.0</v>
      </c>
      <c r="AQ176" t="n">
        <v>47559.2</v>
      </c>
      <c r="CH176">
        <f>IFERROR(U176*1,0)</f>
      </c>
    </row>
    <row r="177">
      <c r="A177" t="n">
        <v>3.0</v>
      </c>
      <c r="B177">
        <f>IF((K177-G177-H177&gt;2400000),10,(L177/(K177-G177-H177)*100))</f>
      </c>
      <c r="C177">
        <f>IF(N177&gt;2400000,240000,(N177*S177)/100)</f>
      </c>
      <c r="D177">
        <f>IF(S177=0,0,IF((N177-I177)&gt;2400000,((((((N177-I177-J177)-240000))*0.1+(I177+J177)*0.1)))-7000,((((((N177-I177-J177)-(N177-I177-J177)*S177/100)))*0.1+(I177+J177)*0.1)-7000)))</f>
      </c>
      <c r="E177">
        <f>C177-O177</f>
      </c>
      <c r="F177">
        <f>D177-P177</f>
      </c>
      <c r="G177">
        <f>SUMIF(negtgel!U$2:BL$2,'Tsalin uzuulelt'!B$1,negtgel!U177:BL177) + SUMIF(negtgel!U$2:BL$2,'Tsalin uzuulelt'!B$2,negtgel!U177:BL177)+SUMIF(negtgel!U$2:BL$2,'Tsalin uzuulelt'!B$3,negtgel!U177:BL177)+SUMIF(negtgel!U$2:BL$2,'Tsalin uzuulelt'!B$4,negtgel!U177:BL177)+SUMIF(negtgel!U$2:BL$2,'Tsalin uzuulelt'!B$5,negtgel!U177:BL177)</f>
      </c>
      <c r="H177">
        <f>SUMIF(negtgel!U$2:BL$2,'Tsalin uzuulelt'!F$1,negtgel!U177:BL177) + SUMIF(negtgel!U$2:BL$2,'Tsalin uzuulelt'!F$2,negtgel!U177:BL177)+SUMIF(negtgel!U$2:BL$2,'Tsalin uzuulelt'!F$3,negtgel!U177:BL177)+SUMIF(negtgel!U$2:BL$2,'Tsalin uzuulelt'!F$4,negtgel!U177:BL177)+SUMIF(negtgel!U$2:BL$2,'Tsalin uzuulelt'!F$5,negtgel!U177:BL177)</f>
      </c>
      <c r="I177">
        <f>SUMIF(negtgel!U$2:BL$2,'Tsalin uzuulelt'!H$1,negtgel!U177:BL177) + SUMIF(negtgel!U$2:BL$2,'Tsalin uzuulelt'!H$2,negtgel!U177:BL177)+SUMIF(negtgel!U$2:BL$2,'Tsalin uzuulelt'!H$3,negtgel!U177:BL177)+SUMIF(negtgel!U$2:BL$2,'Tsalin uzuulelt'!H$4,negtgel!U177:BL177)+SUMIF(negtgel!U$2:BL$2,'Tsalin uzuulelt'!H$5,negtgel!U177:BL177)</f>
      </c>
      <c r="J177">
        <f>SUMIF(negtgel!U$2:BL$2,'Tsalin uzuulelt'!J$1,negtgel!U177:BL177) + SUMIF(negtgel!U$2:BL$2,'Tsalin uzuulelt'!J$2,negtgel!U177:BL177)+SUMIF(negtgel!U$2:BL$2,'Tsalin uzuulelt'!J$3,negtgel!U177:BL177)+SUMIF(negtgel!U$2:BL$2,'Tsalin uzuulelt'!J$4,negtgel!U177:BL177)+SUMIF(negtgel!U$2:BL$2,'Tsalin uzuulelt'!J$5,negtgel!U177:BL177)</f>
      </c>
      <c r="K177">
        <f>SUMIF(negtgel!U$2:BL$2,'Tsalin uzuulelt'!L$1,negtgel!U177:BL177) + SUMIF(negtgel!U$2:BL$2,'Tsalin uzuulelt'!L$2,negtgel!U177:BL177)+SUMIF(negtgel!U$2:BL$2,'Tsalin uzuulelt'!L$3,negtgel!U177:BL177)+SUMIF(negtgel!U$2:BL$2,'Tsalin uzuulelt'!L$4,negtgel!U177:BL177)+SUMIF(negtgel!U$2:BL$2,'Tsalin uzuulelt'!L$5,negtgel!U177:BL177)</f>
      </c>
      <c r="L177">
        <f>SUMIF(negtgel!U$2:BL$2,'Tsalin uzuulelt'!N$1,negtgel!U177:BL177) + SUMIF(negtgel!U$2:BL$2,'Tsalin uzuulelt'!N$2,negtgel!U177:BL177)+SUMIF(negtgel!U$2:BL$2,'Tsalin uzuulelt'!N$3,negtgel!U177:BL177)+SUMIF(negtgel!U$2:BL$2,'Tsalin uzuulelt'!N$4,negtgel!U177:BL177)+SUMIF(negtgel!U$2:BL$2,'Tsalin uzuulelt'!N$5,negtgel!U177:BL177)</f>
      </c>
      <c r="M177">
        <f>SUMIF(negtgel!U$2:BL$2,'Tsalin uzuulelt'!P$1,negtgel!U177:BL177) + SUMIF(negtgel!U$2:BL$2,'Tsalin uzuulelt'!P$2,negtgel!U177:BL177)+ SUMIF(negtgel!U$2:BL$2,'Tsalin uzuulelt'!P$3,negtgel!U177:BL177)+ SUMIF(negtgel!U$2:BL$2,'Tsalin uzuulelt'!P$4,negtgel!U177:BL177)+ SUMIF(negtgel!U$2:BL$2,'Tsalin uzuulelt'!P$5,negtgel!U177:BL177)</f>
      </c>
      <c r="N177">
        <f>IF(ISNUMBER(U177*1)=CF177,0,K177-H177-G177)</f>
      </c>
      <c r="O177">
        <f>IF(ISNUMBER(U177*1)=CF177,0,L177)</f>
      </c>
      <c r="P177">
        <f>IF(ISNUMBER(U177*1)=CF177,0,M177)</f>
      </c>
      <c r="Q177">
        <f>IF(N177&gt;2400000,N177,0)</f>
      </c>
      <c r="R177">
        <f>IF(L177/Q177*100&lt;3,2,10)</f>
      </c>
      <c r="S177">
        <f>IF(CH177=0,0,IF(B177&gt;9,10,IF(B177&gt;8,B177,IF(B177&gt;7.7,7.8,IF(B177&gt;3,B177,IF(B177&gt;1.5,2))))))</f>
      </c>
      <c r="T177">
        <f>IF(Q177=0,S177,R177)</f>
      </c>
      <c r="U177" t="n">
        <v>77.0</v>
      </c>
      <c r="V177" t="s">
        <v>3824</v>
      </c>
      <c r="W177" t="s">
        <v>3790</v>
      </c>
      <c r="X177" t="n">
        <v>677436.0</v>
      </c>
      <c r="Y177" t="n">
        <v>677436.0</v>
      </c>
      <c r="Z177" t="n">
        <v>135487.0</v>
      </c>
      <c r="AA177" t="n">
        <v>121938.0</v>
      </c>
      <c r="AB177" t="n">
        <v>0.0</v>
      </c>
      <c r="AC177" t="n">
        <v>101615.0</v>
      </c>
      <c r="AD177" t="n">
        <v>0.0</v>
      </c>
      <c r="AE177" t="n">
        <v>0.0</v>
      </c>
      <c r="AF177" t="n">
        <v>63000.0</v>
      </c>
      <c r="AG177" t="n">
        <v>0.0</v>
      </c>
      <c r="AH177" t="n">
        <v>0.0</v>
      </c>
      <c r="AI177" t="n">
        <v>0.0</v>
      </c>
      <c r="AJ177" t="n">
        <v>0.0</v>
      </c>
      <c r="AK177" t="n">
        <v>0.0</v>
      </c>
      <c r="AL177" t="n">
        <v>0.0</v>
      </c>
      <c r="AM177" t="n">
        <v>0.0</v>
      </c>
      <c r="AN177" t="n">
        <v>0.0</v>
      </c>
      <c r="AO177" t="n">
        <v>1099476.0</v>
      </c>
      <c r="AP177" t="n">
        <v>109948.0</v>
      </c>
      <c r="AQ177" t="n">
        <v>92582.8</v>
      </c>
      <c r="CH177">
        <f>IFERROR(U177*1,0)</f>
      </c>
    </row>
    <row r="178">
      <c r="A178" t="n">
        <v>3.0</v>
      </c>
      <c r="B178">
        <f>IF((K178-G178-H178&gt;2400000),10,(L178/(K178-G178-H178)*100))</f>
      </c>
      <c r="C178">
        <f>IF(N178&gt;2400000,240000,(N178*S178)/100)</f>
      </c>
      <c r="D178">
        <f>IF(S178=0,0,IF((N178-I178)&gt;2400000,((((((N178-I178-J178)-240000))*0.1+(I178+J178)*0.1)))-7000,((((((N178-I178-J178)-(N178-I178-J178)*S178/100)))*0.1+(I178+J178)*0.1)-7000)))</f>
      </c>
      <c r="E178">
        <f>C178-O178</f>
      </c>
      <c r="F178">
        <f>D178-P178</f>
      </c>
      <c r="G178">
        <f>SUMIF(negtgel!U$2:BL$2,'Tsalin uzuulelt'!B$1,negtgel!U178:BL178) + SUMIF(negtgel!U$2:BL$2,'Tsalin uzuulelt'!B$2,negtgel!U178:BL178)+SUMIF(negtgel!U$2:BL$2,'Tsalin uzuulelt'!B$3,negtgel!U178:BL178)+SUMIF(negtgel!U$2:BL$2,'Tsalin uzuulelt'!B$4,negtgel!U178:BL178)+SUMIF(negtgel!U$2:BL$2,'Tsalin uzuulelt'!B$5,negtgel!U178:BL178)</f>
      </c>
      <c r="H178">
        <f>SUMIF(negtgel!U$2:BL$2,'Tsalin uzuulelt'!F$1,negtgel!U178:BL178) + SUMIF(negtgel!U$2:BL$2,'Tsalin uzuulelt'!F$2,negtgel!U178:BL178)+SUMIF(negtgel!U$2:BL$2,'Tsalin uzuulelt'!F$3,negtgel!U178:BL178)+SUMIF(negtgel!U$2:BL$2,'Tsalin uzuulelt'!F$4,negtgel!U178:BL178)+SUMIF(negtgel!U$2:BL$2,'Tsalin uzuulelt'!F$5,negtgel!U178:BL178)</f>
      </c>
      <c r="I178">
        <f>SUMIF(negtgel!U$2:BL$2,'Tsalin uzuulelt'!H$1,negtgel!U178:BL178) + SUMIF(negtgel!U$2:BL$2,'Tsalin uzuulelt'!H$2,negtgel!U178:BL178)+SUMIF(negtgel!U$2:BL$2,'Tsalin uzuulelt'!H$3,negtgel!U178:BL178)+SUMIF(negtgel!U$2:BL$2,'Tsalin uzuulelt'!H$4,negtgel!U178:BL178)+SUMIF(negtgel!U$2:BL$2,'Tsalin uzuulelt'!H$5,negtgel!U178:BL178)</f>
      </c>
      <c r="J178">
        <f>SUMIF(negtgel!U$2:BL$2,'Tsalin uzuulelt'!J$1,negtgel!U178:BL178) + SUMIF(negtgel!U$2:BL$2,'Tsalin uzuulelt'!J$2,negtgel!U178:BL178)+SUMIF(negtgel!U$2:BL$2,'Tsalin uzuulelt'!J$3,negtgel!U178:BL178)+SUMIF(negtgel!U$2:BL$2,'Tsalin uzuulelt'!J$4,negtgel!U178:BL178)+SUMIF(negtgel!U$2:BL$2,'Tsalin uzuulelt'!J$5,negtgel!U178:BL178)</f>
      </c>
      <c r="K178">
        <f>SUMIF(negtgel!U$2:BL$2,'Tsalin uzuulelt'!L$1,negtgel!U178:BL178) + SUMIF(negtgel!U$2:BL$2,'Tsalin uzuulelt'!L$2,negtgel!U178:BL178)+SUMIF(negtgel!U$2:BL$2,'Tsalin uzuulelt'!L$3,negtgel!U178:BL178)+SUMIF(negtgel!U$2:BL$2,'Tsalin uzuulelt'!L$4,negtgel!U178:BL178)+SUMIF(negtgel!U$2:BL$2,'Tsalin uzuulelt'!L$5,negtgel!U178:BL178)</f>
      </c>
      <c r="L178">
        <f>SUMIF(negtgel!U$2:BL$2,'Tsalin uzuulelt'!N$1,negtgel!U178:BL178) + SUMIF(negtgel!U$2:BL$2,'Tsalin uzuulelt'!N$2,negtgel!U178:BL178)+SUMIF(negtgel!U$2:BL$2,'Tsalin uzuulelt'!N$3,negtgel!U178:BL178)+SUMIF(negtgel!U$2:BL$2,'Tsalin uzuulelt'!N$4,negtgel!U178:BL178)+SUMIF(negtgel!U$2:BL$2,'Tsalin uzuulelt'!N$5,negtgel!U178:BL178)</f>
      </c>
      <c r="M178">
        <f>SUMIF(negtgel!U$2:BL$2,'Tsalin uzuulelt'!P$1,negtgel!U178:BL178) + SUMIF(negtgel!U$2:BL$2,'Tsalin uzuulelt'!P$2,negtgel!U178:BL178)+ SUMIF(negtgel!U$2:BL$2,'Tsalin uzuulelt'!P$3,negtgel!U178:BL178)+ SUMIF(negtgel!U$2:BL$2,'Tsalin uzuulelt'!P$4,negtgel!U178:BL178)+ SUMIF(negtgel!U$2:BL$2,'Tsalin uzuulelt'!P$5,negtgel!U178:BL178)</f>
      </c>
      <c r="N178">
        <f>IF(ISNUMBER(U178*1)=CF178,0,K178-H178-G178)</f>
      </c>
      <c r="O178">
        <f>IF(ISNUMBER(U178*1)=CF178,0,L178)</f>
      </c>
      <c r="P178">
        <f>IF(ISNUMBER(U178*1)=CF178,0,M178)</f>
      </c>
      <c r="Q178">
        <f>IF(N178&gt;2400000,N178,0)</f>
      </c>
      <c r="R178">
        <f>IF(L178/Q178*100&lt;3,2,10)</f>
      </c>
      <c r="S178">
        <f>IF(CH178=0,0,IF(B178&gt;9,10,IF(B178&gt;8,B178,IF(B178&gt;7.7,7.8,IF(B178&gt;3,B178,IF(B178&gt;1.5,2))))))</f>
      </c>
      <c r="T178">
        <f>IF(Q178=0,S178,R178)</f>
      </c>
      <c r="U178" t="s">
        <v>3787</v>
      </c>
      <c r="V178"/>
      <c r="W178"/>
      <c r="X178" t="n">
        <v>4484667.0</v>
      </c>
      <c r="Y178" t="n">
        <v>4392422.0</v>
      </c>
      <c r="Z178" t="n">
        <v>524997.0</v>
      </c>
      <c r="AA178" t="n">
        <v>514497.0</v>
      </c>
      <c r="AB178" t="n">
        <v>25693.0</v>
      </c>
      <c r="AC178" t="n">
        <v>101615.0</v>
      </c>
      <c r="AD178" t="n">
        <v>0.0</v>
      </c>
      <c r="AE178" t="n">
        <v>0.0</v>
      </c>
      <c r="AF178" t="n">
        <v>432000.0</v>
      </c>
      <c r="AG178" t="n">
        <v>0.0</v>
      </c>
      <c r="AH178" t="n">
        <v>0.0</v>
      </c>
      <c r="AI178" t="n">
        <v>0.0</v>
      </c>
      <c r="AJ178" t="n">
        <v>0.0</v>
      </c>
      <c r="AK178" t="n">
        <v>0.0</v>
      </c>
      <c r="AL178" t="n">
        <v>0.0</v>
      </c>
      <c r="AM178" t="n">
        <v>0.0</v>
      </c>
      <c r="AN178" t="n">
        <v>0.0</v>
      </c>
      <c r="AO178" t="n">
        <v>5991224.0</v>
      </c>
      <c r="AP178" t="n">
        <v>599123.0</v>
      </c>
      <c r="AQ178" t="n">
        <v>494530.1</v>
      </c>
      <c r="CH178">
        <f>IFERROR(U178*1,0)</f>
      </c>
    </row>
    <row r="179">
      <c r="A179" t="n">
        <v>3.0</v>
      </c>
      <c r="B179">
        <f>IF((K179-G179-H179&gt;2400000),10,(L179/(K179-G179-H179)*100))</f>
      </c>
      <c r="C179">
        <f>IF(N179&gt;2400000,240000,(N179*S179)/100)</f>
      </c>
      <c r="D179">
        <f>IF(S179=0,0,IF((N179-I179)&gt;2400000,((((((N179-I179-J179)-240000))*0.1+(I179+J179)*0.1)))-7000,((((((N179-I179-J179)-(N179-I179-J179)*S179/100)))*0.1+(I179+J179)*0.1)-7000)))</f>
      </c>
      <c r="E179">
        <f>C179-O179</f>
      </c>
      <c r="F179">
        <f>D179-P179</f>
      </c>
      <c r="G179">
        <f>SUMIF(negtgel!U$2:BL$2,'Tsalin uzuulelt'!B$1,negtgel!U179:BL179) + SUMIF(negtgel!U$2:BL$2,'Tsalin uzuulelt'!B$2,negtgel!U179:BL179)+SUMIF(negtgel!U$2:BL$2,'Tsalin uzuulelt'!B$3,negtgel!U179:BL179)+SUMIF(negtgel!U$2:BL$2,'Tsalin uzuulelt'!B$4,negtgel!U179:BL179)+SUMIF(negtgel!U$2:BL$2,'Tsalin uzuulelt'!B$5,negtgel!U179:BL179)</f>
      </c>
      <c r="H179">
        <f>SUMIF(negtgel!U$2:BL$2,'Tsalin uzuulelt'!F$1,negtgel!U179:BL179) + SUMIF(negtgel!U$2:BL$2,'Tsalin uzuulelt'!F$2,negtgel!U179:BL179)+SUMIF(negtgel!U$2:BL$2,'Tsalin uzuulelt'!F$3,negtgel!U179:BL179)+SUMIF(negtgel!U$2:BL$2,'Tsalin uzuulelt'!F$4,negtgel!U179:BL179)+SUMIF(negtgel!U$2:BL$2,'Tsalin uzuulelt'!F$5,negtgel!U179:BL179)</f>
      </c>
      <c r="I179">
        <f>SUMIF(negtgel!U$2:BL$2,'Tsalin uzuulelt'!H$1,negtgel!U179:BL179) + SUMIF(negtgel!U$2:BL$2,'Tsalin uzuulelt'!H$2,negtgel!U179:BL179)+SUMIF(negtgel!U$2:BL$2,'Tsalin uzuulelt'!H$3,negtgel!U179:BL179)+SUMIF(negtgel!U$2:BL$2,'Tsalin uzuulelt'!H$4,negtgel!U179:BL179)+SUMIF(negtgel!U$2:BL$2,'Tsalin uzuulelt'!H$5,negtgel!U179:BL179)</f>
      </c>
      <c r="J179">
        <f>SUMIF(negtgel!U$2:BL$2,'Tsalin uzuulelt'!J$1,negtgel!U179:BL179) + SUMIF(negtgel!U$2:BL$2,'Tsalin uzuulelt'!J$2,negtgel!U179:BL179)+SUMIF(negtgel!U$2:BL$2,'Tsalin uzuulelt'!J$3,negtgel!U179:BL179)+SUMIF(negtgel!U$2:BL$2,'Tsalin uzuulelt'!J$4,negtgel!U179:BL179)+SUMIF(negtgel!U$2:BL$2,'Tsalin uzuulelt'!J$5,negtgel!U179:BL179)</f>
      </c>
      <c r="K179">
        <f>SUMIF(negtgel!U$2:BL$2,'Tsalin uzuulelt'!L$1,negtgel!U179:BL179) + SUMIF(negtgel!U$2:BL$2,'Tsalin uzuulelt'!L$2,negtgel!U179:BL179)+SUMIF(negtgel!U$2:BL$2,'Tsalin uzuulelt'!L$3,negtgel!U179:BL179)+SUMIF(negtgel!U$2:BL$2,'Tsalin uzuulelt'!L$4,negtgel!U179:BL179)+SUMIF(negtgel!U$2:BL$2,'Tsalin uzuulelt'!L$5,negtgel!U179:BL179)</f>
      </c>
      <c r="L179">
        <f>SUMIF(negtgel!U$2:BL$2,'Tsalin uzuulelt'!N$1,negtgel!U179:BL179) + SUMIF(negtgel!U$2:BL$2,'Tsalin uzuulelt'!N$2,negtgel!U179:BL179)+SUMIF(negtgel!U$2:BL$2,'Tsalin uzuulelt'!N$3,negtgel!U179:BL179)+SUMIF(negtgel!U$2:BL$2,'Tsalin uzuulelt'!N$4,negtgel!U179:BL179)+SUMIF(negtgel!U$2:BL$2,'Tsalin uzuulelt'!N$5,negtgel!U179:BL179)</f>
      </c>
      <c r="M179">
        <f>SUMIF(negtgel!U$2:BL$2,'Tsalin uzuulelt'!P$1,negtgel!U179:BL179) + SUMIF(negtgel!U$2:BL$2,'Tsalin uzuulelt'!P$2,negtgel!U179:BL179)+ SUMIF(negtgel!U$2:BL$2,'Tsalin uzuulelt'!P$3,negtgel!U179:BL179)+ SUMIF(negtgel!U$2:BL$2,'Tsalin uzuulelt'!P$4,negtgel!U179:BL179)+ SUMIF(negtgel!U$2:BL$2,'Tsalin uzuulelt'!P$5,negtgel!U179:BL179)</f>
      </c>
      <c r="N179">
        <f>IF(ISNUMBER(U179*1)=CF179,0,K179-H179-G179)</f>
      </c>
      <c r="O179">
        <f>IF(ISNUMBER(U179*1)=CF179,0,L179)</f>
      </c>
      <c r="P179">
        <f>IF(ISNUMBER(U179*1)=CF179,0,M179)</f>
      </c>
      <c r="Q179">
        <f>IF(N179&gt;2400000,N179,0)</f>
      </c>
      <c r="R179">
        <f>IF(L179/Q179*100&lt;3,2,10)</f>
      </c>
      <c r="S179">
        <f>IF(CH179=0,0,IF(B179&gt;9,10,IF(B179&gt;8,B179,IF(B179&gt;7.7,7.8,IF(B179&gt;3,B179,IF(B179&gt;1.5,2))))))</f>
      </c>
      <c r="T179">
        <f>IF(Q179=0,S179,R179)</f>
      </c>
      <c r="U179" t="s">
        <v>3825</v>
      </c>
      <c r="V179"/>
      <c r="W179"/>
      <c r="X179"/>
      <c r="Y179"/>
      <c r="Z179"/>
      <c r="AA179"/>
      <c r="AB179"/>
      <c r="AC179"/>
      <c r="AD179"/>
      <c r="AE179"/>
      <c r="AF179"/>
      <c r="AG179"/>
      <c r="AH179"/>
      <c r="AI179"/>
      <c r="AJ179"/>
      <c r="AK179"/>
      <c r="AL179"/>
      <c r="AM179"/>
      <c r="AN179"/>
      <c r="AO179"/>
      <c r="AP179"/>
      <c r="AQ179"/>
      <c r="CH179">
        <f>IFERROR(U179*1,0)</f>
      </c>
    </row>
    <row r="180">
      <c r="A180" t="n">
        <v>3.0</v>
      </c>
      <c r="B180">
        <f>IF((K180-G180-H180&gt;2400000),10,(L180/(K180-G180-H180)*100))</f>
      </c>
      <c r="C180">
        <f>IF(N180&gt;2400000,240000,(N180*S180)/100)</f>
      </c>
      <c r="D180">
        <f>IF(S180=0,0,IF((N180-I180)&gt;2400000,((((((N180-I180-J180)-240000))*0.1+(I180+J180)*0.1)))-7000,((((((N180-I180-J180)-(N180-I180-J180)*S180/100)))*0.1+(I180+J180)*0.1)-7000)))</f>
      </c>
      <c r="E180">
        <f>C180-O180</f>
      </c>
      <c r="F180">
        <f>D180-P180</f>
      </c>
      <c r="G180">
        <f>SUMIF(negtgel!U$2:BL$2,'Tsalin uzuulelt'!B$1,negtgel!U180:BL180) + SUMIF(negtgel!U$2:BL$2,'Tsalin uzuulelt'!B$2,negtgel!U180:BL180)+SUMIF(negtgel!U$2:BL$2,'Tsalin uzuulelt'!B$3,negtgel!U180:BL180)+SUMIF(negtgel!U$2:BL$2,'Tsalin uzuulelt'!B$4,negtgel!U180:BL180)+SUMIF(negtgel!U$2:BL$2,'Tsalin uzuulelt'!B$5,negtgel!U180:BL180)</f>
      </c>
      <c r="H180">
        <f>SUMIF(negtgel!U$2:BL$2,'Tsalin uzuulelt'!F$1,negtgel!U180:BL180) + SUMIF(negtgel!U$2:BL$2,'Tsalin uzuulelt'!F$2,negtgel!U180:BL180)+SUMIF(negtgel!U$2:BL$2,'Tsalin uzuulelt'!F$3,negtgel!U180:BL180)+SUMIF(negtgel!U$2:BL$2,'Tsalin uzuulelt'!F$4,negtgel!U180:BL180)+SUMIF(negtgel!U$2:BL$2,'Tsalin uzuulelt'!F$5,negtgel!U180:BL180)</f>
      </c>
      <c r="I180">
        <f>SUMIF(negtgel!U$2:BL$2,'Tsalin uzuulelt'!H$1,negtgel!U180:BL180) + SUMIF(negtgel!U$2:BL$2,'Tsalin uzuulelt'!H$2,negtgel!U180:BL180)+SUMIF(negtgel!U$2:BL$2,'Tsalin uzuulelt'!H$3,negtgel!U180:BL180)+SUMIF(negtgel!U$2:BL$2,'Tsalin uzuulelt'!H$4,negtgel!U180:BL180)+SUMIF(negtgel!U$2:BL$2,'Tsalin uzuulelt'!H$5,negtgel!U180:BL180)</f>
      </c>
      <c r="J180">
        <f>SUMIF(negtgel!U$2:BL$2,'Tsalin uzuulelt'!J$1,negtgel!U180:BL180) + SUMIF(negtgel!U$2:BL$2,'Tsalin uzuulelt'!J$2,negtgel!U180:BL180)+SUMIF(negtgel!U$2:BL$2,'Tsalin uzuulelt'!J$3,negtgel!U180:BL180)+SUMIF(negtgel!U$2:BL$2,'Tsalin uzuulelt'!J$4,negtgel!U180:BL180)+SUMIF(negtgel!U$2:BL$2,'Tsalin uzuulelt'!J$5,negtgel!U180:BL180)</f>
      </c>
      <c r="K180">
        <f>SUMIF(negtgel!U$2:BL$2,'Tsalin uzuulelt'!L$1,negtgel!U180:BL180) + SUMIF(negtgel!U$2:BL$2,'Tsalin uzuulelt'!L$2,negtgel!U180:BL180)+SUMIF(negtgel!U$2:BL$2,'Tsalin uzuulelt'!L$3,negtgel!U180:BL180)+SUMIF(negtgel!U$2:BL$2,'Tsalin uzuulelt'!L$4,negtgel!U180:BL180)+SUMIF(negtgel!U$2:BL$2,'Tsalin uzuulelt'!L$5,negtgel!U180:BL180)</f>
      </c>
      <c r="L180">
        <f>SUMIF(negtgel!U$2:BL$2,'Tsalin uzuulelt'!N$1,negtgel!U180:BL180) + SUMIF(negtgel!U$2:BL$2,'Tsalin uzuulelt'!N$2,negtgel!U180:BL180)+SUMIF(negtgel!U$2:BL$2,'Tsalin uzuulelt'!N$3,negtgel!U180:BL180)+SUMIF(negtgel!U$2:BL$2,'Tsalin uzuulelt'!N$4,negtgel!U180:BL180)+SUMIF(negtgel!U$2:BL$2,'Tsalin uzuulelt'!N$5,negtgel!U180:BL180)</f>
      </c>
      <c r="M180">
        <f>SUMIF(negtgel!U$2:BL$2,'Tsalin uzuulelt'!P$1,negtgel!U180:BL180) + SUMIF(negtgel!U$2:BL$2,'Tsalin uzuulelt'!P$2,negtgel!U180:BL180)+ SUMIF(negtgel!U$2:BL$2,'Tsalin uzuulelt'!P$3,negtgel!U180:BL180)+ SUMIF(negtgel!U$2:BL$2,'Tsalin uzuulelt'!P$4,negtgel!U180:BL180)+ SUMIF(negtgel!U$2:BL$2,'Tsalin uzuulelt'!P$5,negtgel!U180:BL180)</f>
      </c>
      <c r="N180">
        <f>IF(ISNUMBER(U180*1)=CF180,0,K180-H180-G180)</f>
      </c>
      <c r="O180">
        <f>IF(ISNUMBER(U180*1)=CF180,0,L180)</f>
      </c>
      <c r="P180">
        <f>IF(ISNUMBER(U180*1)=CF180,0,M180)</f>
      </c>
      <c r="Q180">
        <f>IF(N180&gt;2400000,N180,0)</f>
      </c>
      <c r="R180">
        <f>IF(L180/Q180*100&lt;3,2,10)</f>
      </c>
      <c r="S180">
        <f>IF(CH180=0,0,IF(B180&gt;9,10,IF(B180&gt;8,B180,IF(B180&gt;7.7,7.8,IF(B180&gt;3,B180,IF(B180&gt;1.5,2))))))</f>
      </c>
      <c r="T180">
        <f>IF(Q180=0,S180,R180)</f>
      </c>
      <c r="U180" t="n">
        <v>78.0</v>
      </c>
      <c r="V180" t="s">
        <v>3827</v>
      </c>
      <c r="W180" t="s">
        <v>3790</v>
      </c>
      <c r="X180" t="n">
        <v>547759.0</v>
      </c>
      <c r="Y180" t="n">
        <v>547759.0</v>
      </c>
      <c r="Z180" t="n">
        <v>0.0</v>
      </c>
      <c r="AA180" t="n">
        <v>0.0</v>
      </c>
      <c r="AB180" t="n">
        <v>0.0</v>
      </c>
      <c r="AC180" t="n">
        <v>0.0</v>
      </c>
      <c r="AD180" t="n">
        <v>0.0</v>
      </c>
      <c r="AE180" t="n">
        <v>0.0</v>
      </c>
      <c r="AF180" t="n">
        <v>63000.0</v>
      </c>
      <c r="AG180" t="n">
        <v>0.0</v>
      </c>
      <c r="AH180" t="n">
        <v>0.0</v>
      </c>
      <c r="AI180" t="n">
        <v>0.0</v>
      </c>
      <c r="AJ180" t="n">
        <v>0.0</v>
      </c>
      <c r="AK180" t="n">
        <v>0.0</v>
      </c>
      <c r="AL180" t="n">
        <v>0.0</v>
      </c>
      <c r="AM180" t="n">
        <v>0.0</v>
      </c>
      <c r="AN180" t="n">
        <v>0.0</v>
      </c>
      <c r="AO180" t="n">
        <v>610759.0</v>
      </c>
      <c r="AP180" t="n">
        <v>61076.0</v>
      </c>
      <c r="AQ180" t="n">
        <v>48598.3</v>
      </c>
      <c r="CH180">
        <f>IFERROR(U180*1,0)</f>
      </c>
    </row>
    <row r="181">
      <c r="A181" t="n">
        <v>3.0</v>
      </c>
      <c r="B181">
        <f>IF((K181-G181-H181&gt;2400000),10,(L181/(K181-G181-H181)*100))</f>
      </c>
      <c r="C181">
        <f>IF(N181&gt;2400000,240000,(N181*S181)/100)</f>
      </c>
      <c r="D181">
        <f>IF(S181=0,0,IF((N181-I181)&gt;2400000,((((((N181-I181-J181)-240000))*0.1+(I181+J181)*0.1)))-7000,((((((N181-I181-J181)-(N181-I181-J181)*S181/100)))*0.1+(I181+J181)*0.1)-7000)))</f>
      </c>
      <c r="E181">
        <f>C181-O181</f>
      </c>
      <c r="F181">
        <f>D181-P181</f>
      </c>
      <c r="G181">
        <f>SUMIF(negtgel!U$2:BL$2,'Tsalin uzuulelt'!B$1,negtgel!U181:BL181) + SUMIF(negtgel!U$2:BL$2,'Tsalin uzuulelt'!B$2,negtgel!U181:BL181)+SUMIF(negtgel!U$2:BL$2,'Tsalin uzuulelt'!B$3,negtgel!U181:BL181)+SUMIF(negtgel!U$2:BL$2,'Tsalin uzuulelt'!B$4,negtgel!U181:BL181)+SUMIF(negtgel!U$2:BL$2,'Tsalin uzuulelt'!B$5,negtgel!U181:BL181)</f>
      </c>
      <c r="H181">
        <f>SUMIF(negtgel!U$2:BL$2,'Tsalin uzuulelt'!F$1,negtgel!U181:BL181) + SUMIF(negtgel!U$2:BL$2,'Tsalin uzuulelt'!F$2,negtgel!U181:BL181)+SUMIF(negtgel!U$2:BL$2,'Tsalin uzuulelt'!F$3,negtgel!U181:BL181)+SUMIF(negtgel!U$2:BL$2,'Tsalin uzuulelt'!F$4,negtgel!U181:BL181)+SUMIF(negtgel!U$2:BL$2,'Tsalin uzuulelt'!F$5,negtgel!U181:BL181)</f>
      </c>
      <c r="I181">
        <f>SUMIF(negtgel!U$2:BL$2,'Tsalin uzuulelt'!H$1,negtgel!U181:BL181) + SUMIF(negtgel!U$2:BL$2,'Tsalin uzuulelt'!H$2,negtgel!U181:BL181)+SUMIF(negtgel!U$2:BL$2,'Tsalin uzuulelt'!H$3,negtgel!U181:BL181)+SUMIF(negtgel!U$2:BL$2,'Tsalin uzuulelt'!H$4,negtgel!U181:BL181)+SUMIF(negtgel!U$2:BL$2,'Tsalin uzuulelt'!H$5,negtgel!U181:BL181)</f>
      </c>
      <c r="J181">
        <f>SUMIF(negtgel!U$2:BL$2,'Tsalin uzuulelt'!J$1,negtgel!U181:BL181) + SUMIF(negtgel!U$2:BL$2,'Tsalin uzuulelt'!J$2,negtgel!U181:BL181)+SUMIF(negtgel!U$2:BL$2,'Tsalin uzuulelt'!J$3,negtgel!U181:BL181)+SUMIF(negtgel!U$2:BL$2,'Tsalin uzuulelt'!J$4,negtgel!U181:BL181)+SUMIF(negtgel!U$2:BL$2,'Tsalin uzuulelt'!J$5,negtgel!U181:BL181)</f>
      </c>
      <c r="K181">
        <f>SUMIF(negtgel!U$2:BL$2,'Tsalin uzuulelt'!L$1,negtgel!U181:BL181) + SUMIF(negtgel!U$2:BL$2,'Tsalin uzuulelt'!L$2,negtgel!U181:BL181)+SUMIF(negtgel!U$2:BL$2,'Tsalin uzuulelt'!L$3,negtgel!U181:BL181)+SUMIF(negtgel!U$2:BL$2,'Tsalin uzuulelt'!L$4,negtgel!U181:BL181)+SUMIF(negtgel!U$2:BL$2,'Tsalin uzuulelt'!L$5,negtgel!U181:BL181)</f>
      </c>
      <c r="L181">
        <f>SUMIF(negtgel!U$2:BL$2,'Tsalin uzuulelt'!N$1,negtgel!U181:BL181) + SUMIF(negtgel!U$2:BL$2,'Tsalin uzuulelt'!N$2,negtgel!U181:BL181)+SUMIF(negtgel!U$2:BL$2,'Tsalin uzuulelt'!N$3,negtgel!U181:BL181)+SUMIF(negtgel!U$2:BL$2,'Tsalin uzuulelt'!N$4,negtgel!U181:BL181)+SUMIF(negtgel!U$2:BL$2,'Tsalin uzuulelt'!N$5,negtgel!U181:BL181)</f>
      </c>
      <c r="M181">
        <f>SUMIF(negtgel!U$2:BL$2,'Tsalin uzuulelt'!P$1,negtgel!U181:BL181) + SUMIF(negtgel!U$2:BL$2,'Tsalin uzuulelt'!P$2,negtgel!U181:BL181)+ SUMIF(negtgel!U$2:BL$2,'Tsalin uzuulelt'!P$3,negtgel!U181:BL181)+ SUMIF(negtgel!U$2:BL$2,'Tsalin uzuulelt'!P$4,negtgel!U181:BL181)+ SUMIF(negtgel!U$2:BL$2,'Tsalin uzuulelt'!P$5,negtgel!U181:BL181)</f>
      </c>
      <c r="N181">
        <f>IF(ISNUMBER(U181*1)=CF181,0,K181-H181-G181)</f>
      </c>
      <c r="O181">
        <f>IF(ISNUMBER(U181*1)=CF181,0,L181)</f>
      </c>
      <c r="P181">
        <f>IF(ISNUMBER(U181*1)=CF181,0,M181)</f>
      </c>
      <c r="Q181">
        <f>IF(N181&gt;2400000,N181,0)</f>
      </c>
      <c r="R181">
        <f>IF(L181/Q181*100&lt;3,2,10)</f>
      </c>
      <c r="S181">
        <f>IF(CH181=0,0,IF(B181&gt;9,10,IF(B181&gt;8,B181,IF(B181&gt;7.7,7.8,IF(B181&gt;3,B181,IF(B181&gt;1.5,2))))))</f>
      </c>
      <c r="T181">
        <f>IF(Q181=0,S181,R181)</f>
      </c>
      <c r="U181" t="n">
        <v>79.0</v>
      </c>
      <c r="V181" t="s">
        <v>3828</v>
      </c>
      <c r="W181" t="s">
        <v>3792</v>
      </c>
      <c r="X181" t="n">
        <v>539547.0</v>
      </c>
      <c r="Y181" t="n">
        <v>539547.0</v>
      </c>
      <c r="Z181" t="n">
        <v>0.0</v>
      </c>
      <c r="AA181" t="n">
        <v>0.0</v>
      </c>
      <c r="AB181" t="n">
        <v>0.0</v>
      </c>
      <c r="AC181" t="n">
        <v>0.0</v>
      </c>
      <c r="AD181" t="n">
        <v>0.0</v>
      </c>
      <c r="AE181" t="n">
        <v>0.0</v>
      </c>
      <c r="AF181" t="n">
        <v>63000.0</v>
      </c>
      <c r="AG181" t="n">
        <v>0.0</v>
      </c>
      <c r="AH181" t="n">
        <v>0.0</v>
      </c>
      <c r="AI181" t="n">
        <v>0.0</v>
      </c>
      <c r="AJ181" t="n">
        <v>0.0</v>
      </c>
      <c r="AK181" t="n">
        <v>0.0</v>
      </c>
      <c r="AL181" t="n">
        <v>0.0</v>
      </c>
      <c r="AM181" t="n">
        <v>0.0</v>
      </c>
      <c r="AN181" t="n">
        <v>0.0</v>
      </c>
      <c r="AO181" t="n">
        <v>602547.0</v>
      </c>
      <c r="AP181" t="n">
        <v>60254.0</v>
      </c>
      <c r="AQ181" t="n">
        <v>47859.2</v>
      </c>
      <c r="CH181">
        <f>IFERROR(U181*1,0)</f>
      </c>
    </row>
    <row r="182">
      <c r="A182" t="n">
        <v>3.0</v>
      </c>
      <c r="B182">
        <f>IF((K182-G182-H182&gt;2400000),10,(L182/(K182-G182-H182)*100))</f>
      </c>
      <c r="C182">
        <f>IF(N182&gt;2400000,240000,(N182*S182)/100)</f>
      </c>
      <c r="D182">
        <f>IF(S182=0,0,IF((N182-I182)&gt;2400000,((((((N182-I182-J182)-240000))*0.1+(I182+J182)*0.1)))-7000,((((((N182-I182-J182)-(N182-I182-J182)*S182/100)))*0.1+(I182+J182)*0.1)-7000)))</f>
      </c>
      <c r="E182">
        <f>C182-O182</f>
      </c>
      <c r="F182">
        <f>D182-P182</f>
      </c>
      <c r="G182">
        <f>SUMIF(negtgel!U$2:BL$2,'Tsalin uzuulelt'!B$1,negtgel!U182:BL182) + SUMIF(negtgel!U$2:BL$2,'Tsalin uzuulelt'!B$2,negtgel!U182:BL182)+SUMIF(negtgel!U$2:BL$2,'Tsalin uzuulelt'!B$3,negtgel!U182:BL182)+SUMIF(negtgel!U$2:BL$2,'Tsalin uzuulelt'!B$4,negtgel!U182:BL182)+SUMIF(negtgel!U$2:BL$2,'Tsalin uzuulelt'!B$5,negtgel!U182:BL182)</f>
      </c>
      <c r="H182">
        <f>SUMIF(negtgel!U$2:BL$2,'Tsalin uzuulelt'!F$1,negtgel!U182:BL182) + SUMIF(negtgel!U$2:BL$2,'Tsalin uzuulelt'!F$2,negtgel!U182:BL182)+SUMIF(negtgel!U$2:BL$2,'Tsalin uzuulelt'!F$3,negtgel!U182:BL182)+SUMIF(negtgel!U$2:BL$2,'Tsalin uzuulelt'!F$4,negtgel!U182:BL182)+SUMIF(negtgel!U$2:BL$2,'Tsalin uzuulelt'!F$5,negtgel!U182:BL182)</f>
      </c>
      <c r="I182">
        <f>SUMIF(negtgel!U$2:BL$2,'Tsalin uzuulelt'!H$1,negtgel!U182:BL182) + SUMIF(negtgel!U$2:BL$2,'Tsalin uzuulelt'!H$2,negtgel!U182:BL182)+SUMIF(negtgel!U$2:BL$2,'Tsalin uzuulelt'!H$3,negtgel!U182:BL182)+SUMIF(negtgel!U$2:BL$2,'Tsalin uzuulelt'!H$4,negtgel!U182:BL182)+SUMIF(negtgel!U$2:BL$2,'Tsalin uzuulelt'!H$5,negtgel!U182:BL182)</f>
      </c>
      <c r="J182">
        <f>SUMIF(negtgel!U$2:BL$2,'Tsalin uzuulelt'!J$1,negtgel!U182:BL182) + SUMIF(negtgel!U$2:BL$2,'Tsalin uzuulelt'!J$2,negtgel!U182:BL182)+SUMIF(negtgel!U$2:BL$2,'Tsalin uzuulelt'!J$3,negtgel!U182:BL182)+SUMIF(negtgel!U$2:BL$2,'Tsalin uzuulelt'!J$4,negtgel!U182:BL182)+SUMIF(negtgel!U$2:BL$2,'Tsalin uzuulelt'!J$5,negtgel!U182:BL182)</f>
      </c>
      <c r="K182">
        <f>SUMIF(negtgel!U$2:BL$2,'Tsalin uzuulelt'!L$1,negtgel!U182:BL182) + SUMIF(negtgel!U$2:BL$2,'Tsalin uzuulelt'!L$2,negtgel!U182:BL182)+SUMIF(negtgel!U$2:BL$2,'Tsalin uzuulelt'!L$3,negtgel!U182:BL182)+SUMIF(negtgel!U$2:BL$2,'Tsalin uzuulelt'!L$4,negtgel!U182:BL182)+SUMIF(negtgel!U$2:BL$2,'Tsalin uzuulelt'!L$5,negtgel!U182:BL182)</f>
      </c>
      <c r="L182">
        <f>SUMIF(negtgel!U$2:BL$2,'Tsalin uzuulelt'!N$1,negtgel!U182:BL182) + SUMIF(negtgel!U$2:BL$2,'Tsalin uzuulelt'!N$2,negtgel!U182:BL182)+SUMIF(negtgel!U$2:BL$2,'Tsalin uzuulelt'!N$3,negtgel!U182:BL182)+SUMIF(negtgel!U$2:BL$2,'Tsalin uzuulelt'!N$4,negtgel!U182:BL182)+SUMIF(negtgel!U$2:BL$2,'Tsalin uzuulelt'!N$5,negtgel!U182:BL182)</f>
      </c>
      <c r="M182">
        <f>SUMIF(negtgel!U$2:BL$2,'Tsalin uzuulelt'!P$1,negtgel!U182:BL182) + SUMIF(negtgel!U$2:BL$2,'Tsalin uzuulelt'!P$2,negtgel!U182:BL182)+ SUMIF(negtgel!U$2:BL$2,'Tsalin uzuulelt'!P$3,negtgel!U182:BL182)+ SUMIF(negtgel!U$2:BL$2,'Tsalin uzuulelt'!P$4,negtgel!U182:BL182)+ SUMIF(negtgel!U$2:BL$2,'Tsalin uzuulelt'!P$5,negtgel!U182:BL182)</f>
      </c>
      <c r="N182">
        <f>IF(ISNUMBER(U182*1)=CF182,0,K182-H182-G182)</f>
      </c>
      <c r="O182">
        <f>IF(ISNUMBER(U182*1)=CF182,0,L182)</f>
      </c>
      <c r="P182">
        <f>IF(ISNUMBER(U182*1)=CF182,0,M182)</f>
      </c>
      <c r="Q182">
        <f>IF(N182&gt;2400000,N182,0)</f>
      </c>
      <c r="R182">
        <f>IF(L182/Q182*100&lt;3,2,10)</f>
      </c>
      <c r="S182">
        <f>IF(CH182=0,0,IF(B182&gt;9,10,IF(B182&gt;8,B182,IF(B182&gt;7.7,7.8,IF(B182&gt;3,B182,IF(B182&gt;1.5,2))))))</f>
      </c>
      <c r="T182">
        <f>IF(Q182=0,S182,R182)</f>
      </c>
      <c r="U182" t="n">
        <v>80.0</v>
      </c>
      <c r="V182" t="s">
        <v>3829</v>
      </c>
      <c r="W182" t="s">
        <v>3792</v>
      </c>
      <c r="X182" t="n">
        <v>535286.0</v>
      </c>
      <c r="Y182" t="n">
        <v>535286.0</v>
      </c>
      <c r="Z182" t="n">
        <v>0.0</v>
      </c>
      <c r="AA182" t="n">
        <v>0.0</v>
      </c>
      <c r="AB182" t="n">
        <v>0.0</v>
      </c>
      <c r="AC182" t="n">
        <v>0.0</v>
      </c>
      <c r="AD182" t="n">
        <v>0.0</v>
      </c>
      <c r="AE182" t="n">
        <v>0.0</v>
      </c>
      <c r="AF182" t="n">
        <v>63000.0</v>
      </c>
      <c r="AG182" t="n">
        <v>0.0</v>
      </c>
      <c r="AH182" t="n">
        <v>0.0</v>
      </c>
      <c r="AI182" t="n">
        <v>0.0</v>
      </c>
      <c r="AJ182" t="n">
        <v>0.0</v>
      </c>
      <c r="AK182" t="n">
        <v>0.0</v>
      </c>
      <c r="AL182" t="n">
        <v>0.0</v>
      </c>
      <c r="AM182" t="n">
        <v>0.0</v>
      </c>
      <c r="AN182" t="n">
        <v>0.0</v>
      </c>
      <c r="AO182" t="n">
        <v>598286.0</v>
      </c>
      <c r="AP182" t="n">
        <v>59829.0</v>
      </c>
      <c r="AQ182" t="n">
        <v>47475.7</v>
      </c>
      <c r="CH182">
        <f>IFERROR(U182*1,0)</f>
      </c>
    </row>
    <row r="183">
      <c r="A183" t="n">
        <v>3.0</v>
      </c>
      <c r="B183">
        <f>IF((K183-G183-H183&gt;2400000),10,(L183/(K183-G183-H183)*100))</f>
      </c>
      <c r="C183">
        <f>IF(N183&gt;2400000,240000,(N183*S183)/100)</f>
      </c>
      <c r="D183">
        <f>IF(S183=0,0,IF((N183-I183)&gt;2400000,((((((N183-I183-J183)-240000))*0.1+(I183+J183)*0.1)))-7000,((((((N183-I183-J183)-(N183-I183-J183)*S183/100)))*0.1+(I183+J183)*0.1)-7000)))</f>
      </c>
      <c r="E183">
        <f>C183-O183</f>
      </c>
      <c r="F183">
        <f>D183-P183</f>
      </c>
      <c r="G183">
        <f>SUMIF(negtgel!U$2:BL$2,'Tsalin uzuulelt'!B$1,negtgel!U183:BL183) + SUMIF(negtgel!U$2:BL$2,'Tsalin uzuulelt'!B$2,negtgel!U183:BL183)+SUMIF(negtgel!U$2:BL$2,'Tsalin uzuulelt'!B$3,negtgel!U183:BL183)+SUMIF(negtgel!U$2:BL$2,'Tsalin uzuulelt'!B$4,negtgel!U183:BL183)+SUMIF(negtgel!U$2:BL$2,'Tsalin uzuulelt'!B$5,negtgel!U183:BL183)</f>
      </c>
      <c r="H183">
        <f>SUMIF(negtgel!U$2:BL$2,'Tsalin uzuulelt'!F$1,negtgel!U183:BL183) + SUMIF(negtgel!U$2:BL$2,'Tsalin uzuulelt'!F$2,negtgel!U183:BL183)+SUMIF(negtgel!U$2:BL$2,'Tsalin uzuulelt'!F$3,negtgel!U183:BL183)+SUMIF(negtgel!U$2:BL$2,'Tsalin uzuulelt'!F$4,negtgel!U183:BL183)+SUMIF(negtgel!U$2:BL$2,'Tsalin uzuulelt'!F$5,negtgel!U183:BL183)</f>
      </c>
      <c r="I183">
        <f>SUMIF(negtgel!U$2:BL$2,'Tsalin uzuulelt'!H$1,negtgel!U183:BL183) + SUMIF(negtgel!U$2:BL$2,'Tsalin uzuulelt'!H$2,negtgel!U183:BL183)+SUMIF(negtgel!U$2:BL$2,'Tsalin uzuulelt'!H$3,negtgel!U183:BL183)+SUMIF(negtgel!U$2:BL$2,'Tsalin uzuulelt'!H$4,negtgel!U183:BL183)+SUMIF(negtgel!U$2:BL$2,'Tsalin uzuulelt'!H$5,negtgel!U183:BL183)</f>
      </c>
      <c r="J183">
        <f>SUMIF(negtgel!U$2:BL$2,'Tsalin uzuulelt'!J$1,negtgel!U183:BL183) + SUMIF(negtgel!U$2:BL$2,'Tsalin uzuulelt'!J$2,negtgel!U183:BL183)+SUMIF(negtgel!U$2:BL$2,'Tsalin uzuulelt'!J$3,negtgel!U183:BL183)+SUMIF(negtgel!U$2:BL$2,'Tsalin uzuulelt'!J$4,negtgel!U183:BL183)+SUMIF(negtgel!U$2:BL$2,'Tsalin uzuulelt'!J$5,negtgel!U183:BL183)</f>
      </c>
      <c r="K183">
        <f>SUMIF(negtgel!U$2:BL$2,'Tsalin uzuulelt'!L$1,negtgel!U183:BL183) + SUMIF(negtgel!U$2:BL$2,'Tsalin uzuulelt'!L$2,negtgel!U183:BL183)+SUMIF(negtgel!U$2:BL$2,'Tsalin uzuulelt'!L$3,negtgel!U183:BL183)+SUMIF(negtgel!U$2:BL$2,'Tsalin uzuulelt'!L$4,negtgel!U183:BL183)+SUMIF(negtgel!U$2:BL$2,'Tsalin uzuulelt'!L$5,negtgel!U183:BL183)</f>
      </c>
      <c r="L183">
        <f>SUMIF(negtgel!U$2:BL$2,'Tsalin uzuulelt'!N$1,negtgel!U183:BL183) + SUMIF(negtgel!U$2:BL$2,'Tsalin uzuulelt'!N$2,negtgel!U183:BL183)+SUMIF(negtgel!U$2:BL$2,'Tsalin uzuulelt'!N$3,negtgel!U183:BL183)+SUMIF(negtgel!U$2:BL$2,'Tsalin uzuulelt'!N$4,negtgel!U183:BL183)+SUMIF(negtgel!U$2:BL$2,'Tsalin uzuulelt'!N$5,negtgel!U183:BL183)</f>
      </c>
      <c r="M183">
        <f>SUMIF(negtgel!U$2:BL$2,'Tsalin uzuulelt'!P$1,negtgel!U183:BL183) + SUMIF(negtgel!U$2:BL$2,'Tsalin uzuulelt'!P$2,negtgel!U183:BL183)+ SUMIF(negtgel!U$2:BL$2,'Tsalin uzuulelt'!P$3,negtgel!U183:BL183)+ SUMIF(negtgel!U$2:BL$2,'Tsalin uzuulelt'!P$4,negtgel!U183:BL183)+ SUMIF(negtgel!U$2:BL$2,'Tsalin uzuulelt'!P$5,negtgel!U183:BL183)</f>
      </c>
      <c r="N183">
        <f>IF(ISNUMBER(U183*1)=CF183,0,K183-H183-G183)</f>
      </c>
      <c r="O183">
        <f>IF(ISNUMBER(U183*1)=CF183,0,L183)</f>
      </c>
      <c r="P183">
        <f>IF(ISNUMBER(U183*1)=CF183,0,M183)</f>
      </c>
      <c r="Q183">
        <f>IF(N183&gt;2400000,N183,0)</f>
      </c>
      <c r="R183">
        <f>IF(L183/Q183*100&lt;3,2,10)</f>
      </c>
      <c r="S183">
        <f>IF(CH183=0,0,IF(B183&gt;9,10,IF(B183&gt;8,B183,IF(B183&gt;7.7,7.8,IF(B183&gt;3,B183,IF(B183&gt;1.5,2))))))</f>
      </c>
      <c r="T183">
        <f>IF(Q183=0,S183,R183)</f>
      </c>
      <c r="U183" t="n">
        <v>81.0</v>
      </c>
      <c r="V183" t="s">
        <v>3831</v>
      </c>
      <c r="W183" t="s">
        <v>3820</v>
      </c>
      <c r="X183" t="n">
        <v>627465.0</v>
      </c>
      <c r="Y183" t="n">
        <v>388431.0</v>
      </c>
      <c r="Z183" t="n">
        <v>38843.0</v>
      </c>
      <c r="AA183" t="n">
        <v>58265.0</v>
      </c>
      <c r="AB183" t="n">
        <v>0.0</v>
      </c>
      <c r="AC183" t="n">
        <v>0.0</v>
      </c>
      <c r="AD183" t="n">
        <v>0.0</v>
      </c>
      <c r="AE183" t="n">
        <v>0.0</v>
      </c>
      <c r="AF183" t="n">
        <v>39000.0</v>
      </c>
      <c r="AG183" t="n">
        <v>0.0</v>
      </c>
      <c r="AH183" t="n">
        <v>0.0</v>
      </c>
      <c r="AI183" t="n">
        <v>0.0</v>
      </c>
      <c r="AJ183" t="n">
        <v>0.0</v>
      </c>
      <c r="AK183" t="n">
        <v>0.0</v>
      </c>
      <c r="AL183" t="n">
        <v>120639.0</v>
      </c>
      <c r="AM183" t="n">
        <v>0.0</v>
      </c>
      <c r="AN183" t="n">
        <v>0.0</v>
      </c>
      <c r="AO183" t="n">
        <v>645178.0</v>
      </c>
      <c r="AP183" t="n">
        <v>52454.0</v>
      </c>
      <c r="AQ183" t="n">
        <v>40598.5</v>
      </c>
      <c r="CH183">
        <f>IFERROR(U183*1,0)</f>
      </c>
    </row>
    <row r="184">
      <c r="A184" t="n">
        <v>3.0</v>
      </c>
      <c r="B184">
        <f>IF((K184-G184-H184&gt;2400000),10,(L184/(K184-G184-H184)*100))</f>
      </c>
      <c r="C184">
        <f>IF(N184&gt;2400000,240000,(N184*S184)/100)</f>
      </c>
      <c r="D184">
        <f>IF(S184=0,0,IF((N184-I184)&gt;2400000,((((((N184-I184-J184)-240000))*0.1+(I184+J184)*0.1)))-7000,((((((N184-I184-J184)-(N184-I184-J184)*S184/100)))*0.1+(I184+J184)*0.1)-7000)))</f>
      </c>
      <c r="E184">
        <f>C184-O184</f>
      </c>
      <c r="F184">
        <f>D184-P184</f>
      </c>
      <c r="G184">
        <f>SUMIF(negtgel!U$2:BL$2,'Tsalin uzuulelt'!B$1,negtgel!U184:BL184) + SUMIF(negtgel!U$2:BL$2,'Tsalin uzuulelt'!B$2,negtgel!U184:BL184)+SUMIF(negtgel!U$2:BL$2,'Tsalin uzuulelt'!B$3,negtgel!U184:BL184)+SUMIF(negtgel!U$2:BL$2,'Tsalin uzuulelt'!B$4,negtgel!U184:BL184)+SUMIF(negtgel!U$2:BL$2,'Tsalin uzuulelt'!B$5,negtgel!U184:BL184)</f>
      </c>
      <c r="H184">
        <f>SUMIF(negtgel!U$2:BL$2,'Tsalin uzuulelt'!F$1,negtgel!U184:BL184) + SUMIF(negtgel!U$2:BL$2,'Tsalin uzuulelt'!F$2,negtgel!U184:BL184)+SUMIF(negtgel!U$2:BL$2,'Tsalin uzuulelt'!F$3,negtgel!U184:BL184)+SUMIF(negtgel!U$2:BL$2,'Tsalin uzuulelt'!F$4,negtgel!U184:BL184)+SUMIF(negtgel!U$2:BL$2,'Tsalin uzuulelt'!F$5,negtgel!U184:BL184)</f>
      </c>
      <c r="I184">
        <f>SUMIF(negtgel!U$2:BL$2,'Tsalin uzuulelt'!H$1,negtgel!U184:BL184) + SUMIF(negtgel!U$2:BL$2,'Tsalin uzuulelt'!H$2,negtgel!U184:BL184)+SUMIF(negtgel!U$2:BL$2,'Tsalin uzuulelt'!H$3,negtgel!U184:BL184)+SUMIF(negtgel!U$2:BL$2,'Tsalin uzuulelt'!H$4,negtgel!U184:BL184)+SUMIF(negtgel!U$2:BL$2,'Tsalin uzuulelt'!H$5,negtgel!U184:BL184)</f>
      </c>
      <c r="J184">
        <f>SUMIF(negtgel!U$2:BL$2,'Tsalin uzuulelt'!J$1,negtgel!U184:BL184) + SUMIF(negtgel!U$2:BL$2,'Tsalin uzuulelt'!J$2,negtgel!U184:BL184)+SUMIF(negtgel!U$2:BL$2,'Tsalin uzuulelt'!J$3,negtgel!U184:BL184)+SUMIF(negtgel!U$2:BL$2,'Tsalin uzuulelt'!J$4,negtgel!U184:BL184)+SUMIF(negtgel!U$2:BL$2,'Tsalin uzuulelt'!J$5,negtgel!U184:BL184)</f>
      </c>
      <c r="K184">
        <f>SUMIF(negtgel!U$2:BL$2,'Tsalin uzuulelt'!L$1,negtgel!U184:BL184) + SUMIF(negtgel!U$2:BL$2,'Tsalin uzuulelt'!L$2,negtgel!U184:BL184)+SUMIF(negtgel!U$2:BL$2,'Tsalin uzuulelt'!L$3,negtgel!U184:BL184)+SUMIF(negtgel!U$2:BL$2,'Tsalin uzuulelt'!L$4,negtgel!U184:BL184)+SUMIF(negtgel!U$2:BL$2,'Tsalin uzuulelt'!L$5,negtgel!U184:BL184)</f>
      </c>
      <c r="L184">
        <f>SUMIF(negtgel!U$2:BL$2,'Tsalin uzuulelt'!N$1,negtgel!U184:BL184) + SUMIF(negtgel!U$2:BL$2,'Tsalin uzuulelt'!N$2,negtgel!U184:BL184)+SUMIF(negtgel!U$2:BL$2,'Tsalin uzuulelt'!N$3,negtgel!U184:BL184)+SUMIF(negtgel!U$2:BL$2,'Tsalin uzuulelt'!N$4,negtgel!U184:BL184)+SUMIF(negtgel!U$2:BL$2,'Tsalin uzuulelt'!N$5,negtgel!U184:BL184)</f>
      </c>
      <c r="M184">
        <f>SUMIF(negtgel!U$2:BL$2,'Tsalin uzuulelt'!P$1,negtgel!U184:BL184) + SUMIF(negtgel!U$2:BL$2,'Tsalin uzuulelt'!P$2,negtgel!U184:BL184)+ SUMIF(negtgel!U$2:BL$2,'Tsalin uzuulelt'!P$3,negtgel!U184:BL184)+ SUMIF(negtgel!U$2:BL$2,'Tsalin uzuulelt'!P$4,negtgel!U184:BL184)+ SUMIF(negtgel!U$2:BL$2,'Tsalin uzuulelt'!P$5,negtgel!U184:BL184)</f>
      </c>
      <c r="N184">
        <f>IF(ISNUMBER(U184*1)=CF184,0,K184-H184-G184)</f>
      </c>
      <c r="O184">
        <f>IF(ISNUMBER(U184*1)=CF184,0,L184)</f>
      </c>
      <c r="P184">
        <f>IF(ISNUMBER(U184*1)=CF184,0,M184)</f>
      </c>
      <c r="Q184">
        <f>IF(N184&gt;2400000,N184,0)</f>
      </c>
      <c r="R184">
        <f>IF(L184/Q184*100&lt;3,2,10)</f>
      </c>
      <c r="S184">
        <f>IF(CH184=0,0,IF(B184&gt;9,10,IF(B184&gt;8,B184,IF(B184&gt;7.7,7.8,IF(B184&gt;3,B184,IF(B184&gt;1.5,2))))))</f>
      </c>
      <c r="T184">
        <f>IF(Q184=0,S184,R184)</f>
      </c>
      <c r="U184" t="n">
        <v>82.0</v>
      </c>
      <c r="V184" t="s">
        <v>3833</v>
      </c>
      <c r="W184" t="s">
        <v>3790</v>
      </c>
      <c r="X184" t="n">
        <v>613669.0</v>
      </c>
      <c r="Y184" t="n">
        <v>613669.0</v>
      </c>
      <c r="Z184" t="n">
        <v>92050.0</v>
      </c>
      <c r="AA184" t="n">
        <v>104324.0</v>
      </c>
      <c r="AB184" t="n">
        <v>0.0</v>
      </c>
      <c r="AC184" t="n">
        <v>0.0</v>
      </c>
      <c r="AD184" t="n">
        <v>0.0</v>
      </c>
      <c r="AE184" t="n">
        <v>0.0</v>
      </c>
      <c r="AF184" t="n">
        <v>63000.0</v>
      </c>
      <c r="AG184" t="n">
        <v>0.0</v>
      </c>
      <c r="AH184" t="n">
        <v>0.0</v>
      </c>
      <c r="AI184" t="n">
        <v>0.0</v>
      </c>
      <c r="AJ184" t="n">
        <v>0.0</v>
      </c>
      <c r="AK184" t="n">
        <v>0.0</v>
      </c>
      <c r="AL184" t="n">
        <v>0.0</v>
      </c>
      <c r="AM184" t="n">
        <v>0.0</v>
      </c>
      <c r="AN184" t="n">
        <v>0.0</v>
      </c>
      <c r="AO184" t="n">
        <v>873043.0</v>
      </c>
      <c r="AP184" t="n">
        <v>87304.0</v>
      </c>
      <c r="AQ184" t="n">
        <v>72203.9</v>
      </c>
      <c r="CH184">
        <f>IFERROR(U184*1,0)</f>
      </c>
    </row>
    <row r="185">
      <c r="A185" t="n">
        <v>3.0</v>
      </c>
      <c r="B185">
        <f>IF((K185-G185-H185&gt;2400000),10,(L185/(K185-G185-H185)*100))</f>
      </c>
      <c r="C185">
        <f>IF(N185&gt;2400000,240000,(N185*S185)/100)</f>
      </c>
      <c r="D185">
        <f>IF(S185=0,0,IF((N185-I185)&gt;2400000,((((((N185-I185-J185)-240000))*0.1+(I185+J185)*0.1)))-7000,((((((N185-I185-J185)-(N185-I185-J185)*S185/100)))*0.1+(I185+J185)*0.1)-7000)))</f>
      </c>
      <c r="E185">
        <f>C185-O185</f>
      </c>
      <c r="F185">
        <f>D185-P185</f>
      </c>
      <c r="G185">
        <f>SUMIF(negtgel!U$2:BL$2,'Tsalin uzuulelt'!B$1,negtgel!U185:BL185) + SUMIF(negtgel!U$2:BL$2,'Tsalin uzuulelt'!B$2,negtgel!U185:BL185)+SUMIF(negtgel!U$2:BL$2,'Tsalin uzuulelt'!B$3,negtgel!U185:BL185)+SUMIF(negtgel!U$2:BL$2,'Tsalin uzuulelt'!B$4,negtgel!U185:BL185)+SUMIF(negtgel!U$2:BL$2,'Tsalin uzuulelt'!B$5,negtgel!U185:BL185)</f>
      </c>
      <c r="H185">
        <f>SUMIF(negtgel!U$2:BL$2,'Tsalin uzuulelt'!F$1,negtgel!U185:BL185) + SUMIF(negtgel!U$2:BL$2,'Tsalin uzuulelt'!F$2,negtgel!U185:BL185)+SUMIF(negtgel!U$2:BL$2,'Tsalin uzuulelt'!F$3,negtgel!U185:BL185)+SUMIF(negtgel!U$2:BL$2,'Tsalin uzuulelt'!F$4,negtgel!U185:BL185)+SUMIF(negtgel!U$2:BL$2,'Tsalin uzuulelt'!F$5,negtgel!U185:BL185)</f>
      </c>
      <c r="I185">
        <f>SUMIF(negtgel!U$2:BL$2,'Tsalin uzuulelt'!H$1,negtgel!U185:BL185) + SUMIF(negtgel!U$2:BL$2,'Tsalin uzuulelt'!H$2,negtgel!U185:BL185)+SUMIF(negtgel!U$2:BL$2,'Tsalin uzuulelt'!H$3,negtgel!U185:BL185)+SUMIF(negtgel!U$2:BL$2,'Tsalin uzuulelt'!H$4,negtgel!U185:BL185)+SUMIF(negtgel!U$2:BL$2,'Tsalin uzuulelt'!H$5,negtgel!U185:BL185)</f>
      </c>
      <c r="J185">
        <f>SUMIF(negtgel!U$2:BL$2,'Tsalin uzuulelt'!J$1,negtgel!U185:BL185) + SUMIF(negtgel!U$2:BL$2,'Tsalin uzuulelt'!J$2,negtgel!U185:BL185)+SUMIF(negtgel!U$2:BL$2,'Tsalin uzuulelt'!J$3,negtgel!U185:BL185)+SUMIF(negtgel!U$2:BL$2,'Tsalin uzuulelt'!J$4,negtgel!U185:BL185)+SUMIF(negtgel!U$2:BL$2,'Tsalin uzuulelt'!J$5,negtgel!U185:BL185)</f>
      </c>
      <c r="K185">
        <f>SUMIF(negtgel!U$2:BL$2,'Tsalin uzuulelt'!L$1,negtgel!U185:BL185) + SUMIF(negtgel!U$2:BL$2,'Tsalin uzuulelt'!L$2,negtgel!U185:BL185)+SUMIF(negtgel!U$2:BL$2,'Tsalin uzuulelt'!L$3,negtgel!U185:BL185)+SUMIF(negtgel!U$2:BL$2,'Tsalin uzuulelt'!L$4,negtgel!U185:BL185)+SUMIF(negtgel!U$2:BL$2,'Tsalin uzuulelt'!L$5,negtgel!U185:BL185)</f>
      </c>
      <c r="L185">
        <f>SUMIF(negtgel!U$2:BL$2,'Tsalin uzuulelt'!N$1,negtgel!U185:BL185) + SUMIF(negtgel!U$2:BL$2,'Tsalin uzuulelt'!N$2,negtgel!U185:BL185)+SUMIF(negtgel!U$2:BL$2,'Tsalin uzuulelt'!N$3,negtgel!U185:BL185)+SUMIF(negtgel!U$2:BL$2,'Tsalin uzuulelt'!N$4,negtgel!U185:BL185)+SUMIF(negtgel!U$2:BL$2,'Tsalin uzuulelt'!N$5,negtgel!U185:BL185)</f>
      </c>
      <c r="M185">
        <f>SUMIF(negtgel!U$2:BL$2,'Tsalin uzuulelt'!P$1,negtgel!U185:BL185) + SUMIF(negtgel!U$2:BL$2,'Tsalin uzuulelt'!P$2,negtgel!U185:BL185)+ SUMIF(negtgel!U$2:BL$2,'Tsalin uzuulelt'!P$3,negtgel!U185:BL185)+ SUMIF(negtgel!U$2:BL$2,'Tsalin uzuulelt'!P$4,negtgel!U185:BL185)+ SUMIF(negtgel!U$2:BL$2,'Tsalin uzuulelt'!P$5,negtgel!U185:BL185)</f>
      </c>
      <c r="N185">
        <f>IF(ISNUMBER(U185*1)=CF185,0,K185-H185-G185)</f>
      </c>
      <c r="O185">
        <f>IF(ISNUMBER(U185*1)=CF185,0,L185)</f>
      </c>
      <c r="P185">
        <f>IF(ISNUMBER(U185*1)=CF185,0,M185)</f>
      </c>
      <c r="Q185">
        <f>IF(N185&gt;2400000,N185,0)</f>
      </c>
      <c r="R185">
        <f>IF(L185/Q185*100&lt;3,2,10)</f>
      </c>
      <c r="S185">
        <f>IF(CH185=0,0,IF(B185&gt;9,10,IF(B185&gt;8,B185,IF(B185&gt;7.7,7.8,IF(B185&gt;3,B185,IF(B185&gt;1.5,2))))))</f>
      </c>
      <c r="T185">
        <f>IF(Q185=0,S185,R185)</f>
      </c>
      <c r="U185" t="n">
        <v>83.0</v>
      </c>
      <c r="V185" t="s">
        <v>3834</v>
      </c>
      <c r="W185" t="s">
        <v>3792</v>
      </c>
      <c r="X185" t="n">
        <v>550369.0</v>
      </c>
      <c r="Y185" t="n">
        <v>0.0</v>
      </c>
      <c r="Z185" t="n">
        <v>0.0</v>
      </c>
      <c r="AA185" t="n">
        <v>0.0</v>
      </c>
      <c r="AB185" t="n">
        <v>0.0</v>
      </c>
      <c r="AC185" t="n">
        <v>0.0</v>
      </c>
      <c r="AD185" t="n">
        <v>0.0</v>
      </c>
      <c r="AE185" t="n">
        <v>0.0</v>
      </c>
      <c r="AF185" t="n">
        <v>0.0</v>
      </c>
      <c r="AG185" t="n">
        <v>0.0</v>
      </c>
      <c r="AH185" t="n">
        <v>0.0</v>
      </c>
      <c r="AI185" t="n">
        <v>0.0</v>
      </c>
      <c r="AJ185" t="n">
        <v>0.0</v>
      </c>
      <c r="AK185" t="n">
        <v>0.0</v>
      </c>
      <c r="AL185" t="n">
        <v>0.0</v>
      </c>
      <c r="AM185" t="n">
        <v>0.0</v>
      </c>
      <c r="AN185" t="n">
        <v>0.0</v>
      </c>
      <c r="AO185" t="n">
        <v>0.0</v>
      </c>
      <c r="AP185" t="n">
        <v>0.0</v>
      </c>
      <c r="AQ185" t="n">
        <v>0.0</v>
      </c>
      <c r="CH185">
        <f>IFERROR(U185*1,0)</f>
      </c>
    </row>
    <row r="186">
      <c r="A186" t="n">
        <v>3.0</v>
      </c>
      <c r="B186">
        <f>IF((K186-G186-H186&gt;2400000),10,(L186/(K186-G186-H186)*100))</f>
      </c>
      <c r="C186">
        <f>IF(N186&gt;2400000,240000,(N186*S186)/100)</f>
      </c>
      <c r="D186">
        <f>IF(S186=0,0,IF((N186-I186)&gt;2400000,((((((N186-I186-J186)-240000))*0.1+(I186+J186)*0.1)))-7000,((((((N186-I186-J186)-(N186-I186-J186)*S186/100)))*0.1+(I186+J186)*0.1)-7000)))</f>
      </c>
      <c r="E186">
        <f>C186-O186</f>
      </c>
      <c r="F186">
        <f>D186-P186</f>
      </c>
      <c r="G186">
        <f>SUMIF(negtgel!U$2:BL$2,'Tsalin uzuulelt'!B$1,negtgel!U186:BL186) + SUMIF(negtgel!U$2:BL$2,'Tsalin uzuulelt'!B$2,negtgel!U186:BL186)+SUMIF(negtgel!U$2:BL$2,'Tsalin uzuulelt'!B$3,negtgel!U186:BL186)+SUMIF(negtgel!U$2:BL$2,'Tsalin uzuulelt'!B$4,negtgel!U186:BL186)+SUMIF(negtgel!U$2:BL$2,'Tsalin uzuulelt'!B$5,negtgel!U186:BL186)</f>
      </c>
      <c r="H186">
        <f>SUMIF(negtgel!U$2:BL$2,'Tsalin uzuulelt'!F$1,negtgel!U186:BL186) + SUMIF(negtgel!U$2:BL$2,'Tsalin uzuulelt'!F$2,negtgel!U186:BL186)+SUMIF(negtgel!U$2:BL$2,'Tsalin uzuulelt'!F$3,negtgel!U186:BL186)+SUMIF(negtgel!U$2:BL$2,'Tsalin uzuulelt'!F$4,negtgel!U186:BL186)+SUMIF(negtgel!U$2:BL$2,'Tsalin uzuulelt'!F$5,negtgel!U186:BL186)</f>
      </c>
      <c r="I186">
        <f>SUMIF(negtgel!U$2:BL$2,'Tsalin uzuulelt'!H$1,negtgel!U186:BL186) + SUMIF(negtgel!U$2:BL$2,'Tsalin uzuulelt'!H$2,negtgel!U186:BL186)+SUMIF(negtgel!U$2:BL$2,'Tsalin uzuulelt'!H$3,negtgel!U186:BL186)+SUMIF(negtgel!U$2:BL$2,'Tsalin uzuulelt'!H$4,negtgel!U186:BL186)+SUMIF(negtgel!U$2:BL$2,'Tsalin uzuulelt'!H$5,negtgel!U186:BL186)</f>
      </c>
      <c r="J186">
        <f>SUMIF(negtgel!U$2:BL$2,'Tsalin uzuulelt'!J$1,negtgel!U186:BL186) + SUMIF(negtgel!U$2:BL$2,'Tsalin uzuulelt'!J$2,negtgel!U186:BL186)+SUMIF(negtgel!U$2:BL$2,'Tsalin uzuulelt'!J$3,negtgel!U186:BL186)+SUMIF(negtgel!U$2:BL$2,'Tsalin uzuulelt'!J$4,negtgel!U186:BL186)+SUMIF(negtgel!U$2:BL$2,'Tsalin uzuulelt'!J$5,negtgel!U186:BL186)</f>
      </c>
      <c r="K186">
        <f>SUMIF(negtgel!U$2:BL$2,'Tsalin uzuulelt'!L$1,negtgel!U186:BL186) + SUMIF(negtgel!U$2:BL$2,'Tsalin uzuulelt'!L$2,negtgel!U186:BL186)+SUMIF(negtgel!U$2:BL$2,'Tsalin uzuulelt'!L$3,negtgel!U186:BL186)+SUMIF(negtgel!U$2:BL$2,'Tsalin uzuulelt'!L$4,negtgel!U186:BL186)+SUMIF(negtgel!U$2:BL$2,'Tsalin uzuulelt'!L$5,negtgel!U186:BL186)</f>
      </c>
      <c r="L186">
        <f>SUMIF(negtgel!U$2:BL$2,'Tsalin uzuulelt'!N$1,negtgel!U186:BL186) + SUMIF(negtgel!U$2:BL$2,'Tsalin uzuulelt'!N$2,negtgel!U186:BL186)+SUMIF(negtgel!U$2:BL$2,'Tsalin uzuulelt'!N$3,negtgel!U186:BL186)+SUMIF(negtgel!U$2:BL$2,'Tsalin uzuulelt'!N$4,negtgel!U186:BL186)+SUMIF(negtgel!U$2:BL$2,'Tsalin uzuulelt'!N$5,negtgel!U186:BL186)</f>
      </c>
      <c r="M186">
        <f>SUMIF(negtgel!U$2:BL$2,'Tsalin uzuulelt'!P$1,negtgel!U186:BL186) + SUMIF(negtgel!U$2:BL$2,'Tsalin uzuulelt'!P$2,negtgel!U186:BL186)+ SUMIF(negtgel!U$2:BL$2,'Tsalin uzuulelt'!P$3,negtgel!U186:BL186)+ SUMIF(negtgel!U$2:BL$2,'Tsalin uzuulelt'!P$4,negtgel!U186:BL186)+ SUMIF(negtgel!U$2:BL$2,'Tsalin uzuulelt'!P$5,negtgel!U186:BL186)</f>
      </c>
      <c r="N186">
        <f>IF(ISNUMBER(U186*1)=CF186,0,K186-H186-G186)</f>
      </c>
      <c r="O186">
        <f>IF(ISNUMBER(U186*1)=CF186,0,L186)</f>
      </c>
      <c r="P186">
        <f>IF(ISNUMBER(U186*1)=CF186,0,M186)</f>
      </c>
      <c r="Q186">
        <f>IF(N186&gt;2400000,N186,0)</f>
      </c>
      <c r="R186">
        <f>IF(L186/Q186*100&lt;3,2,10)</f>
      </c>
      <c r="S186">
        <f>IF(CH186=0,0,IF(B186&gt;9,10,IF(B186&gt;8,B186,IF(B186&gt;7.7,7.8,IF(B186&gt;3,B186,IF(B186&gt;1.5,2))))))</f>
      </c>
      <c r="T186">
        <f>IF(Q186=0,S186,R186)</f>
      </c>
      <c r="U186" t="n">
        <v>84.0</v>
      </c>
      <c r="V186" t="s">
        <v>3835</v>
      </c>
      <c r="W186" t="s">
        <v>3790</v>
      </c>
      <c r="X186" t="n">
        <v>580710.0</v>
      </c>
      <c r="Y186" t="n">
        <v>525404.0</v>
      </c>
      <c r="Z186" t="n">
        <v>26270.0</v>
      </c>
      <c r="AA186" t="n">
        <v>0.0</v>
      </c>
      <c r="AB186" t="n">
        <v>0.0</v>
      </c>
      <c r="AC186" t="n">
        <v>0.0</v>
      </c>
      <c r="AD186" t="n">
        <v>0.0</v>
      </c>
      <c r="AE186" t="n">
        <v>0.0</v>
      </c>
      <c r="AF186" t="n">
        <v>57000.0</v>
      </c>
      <c r="AG186" t="n">
        <v>0.0</v>
      </c>
      <c r="AH186" t="n">
        <v>0.0</v>
      </c>
      <c r="AI186" t="n">
        <v>0.0</v>
      </c>
      <c r="AJ186" t="n">
        <v>0.0</v>
      </c>
      <c r="AK186" t="n">
        <v>0.0</v>
      </c>
      <c r="AL186" t="n">
        <v>0.0</v>
      </c>
      <c r="AM186" t="n">
        <v>0.0</v>
      </c>
      <c r="AN186" t="n">
        <v>0.0</v>
      </c>
      <c r="AO186" t="n">
        <v>608674.0</v>
      </c>
      <c r="AP186" t="n">
        <v>60866.0</v>
      </c>
      <c r="AQ186" t="n">
        <v>48350.7</v>
      </c>
      <c r="CH186">
        <f>IFERROR(U186*1,0)</f>
      </c>
    </row>
    <row r="187">
      <c r="A187" t="n">
        <v>3.0</v>
      </c>
      <c r="B187">
        <f>IF((K187-G187-H187&gt;2400000),10,(L187/(K187-G187-H187)*100))</f>
      </c>
      <c r="C187">
        <f>IF(N187&gt;2400000,240000,(N187*S187)/100)</f>
      </c>
      <c r="D187">
        <f>IF(S187=0,0,IF((N187-I187)&gt;2400000,((((((N187-I187-J187)-240000))*0.1+(I187+J187)*0.1)))-7000,((((((N187-I187-J187)-(N187-I187-J187)*S187/100)))*0.1+(I187+J187)*0.1)-7000)))</f>
      </c>
      <c r="E187">
        <f>C187-O187</f>
      </c>
      <c r="F187">
        <f>D187-P187</f>
      </c>
      <c r="G187">
        <f>SUMIF(negtgel!U$2:BL$2,'Tsalin uzuulelt'!B$1,negtgel!U187:BL187) + SUMIF(negtgel!U$2:BL$2,'Tsalin uzuulelt'!B$2,negtgel!U187:BL187)+SUMIF(negtgel!U$2:BL$2,'Tsalin uzuulelt'!B$3,negtgel!U187:BL187)+SUMIF(negtgel!U$2:BL$2,'Tsalin uzuulelt'!B$4,negtgel!U187:BL187)+SUMIF(negtgel!U$2:BL$2,'Tsalin uzuulelt'!B$5,negtgel!U187:BL187)</f>
      </c>
      <c r="H187">
        <f>SUMIF(negtgel!U$2:BL$2,'Tsalin uzuulelt'!F$1,negtgel!U187:BL187) + SUMIF(negtgel!U$2:BL$2,'Tsalin uzuulelt'!F$2,negtgel!U187:BL187)+SUMIF(negtgel!U$2:BL$2,'Tsalin uzuulelt'!F$3,negtgel!U187:BL187)+SUMIF(negtgel!U$2:BL$2,'Tsalin uzuulelt'!F$4,negtgel!U187:BL187)+SUMIF(negtgel!U$2:BL$2,'Tsalin uzuulelt'!F$5,negtgel!U187:BL187)</f>
      </c>
      <c r="I187">
        <f>SUMIF(negtgel!U$2:BL$2,'Tsalin uzuulelt'!H$1,negtgel!U187:BL187) + SUMIF(negtgel!U$2:BL$2,'Tsalin uzuulelt'!H$2,negtgel!U187:BL187)+SUMIF(negtgel!U$2:BL$2,'Tsalin uzuulelt'!H$3,negtgel!U187:BL187)+SUMIF(negtgel!U$2:BL$2,'Tsalin uzuulelt'!H$4,negtgel!U187:BL187)+SUMIF(negtgel!U$2:BL$2,'Tsalin uzuulelt'!H$5,negtgel!U187:BL187)</f>
      </c>
      <c r="J187">
        <f>SUMIF(negtgel!U$2:BL$2,'Tsalin uzuulelt'!J$1,negtgel!U187:BL187) + SUMIF(negtgel!U$2:BL$2,'Tsalin uzuulelt'!J$2,negtgel!U187:BL187)+SUMIF(negtgel!U$2:BL$2,'Tsalin uzuulelt'!J$3,negtgel!U187:BL187)+SUMIF(negtgel!U$2:BL$2,'Tsalin uzuulelt'!J$4,negtgel!U187:BL187)+SUMIF(negtgel!U$2:BL$2,'Tsalin uzuulelt'!J$5,negtgel!U187:BL187)</f>
      </c>
      <c r="K187">
        <f>SUMIF(negtgel!U$2:BL$2,'Tsalin uzuulelt'!L$1,negtgel!U187:BL187) + SUMIF(negtgel!U$2:BL$2,'Tsalin uzuulelt'!L$2,negtgel!U187:BL187)+SUMIF(negtgel!U$2:BL$2,'Tsalin uzuulelt'!L$3,negtgel!U187:BL187)+SUMIF(negtgel!U$2:BL$2,'Tsalin uzuulelt'!L$4,negtgel!U187:BL187)+SUMIF(negtgel!U$2:BL$2,'Tsalin uzuulelt'!L$5,negtgel!U187:BL187)</f>
      </c>
      <c r="L187">
        <f>SUMIF(negtgel!U$2:BL$2,'Tsalin uzuulelt'!N$1,negtgel!U187:BL187) + SUMIF(negtgel!U$2:BL$2,'Tsalin uzuulelt'!N$2,negtgel!U187:BL187)+SUMIF(negtgel!U$2:BL$2,'Tsalin uzuulelt'!N$3,negtgel!U187:BL187)+SUMIF(negtgel!U$2:BL$2,'Tsalin uzuulelt'!N$4,negtgel!U187:BL187)+SUMIF(negtgel!U$2:BL$2,'Tsalin uzuulelt'!N$5,negtgel!U187:BL187)</f>
      </c>
      <c r="M187">
        <f>SUMIF(negtgel!U$2:BL$2,'Tsalin uzuulelt'!P$1,negtgel!U187:BL187) + SUMIF(negtgel!U$2:BL$2,'Tsalin uzuulelt'!P$2,negtgel!U187:BL187)+ SUMIF(negtgel!U$2:BL$2,'Tsalin uzuulelt'!P$3,negtgel!U187:BL187)+ SUMIF(negtgel!U$2:BL$2,'Tsalin uzuulelt'!P$4,negtgel!U187:BL187)+ SUMIF(negtgel!U$2:BL$2,'Tsalin uzuulelt'!P$5,negtgel!U187:BL187)</f>
      </c>
      <c r="N187">
        <f>IF(ISNUMBER(U187*1)=CF187,0,K187-H187-G187)</f>
      </c>
      <c r="O187">
        <f>IF(ISNUMBER(U187*1)=CF187,0,L187)</f>
      </c>
      <c r="P187">
        <f>IF(ISNUMBER(U187*1)=CF187,0,M187)</f>
      </c>
      <c r="Q187">
        <f>IF(N187&gt;2400000,N187,0)</f>
      </c>
      <c r="R187">
        <f>IF(L187/Q187*100&lt;3,2,10)</f>
      </c>
      <c r="S187">
        <f>IF(CH187=0,0,IF(B187&gt;9,10,IF(B187&gt;8,B187,IF(B187&gt;7.7,7.8,IF(B187&gt;3,B187,IF(B187&gt;1.5,2))))))</f>
      </c>
      <c r="T187">
        <f>IF(Q187=0,S187,R187)</f>
      </c>
      <c r="U187" t="s">
        <v>3787</v>
      </c>
      <c r="V187"/>
      <c r="W187"/>
      <c r="X187" t="n">
        <v>3994805.0</v>
      </c>
      <c r="Y187" t="n">
        <v>3150096.0</v>
      </c>
      <c r="Z187" t="n">
        <v>157163.0</v>
      </c>
      <c r="AA187" t="n">
        <v>162589.0</v>
      </c>
      <c r="AB187" t="n">
        <v>0.0</v>
      </c>
      <c r="AC187" t="n">
        <v>0.0</v>
      </c>
      <c r="AD187" t="n">
        <v>0.0</v>
      </c>
      <c r="AE187" t="n">
        <v>0.0</v>
      </c>
      <c r="AF187" t="n">
        <v>348000.0</v>
      </c>
      <c r="AG187" t="n">
        <v>0.0</v>
      </c>
      <c r="AH187" t="n">
        <v>0.0</v>
      </c>
      <c r="AI187" t="n">
        <v>0.0</v>
      </c>
      <c r="AJ187" t="n">
        <v>0.0</v>
      </c>
      <c r="AK187" t="n">
        <v>0.0</v>
      </c>
      <c r="AL187" t="n">
        <v>120639.0</v>
      </c>
      <c r="AM187" t="n">
        <v>0.0</v>
      </c>
      <c r="AN187" t="n">
        <v>0.0</v>
      </c>
      <c r="AO187" t="n">
        <v>3938487.0</v>
      </c>
      <c r="AP187" t="n">
        <v>381783.0</v>
      </c>
      <c r="AQ187" t="n">
        <v>305086.3</v>
      </c>
      <c r="CH187">
        <f>IFERROR(U187*1,0)</f>
      </c>
    </row>
    <row r="188">
      <c r="A188" t="n">
        <v>3.0</v>
      </c>
      <c r="B188">
        <f>IF((K188-G188-H188&gt;2400000),10,(L188/(K188-G188-H188)*100))</f>
      </c>
      <c r="C188">
        <f>IF(N188&gt;2400000,240000,(N188*S188)/100)</f>
      </c>
      <c r="D188">
        <f>IF(S188=0,0,IF((N188-I188)&gt;2400000,((((((N188-I188-J188)-240000))*0.1+(I188+J188)*0.1)))-7000,((((((N188-I188-J188)-(N188-I188-J188)*S188/100)))*0.1+(I188+J188)*0.1)-7000)))</f>
      </c>
      <c r="E188">
        <f>C188-O188</f>
      </c>
      <c r="F188">
        <f>D188-P188</f>
      </c>
      <c r="G188">
        <f>SUMIF(negtgel!U$2:BL$2,'Tsalin uzuulelt'!B$1,negtgel!U188:BL188) + SUMIF(negtgel!U$2:BL$2,'Tsalin uzuulelt'!B$2,negtgel!U188:BL188)+SUMIF(negtgel!U$2:BL$2,'Tsalin uzuulelt'!B$3,negtgel!U188:BL188)+SUMIF(negtgel!U$2:BL$2,'Tsalin uzuulelt'!B$4,negtgel!U188:BL188)+SUMIF(negtgel!U$2:BL$2,'Tsalin uzuulelt'!B$5,negtgel!U188:BL188)</f>
      </c>
      <c r="H188">
        <f>SUMIF(negtgel!U$2:BL$2,'Tsalin uzuulelt'!F$1,negtgel!U188:BL188) + SUMIF(negtgel!U$2:BL$2,'Tsalin uzuulelt'!F$2,negtgel!U188:BL188)+SUMIF(negtgel!U$2:BL$2,'Tsalin uzuulelt'!F$3,negtgel!U188:BL188)+SUMIF(negtgel!U$2:BL$2,'Tsalin uzuulelt'!F$4,negtgel!U188:BL188)+SUMIF(negtgel!U$2:BL$2,'Tsalin uzuulelt'!F$5,negtgel!U188:BL188)</f>
      </c>
      <c r="I188">
        <f>SUMIF(negtgel!U$2:BL$2,'Tsalin uzuulelt'!H$1,negtgel!U188:BL188) + SUMIF(negtgel!U$2:BL$2,'Tsalin uzuulelt'!H$2,negtgel!U188:BL188)+SUMIF(negtgel!U$2:BL$2,'Tsalin uzuulelt'!H$3,negtgel!U188:BL188)+SUMIF(negtgel!U$2:BL$2,'Tsalin uzuulelt'!H$4,negtgel!U188:BL188)+SUMIF(negtgel!U$2:BL$2,'Tsalin uzuulelt'!H$5,negtgel!U188:BL188)</f>
      </c>
      <c r="J188">
        <f>SUMIF(negtgel!U$2:BL$2,'Tsalin uzuulelt'!J$1,negtgel!U188:BL188) + SUMIF(negtgel!U$2:BL$2,'Tsalin uzuulelt'!J$2,negtgel!U188:BL188)+SUMIF(negtgel!U$2:BL$2,'Tsalin uzuulelt'!J$3,negtgel!U188:BL188)+SUMIF(negtgel!U$2:BL$2,'Tsalin uzuulelt'!J$4,negtgel!U188:BL188)+SUMIF(negtgel!U$2:BL$2,'Tsalin uzuulelt'!J$5,negtgel!U188:BL188)</f>
      </c>
      <c r="K188">
        <f>SUMIF(negtgel!U$2:BL$2,'Tsalin uzuulelt'!L$1,negtgel!U188:BL188) + SUMIF(negtgel!U$2:BL$2,'Tsalin uzuulelt'!L$2,negtgel!U188:BL188)+SUMIF(negtgel!U$2:BL$2,'Tsalin uzuulelt'!L$3,negtgel!U188:BL188)+SUMIF(negtgel!U$2:BL$2,'Tsalin uzuulelt'!L$4,negtgel!U188:BL188)+SUMIF(negtgel!U$2:BL$2,'Tsalin uzuulelt'!L$5,negtgel!U188:BL188)</f>
      </c>
      <c r="L188">
        <f>SUMIF(negtgel!U$2:BL$2,'Tsalin uzuulelt'!N$1,negtgel!U188:BL188) + SUMIF(negtgel!U$2:BL$2,'Tsalin uzuulelt'!N$2,negtgel!U188:BL188)+SUMIF(negtgel!U$2:BL$2,'Tsalin uzuulelt'!N$3,negtgel!U188:BL188)+SUMIF(negtgel!U$2:BL$2,'Tsalin uzuulelt'!N$4,negtgel!U188:BL188)+SUMIF(negtgel!U$2:BL$2,'Tsalin uzuulelt'!N$5,negtgel!U188:BL188)</f>
      </c>
      <c r="M188">
        <f>SUMIF(negtgel!U$2:BL$2,'Tsalin uzuulelt'!P$1,negtgel!U188:BL188) + SUMIF(negtgel!U$2:BL$2,'Tsalin uzuulelt'!P$2,negtgel!U188:BL188)+ SUMIF(negtgel!U$2:BL$2,'Tsalin uzuulelt'!P$3,negtgel!U188:BL188)+ SUMIF(negtgel!U$2:BL$2,'Tsalin uzuulelt'!P$4,negtgel!U188:BL188)+ SUMIF(negtgel!U$2:BL$2,'Tsalin uzuulelt'!P$5,negtgel!U188:BL188)</f>
      </c>
      <c r="N188">
        <f>IF(ISNUMBER(U188*1)=CF188,0,K188-H188-G188)</f>
      </c>
      <c r="O188">
        <f>IF(ISNUMBER(U188*1)=CF188,0,L188)</f>
      </c>
      <c r="P188">
        <f>IF(ISNUMBER(U188*1)=CF188,0,M188)</f>
      </c>
      <c r="Q188">
        <f>IF(N188&gt;2400000,N188,0)</f>
      </c>
      <c r="R188">
        <f>IF(L188/Q188*100&lt;3,2,10)</f>
      </c>
      <c r="S188">
        <f>IF(CH188=0,0,IF(B188&gt;9,10,IF(B188&gt;8,B188,IF(B188&gt;7.7,7.8,IF(B188&gt;3,B188,IF(B188&gt;1.5,2))))))</f>
      </c>
      <c r="T188">
        <f>IF(Q188=0,S188,R188)</f>
      </c>
      <c r="U188" t="s">
        <v>3836</v>
      </c>
      <c r="V188"/>
      <c r="W188"/>
      <c r="X188"/>
      <c r="Y188"/>
      <c r="Z188"/>
      <c r="AA188"/>
      <c r="AB188"/>
      <c r="AC188"/>
      <c r="AD188"/>
      <c r="AE188"/>
      <c r="AF188"/>
      <c r="AG188"/>
      <c r="AH188"/>
      <c r="AI188"/>
      <c r="AJ188"/>
      <c r="AK188"/>
      <c r="AL188"/>
      <c r="AM188"/>
      <c r="AN188"/>
      <c r="AO188"/>
      <c r="AP188"/>
      <c r="AQ188"/>
      <c r="CH188">
        <f>IFERROR(U188*1,0)</f>
      </c>
    </row>
    <row r="189">
      <c r="A189" t="n">
        <v>3.0</v>
      </c>
      <c r="B189">
        <f>IF((K189-G189-H189&gt;2400000),10,(L189/(K189-G189-H189)*100))</f>
      </c>
      <c r="C189">
        <f>IF(N189&gt;2400000,240000,(N189*S189)/100)</f>
      </c>
      <c r="D189">
        <f>IF(S189=0,0,IF((N189-I189)&gt;2400000,((((((N189-I189-J189)-240000))*0.1+(I189+J189)*0.1)))-7000,((((((N189-I189-J189)-(N189-I189-J189)*S189/100)))*0.1+(I189+J189)*0.1)-7000)))</f>
      </c>
      <c r="E189">
        <f>C189-O189</f>
      </c>
      <c r="F189">
        <f>D189-P189</f>
      </c>
      <c r="G189">
        <f>SUMIF(negtgel!U$2:BL$2,'Tsalin uzuulelt'!B$1,negtgel!U189:BL189) + SUMIF(negtgel!U$2:BL$2,'Tsalin uzuulelt'!B$2,negtgel!U189:BL189)+SUMIF(negtgel!U$2:BL$2,'Tsalin uzuulelt'!B$3,negtgel!U189:BL189)+SUMIF(negtgel!U$2:BL$2,'Tsalin uzuulelt'!B$4,negtgel!U189:BL189)+SUMIF(negtgel!U$2:BL$2,'Tsalin uzuulelt'!B$5,negtgel!U189:BL189)</f>
      </c>
      <c r="H189">
        <f>SUMIF(negtgel!U$2:BL$2,'Tsalin uzuulelt'!F$1,negtgel!U189:BL189) + SUMIF(negtgel!U$2:BL$2,'Tsalin uzuulelt'!F$2,negtgel!U189:BL189)+SUMIF(negtgel!U$2:BL$2,'Tsalin uzuulelt'!F$3,negtgel!U189:BL189)+SUMIF(negtgel!U$2:BL$2,'Tsalin uzuulelt'!F$4,negtgel!U189:BL189)+SUMIF(negtgel!U$2:BL$2,'Tsalin uzuulelt'!F$5,negtgel!U189:BL189)</f>
      </c>
      <c r="I189">
        <f>SUMIF(negtgel!U$2:BL$2,'Tsalin uzuulelt'!H$1,negtgel!U189:BL189) + SUMIF(negtgel!U$2:BL$2,'Tsalin uzuulelt'!H$2,negtgel!U189:BL189)+SUMIF(negtgel!U$2:BL$2,'Tsalin uzuulelt'!H$3,negtgel!U189:BL189)+SUMIF(negtgel!U$2:BL$2,'Tsalin uzuulelt'!H$4,negtgel!U189:BL189)+SUMIF(negtgel!U$2:BL$2,'Tsalin uzuulelt'!H$5,negtgel!U189:BL189)</f>
      </c>
      <c r="J189">
        <f>SUMIF(negtgel!U$2:BL$2,'Tsalin uzuulelt'!J$1,negtgel!U189:BL189) + SUMIF(negtgel!U$2:BL$2,'Tsalin uzuulelt'!J$2,negtgel!U189:BL189)+SUMIF(negtgel!U$2:BL$2,'Tsalin uzuulelt'!J$3,negtgel!U189:BL189)+SUMIF(negtgel!U$2:BL$2,'Tsalin uzuulelt'!J$4,negtgel!U189:BL189)+SUMIF(negtgel!U$2:BL$2,'Tsalin uzuulelt'!J$5,negtgel!U189:BL189)</f>
      </c>
      <c r="K189">
        <f>SUMIF(negtgel!U$2:BL$2,'Tsalin uzuulelt'!L$1,negtgel!U189:BL189) + SUMIF(negtgel!U$2:BL$2,'Tsalin uzuulelt'!L$2,negtgel!U189:BL189)+SUMIF(negtgel!U$2:BL$2,'Tsalin uzuulelt'!L$3,negtgel!U189:BL189)+SUMIF(negtgel!U$2:BL$2,'Tsalin uzuulelt'!L$4,negtgel!U189:BL189)+SUMIF(negtgel!U$2:BL$2,'Tsalin uzuulelt'!L$5,negtgel!U189:BL189)</f>
      </c>
      <c r="L189">
        <f>SUMIF(negtgel!U$2:BL$2,'Tsalin uzuulelt'!N$1,negtgel!U189:BL189) + SUMIF(negtgel!U$2:BL$2,'Tsalin uzuulelt'!N$2,negtgel!U189:BL189)+SUMIF(negtgel!U$2:BL$2,'Tsalin uzuulelt'!N$3,negtgel!U189:BL189)+SUMIF(negtgel!U$2:BL$2,'Tsalin uzuulelt'!N$4,negtgel!U189:BL189)+SUMIF(negtgel!U$2:BL$2,'Tsalin uzuulelt'!N$5,negtgel!U189:BL189)</f>
      </c>
      <c r="M189">
        <f>SUMIF(negtgel!U$2:BL$2,'Tsalin uzuulelt'!P$1,negtgel!U189:BL189) + SUMIF(negtgel!U$2:BL$2,'Tsalin uzuulelt'!P$2,negtgel!U189:BL189)+ SUMIF(negtgel!U$2:BL$2,'Tsalin uzuulelt'!P$3,negtgel!U189:BL189)+ SUMIF(negtgel!U$2:BL$2,'Tsalin uzuulelt'!P$4,negtgel!U189:BL189)+ SUMIF(negtgel!U$2:BL$2,'Tsalin uzuulelt'!P$5,negtgel!U189:BL189)</f>
      </c>
      <c r="N189">
        <f>IF(ISNUMBER(U189*1)=CF189,0,K189-H189-G189)</f>
      </c>
      <c r="O189">
        <f>IF(ISNUMBER(U189*1)=CF189,0,L189)</f>
      </c>
      <c r="P189">
        <f>IF(ISNUMBER(U189*1)=CF189,0,M189)</f>
      </c>
      <c r="Q189">
        <f>IF(N189&gt;2400000,N189,0)</f>
      </c>
      <c r="R189">
        <f>IF(L189/Q189*100&lt;3,2,10)</f>
      </c>
      <c r="S189">
        <f>IF(CH189=0,0,IF(B189&gt;9,10,IF(B189&gt;8,B189,IF(B189&gt;7.7,7.8,IF(B189&gt;3,B189,IF(B189&gt;1.5,2))))))</f>
      </c>
      <c r="T189">
        <f>IF(Q189=0,S189,R189)</f>
      </c>
      <c r="U189" t="n">
        <v>85.0</v>
      </c>
      <c r="V189" t="s">
        <v>3837</v>
      </c>
      <c r="W189" t="s">
        <v>3820</v>
      </c>
      <c r="X189" t="n">
        <v>645556.0</v>
      </c>
      <c r="Y189" t="n">
        <v>645556.0</v>
      </c>
      <c r="Z189" t="n">
        <v>96833.0</v>
      </c>
      <c r="AA189" t="n">
        <v>129111.0</v>
      </c>
      <c r="AB189" t="n">
        <v>0.0</v>
      </c>
      <c r="AC189" t="n">
        <v>0.0</v>
      </c>
      <c r="AD189" t="n">
        <v>0.0</v>
      </c>
      <c r="AE189" t="n">
        <v>0.0</v>
      </c>
      <c r="AF189" t="n">
        <v>63000.0</v>
      </c>
      <c r="AG189" t="n">
        <v>0.0</v>
      </c>
      <c r="AH189" t="n">
        <v>0.0</v>
      </c>
      <c r="AI189" t="n">
        <v>0.0</v>
      </c>
      <c r="AJ189" t="n">
        <v>0.0</v>
      </c>
      <c r="AK189" t="n">
        <v>0.0</v>
      </c>
      <c r="AL189" t="n">
        <v>0.0</v>
      </c>
      <c r="AM189" t="n">
        <v>0.0</v>
      </c>
      <c r="AN189" t="n">
        <v>0.0</v>
      </c>
      <c r="AO189" t="n">
        <v>934500.0</v>
      </c>
      <c r="AP189" t="n">
        <v>93450.0</v>
      </c>
      <c r="AQ189" t="n">
        <v>77735.0</v>
      </c>
      <c r="CH189">
        <f>IFERROR(U189*1,0)</f>
      </c>
    </row>
    <row r="190">
      <c r="A190" t="n">
        <v>3.0</v>
      </c>
      <c r="B190">
        <f>IF((K190-G190-H190&gt;2400000),10,(L190/(K190-G190-H190)*100))</f>
      </c>
      <c r="C190">
        <f>IF(N190&gt;2400000,240000,(N190*S190)/100)</f>
      </c>
      <c r="D190">
        <f>IF(S190=0,0,IF((N190-I190)&gt;2400000,((((((N190-I190-J190)-240000))*0.1+(I190+J190)*0.1)))-7000,((((((N190-I190-J190)-(N190-I190-J190)*S190/100)))*0.1+(I190+J190)*0.1)-7000)))</f>
      </c>
      <c r="E190">
        <f>C190-O190</f>
      </c>
      <c r="F190">
        <f>D190-P190</f>
      </c>
      <c r="G190">
        <f>SUMIF(negtgel!U$2:BL$2,'Tsalin uzuulelt'!B$1,negtgel!U190:BL190) + SUMIF(negtgel!U$2:BL$2,'Tsalin uzuulelt'!B$2,negtgel!U190:BL190)+SUMIF(negtgel!U$2:BL$2,'Tsalin uzuulelt'!B$3,negtgel!U190:BL190)+SUMIF(negtgel!U$2:BL$2,'Tsalin uzuulelt'!B$4,negtgel!U190:BL190)+SUMIF(negtgel!U$2:BL$2,'Tsalin uzuulelt'!B$5,negtgel!U190:BL190)</f>
      </c>
      <c r="H190">
        <f>SUMIF(negtgel!U$2:BL$2,'Tsalin uzuulelt'!F$1,negtgel!U190:BL190) + SUMIF(negtgel!U$2:BL$2,'Tsalin uzuulelt'!F$2,negtgel!U190:BL190)+SUMIF(negtgel!U$2:BL$2,'Tsalin uzuulelt'!F$3,negtgel!U190:BL190)+SUMIF(negtgel!U$2:BL$2,'Tsalin uzuulelt'!F$4,negtgel!U190:BL190)+SUMIF(negtgel!U$2:BL$2,'Tsalin uzuulelt'!F$5,negtgel!U190:BL190)</f>
      </c>
      <c r="I190">
        <f>SUMIF(negtgel!U$2:BL$2,'Tsalin uzuulelt'!H$1,negtgel!U190:BL190) + SUMIF(negtgel!U$2:BL$2,'Tsalin uzuulelt'!H$2,negtgel!U190:BL190)+SUMIF(negtgel!U$2:BL$2,'Tsalin uzuulelt'!H$3,negtgel!U190:BL190)+SUMIF(negtgel!U$2:BL$2,'Tsalin uzuulelt'!H$4,negtgel!U190:BL190)+SUMIF(negtgel!U$2:BL$2,'Tsalin uzuulelt'!H$5,negtgel!U190:BL190)</f>
      </c>
      <c r="J190">
        <f>SUMIF(negtgel!U$2:BL$2,'Tsalin uzuulelt'!J$1,negtgel!U190:BL190) + SUMIF(negtgel!U$2:BL$2,'Tsalin uzuulelt'!J$2,negtgel!U190:BL190)+SUMIF(negtgel!U$2:BL$2,'Tsalin uzuulelt'!J$3,negtgel!U190:BL190)+SUMIF(negtgel!U$2:BL$2,'Tsalin uzuulelt'!J$4,negtgel!U190:BL190)+SUMIF(negtgel!U$2:BL$2,'Tsalin uzuulelt'!J$5,negtgel!U190:BL190)</f>
      </c>
      <c r="K190">
        <f>SUMIF(negtgel!U$2:BL$2,'Tsalin uzuulelt'!L$1,negtgel!U190:BL190) + SUMIF(negtgel!U$2:BL$2,'Tsalin uzuulelt'!L$2,negtgel!U190:BL190)+SUMIF(negtgel!U$2:BL$2,'Tsalin uzuulelt'!L$3,negtgel!U190:BL190)+SUMIF(negtgel!U$2:BL$2,'Tsalin uzuulelt'!L$4,negtgel!U190:BL190)+SUMIF(negtgel!U$2:BL$2,'Tsalin uzuulelt'!L$5,negtgel!U190:BL190)</f>
      </c>
      <c r="L190">
        <f>SUMIF(negtgel!U$2:BL$2,'Tsalin uzuulelt'!N$1,negtgel!U190:BL190) + SUMIF(negtgel!U$2:BL$2,'Tsalin uzuulelt'!N$2,negtgel!U190:BL190)+SUMIF(negtgel!U$2:BL$2,'Tsalin uzuulelt'!N$3,negtgel!U190:BL190)+SUMIF(negtgel!U$2:BL$2,'Tsalin uzuulelt'!N$4,negtgel!U190:BL190)+SUMIF(negtgel!U$2:BL$2,'Tsalin uzuulelt'!N$5,negtgel!U190:BL190)</f>
      </c>
      <c r="M190">
        <f>SUMIF(negtgel!U$2:BL$2,'Tsalin uzuulelt'!P$1,negtgel!U190:BL190) + SUMIF(negtgel!U$2:BL$2,'Tsalin uzuulelt'!P$2,negtgel!U190:BL190)+ SUMIF(negtgel!U$2:BL$2,'Tsalin uzuulelt'!P$3,negtgel!U190:BL190)+ SUMIF(negtgel!U$2:BL$2,'Tsalin uzuulelt'!P$4,negtgel!U190:BL190)+ SUMIF(negtgel!U$2:BL$2,'Tsalin uzuulelt'!P$5,negtgel!U190:BL190)</f>
      </c>
      <c r="N190">
        <f>IF(ISNUMBER(U190*1)=CF190,0,K190-H190-G190)</f>
      </c>
      <c r="O190">
        <f>IF(ISNUMBER(U190*1)=CF190,0,L190)</f>
      </c>
      <c r="P190">
        <f>IF(ISNUMBER(U190*1)=CF190,0,M190)</f>
      </c>
      <c r="Q190">
        <f>IF(N190&gt;2400000,N190,0)</f>
      </c>
      <c r="R190">
        <f>IF(L190/Q190*100&lt;3,2,10)</f>
      </c>
      <c r="S190">
        <f>IF(CH190=0,0,IF(B190&gt;9,10,IF(B190&gt;8,B190,IF(B190&gt;7.7,7.8,IF(B190&gt;3,B190,IF(B190&gt;1.5,2))))))</f>
      </c>
      <c r="T190">
        <f>IF(Q190=0,S190,R190)</f>
      </c>
      <c r="U190" t="n">
        <v>86.0</v>
      </c>
      <c r="V190" t="s">
        <v>3838</v>
      </c>
      <c r="W190" t="s">
        <v>3790</v>
      </c>
      <c r="X190" t="n">
        <v>677436.0</v>
      </c>
      <c r="Y190" t="n">
        <v>677436.0</v>
      </c>
      <c r="Z190" t="n">
        <v>169359.0</v>
      </c>
      <c r="AA190" t="n">
        <v>135487.0</v>
      </c>
      <c r="AB190" t="n">
        <v>0.0</v>
      </c>
      <c r="AC190" t="n">
        <v>0.0</v>
      </c>
      <c r="AD190" t="n">
        <v>0.0</v>
      </c>
      <c r="AE190" t="n">
        <v>0.0</v>
      </c>
      <c r="AF190" t="n">
        <v>63000.0</v>
      </c>
      <c r="AG190" t="n">
        <v>0.0</v>
      </c>
      <c r="AH190" t="n">
        <v>0.0</v>
      </c>
      <c r="AI190" t="n">
        <v>0.0</v>
      </c>
      <c r="AJ190" t="n">
        <v>0.0</v>
      </c>
      <c r="AK190" t="n">
        <v>0.0</v>
      </c>
      <c r="AL190" t="n">
        <v>0.0</v>
      </c>
      <c r="AM190" t="n">
        <v>0.0</v>
      </c>
      <c r="AN190" t="n">
        <v>0.0</v>
      </c>
      <c r="AO190" t="n">
        <v>1045282.0</v>
      </c>
      <c r="AP190" t="n">
        <v>104529.0</v>
      </c>
      <c r="AQ190" t="n">
        <v>87705.4</v>
      </c>
      <c r="CH190">
        <f>IFERROR(U190*1,0)</f>
      </c>
    </row>
    <row r="191">
      <c r="A191" t="n">
        <v>3.0</v>
      </c>
      <c r="B191">
        <f>IF((K191-G191-H191&gt;2400000),10,(L191/(K191-G191-H191)*100))</f>
      </c>
      <c r="C191">
        <f>IF(N191&gt;2400000,240000,(N191*S191)/100)</f>
      </c>
      <c r="D191">
        <f>IF(S191=0,0,IF((N191-I191)&gt;2400000,((((((N191-I191-J191)-240000))*0.1+(I191+J191)*0.1)))-7000,((((((N191-I191-J191)-(N191-I191-J191)*S191/100)))*0.1+(I191+J191)*0.1)-7000)))</f>
      </c>
      <c r="E191">
        <f>C191-O191</f>
      </c>
      <c r="F191">
        <f>D191-P191</f>
      </c>
      <c r="G191">
        <f>SUMIF(negtgel!U$2:BL$2,'Tsalin uzuulelt'!B$1,negtgel!U191:BL191) + SUMIF(negtgel!U$2:BL$2,'Tsalin uzuulelt'!B$2,negtgel!U191:BL191)+SUMIF(negtgel!U$2:BL$2,'Tsalin uzuulelt'!B$3,negtgel!U191:BL191)+SUMIF(negtgel!U$2:BL$2,'Tsalin uzuulelt'!B$4,negtgel!U191:BL191)+SUMIF(negtgel!U$2:BL$2,'Tsalin uzuulelt'!B$5,negtgel!U191:BL191)</f>
      </c>
      <c r="H191">
        <f>SUMIF(negtgel!U$2:BL$2,'Tsalin uzuulelt'!F$1,negtgel!U191:BL191) + SUMIF(negtgel!U$2:BL$2,'Tsalin uzuulelt'!F$2,negtgel!U191:BL191)+SUMIF(negtgel!U$2:BL$2,'Tsalin uzuulelt'!F$3,negtgel!U191:BL191)+SUMIF(negtgel!U$2:BL$2,'Tsalin uzuulelt'!F$4,negtgel!U191:BL191)+SUMIF(negtgel!U$2:BL$2,'Tsalin uzuulelt'!F$5,negtgel!U191:BL191)</f>
      </c>
      <c r="I191">
        <f>SUMIF(negtgel!U$2:BL$2,'Tsalin uzuulelt'!H$1,negtgel!U191:BL191) + SUMIF(negtgel!U$2:BL$2,'Tsalin uzuulelt'!H$2,negtgel!U191:BL191)+SUMIF(negtgel!U$2:BL$2,'Tsalin uzuulelt'!H$3,negtgel!U191:BL191)+SUMIF(negtgel!U$2:BL$2,'Tsalin uzuulelt'!H$4,negtgel!U191:BL191)+SUMIF(negtgel!U$2:BL$2,'Tsalin uzuulelt'!H$5,negtgel!U191:BL191)</f>
      </c>
      <c r="J191">
        <f>SUMIF(negtgel!U$2:BL$2,'Tsalin uzuulelt'!J$1,negtgel!U191:BL191) + SUMIF(negtgel!U$2:BL$2,'Tsalin uzuulelt'!J$2,negtgel!U191:BL191)+SUMIF(negtgel!U$2:BL$2,'Tsalin uzuulelt'!J$3,negtgel!U191:BL191)+SUMIF(negtgel!U$2:BL$2,'Tsalin uzuulelt'!J$4,negtgel!U191:BL191)+SUMIF(negtgel!U$2:BL$2,'Tsalin uzuulelt'!J$5,negtgel!U191:BL191)</f>
      </c>
      <c r="K191">
        <f>SUMIF(negtgel!U$2:BL$2,'Tsalin uzuulelt'!L$1,negtgel!U191:BL191) + SUMIF(negtgel!U$2:BL$2,'Tsalin uzuulelt'!L$2,negtgel!U191:BL191)+SUMIF(negtgel!U$2:BL$2,'Tsalin uzuulelt'!L$3,negtgel!U191:BL191)+SUMIF(negtgel!U$2:BL$2,'Tsalin uzuulelt'!L$4,negtgel!U191:BL191)+SUMIF(negtgel!U$2:BL$2,'Tsalin uzuulelt'!L$5,negtgel!U191:BL191)</f>
      </c>
      <c r="L191">
        <f>SUMIF(negtgel!U$2:BL$2,'Tsalin uzuulelt'!N$1,negtgel!U191:BL191) + SUMIF(negtgel!U$2:BL$2,'Tsalin uzuulelt'!N$2,negtgel!U191:BL191)+SUMIF(negtgel!U$2:BL$2,'Tsalin uzuulelt'!N$3,negtgel!U191:BL191)+SUMIF(negtgel!U$2:BL$2,'Tsalin uzuulelt'!N$4,negtgel!U191:BL191)+SUMIF(negtgel!U$2:BL$2,'Tsalin uzuulelt'!N$5,negtgel!U191:BL191)</f>
      </c>
      <c r="M191">
        <f>SUMIF(negtgel!U$2:BL$2,'Tsalin uzuulelt'!P$1,negtgel!U191:BL191) + SUMIF(negtgel!U$2:BL$2,'Tsalin uzuulelt'!P$2,negtgel!U191:BL191)+ SUMIF(negtgel!U$2:BL$2,'Tsalin uzuulelt'!P$3,negtgel!U191:BL191)+ SUMIF(negtgel!U$2:BL$2,'Tsalin uzuulelt'!P$4,negtgel!U191:BL191)+ SUMIF(negtgel!U$2:BL$2,'Tsalin uzuulelt'!P$5,negtgel!U191:BL191)</f>
      </c>
      <c r="N191">
        <f>IF(ISNUMBER(U191*1)=CF191,0,K191-H191-G191)</f>
      </c>
      <c r="O191">
        <f>IF(ISNUMBER(U191*1)=CF191,0,L191)</f>
      </c>
      <c r="P191">
        <f>IF(ISNUMBER(U191*1)=CF191,0,M191)</f>
      </c>
      <c r="Q191">
        <f>IF(N191&gt;2400000,N191,0)</f>
      </c>
      <c r="R191">
        <f>IF(L191/Q191*100&lt;3,2,10)</f>
      </c>
      <c r="S191">
        <f>IF(CH191=0,0,IF(B191&gt;9,10,IF(B191&gt;8,B191,IF(B191&gt;7.7,7.8,IF(B191&gt;3,B191,IF(B191&gt;1.5,2))))))</f>
      </c>
      <c r="T191">
        <f>IF(Q191=0,S191,R191)</f>
      </c>
      <c r="U191" t="n">
        <v>87.0</v>
      </c>
      <c r="V191" t="s">
        <v>3839</v>
      </c>
      <c r="W191" t="s">
        <v>3790</v>
      </c>
      <c r="X191" t="n">
        <v>677436.0</v>
      </c>
      <c r="Y191" t="n">
        <v>677436.0</v>
      </c>
      <c r="Z191" t="n">
        <v>135487.0</v>
      </c>
      <c r="AA191" t="n">
        <v>149036.0</v>
      </c>
      <c r="AB191" t="n">
        <v>0.0</v>
      </c>
      <c r="AC191" t="n">
        <v>0.0</v>
      </c>
      <c r="AD191" t="n">
        <v>0.0</v>
      </c>
      <c r="AE191" t="n">
        <v>0.0</v>
      </c>
      <c r="AF191" t="n">
        <v>63000.0</v>
      </c>
      <c r="AG191" t="n">
        <v>0.0</v>
      </c>
      <c r="AH191" t="n">
        <v>0.0</v>
      </c>
      <c r="AI191" t="n">
        <v>0.0</v>
      </c>
      <c r="AJ191" t="n">
        <v>0.0</v>
      </c>
      <c r="AK191" t="n">
        <v>0.0</v>
      </c>
      <c r="AL191" t="n">
        <v>0.0</v>
      </c>
      <c r="AM191" t="n">
        <v>0.0</v>
      </c>
      <c r="AN191" t="n">
        <v>0.0</v>
      </c>
      <c r="AO191" t="n">
        <v>1024959.0</v>
      </c>
      <c r="AP191" t="n">
        <v>102496.0</v>
      </c>
      <c r="AQ191" t="n">
        <v>85876.3</v>
      </c>
      <c r="CH191">
        <f>IFERROR(U191*1,0)</f>
      </c>
    </row>
    <row r="192">
      <c r="A192" t="n">
        <v>3.0</v>
      </c>
      <c r="B192">
        <f>IF((K192-G192-H192&gt;2400000),10,(L192/(K192-G192-H192)*100))</f>
      </c>
      <c r="C192">
        <f>IF(N192&gt;2400000,240000,(N192*S192)/100)</f>
      </c>
      <c r="D192">
        <f>IF(S192=0,0,IF((N192-I192)&gt;2400000,((((((N192-I192-J192)-240000))*0.1+(I192+J192)*0.1)))-7000,((((((N192-I192-J192)-(N192-I192-J192)*S192/100)))*0.1+(I192+J192)*0.1)-7000)))</f>
      </c>
      <c r="E192">
        <f>C192-O192</f>
      </c>
      <c r="F192">
        <f>D192-P192</f>
      </c>
      <c r="G192">
        <f>SUMIF(negtgel!U$2:BL$2,'Tsalin uzuulelt'!B$1,negtgel!U192:BL192) + SUMIF(negtgel!U$2:BL$2,'Tsalin uzuulelt'!B$2,negtgel!U192:BL192)+SUMIF(negtgel!U$2:BL$2,'Tsalin uzuulelt'!B$3,negtgel!U192:BL192)+SUMIF(negtgel!U$2:BL$2,'Tsalin uzuulelt'!B$4,negtgel!U192:BL192)+SUMIF(negtgel!U$2:BL$2,'Tsalin uzuulelt'!B$5,negtgel!U192:BL192)</f>
      </c>
      <c r="H192">
        <f>SUMIF(negtgel!U$2:BL$2,'Tsalin uzuulelt'!F$1,negtgel!U192:BL192) + SUMIF(negtgel!U$2:BL$2,'Tsalin uzuulelt'!F$2,negtgel!U192:BL192)+SUMIF(negtgel!U$2:BL$2,'Tsalin uzuulelt'!F$3,negtgel!U192:BL192)+SUMIF(negtgel!U$2:BL$2,'Tsalin uzuulelt'!F$4,negtgel!U192:BL192)+SUMIF(negtgel!U$2:BL$2,'Tsalin uzuulelt'!F$5,negtgel!U192:BL192)</f>
      </c>
      <c r="I192">
        <f>SUMIF(negtgel!U$2:BL$2,'Tsalin uzuulelt'!H$1,negtgel!U192:BL192) + SUMIF(negtgel!U$2:BL$2,'Tsalin uzuulelt'!H$2,negtgel!U192:BL192)+SUMIF(negtgel!U$2:BL$2,'Tsalin uzuulelt'!H$3,negtgel!U192:BL192)+SUMIF(negtgel!U$2:BL$2,'Tsalin uzuulelt'!H$4,negtgel!U192:BL192)+SUMIF(negtgel!U$2:BL$2,'Tsalin uzuulelt'!H$5,negtgel!U192:BL192)</f>
      </c>
      <c r="J192">
        <f>SUMIF(negtgel!U$2:BL$2,'Tsalin uzuulelt'!J$1,negtgel!U192:BL192) + SUMIF(negtgel!U$2:BL$2,'Tsalin uzuulelt'!J$2,negtgel!U192:BL192)+SUMIF(negtgel!U$2:BL$2,'Tsalin uzuulelt'!J$3,negtgel!U192:BL192)+SUMIF(negtgel!U$2:BL$2,'Tsalin uzuulelt'!J$4,negtgel!U192:BL192)+SUMIF(negtgel!U$2:BL$2,'Tsalin uzuulelt'!J$5,negtgel!U192:BL192)</f>
      </c>
      <c r="K192">
        <f>SUMIF(negtgel!U$2:BL$2,'Tsalin uzuulelt'!L$1,negtgel!U192:BL192) + SUMIF(negtgel!U$2:BL$2,'Tsalin uzuulelt'!L$2,negtgel!U192:BL192)+SUMIF(negtgel!U$2:BL$2,'Tsalin uzuulelt'!L$3,negtgel!U192:BL192)+SUMIF(negtgel!U$2:BL$2,'Tsalin uzuulelt'!L$4,negtgel!U192:BL192)+SUMIF(negtgel!U$2:BL$2,'Tsalin uzuulelt'!L$5,negtgel!U192:BL192)</f>
      </c>
      <c r="L192">
        <f>SUMIF(negtgel!U$2:BL$2,'Tsalin uzuulelt'!N$1,negtgel!U192:BL192) + SUMIF(negtgel!U$2:BL$2,'Tsalin uzuulelt'!N$2,negtgel!U192:BL192)+SUMIF(negtgel!U$2:BL$2,'Tsalin uzuulelt'!N$3,negtgel!U192:BL192)+SUMIF(negtgel!U$2:BL$2,'Tsalin uzuulelt'!N$4,negtgel!U192:BL192)+SUMIF(negtgel!U$2:BL$2,'Tsalin uzuulelt'!N$5,negtgel!U192:BL192)</f>
      </c>
      <c r="M192">
        <f>SUMIF(negtgel!U$2:BL$2,'Tsalin uzuulelt'!P$1,negtgel!U192:BL192) + SUMIF(negtgel!U$2:BL$2,'Tsalin uzuulelt'!P$2,negtgel!U192:BL192)+ SUMIF(negtgel!U$2:BL$2,'Tsalin uzuulelt'!P$3,negtgel!U192:BL192)+ SUMIF(negtgel!U$2:BL$2,'Tsalin uzuulelt'!P$4,negtgel!U192:BL192)+ SUMIF(negtgel!U$2:BL$2,'Tsalin uzuulelt'!P$5,negtgel!U192:BL192)</f>
      </c>
      <c r="N192">
        <f>IF(ISNUMBER(U192*1)=CF192,0,K192-H192-G192)</f>
      </c>
      <c r="O192">
        <f>IF(ISNUMBER(U192*1)=CF192,0,L192)</f>
      </c>
      <c r="P192">
        <f>IF(ISNUMBER(U192*1)=CF192,0,M192)</f>
      </c>
      <c r="Q192">
        <f>IF(N192&gt;2400000,N192,0)</f>
      </c>
      <c r="R192">
        <f>IF(L192/Q192*100&lt;3,2,10)</f>
      </c>
      <c r="S192">
        <f>IF(CH192=0,0,IF(B192&gt;9,10,IF(B192&gt;8,B192,IF(B192&gt;7.7,7.8,IF(B192&gt;3,B192,IF(B192&gt;1.5,2))))))</f>
      </c>
      <c r="T192">
        <f>IF(Q192=0,S192,R192)</f>
      </c>
      <c r="U192" t="n">
        <v>88.0</v>
      </c>
      <c r="V192" t="s">
        <v>3840</v>
      </c>
      <c r="W192" t="s">
        <v>3820</v>
      </c>
      <c r="X192" t="n">
        <v>677436.0</v>
      </c>
      <c r="Y192" t="n">
        <v>516142.0</v>
      </c>
      <c r="Z192" t="n">
        <v>103228.0</v>
      </c>
      <c r="AA192" t="n">
        <v>103228.0</v>
      </c>
      <c r="AB192" t="n">
        <v>25807.0</v>
      </c>
      <c r="AC192" t="n">
        <v>0.0</v>
      </c>
      <c r="AD192" t="n">
        <v>0.0</v>
      </c>
      <c r="AE192" t="n">
        <v>0.0</v>
      </c>
      <c r="AF192" t="n">
        <v>48000.0</v>
      </c>
      <c r="AG192" t="n">
        <v>0.0</v>
      </c>
      <c r="AH192" t="n">
        <v>0.0</v>
      </c>
      <c r="AI192" t="n">
        <v>0.0</v>
      </c>
      <c r="AJ192" t="n">
        <v>0.0</v>
      </c>
      <c r="AK192" t="n">
        <v>0.0</v>
      </c>
      <c r="AL192" t="n">
        <v>205564.0</v>
      </c>
      <c r="AM192" t="n">
        <v>0.0</v>
      </c>
      <c r="AN192" t="n">
        <v>0.0</v>
      </c>
      <c r="AO192" t="n">
        <v>1001969.0</v>
      </c>
      <c r="AP192" t="n">
        <v>79640.0</v>
      </c>
      <c r="AQ192" t="n">
        <v>65156.4</v>
      </c>
      <c r="CH192">
        <f>IFERROR(U192*1,0)</f>
      </c>
    </row>
    <row r="193">
      <c r="A193" t="n">
        <v>3.0</v>
      </c>
      <c r="B193">
        <f>IF((K193-G193-H193&gt;2400000),10,(L193/(K193-G193-H193)*100))</f>
      </c>
      <c r="C193">
        <f>IF(N193&gt;2400000,240000,(N193*S193)/100)</f>
      </c>
      <c r="D193">
        <f>IF(S193=0,0,IF((N193-I193)&gt;2400000,((((((N193-I193-J193)-240000))*0.1+(I193+J193)*0.1)))-7000,((((((N193-I193-J193)-(N193-I193-J193)*S193/100)))*0.1+(I193+J193)*0.1)-7000)))</f>
      </c>
      <c r="E193">
        <f>C193-O193</f>
      </c>
      <c r="F193">
        <f>D193-P193</f>
      </c>
      <c r="G193">
        <f>SUMIF(negtgel!U$2:BL$2,'Tsalin uzuulelt'!B$1,negtgel!U193:BL193) + SUMIF(negtgel!U$2:BL$2,'Tsalin uzuulelt'!B$2,negtgel!U193:BL193)+SUMIF(negtgel!U$2:BL$2,'Tsalin uzuulelt'!B$3,negtgel!U193:BL193)+SUMIF(negtgel!U$2:BL$2,'Tsalin uzuulelt'!B$4,negtgel!U193:BL193)+SUMIF(negtgel!U$2:BL$2,'Tsalin uzuulelt'!B$5,negtgel!U193:BL193)</f>
      </c>
      <c r="H193">
        <f>SUMIF(negtgel!U$2:BL$2,'Tsalin uzuulelt'!F$1,negtgel!U193:BL193) + SUMIF(negtgel!U$2:BL$2,'Tsalin uzuulelt'!F$2,negtgel!U193:BL193)+SUMIF(negtgel!U$2:BL$2,'Tsalin uzuulelt'!F$3,negtgel!U193:BL193)+SUMIF(negtgel!U$2:BL$2,'Tsalin uzuulelt'!F$4,negtgel!U193:BL193)+SUMIF(negtgel!U$2:BL$2,'Tsalin uzuulelt'!F$5,negtgel!U193:BL193)</f>
      </c>
      <c r="I193">
        <f>SUMIF(negtgel!U$2:BL$2,'Tsalin uzuulelt'!H$1,negtgel!U193:BL193) + SUMIF(negtgel!U$2:BL$2,'Tsalin uzuulelt'!H$2,negtgel!U193:BL193)+SUMIF(negtgel!U$2:BL$2,'Tsalin uzuulelt'!H$3,negtgel!U193:BL193)+SUMIF(negtgel!U$2:BL$2,'Tsalin uzuulelt'!H$4,negtgel!U193:BL193)+SUMIF(negtgel!U$2:BL$2,'Tsalin uzuulelt'!H$5,negtgel!U193:BL193)</f>
      </c>
      <c r="J193">
        <f>SUMIF(negtgel!U$2:BL$2,'Tsalin uzuulelt'!J$1,negtgel!U193:BL193) + SUMIF(negtgel!U$2:BL$2,'Tsalin uzuulelt'!J$2,negtgel!U193:BL193)+SUMIF(negtgel!U$2:BL$2,'Tsalin uzuulelt'!J$3,negtgel!U193:BL193)+SUMIF(negtgel!U$2:BL$2,'Tsalin uzuulelt'!J$4,negtgel!U193:BL193)+SUMIF(negtgel!U$2:BL$2,'Tsalin uzuulelt'!J$5,negtgel!U193:BL193)</f>
      </c>
      <c r="K193">
        <f>SUMIF(negtgel!U$2:BL$2,'Tsalin uzuulelt'!L$1,negtgel!U193:BL193) + SUMIF(negtgel!U$2:BL$2,'Tsalin uzuulelt'!L$2,negtgel!U193:BL193)+SUMIF(negtgel!U$2:BL$2,'Tsalin uzuulelt'!L$3,negtgel!U193:BL193)+SUMIF(negtgel!U$2:BL$2,'Tsalin uzuulelt'!L$4,negtgel!U193:BL193)+SUMIF(negtgel!U$2:BL$2,'Tsalin uzuulelt'!L$5,negtgel!U193:BL193)</f>
      </c>
      <c r="L193">
        <f>SUMIF(negtgel!U$2:BL$2,'Tsalin uzuulelt'!N$1,negtgel!U193:BL193) + SUMIF(negtgel!U$2:BL$2,'Tsalin uzuulelt'!N$2,negtgel!U193:BL193)+SUMIF(negtgel!U$2:BL$2,'Tsalin uzuulelt'!N$3,negtgel!U193:BL193)+SUMIF(negtgel!U$2:BL$2,'Tsalin uzuulelt'!N$4,negtgel!U193:BL193)+SUMIF(negtgel!U$2:BL$2,'Tsalin uzuulelt'!N$5,negtgel!U193:BL193)</f>
      </c>
      <c r="M193">
        <f>SUMIF(negtgel!U$2:BL$2,'Tsalin uzuulelt'!P$1,negtgel!U193:BL193) + SUMIF(negtgel!U$2:BL$2,'Tsalin uzuulelt'!P$2,negtgel!U193:BL193)+ SUMIF(negtgel!U$2:BL$2,'Tsalin uzuulelt'!P$3,negtgel!U193:BL193)+ SUMIF(negtgel!U$2:BL$2,'Tsalin uzuulelt'!P$4,negtgel!U193:BL193)+ SUMIF(negtgel!U$2:BL$2,'Tsalin uzuulelt'!P$5,negtgel!U193:BL193)</f>
      </c>
      <c r="N193">
        <f>IF(ISNUMBER(U193*1)=CF193,0,K193-H193-G193)</f>
      </c>
      <c r="O193">
        <f>IF(ISNUMBER(U193*1)=CF193,0,L193)</f>
      </c>
      <c r="P193">
        <f>IF(ISNUMBER(U193*1)=CF193,0,M193)</f>
      </c>
      <c r="Q193">
        <f>IF(N193&gt;2400000,N193,0)</f>
      </c>
      <c r="R193">
        <f>IF(L193/Q193*100&lt;3,2,10)</f>
      </c>
      <c r="S193">
        <f>IF(CH193=0,0,IF(B193&gt;9,10,IF(B193&gt;8,B193,IF(B193&gt;7.7,7.8,IF(B193&gt;3,B193,IF(B193&gt;1.5,2))))))</f>
      </c>
      <c r="T193">
        <f>IF(Q193=0,S193,R193)</f>
      </c>
      <c r="U193" t="n">
        <v>89.0</v>
      </c>
      <c r="V193" t="s">
        <v>3841</v>
      </c>
      <c r="W193" t="s">
        <v>3790</v>
      </c>
      <c r="X193" t="n">
        <v>613669.0</v>
      </c>
      <c r="Y193" t="n">
        <v>613669.0</v>
      </c>
      <c r="Z193" t="n">
        <v>30683.0</v>
      </c>
      <c r="AA193" t="n">
        <v>110460.0</v>
      </c>
      <c r="AB193" t="n">
        <v>0.0</v>
      </c>
      <c r="AC193" t="n">
        <v>0.0</v>
      </c>
      <c r="AD193" t="n">
        <v>0.0</v>
      </c>
      <c r="AE193" t="n">
        <v>0.0</v>
      </c>
      <c r="AF193" t="n">
        <v>63000.0</v>
      </c>
      <c r="AG193" t="n">
        <v>0.0</v>
      </c>
      <c r="AH193" t="n">
        <v>0.0</v>
      </c>
      <c r="AI193" t="n">
        <v>0.0</v>
      </c>
      <c r="AJ193" t="n">
        <v>0.0</v>
      </c>
      <c r="AK193" t="n">
        <v>0.0</v>
      </c>
      <c r="AL193" t="n">
        <v>0.0</v>
      </c>
      <c r="AM193" t="n">
        <v>0.0</v>
      </c>
      <c r="AN193" t="n">
        <v>0.0</v>
      </c>
      <c r="AO193" t="n">
        <v>817812.0</v>
      </c>
      <c r="AP193" t="n">
        <v>81781.0</v>
      </c>
      <c r="AQ193" t="n">
        <v>67233.1</v>
      </c>
      <c r="CH193">
        <f>IFERROR(U193*1,0)</f>
      </c>
    </row>
    <row r="194">
      <c r="A194" t="n">
        <v>3.0</v>
      </c>
      <c r="B194">
        <f>IF((K194-G194-H194&gt;2400000),10,(L194/(K194-G194-H194)*100))</f>
      </c>
      <c r="C194">
        <f>IF(N194&gt;2400000,240000,(N194*S194)/100)</f>
      </c>
      <c r="D194">
        <f>IF(S194=0,0,IF((N194-I194)&gt;2400000,((((((N194-I194-J194)-240000))*0.1+(I194+J194)*0.1)))-7000,((((((N194-I194-J194)-(N194-I194-J194)*S194/100)))*0.1+(I194+J194)*0.1)-7000)))</f>
      </c>
      <c r="E194">
        <f>C194-O194</f>
      </c>
      <c r="F194">
        <f>D194-P194</f>
      </c>
      <c r="G194">
        <f>SUMIF(negtgel!U$2:BL$2,'Tsalin uzuulelt'!B$1,negtgel!U194:BL194) + SUMIF(negtgel!U$2:BL$2,'Tsalin uzuulelt'!B$2,negtgel!U194:BL194)+SUMIF(negtgel!U$2:BL$2,'Tsalin uzuulelt'!B$3,negtgel!U194:BL194)+SUMIF(negtgel!U$2:BL$2,'Tsalin uzuulelt'!B$4,negtgel!U194:BL194)+SUMIF(negtgel!U$2:BL$2,'Tsalin uzuulelt'!B$5,negtgel!U194:BL194)</f>
      </c>
      <c r="H194">
        <f>SUMIF(negtgel!U$2:BL$2,'Tsalin uzuulelt'!F$1,negtgel!U194:BL194) + SUMIF(negtgel!U$2:BL$2,'Tsalin uzuulelt'!F$2,negtgel!U194:BL194)+SUMIF(negtgel!U$2:BL$2,'Tsalin uzuulelt'!F$3,negtgel!U194:BL194)+SUMIF(negtgel!U$2:BL$2,'Tsalin uzuulelt'!F$4,negtgel!U194:BL194)+SUMIF(negtgel!U$2:BL$2,'Tsalin uzuulelt'!F$5,negtgel!U194:BL194)</f>
      </c>
      <c r="I194">
        <f>SUMIF(negtgel!U$2:BL$2,'Tsalin uzuulelt'!H$1,negtgel!U194:BL194) + SUMIF(negtgel!U$2:BL$2,'Tsalin uzuulelt'!H$2,negtgel!U194:BL194)+SUMIF(negtgel!U$2:BL$2,'Tsalin uzuulelt'!H$3,negtgel!U194:BL194)+SUMIF(negtgel!U$2:BL$2,'Tsalin uzuulelt'!H$4,negtgel!U194:BL194)+SUMIF(negtgel!U$2:BL$2,'Tsalin uzuulelt'!H$5,negtgel!U194:BL194)</f>
      </c>
      <c r="J194">
        <f>SUMIF(negtgel!U$2:BL$2,'Tsalin uzuulelt'!J$1,negtgel!U194:BL194) + SUMIF(negtgel!U$2:BL$2,'Tsalin uzuulelt'!J$2,negtgel!U194:BL194)+SUMIF(negtgel!U$2:BL$2,'Tsalin uzuulelt'!J$3,negtgel!U194:BL194)+SUMIF(negtgel!U$2:BL$2,'Tsalin uzuulelt'!J$4,negtgel!U194:BL194)+SUMIF(negtgel!U$2:BL$2,'Tsalin uzuulelt'!J$5,negtgel!U194:BL194)</f>
      </c>
      <c r="K194">
        <f>SUMIF(negtgel!U$2:BL$2,'Tsalin uzuulelt'!L$1,negtgel!U194:BL194) + SUMIF(negtgel!U$2:BL$2,'Tsalin uzuulelt'!L$2,negtgel!U194:BL194)+SUMIF(negtgel!U$2:BL$2,'Tsalin uzuulelt'!L$3,negtgel!U194:BL194)+SUMIF(negtgel!U$2:BL$2,'Tsalin uzuulelt'!L$4,negtgel!U194:BL194)+SUMIF(negtgel!U$2:BL$2,'Tsalin uzuulelt'!L$5,negtgel!U194:BL194)</f>
      </c>
      <c r="L194">
        <f>SUMIF(negtgel!U$2:BL$2,'Tsalin uzuulelt'!N$1,negtgel!U194:BL194) + SUMIF(negtgel!U$2:BL$2,'Tsalin uzuulelt'!N$2,negtgel!U194:BL194)+SUMIF(negtgel!U$2:BL$2,'Tsalin uzuulelt'!N$3,negtgel!U194:BL194)+SUMIF(negtgel!U$2:BL$2,'Tsalin uzuulelt'!N$4,negtgel!U194:BL194)+SUMIF(negtgel!U$2:BL$2,'Tsalin uzuulelt'!N$5,negtgel!U194:BL194)</f>
      </c>
      <c r="M194">
        <f>SUMIF(negtgel!U$2:BL$2,'Tsalin uzuulelt'!P$1,negtgel!U194:BL194) + SUMIF(negtgel!U$2:BL$2,'Tsalin uzuulelt'!P$2,negtgel!U194:BL194)+ SUMIF(negtgel!U$2:BL$2,'Tsalin uzuulelt'!P$3,negtgel!U194:BL194)+ SUMIF(negtgel!U$2:BL$2,'Tsalin uzuulelt'!P$4,negtgel!U194:BL194)+ SUMIF(negtgel!U$2:BL$2,'Tsalin uzuulelt'!P$5,negtgel!U194:BL194)</f>
      </c>
      <c r="N194">
        <f>IF(ISNUMBER(U194*1)=CF194,0,K194-H194-G194)</f>
      </c>
      <c r="O194">
        <f>IF(ISNUMBER(U194*1)=CF194,0,L194)</f>
      </c>
      <c r="P194">
        <f>IF(ISNUMBER(U194*1)=CF194,0,M194)</f>
      </c>
      <c r="Q194">
        <f>IF(N194&gt;2400000,N194,0)</f>
      </c>
      <c r="R194">
        <f>IF(L194/Q194*100&lt;3,2,10)</f>
      </c>
      <c r="S194">
        <f>IF(CH194=0,0,IF(B194&gt;9,10,IF(B194&gt;8,B194,IF(B194&gt;7.7,7.8,IF(B194&gt;3,B194,IF(B194&gt;1.5,2))))))</f>
      </c>
      <c r="T194">
        <f>IF(Q194=0,S194,R194)</f>
      </c>
      <c r="U194" t="n">
        <v>90.0</v>
      </c>
      <c r="V194" t="s">
        <v>3842</v>
      </c>
      <c r="W194" t="s">
        <v>3790</v>
      </c>
      <c r="X194" t="n">
        <v>645556.0</v>
      </c>
      <c r="Y194" t="n">
        <v>645556.0</v>
      </c>
      <c r="Z194" t="n">
        <v>109745.0</v>
      </c>
      <c r="AA194" t="n">
        <v>64556.0</v>
      </c>
      <c r="AB194" t="n">
        <v>0.0</v>
      </c>
      <c r="AC194" t="n">
        <v>0.0</v>
      </c>
      <c r="AD194" t="n">
        <v>0.0</v>
      </c>
      <c r="AE194" t="n">
        <v>0.0</v>
      </c>
      <c r="AF194" t="n">
        <v>63000.0</v>
      </c>
      <c r="AG194" t="n">
        <v>0.0</v>
      </c>
      <c r="AH194" t="n">
        <v>0.0</v>
      </c>
      <c r="AI194" t="n">
        <v>0.0</v>
      </c>
      <c r="AJ194" t="n">
        <v>0.0</v>
      </c>
      <c r="AK194" t="n">
        <v>0.0</v>
      </c>
      <c r="AL194" t="n">
        <v>0.0</v>
      </c>
      <c r="AM194" t="n">
        <v>0.0</v>
      </c>
      <c r="AN194" t="n">
        <v>0.0</v>
      </c>
      <c r="AO194" t="n">
        <v>882857.0</v>
      </c>
      <c r="AP194" t="n">
        <v>88286.0</v>
      </c>
      <c r="AQ194" t="n">
        <v>73087.1</v>
      </c>
      <c r="CH194">
        <f>IFERROR(U194*1,0)</f>
      </c>
    </row>
    <row r="195">
      <c r="A195" t="n">
        <v>3.0</v>
      </c>
      <c r="B195">
        <f>IF((K195-G195-H195&gt;2400000),10,(L195/(K195-G195-H195)*100))</f>
      </c>
      <c r="C195">
        <f>IF(N195&gt;2400000,240000,(N195*S195)/100)</f>
      </c>
      <c r="D195">
        <f>IF(S195=0,0,IF((N195-I195)&gt;2400000,((((((N195-I195-J195)-240000))*0.1+(I195+J195)*0.1)))-7000,((((((N195-I195-J195)-(N195-I195-J195)*S195/100)))*0.1+(I195+J195)*0.1)-7000)))</f>
      </c>
      <c r="E195">
        <f>C195-O195</f>
      </c>
      <c r="F195">
        <f>D195-P195</f>
      </c>
      <c r="G195">
        <f>SUMIF(negtgel!U$2:BL$2,'Tsalin uzuulelt'!B$1,negtgel!U195:BL195) + SUMIF(negtgel!U$2:BL$2,'Tsalin uzuulelt'!B$2,negtgel!U195:BL195)+SUMIF(negtgel!U$2:BL$2,'Tsalin uzuulelt'!B$3,negtgel!U195:BL195)+SUMIF(negtgel!U$2:BL$2,'Tsalin uzuulelt'!B$4,negtgel!U195:BL195)+SUMIF(negtgel!U$2:BL$2,'Tsalin uzuulelt'!B$5,negtgel!U195:BL195)</f>
      </c>
      <c r="H195">
        <f>SUMIF(negtgel!U$2:BL$2,'Tsalin uzuulelt'!F$1,negtgel!U195:BL195) + SUMIF(negtgel!U$2:BL$2,'Tsalin uzuulelt'!F$2,negtgel!U195:BL195)+SUMIF(negtgel!U$2:BL$2,'Tsalin uzuulelt'!F$3,negtgel!U195:BL195)+SUMIF(negtgel!U$2:BL$2,'Tsalin uzuulelt'!F$4,negtgel!U195:BL195)+SUMIF(negtgel!U$2:BL$2,'Tsalin uzuulelt'!F$5,negtgel!U195:BL195)</f>
      </c>
      <c r="I195">
        <f>SUMIF(negtgel!U$2:BL$2,'Tsalin uzuulelt'!H$1,negtgel!U195:BL195) + SUMIF(negtgel!U$2:BL$2,'Tsalin uzuulelt'!H$2,negtgel!U195:BL195)+SUMIF(negtgel!U$2:BL$2,'Tsalin uzuulelt'!H$3,negtgel!U195:BL195)+SUMIF(negtgel!U$2:BL$2,'Tsalin uzuulelt'!H$4,negtgel!U195:BL195)+SUMIF(negtgel!U$2:BL$2,'Tsalin uzuulelt'!H$5,negtgel!U195:BL195)</f>
      </c>
      <c r="J195">
        <f>SUMIF(negtgel!U$2:BL$2,'Tsalin uzuulelt'!J$1,negtgel!U195:BL195) + SUMIF(negtgel!U$2:BL$2,'Tsalin uzuulelt'!J$2,negtgel!U195:BL195)+SUMIF(negtgel!U$2:BL$2,'Tsalin uzuulelt'!J$3,negtgel!U195:BL195)+SUMIF(negtgel!U$2:BL$2,'Tsalin uzuulelt'!J$4,negtgel!U195:BL195)+SUMIF(negtgel!U$2:BL$2,'Tsalin uzuulelt'!J$5,negtgel!U195:BL195)</f>
      </c>
      <c r="K195">
        <f>SUMIF(negtgel!U$2:BL$2,'Tsalin uzuulelt'!L$1,negtgel!U195:BL195) + SUMIF(negtgel!U$2:BL$2,'Tsalin uzuulelt'!L$2,negtgel!U195:BL195)+SUMIF(negtgel!U$2:BL$2,'Tsalin uzuulelt'!L$3,negtgel!U195:BL195)+SUMIF(negtgel!U$2:BL$2,'Tsalin uzuulelt'!L$4,negtgel!U195:BL195)+SUMIF(negtgel!U$2:BL$2,'Tsalin uzuulelt'!L$5,negtgel!U195:BL195)</f>
      </c>
      <c r="L195">
        <f>SUMIF(negtgel!U$2:BL$2,'Tsalin uzuulelt'!N$1,negtgel!U195:BL195) + SUMIF(negtgel!U$2:BL$2,'Tsalin uzuulelt'!N$2,negtgel!U195:BL195)+SUMIF(negtgel!U$2:BL$2,'Tsalin uzuulelt'!N$3,negtgel!U195:BL195)+SUMIF(negtgel!U$2:BL$2,'Tsalin uzuulelt'!N$4,negtgel!U195:BL195)+SUMIF(negtgel!U$2:BL$2,'Tsalin uzuulelt'!N$5,negtgel!U195:BL195)</f>
      </c>
      <c r="M195">
        <f>SUMIF(negtgel!U$2:BL$2,'Tsalin uzuulelt'!P$1,negtgel!U195:BL195) + SUMIF(negtgel!U$2:BL$2,'Tsalin uzuulelt'!P$2,negtgel!U195:BL195)+ SUMIF(negtgel!U$2:BL$2,'Tsalin uzuulelt'!P$3,negtgel!U195:BL195)+ SUMIF(negtgel!U$2:BL$2,'Tsalin uzuulelt'!P$4,negtgel!U195:BL195)+ SUMIF(negtgel!U$2:BL$2,'Tsalin uzuulelt'!P$5,negtgel!U195:BL195)</f>
      </c>
      <c r="N195">
        <f>IF(ISNUMBER(U195*1)=CF195,0,K195-H195-G195)</f>
      </c>
      <c r="O195">
        <f>IF(ISNUMBER(U195*1)=CF195,0,L195)</f>
      </c>
      <c r="P195">
        <f>IF(ISNUMBER(U195*1)=CF195,0,M195)</f>
      </c>
      <c r="Q195">
        <f>IF(N195&gt;2400000,N195,0)</f>
      </c>
      <c r="R195">
        <f>IF(L195/Q195*100&lt;3,2,10)</f>
      </c>
      <c r="S195">
        <f>IF(CH195=0,0,IF(B195&gt;9,10,IF(B195&gt;8,B195,IF(B195&gt;7.7,7.8,IF(B195&gt;3,B195,IF(B195&gt;1.5,2))))))</f>
      </c>
      <c r="T195">
        <f>IF(Q195=0,S195,R195)</f>
      </c>
      <c r="U195" t="n">
        <v>91.0</v>
      </c>
      <c r="V195" t="s">
        <v>3843</v>
      </c>
      <c r="W195" t="s">
        <v>3820</v>
      </c>
      <c r="X195" t="n">
        <v>698795.0</v>
      </c>
      <c r="Y195" t="n">
        <v>698795.0</v>
      </c>
      <c r="Z195" t="n">
        <v>139759.0</v>
      </c>
      <c r="AA195" t="n">
        <v>125783.0</v>
      </c>
      <c r="AB195" t="n">
        <v>0.0</v>
      </c>
      <c r="AC195" t="n">
        <v>0.0</v>
      </c>
      <c r="AD195" t="n">
        <v>0.0</v>
      </c>
      <c r="AE195" t="n">
        <v>0.0</v>
      </c>
      <c r="AF195" t="n">
        <v>63000.0</v>
      </c>
      <c r="AG195" t="n">
        <v>0.0</v>
      </c>
      <c r="AH195" t="n">
        <v>0.0</v>
      </c>
      <c r="AI195" t="n">
        <v>0.0</v>
      </c>
      <c r="AJ195" t="n">
        <v>0.0</v>
      </c>
      <c r="AK195" t="n">
        <v>0.0</v>
      </c>
      <c r="AL195" t="n">
        <v>0.0</v>
      </c>
      <c r="AM195" t="n">
        <v>0.0</v>
      </c>
      <c r="AN195" t="n">
        <v>0.0</v>
      </c>
      <c r="AO195" t="n">
        <v>1027337.0</v>
      </c>
      <c r="AP195" t="n">
        <v>102735.0</v>
      </c>
      <c r="AQ195" t="n">
        <v>86090.3</v>
      </c>
      <c r="CH195">
        <f>IFERROR(U195*1,0)</f>
      </c>
    </row>
    <row r="196">
      <c r="A196" t="n">
        <v>3.0</v>
      </c>
      <c r="B196">
        <f>IF((K196-G196-H196&gt;2400000),10,(L196/(K196-G196-H196)*100))</f>
      </c>
      <c r="C196">
        <f>IF(N196&gt;2400000,240000,(N196*S196)/100)</f>
      </c>
      <c r="D196">
        <f>IF(S196=0,0,IF((N196-I196)&gt;2400000,((((((N196-I196-J196)-240000))*0.1+(I196+J196)*0.1)))-7000,((((((N196-I196-J196)-(N196-I196-J196)*S196/100)))*0.1+(I196+J196)*0.1)-7000)))</f>
      </c>
      <c r="E196">
        <f>C196-O196</f>
      </c>
      <c r="F196">
        <f>D196-P196</f>
      </c>
      <c r="G196">
        <f>SUMIF(negtgel!U$2:BL$2,'Tsalin uzuulelt'!B$1,negtgel!U196:BL196) + SUMIF(negtgel!U$2:BL$2,'Tsalin uzuulelt'!B$2,negtgel!U196:BL196)+SUMIF(negtgel!U$2:BL$2,'Tsalin uzuulelt'!B$3,negtgel!U196:BL196)+SUMIF(negtgel!U$2:BL$2,'Tsalin uzuulelt'!B$4,negtgel!U196:BL196)+SUMIF(negtgel!U$2:BL$2,'Tsalin uzuulelt'!B$5,negtgel!U196:BL196)</f>
      </c>
      <c r="H196">
        <f>SUMIF(negtgel!U$2:BL$2,'Tsalin uzuulelt'!F$1,negtgel!U196:BL196) + SUMIF(negtgel!U$2:BL$2,'Tsalin uzuulelt'!F$2,negtgel!U196:BL196)+SUMIF(negtgel!U$2:BL$2,'Tsalin uzuulelt'!F$3,negtgel!U196:BL196)+SUMIF(negtgel!U$2:BL$2,'Tsalin uzuulelt'!F$4,negtgel!U196:BL196)+SUMIF(negtgel!U$2:BL$2,'Tsalin uzuulelt'!F$5,negtgel!U196:BL196)</f>
      </c>
      <c r="I196">
        <f>SUMIF(negtgel!U$2:BL$2,'Tsalin uzuulelt'!H$1,negtgel!U196:BL196) + SUMIF(negtgel!U$2:BL$2,'Tsalin uzuulelt'!H$2,negtgel!U196:BL196)+SUMIF(negtgel!U$2:BL$2,'Tsalin uzuulelt'!H$3,negtgel!U196:BL196)+SUMIF(negtgel!U$2:BL$2,'Tsalin uzuulelt'!H$4,negtgel!U196:BL196)+SUMIF(negtgel!U$2:BL$2,'Tsalin uzuulelt'!H$5,negtgel!U196:BL196)</f>
      </c>
      <c r="J196">
        <f>SUMIF(negtgel!U$2:BL$2,'Tsalin uzuulelt'!J$1,negtgel!U196:BL196) + SUMIF(negtgel!U$2:BL$2,'Tsalin uzuulelt'!J$2,negtgel!U196:BL196)+SUMIF(negtgel!U$2:BL$2,'Tsalin uzuulelt'!J$3,negtgel!U196:BL196)+SUMIF(negtgel!U$2:BL$2,'Tsalin uzuulelt'!J$4,negtgel!U196:BL196)+SUMIF(negtgel!U$2:BL$2,'Tsalin uzuulelt'!J$5,negtgel!U196:BL196)</f>
      </c>
      <c r="K196">
        <f>SUMIF(negtgel!U$2:BL$2,'Tsalin uzuulelt'!L$1,negtgel!U196:BL196) + SUMIF(negtgel!U$2:BL$2,'Tsalin uzuulelt'!L$2,negtgel!U196:BL196)+SUMIF(negtgel!U$2:BL$2,'Tsalin uzuulelt'!L$3,negtgel!U196:BL196)+SUMIF(negtgel!U$2:BL$2,'Tsalin uzuulelt'!L$4,negtgel!U196:BL196)+SUMIF(negtgel!U$2:BL$2,'Tsalin uzuulelt'!L$5,negtgel!U196:BL196)</f>
      </c>
      <c r="L196">
        <f>SUMIF(negtgel!U$2:BL$2,'Tsalin uzuulelt'!N$1,negtgel!U196:BL196) + SUMIF(negtgel!U$2:BL$2,'Tsalin uzuulelt'!N$2,negtgel!U196:BL196)+SUMIF(negtgel!U$2:BL$2,'Tsalin uzuulelt'!N$3,negtgel!U196:BL196)+SUMIF(negtgel!U$2:BL$2,'Tsalin uzuulelt'!N$4,negtgel!U196:BL196)+SUMIF(negtgel!U$2:BL$2,'Tsalin uzuulelt'!N$5,negtgel!U196:BL196)</f>
      </c>
      <c r="M196">
        <f>SUMIF(negtgel!U$2:BL$2,'Tsalin uzuulelt'!P$1,negtgel!U196:BL196) + SUMIF(negtgel!U$2:BL$2,'Tsalin uzuulelt'!P$2,negtgel!U196:BL196)+ SUMIF(negtgel!U$2:BL$2,'Tsalin uzuulelt'!P$3,negtgel!U196:BL196)+ SUMIF(negtgel!U$2:BL$2,'Tsalin uzuulelt'!P$4,negtgel!U196:BL196)+ SUMIF(negtgel!U$2:BL$2,'Tsalin uzuulelt'!P$5,negtgel!U196:BL196)</f>
      </c>
      <c r="N196">
        <f>IF(ISNUMBER(U196*1)=CF196,0,K196-H196-G196)</f>
      </c>
      <c r="O196">
        <f>IF(ISNUMBER(U196*1)=CF196,0,L196)</f>
      </c>
      <c r="P196">
        <f>IF(ISNUMBER(U196*1)=CF196,0,M196)</f>
      </c>
      <c r="Q196">
        <f>IF(N196&gt;2400000,N196,0)</f>
      </c>
      <c r="R196">
        <f>IF(L196/Q196*100&lt;3,2,10)</f>
      </c>
      <c r="S196">
        <f>IF(CH196=0,0,IF(B196&gt;9,10,IF(B196&gt;8,B196,IF(B196&gt;7.7,7.8,IF(B196&gt;3,B196,IF(B196&gt;1.5,2))))))</f>
      </c>
      <c r="T196">
        <f>IF(Q196=0,S196,R196)</f>
      </c>
      <c r="U196" t="n">
        <v>92.0</v>
      </c>
      <c r="V196" t="s">
        <v>3853</v>
      </c>
      <c r="W196" t="s">
        <v>3790</v>
      </c>
      <c r="X196" t="n">
        <v>613669.0</v>
      </c>
      <c r="Y196" t="n">
        <v>613669.0</v>
      </c>
      <c r="Z196" t="n">
        <v>30683.0</v>
      </c>
      <c r="AA196" t="n">
        <v>92050.0</v>
      </c>
      <c r="AB196" t="n">
        <v>0.0</v>
      </c>
      <c r="AC196" t="n">
        <v>0.0</v>
      </c>
      <c r="AD196" t="n">
        <v>0.0</v>
      </c>
      <c r="AE196" t="n">
        <v>0.0</v>
      </c>
      <c r="AF196" t="n">
        <v>63000.0</v>
      </c>
      <c r="AG196" t="n">
        <v>0.0</v>
      </c>
      <c r="AH196" t="n">
        <v>0.0</v>
      </c>
      <c r="AI196" t="n">
        <v>0.0</v>
      </c>
      <c r="AJ196" t="n">
        <v>0.0</v>
      </c>
      <c r="AK196" t="n">
        <v>0.0</v>
      </c>
      <c r="AL196" t="n">
        <v>0.0</v>
      </c>
      <c r="AM196" t="n">
        <v>0.0</v>
      </c>
      <c r="AN196" t="n">
        <v>0.0</v>
      </c>
      <c r="AO196" t="n">
        <v>799402.0</v>
      </c>
      <c r="AP196" t="n">
        <v>79940.0</v>
      </c>
      <c r="AQ196" t="n">
        <v>65576.2</v>
      </c>
      <c r="CH196">
        <f>IFERROR(U196*1,0)</f>
      </c>
    </row>
    <row r="197">
      <c r="A197" t="n">
        <v>3.0</v>
      </c>
      <c r="B197">
        <f>IF((K197-G197-H197&gt;2400000),10,(L197/(K197-G197-H197)*100))</f>
      </c>
      <c r="C197">
        <f>IF(N197&gt;2400000,240000,(N197*S197)/100)</f>
      </c>
      <c r="D197">
        <f>IF(S197=0,0,IF((N197-I197)&gt;2400000,((((((N197-I197-J197)-240000))*0.1+(I197+J197)*0.1)))-7000,((((((N197-I197-J197)-(N197-I197-J197)*S197/100)))*0.1+(I197+J197)*0.1)-7000)))</f>
      </c>
      <c r="E197">
        <f>C197-O197</f>
      </c>
      <c r="F197">
        <f>D197-P197</f>
      </c>
      <c r="G197">
        <f>SUMIF(negtgel!U$2:BL$2,'Tsalin uzuulelt'!B$1,negtgel!U197:BL197) + SUMIF(negtgel!U$2:BL$2,'Tsalin uzuulelt'!B$2,negtgel!U197:BL197)+SUMIF(negtgel!U$2:BL$2,'Tsalin uzuulelt'!B$3,negtgel!U197:BL197)+SUMIF(negtgel!U$2:BL$2,'Tsalin uzuulelt'!B$4,negtgel!U197:BL197)+SUMIF(negtgel!U$2:BL$2,'Tsalin uzuulelt'!B$5,negtgel!U197:BL197)</f>
      </c>
      <c r="H197">
        <f>SUMIF(negtgel!U$2:BL$2,'Tsalin uzuulelt'!F$1,negtgel!U197:BL197) + SUMIF(negtgel!U$2:BL$2,'Tsalin uzuulelt'!F$2,negtgel!U197:BL197)+SUMIF(negtgel!U$2:BL$2,'Tsalin uzuulelt'!F$3,negtgel!U197:BL197)+SUMIF(negtgel!U$2:BL$2,'Tsalin uzuulelt'!F$4,negtgel!U197:BL197)+SUMIF(negtgel!U$2:BL$2,'Tsalin uzuulelt'!F$5,negtgel!U197:BL197)</f>
      </c>
      <c r="I197">
        <f>SUMIF(negtgel!U$2:BL$2,'Tsalin uzuulelt'!H$1,negtgel!U197:BL197) + SUMIF(negtgel!U$2:BL$2,'Tsalin uzuulelt'!H$2,negtgel!U197:BL197)+SUMIF(negtgel!U$2:BL$2,'Tsalin uzuulelt'!H$3,negtgel!U197:BL197)+SUMIF(negtgel!U$2:BL$2,'Tsalin uzuulelt'!H$4,negtgel!U197:BL197)+SUMIF(negtgel!U$2:BL$2,'Tsalin uzuulelt'!H$5,negtgel!U197:BL197)</f>
      </c>
      <c r="J197">
        <f>SUMIF(negtgel!U$2:BL$2,'Tsalin uzuulelt'!J$1,negtgel!U197:BL197) + SUMIF(negtgel!U$2:BL$2,'Tsalin uzuulelt'!J$2,negtgel!U197:BL197)+SUMIF(negtgel!U$2:BL$2,'Tsalin uzuulelt'!J$3,negtgel!U197:BL197)+SUMIF(negtgel!U$2:BL$2,'Tsalin uzuulelt'!J$4,negtgel!U197:BL197)+SUMIF(negtgel!U$2:BL$2,'Tsalin uzuulelt'!J$5,negtgel!U197:BL197)</f>
      </c>
      <c r="K197">
        <f>SUMIF(negtgel!U$2:BL$2,'Tsalin uzuulelt'!L$1,negtgel!U197:BL197) + SUMIF(negtgel!U$2:BL$2,'Tsalin uzuulelt'!L$2,negtgel!U197:BL197)+SUMIF(negtgel!U$2:BL$2,'Tsalin uzuulelt'!L$3,negtgel!U197:BL197)+SUMIF(negtgel!U$2:BL$2,'Tsalin uzuulelt'!L$4,negtgel!U197:BL197)+SUMIF(negtgel!U$2:BL$2,'Tsalin uzuulelt'!L$5,negtgel!U197:BL197)</f>
      </c>
      <c r="L197">
        <f>SUMIF(negtgel!U$2:BL$2,'Tsalin uzuulelt'!N$1,negtgel!U197:BL197) + SUMIF(negtgel!U$2:BL$2,'Tsalin uzuulelt'!N$2,negtgel!U197:BL197)+SUMIF(negtgel!U$2:BL$2,'Tsalin uzuulelt'!N$3,negtgel!U197:BL197)+SUMIF(negtgel!U$2:BL$2,'Tsalin uzuulelt'!N$4,negtgel!U197:BL197)+SUMIF(negtgel!U$2:BL$2,'Tsalin uzuulelt'!N$5,negtgel!U197:BL197)</f>
      </c>
      <c r="M197">
        <f>SUMIF(negtgel!U$2:BL$2,'Tsalin uzuulelt'!P$1,negtgel!U197:BL197) + SUMIF(negtgel!U$2:BL$2,'Tsalin uzuulelt'!P$2,negtgel!U197:BL197)+ SUMIF(negtgel!U$2:BL$2,'Tsalin uzuulelt'!P$3,negtgel!U197:BL197)+ SUMIF(negtgel!U$2:BL$2,'Tsalin uzuulelt'!P$4,negtgel!U197:BL197)+ SUMIF(negtgel!U$2:BL$2,'Tsalin uzuulelt'!P$5,negtgel!U197:BL197)</f>
      </c>
      <c r="N197">
        <f>IF(ISNUMBER(U197*1)=CF197,0,K197-H197-G197)</f>
      </c>
      <c r="O197">
        <f>IF(ISNUMBER(U197*1)=CF197,0,L197)</f>
      </c>
      <c r="P197">
        <f>IF(ISNUMBER(U197*1)=CF197,0,M197)</f>
      </c>
      <c r="Q197">
        <f>IF(N197&gt;2400000,N197,0)</f>
      </c>
      <c r="R197">
        <f>IF(L197/Q197*100&lt;3,2,10)</f>
      </c>
      <c r="S197">
        <f>IF(CH197=0,0,IF(B197&gt;9,10,IF(B197&gt;8,B197,IF(B197&gt;7.7,7.8,IF(B197&gt;3,B197,IF(B197&gt;1.5,2))))))</f>
      </c>
      <c r="T197">
        <f>IF(Q197=0,S197,R197)</f>
      </c>
      <c r="U197" t="n">
        <v>93.0</v>
      </c>
      <c r="V197" t="s">
        <v>3854</v>
      </c>
      <c r="W197" t="s">
        <v>3785</v>
      </c>
      <c r="X197" t="n">
        <v>795935.0</v>
      </c>
      <c r="Y197" t="n">
        <v>795935.0</v>
      </c>
      <c r="Z197" t="n">
        <v>159187.0</v>
      </c>
      <c r="AA197" t="n">
        <v>175106.0</v>
      </c>
      <c r="AB197" t="n">
        <v>0.0</v>
      </c>
      <c r="AC197" t="n">
        <v>0.0</v>
      </c>
      <c r="AD197" t="n">
        <v>0.0</v>
      </c>
      <c r="AE197" t="n">
        <v>0.0</v>
      </c>
      <c r="AF197" t="n">
        <v>63000.0</v>
      </c>
      <c r="AG197" t="n">
        <v>0.0</v>
      </c>
      <c r="AH197" t="n">
        <v>0.0</v>
      </c>
      <c r="AI197" t="n">
        <v>0.0</v>
      </c>
      <c r="AJ197" t="n">
        <v>0.0</v>
      </c>
      <c r="AK197" t="n">
        <v>0.0</v>
      </c>
      <c r="AL197" t="n">
        <v>0.0</v>
      </c>
      <c r="AM197" t="n">
        <v>0.0</v>
      </c>
      <c r="AN197" t="n">
        <v>0.0</v>
      </c>
      <c r="AO197" t="n">
        <v>1193228.0</v>
      </c>
      <c r="AP197" t="n">
        <v>119323.0</v>
      </c>
      <c r="AQ197" t="n">
        <v>101020.5</v>
      </c>
      <c r="CH197">
        <f>IFERROR(U197*1,0)</f>
      </c>
    </row>
    <row r="198">
      <c r="A198" t="n">
        <v>3.0</v>
      </c>
      <c r="B198">
        <f>IF((K198-G198-H198&gt;2400000),10,(L198/(K198-G198-H198)*100))</f>
      </c>
      <c r="C198">
        <f>IF(N198&gt;2400000,240000,(N198*S198)/100)</f>
      </c>
      <c r="D198">
        <f>IF(S198=0,0,IF((N198-I198)&gt;2400000,((((((N198-I198-J198)-240000))*0.1+(I198+J198)*0.1)))-7000,((((((N198-I198-J198)-(N198-I198-J198)*S198/100)))*0.1+(I198+J198)*0.1)-7000)))</f>
      </c>
      <c r="E198">
        <f>C198-O198</f>
      </c>
      <c r="F198">
        <f>D198-P198</f>
      </c>
      <c r="G198">
        <f>SUMIF(negtgel!U$2:BL$2,'Tsalin uzuulelt'!B$1,negtgel!U198:BL198) + SUMIF(negtgel!U$2:BL$2,'Tsalin uzuulelt'!B$2,negtgel!U198:BL198)+SUMIF(negtgel!U$2:BL$2,'Tsalin uzuulelt'!B$3,negtgel!U198:BL198)+SUMIF(negtgel!U$2:BL$2,'Tsalin uzuulelt'!B$4,negtgel!U198:BL198)+SUMIF(negtgel!U$2:BL$2,'Tsalin uzuulelt'!B$5,negtgel!U198:BL198)</f>
      </c>
      <c r="H198">
        <f>SUMIF(negtgel!U$2:BL$2,'Tsalin uzuulelt'!F$1,negtgel!U198:BL198) + SUMIF(negtgel!U$2:BL$2,'Tsalin uzuulelt'!F$2,negtgel!U198:BL198)+SUMIF(negtgel!U$2:BL$2,'Tsalin uzuulelt'!F$3,negtgel!U198:BL198)+SUMIF(negtgel!U$2:BL$2,'Tsalin uzuulelt'!F$4,negtgel!U198:BL198)+SUMIF(negtgel!U$2:BL$2,'Tsalin uzuulelt'!F$5,negtgel!U198:BL198)</f>
      </c>
      <c r="I198">
        <f>SUMIF(negtgel!U$2:BL$2,'Tsalin uzuulelt'!H$1,negtgel!U198:BL198) + SUMIF(negtgel!U$2:BL$2,'Tsalin uzuulelt'!H$2,negtgel!U198:BL198)+SUMIF(negtgel!U$2:BL$2,'Tsalin uzuulelt'!H$3,negtgel!U198:BL198)+SUMIF(negtgel!U$2:BL$2,'Tsalin uzuulelt'!H$4,negtgel!U198:BL198)+SUMIF(negtgel!U$2:BL$2,'Tsalin uzuulelt'!H$5,negtgel!U198:BL198)</f>
      </c>
      <c r="J198">
        <f>SUMIF(negtgel!U$2:BL$2,'Tsalin uzuulelt'!J$1,negtgel!U198:BL198) + SUMIF(negtgel!U$2:BL$2,'Tsalin uzuulelt'!J$2,negtgel!U198:BL198)+SUMIF(negtgel!U$2:BL$2,'Tsalin uzuulelt'!J$3,negtgel!U198:BL198)+SUMIF(negtgel!U$2:BL$2,'Tsalin uzuulelt'!J$4,negtgel!U198:BL198)+SUMIF(negtgel!U$2:BL$2,'Tsalin uzuulelt'!J$5,negtgel!U198:BL198)</f>
      </c>
      <c r="K198">
        <f>SUMIF(negtgel!U$2:BL$2,'Tsalin uzuulelt'!L$1,negtgel!U198:BL198) + SUMIF(negtgel!U$2:BL$2,'Tsalin uzuulelt'!L$2,negtgel!U198:BL198)+SUMIF(negtgel!U$2:BL$2,'Tsalin uzuulelt'!L$3,negtgel!U198:BL198)+SUMIF(negtgel!U$2:BL$2,'Tsalin uzuulelt'!L$4,negtgel!U198:BL198)+SUMIF(negtgel!U$2:BL$2,'Tsalin uzuulelt'!L$5,negtgel!U198:BL198)</f>
      </c>
      <c r="L198">
        <f>SUMIF(negtgel!U$2:BL$2,'Tsalin uzuulelt'!N$1,negtgel!U198:BL198) + SUMIF(negtgel!U$2:BL$2,'Tsalin uzuulelt'!N$2,negtgel!U198:BL198)+SUMIF(negtgel!U$2:BL$2,'Tsalin uzuulelt'!N$3,negtgel!U198:BL198)+SUMIF(negtgel!U$2:BL$2,'Tsalin uzuulelt'!N$4,negtgel!U198:BL198)+SUMIF(negtgel!U$2:BL$2,'Tsalin uzuulelt'!N$5,negtgel!U198:BL198)</f>
      </c>
      <c r="M198">
        <f>SUMIF(negtgel!U$2:BL$2,'Tsalin uzuulelt'!P$1,negtgel!U198:BL198) + SUMIF(negtgel!U$2:BL$2,'Tsalin uzuulelt'!P$2,negtgel!U198:BL198)+ SUMIF(negtgel!U$2:BL$2,'Tsalin uzuulelt'!P$3,negtgel!U198:BL198)+ SUMIF(negtgel!U$2:BL$2,'Tsalin uzuulelt'!P$4,negtgel!U198:BL198)+ SUMIF(negtgel!U$2:BL$2,'Tsalin uzuulelt'!P$5,negtgel!U198:BL198)</f>
      </c>
      <c r="N198">
        <f>IF(ISNUMBER(U198*1)=CF198,0,K198-H198-G198)</f>
      </c>
      <c r="O198">
        <f>IF(ISNUMBER(U198*1)=CF198,0,L198)</f>
      </c>
      <c r="P198">
        <f>IF(ISNUMBER(U198*1)=CF198,0,M198)</f>
      </c>
      <c r="Q198">
        <f>IF(N198&gt;2400000,N198,0)</f>
      </c>
      <c r="R198">
        <f>IF(L198/Q198*100&lt;3,2,10)</f>
      </c>
      <c r="S198">
        <f>IF(CH198=0,0,IF(B198&gt;9,10,IF(B198&gt;8,B198,IF(B198&gt;7.7,7.8,IF(B198&gt;3,B198,IF(B198&gt;1.5,2))))))</f>
      </c>
      <c r="T198">
        <f>IF(Q198=0,S198,R198)</f>
      </c>
      <c r="U198" t="n">
        <v>94.0</v>
      </c>
      <c r="V198" t="s">
        <v>3855</v>
      </c>
      <c r="W198" t="s">
        <v>3790</v>
      </c>
      <c r="X198" t="n">
        <v>580710.0</v>
      </c>
      <c r="Y198" t="n">
        <v>580710.0</v>
      </c>
      <c r="Z198" t="n">
        <v>0.0</v>
      </c>
      <c r="AA198" t="n">
        <v>0.0</v>
      </c>
      <c r="AB198" t="n">
        <v>0.0</v>
      </c>
      <c r="AC198" t="n">
        <v>0.0</v>
      </c>
      <c r="AD198" t="n">
        <v>0.0</v>
      </c>
      <c r="AE198" t="n">
        <v>0.0</v>
      </c>
      <c r="AF198" t="n">
        <v>63000.0</v>
      </c>
      <c r="AG198" t="n">
        <v>0.0</v>
      </c>
      <c r="AH198" t="n">
        <v>0.0</v>
      </c>
      <c r="AI198" t="n">
        <v>0.0</v>
      </c>
      <c r="AJ198" t="n">
        <v>0.0</v>
      </c>
      <c r="AK198" t="n">
        <v>0.0</v>
      </c>
      <c r="AL198" t="n">
        <v>0.0</v>
      </c>
      <c r="AM198" t="n">
        <v>0.0</v>
      </c>
      <c r="AN198" t="n">
        <v>0.0</v>
      </c>
      <c r="AO198" t="n">
        <v>643710.0</v>
      </c>
      <c r="AP198" t="n">
        <v>64371.0</v>
      </c>
      <c r="AQ198" t="n">
        <v>51563.9</v>
      </c>
      <c r="CH198">
        <f>IFERROR(U198*1,0)</f>
      </c>
    </row>
    <row r="199">
      <c r="A199" t="n">
        <v>3.0</v>
      </c>
      <c r="B199">
        <f>IF((K199-G199-H199&gt;2400000),10,(L199/(K199-G199-H199)*100))</f>
      </c>
      <c r="C199">
        <f>IF(N199&gt;2400000,240000,(N199*S199)/100)</f>
      </c>
      <c r="D199">
        <f>IF(S199=0,0,IF((N199-I199)&gt;2400000,((((((N199-I199-J199)-240000))*0.1+(I199+J199)*0.1)))-7000,((((((N199-I199-J199)-(N199-I199-J199)*S199/100)))*0.1+(I199+J199)*0.1)-7000)))</f>
      </c>
      <c r="E199">
        <f>C199-O199</f>
      </c>
      <c r="F199">
        <f>D199-P199</f>
      </c>
      <c r="G199">
        <f>SUMIF(negtgel!U$2:BL$2,'Tsalin uzuulelt'!B$1,negtgel!U199:BL199) + SUMIF(negtgel!U$2:BL$2,'Tsalin uzuulelt'!B$2,negtgel!U199:BL199)+SUMIF(negtgel!U$2:BL$2,'Tsalin uzuulelt'!B$3,negtgel!U199:BL199)+SUMIF(negtgel!U$2:BL$2,'Tsalin uzuulelt'!B$4,negtgel!U199:BL199)+SUMIF(negtgel!U$2:BL$2,'Tsalin uzuulelt'!B$5,negtgel!U199:BL199)</f>
      </c>
      <c r="H199">
        <f>SUMIF(negtgel!U$2:BL$2,'Tsalin uzuulelt'!F$1,negtgel!U199:BL199) + SUMIF(negtgel!U$2:BL$2,'Tsalin uzuulelt'!F$2,negtgel!U199:BL199)+SUMIF(negtgel!U$2:BL$2,'Tsalin uzuulelt'!F$3,negtgel!U199:BL199)+SUMIF(negtgel!U$2:BL$2,'Tsalin uzuulelt'!F$4,negtgel!U199:BL199)+SUMIF(negtgel!U$2:BL$2,'Tsalin uzuulelt'!F$5,negtgel!U199:BL199)</f>
      </c>
      <c r="I199">
        <f>SUMIF(negtgel!U$2:BL$2,'Tsalin uzuulelt'!H$1,negtgel!U199:BL199) + SUMIF(negtgel!U$2:BL$2,'Tsalin uzuulelt'!H$2,negtgel!U199:BL199)+SUMIF(negtgel!U$2:BL$2,'Tsalin uzuulelt'!H$3,negtgel!U199:BL199)+SUMIF(negtgel!U$2:BL$2,'Tsalin uzuulelt'!H$4,negtgel!U199:BL199)+SUMIF(negtgel!U$2:BL$2,'Tsalin uzuulelt'!H$5,negtgel!U199:BL199)</f>
      </c>
      <c r="J199">
        <f>SUMIF(negtgel!U$2:BL$2,'Tsalin uzuulelt'!J$1,negtgel!U199:BL199) + SUMIF(negtgel!U$2:BL$2,'Tsalin uzuulelt'!J$2,negtgel!U199:BL199)+SUMIF(negtgel!U$2:BL$2,'Tsalin uzuulelt'!J$3,negtgel!U199:BL199)+SUMIF(negtgel!U$2:BL$2,'Tsalin uzuulelt'!J$4,negtgel!U199:BL199)+SUMIF(negtgel!U$2:BL$2,'Tsalin uzuulelt'!J$5,negtgel!U199:BL199)</f>
      </c>
      <c r="K199">
        <f>SUMIF(negtgel!U$2:BL$2,'Tsalin uzuulelt'!L$1,negtgel!U199:BL199) + SUMIF(negtgel!U$2:BL$2,'Tsalin uzuulelt'!L$2,negtgel!U199:BL199)+SUMIF(negtgel!U$2:BL$2,'Tsalin uzuulelt'!L$3,negtgel!U199:BL199)+SUMIF(negtgel!U$2:BL$2,'Tsalin uzuulelt'!L$4,negtgel!U199:BL199)+SUMIF(negtgel!U$2:BL$2,'Tsalin uzuulelt'!L$5,negtgel!U199:BL199)</f>
      </c>
      <c r="L199">
        <f>SUMIF(negtgel!U$2:BL$2,'Tsalin uzuulelt'!N$1,negtgel!U199:BL199) + SUMIF(negtgel!U$2:BL$2,'Tsalin uzuulelt'!N$2,negtgel!U199:BL199)+SUMIF(negtgel!U$2:BL$2,'Tsalin uzuulelt'!N$3,negtgel!U199:BL199)+SUMIF(negtgel!U$2:BL$2,'Tsalin uzuulelt'!N$4,negtgel!U199:BL199)+SUMIF(negtgel!U$2:BL$2,'Tsalin uzuulelt'!N$5,negtgel!U199:BL199)</f>
      </c>
      <c r="M199">
        <f>SUMIF(negtgel!U$2:BL$2,'Tsalin uzuulelt'!P$1,negtgel!U199:BL199) + SUMIF(negtgel!U$2:BL$2,'Tsalin uzuulelt'!P$2,negtgel!U199:BL199)+ SUMIF(negtgel!U$2:BL$2,'Tsalin uzuulelt'!P$3,negtgel!U199:BL199)+ SUMIF(negtgel!U$2:BL$2,'Tsalin uzuulelt'!P$4,negtgel!U199:BL199)+ SUMIF(negtgel!U$2:BL$2,'Tsalin uzuulelt'!P$5,negtgel!U199:BL199)</f>
      </c>
      <c r="N199">
        <f>IF(ISNUMBER(U199*1)=CF199,0,K199-H199-G199)</f>
      </c>
      <c r="O199">
        <f>IF(ISNUMBER(U199*1)=CF199,0,L199)</f>
      </c>
      <c r="P199">
        <f>IF(ISNUMBER(U199*1)=CF199,0,M199)</f>
      </c>
      <c r="Q199">
        <f>IF(N199&gt;2400000,N199,0)</f>
      </c>
      <c r="R199">
        <f>IF(L199/Q199*100&lt;3,2,10)</f>
      </c>
      <c r="S199">
        <f>IF(CH199=0,0,IF(B199&gt;9,10,IF(B199&gt;8,B199,IF(B199&gt;7.7,7.8,IF(B199&gt;3,B199,IF(B199&gt;1.5,2))))))</f>
      </c>
      <c r="T199">
        <f>IF(Q199=0,S199,R199)</f>
      </c>
      <c r="U199" t="n">
        <v>95.0</v>
      </c>
      <c r="V199" t="s">
        <v>3856</v>
      </c>
      <c r="W199" t="s">
        <v>3820</v>
      </c>
      <c r="X199" t="n">
        <v>613669.0</v>
      </c>
      <c r="Y199" t="n">
        <v>613669.0</v>
      </c>
      <c r="Z199" t="n">
        <v>61367.0</v>
      </c>
      <c r="AA199" t="n">
        <v>104324.0</v>
      </c>
      <c r="AB199" t="n">
        <v>0.0</v>
      </c>
      <c r="AC199" t="n">
        <v>0.0</v>
      </c>
      <c r="AD199" t="n">
        <v>0.0</v>
      </c>
      <c r="AE199" t="n">
        <v>0.0</v>
      </c>
      <c r="AF199" t="n">
        <v>63000.0</v>
      </c>
      <c r="AG199" t="n">
        <v>0.0</v>
      </c>
      <c r="AH199" t="n">
        <v>0.0</v>
      </c>
      <c r="AI199" t="n">
        <v>0.0</v>
      </c>
      <c r="AJ199" t="n">
        <v>0.0</v>
      </c>
      <c r="AK199" t="n">
        <v>0.0</v>
      </c>
      <c r="AL199" t="n">
        <v>0.0</v>
      </c>
      <c r="AM199" t="n">
        <v>0.0</v>
      </c>
      <c r="AN199" t="n">
        <v>0.0</v>
      </c>
      <c r="AO199" t="n">
        <v>842360.0</v>
      </c>
      <c r="AP199" t="n">
        <v>84236.0</v>
      </c>
      <c r="AQ199" t="n">
        <v>69442.4</v>
      </c>
      <c r="CH199">
        <f>IFERROR(U199*1,0)</f>
      </c>
    </row>
    <row r="200">
      <c r="A200" t="n">
        <v>3.0</v>
      </c>
      <c r="B200">
        <f>IF((K200-G200-H200&gt;2400000),10,(L200/(K200-G200-H200)*100))</f>
      </c>
      <c r="C200">
        <f>IF(N200&gt;2400000,240000,(N200*S200)/100)</f>
      </c>
      <c r="D200">
        <f>IF(S200=0,0,IF((N200-I200)&gt;2400000,((((((N200-I200-J200)-240000))*0.1+(I200+J200)*0.1)))-7000,((((((N200-I200-J200)-(N200-I200-J200)*S200/100)))*0.1+(I200+J200)*0.1)-7000)))</f>
      </c>
      <c r="E200">
        <f>C200-O200</f>
      </c>
      <c r="F200">
        <f>D200-P200</f>
      </c>
      <c r="G200">
        <f>SUMIF(negtgel!U$2:BL$2,'Tsalin uzuulelt'!B$1,negtgel!U200:BL200) + SUMIF(negtgel!U$2:BL$2,'Tsalin uzuulelt'!B$2,negtgel!U200:BL200)+SUMIF(negtgel!U$2:BL$2,'Tsalin uzuulelt'!B$3,negtgel!U200:BL200)+SUMIF(negtgel!U$2:BL$2,'Tsalin uzuulelt'!B$4,negtgel!U200:BL200)+SUMIF(negtgel!U$2:BL$2,'Tsalin uzuulelt'!B$5,negtgel!U200:BL200)</f>
      </c>
      <c r="H200">
        <f>SUMIF(negtgel!U$2:BL$2,'Tsalin uzuulelt'!F$1,negtgel!U200:BL200) + SUMIF(negtgel!U$2:BL$2,'Tsalin uzuulelt'!F$2,negtgel!U200:BL200)+SUMIF(negtgel!U$2:BL$2,'Tsalin uzuulelt'!F$3,negtgel!U200:BL200)+SUMIF(negtgel!U$2:BL$2,'Tsalin uzuulelt'!F$4,negtgel!U200:BL200)+SUMIF(negtgel!U$2:BL$2,'Tsalin uzuulelt'!F$5,negtgel!U200:BL200)</f>
      </c>
      <c r="I200">
        <f>SUMIF(negtgel!U$2:BL$2,'Tsalin uzuulelt'!H$1,negtgel!U200:BL200) + SUMIF(negtgel!U$2:BL$2,'Tsalin uzuulelt'!H$2,negtgel!U200:BL200)+SUMIF(negtgel!U$2:BL$2,'Tsalin uzuulelt'!H$3,negtgel!U200:BL200)+SUMIF(negtgel!U$2:BL$2,'Tsalin uzuulelt'!H$4,negtgel!U200:BL200)+SUMIF(negtgel!U$2:BL$2,'Tsalin uzuulelt'!H$5,negtgel!U200:BL200)</f>
      </c>
      <c r="J200">
        <f>SUMIF(negtgel!U$2:BL$2,'Tsalin uzuulelt'!J$1,negtgel!U200:BL200) + SUMIF(negtgel!U$2:BL$2,'Tsalin uzuulelt'!J$2,negtgel!U200:BL200)+SUMIF(negtgel!U$2:BL$2,'Tsalin uzuulelt'!J$3,negtgel!U200:BL200)+SUMIF(negtgel!U$2:BL$2,'Tsalin uzuulelt'!J$4,negtgel!U200:BL200)+SUMIF(negtgel!U$2:BL$2,'Tsalin uzuulelt'!J$5,negtgel!U200:BL200)</f>
      </c>
      <c r="K200">
        <f>SUMIF(negtgel!U$2:BL$2,'Tsalin uzuulelt'!L$1,negtgel!U200:BL200) + SUMIF(negtgel!U$2:BL$2,'Tsalin uzuulelt'!L$2,negtgel!U200:BL200)+SUMIF(negtgel!U$2:BL$2,'Tsalin uzuulelt'!L$3,negtgel!U200:BL200)+SUMIF(negtgel!U$2:BL$2,'Tsalin uzuulelt'!L$4,negtgel!U200:BL200)+SUMIF(negtgel!U$2:BL$2,'Tsalin uzuulelt'!L$5,negtgel!U200:BL200)</f>
      </c>
      <c r="L200">
        <f>SUMIF(negtgel!U$2:BL$2,'Tsalin uzuulelt'!N$1,negtgel!U200:BL200) + SUMIF(negtgel!U$2:BL$2,'Tsalin uzuulelt'!N$2,negtgel!U200:BL200)+SUMIF(negtgel!U$2:BL$2,'Tsalin uzuulelt'!N$3,negtgel!U200:BL200)+SUMIF(negtgel!U$2:BL$2,'Tsalin uzuulelt'!N$4,negtgel!U200:BL200)+SUMIF(negtgel!U$2:BL$2,'Tsalin uzuulelt'!N$5,negtgel!U200:BL200)</f>
      </c>
      <c r="M200">
        <f>SUMIF(negtgel!U$2:BL$2,'Tsalin uzuulelt'!P$1,negtgel!U200:BL200) + SUMIF(negtgel!U$2:BL$2,'Tsalin uzuulelt'!P$2,negtgel!U200:BL200)+ SUMIF(negtgel!U$2:BL$2,'Tsalin uzuulelt'!P$3,negtgel!U200:BL200)+ SUMIF(negtgel!U$2:BL$2,'Tsalin uzuulelt'!P$4,negtgel!U200:BL200)+ SUMIF(negtgel!U$2:BL$2,'Tsalin uzuulelt'!P$5,negtgel!U200:BL200)</f>
      </c>
      <c r="N200">
        <f>IF(ISNUMBER(U200*1)=CF200,0,K200-H200-G200)</f>
      </c>
      <c r="O200">
        <f>IF(ISNUMBER(U200*1)=CF200,0,L200)</f>
      </c>
      <c r="P200">
        <f>IF(ISNUMBER(U200*1)=CF200,0,M200)</f>
      </c>
      <c r="Q200">
        <f>IF(N200&gt;2400000,N200,0)</f>
      </c>
      <c r="R200">
        <f>IF(L200/Q200*100&lt;3,2,10)</f>
      </c>
      <c r="S200">
        <f>IF(CH200=0,0,IF(B200&gt;9,10,IF(B200&gt;8,B200,IF(B200&gt;7.7,7.8,IF(B200&gt;3,B200,IF(B200&gt;1.5,2))))))</f>
      </c>
      <c r="T200">
        <f>IF(Q200=0,S200,R200)</f>
      </c>
      <c r="U200" t="n">
        <v>96.0</v>
      </c>
      <c r="V200" t="s">
        <v>3857</v>
      </c>
      <c r="W200" t="s">
        <v>3790</v>
      </c>
      <c r="X200" t="n">
        <v>613669.0</v>
      </c>
      <c r="Y200" t="n">
        <v>613669.0</v>
      </c>
      <c r="Z200" t="n">
        <v>61367.0</v>
      </c>
      <c r="AA200" t="n">
        <v>104324.0</v>
      </c>
      <c r="AB200" t="n">
        <v>0.0</v>
      </c>
      <c r="AC200" t="n">
        <v>0.0</v>
      </c>
      <c r="AD200" t="n">
        <v>0.0</v>
      </c>
      <c r="AE200" t="n">
        <v>0.0</v>
      </c>
      <c r="AF200" t="n">
        <v>63000.0</v>
      </c>
      <c r="AG200" t="n">
        <v>0.0</v>
      </c>
      <c r="AH200" t="n">
        <v>0.0</v>
      </c>
      <c r="AI200" t="n">
        <v>0.0</v>
      </c>
      <c r="AJ200" t="n">
        <v>0.0</v>
      </c>
      <c r="AK200" t="n">
        <v>0.0</v>
      </c>
      <c r="AL200" t="n">
        <v>0.0</v>
      </c>
      <c r="AM200" t="n">
        <v>0.0</v>
      </c>
      <c r="AN200" t="n">
        <v>0.0</v>
      </c>
      <c r="AO200" t="n">
        <v>842360.0</v>
      </c>
      <c r="AP200" t="n">
        <v>84236.0</v>
      </c>
      <c r="AQ200" t="n">
        <v>69442.4</v>
      </c>
      <c r="CH200">
        <f>IFERROR(U200*1,0)</f>
      </c>
    </row>
    <row r="201">
      <c r="A201" t="n">
        <v>3.0</v>
      </c>
      <c r="B201">
        <f>IF((K201-G201-H201&gt;2400000),10,(L201/(K201-G201-H201)*100))</f>
      </c>
      <c r="C201">
        <f>IF(N201&gt;2400000,240000,(N201*S201)/100)</f>
      </c>
      <c r="D201">
        <f>IF(S201=0,0,IF((N201-I201)&gt;2400000,((((((N201-I201-J201)-240000))*0.1+(I201+J201)*0.1)))-7000,((((((N201-I201-J201)-(N201-I201-J201)*S201/100)))*0.1+(I201+J201)*0.1)-7000)))</f>
      </c>
      <c r="E201">
        <f>C201-O201</f>
      </c>
      <c r="F201">
        <f>D201-P201</f>
      </c>
      <c r="G201">
        <f>SUMIF(negtgel!U$2:BL$2,'Tsalin uzuulelt'!B$1,negtgel!U201:BL201) + SUMIF(negtgel!U$2:BL$2,'Tsalin uzuulelt'!B$2,negtgel!U201:BL201)+SUMIF(negtgel!U$2:BL$2,'Tsalin uzuulelt'!B$3,negtgel!U201:BL201)+SUMIF(negtgel!U$2:BL$2,'Tsalin uzuulelt'!B$4,negtgel!U201:BL201)+SUMIF(negtgel!U$2:BL$2,'Tsalin uzuulelt'!B$5,negtgel!U201:BL201)</f>
      </c>
      <c r="H201">
        <f>SUMIF(negtgel!U$2:BL$2,'Tsalin uzuulelt'!F$1,negtgel!U201:BL201) + SUMIF(negtgel!U$2:BL$2,'Tsalin uzuulelt'!F$2,negtgel!U201:BL201)+SUMIF(negtgel!U$2:BL$2,'Tsalin uzuulelt'!F$3,negtgel!U201:BL201)+SUMIF(negtgel!U$2:BL$2,'Tsalin uzuulelt'!F$4,negtgel!U201:BL201)+SUMIF(negtgel!U$2:BL$2,'Tsalin uzuulelt'!F$5,negtgel!U201:BL201)</f>
      </c>
      <c r="I201">
        <f>SUMIF(negtgel!U$2:BL$2,'Tsalin uzuulelt'!H$1,negtgel!U201:BL201) + SUMIF(negtgel!U$2:BL$2,'Tsalin uzuulelt'!H$2,negtgel!U201:BL201)+SUMIF(negtgel!U$2:BL$2,'Tsalin uzuulelt'!H$3,negtgel!U201:BL201)+SUMIF(negtgel!U$2:BL$2,'Tsalin uzuulelt'!H$4,negtgel!U201:BL201)+SUMIF(negtgel!U$2:BL$2,'Tsalin uzuulelt'!H$5,negtgel!U201:BL201)</f>
      </c>
      <c r="J201">
        <f>SUMIF(negtgel!U$2:BL$2,'Tsalin uzuulelt'!J$1,negtgel!U201:BL201) + SUMIF(negtgel!U$2:BL$2,'Tsalin uzuulelt'!J$2,negtgel!U201:BL201)+SUMIF(negtgel!U$2:BL$2,'Tsalin uzuulelt'!J$3,negtgel!U201:BL201)+SUMIF(negtgel!U$2:BL$2,'Tsalin uzuulelt'!J$4,negtgel!U201:BL201)+SUMIF(negtgel!U$2:BL$2,'Tsalin uzuulelt'!J$5,negtgel!U201:BL201)</f>
      </c>
      <c r="K201">
        <f>SUMIF(negtgel!U$2:BL$2,'Tsalin uzuulelt'!L$1,negtgel!U201:BL201) + SUMIF(negtgel!U$2:BL$2,'Tsalin uzuulelt'!L$2,negtgel!U201:BL201)+SUMIF(negtgel!U$2:BL$2,'Tsalin uzuulelt'!L$3,negtgel!U201:BL201)+SUMIF(negtgel!U$2:BL$2,'Tsalin uzuulelt'!L$4,negtgel!U201:BL201)+SUMIF(negtgel!U$2:BL$2,'Tsalin uzuulelt'!L$5,negtgel!U201:BL201)</f>
      </c>
      <c r="L201">
        <f>SUMIF(negtgel!U$2:BL$2,'Tsalin uzuulelt'!N$1,negtgel!U201:BL201) + SUMIF(negtgel!U$2:BL$2,'Tsalin uzuulelt'!N$2,negtgel!U201:BL201)+SUMIF(negtgel!U$2:BL$2,'Tsalin uzuulelt'!N$3,negtgel!U201:BL201)+SUMIF(negtgel!U$2:BL$2,'Tsalin uzuulelt'!N$4,negtgel!U201:BL201)+SUMIF(negtgel!U$2:BL$2,'Tsalin uzuulelt'!N$5,negtgel!U201:BL201)</f>
      </c>
      <c r="M201">
        <f>SUMIF(negtgel!U$2:BL$2,'Tsalin uzuulelt'!P$1,negtgel!U201:BL201) + SUMIF(negtgel!U$2:BL$2,'Tsalin uzuulelt'!P$2,negtgel!U201:BL201)+ SUMIF(negtgel!U$2:BL$2,'Tsalin uzuulelt'!P$3,negtgel!U201:BL201)+ SUMIF(negtgel!U$2:BL$2,'Tsalin uzuulelt'!P$4,negtgel!U201:BL201)+ SUMIF(negtgel!U$2:BL$2,'Tsalin uzuulelt'!P$5,negtgel!U201:BL201)</f>
      </c>
      <c r="N201">
        <f>IF(ISNUMBER(U201*1)=CF201,0,K201-H201-G201)</f>
      </c>
      <c r="O201">
        <f>IF(ISNUMBER(U201*1)=CF201,0,L201)</f>
      </c>
      <c r="P201">
        <f>IF(ISNUMBER(U201*1)=CF201,0,M201)</f>
      </c>
      <c r="Q201">
        <f>IF(N201&gt;2400000,N201,0)</f>
      </c>
      <c r="R201">
        <f>IF(L201/Q201*100&lt;3,2,10)</f>
      </c>
      <c r="S201">
        <f>IF(CH201=0,0,IF(B201&gt;9,10,IF(B201&gt;8,B201,IF(B201&gt;7.7,7.8,IF(B201&gt;3,B201,IF(B201&gt;1.5,2))))))</f>
      </c>
      <c r="T201">
        <f>IF(Q201=0,S201,R201)</f>
      </c>
      <c r="U201" t="s">
        <v>3787</v>
      </c>
      <c r="V201"/>
      <c r="W201"/>
      <c r="X201" t="n">
        <v>7853536.0</v>
      </c>
      <c r="Y201" t="n">
        <v>7692242.0</v>
      </c>
      <c r="Z201" t="n">
        <v>1097698.0</v>
      </c>
      <c r="AA201" t="n">
        <v>1293465.0</v>
      </c>
      <c r="AB201" t="n">
        <v>25807.0</v>
      </c>
      <c r="AC201" t="n">
        <v>0.0</v>
      </c>
      <c r="AD201" t="n">
        <v>0.0</v>
      </c>
      <c r="AE201" t="n">
        <v>0.0</v>
      </c>
      <c r="AF201" t="n">
        <v>741000.0</v>
      </c>
      <c r="AG201" t="n">
        <v>0.0</v>
      </c>
      <c r="AH201" t="n">
        <v>0.0</v>
      </c>
      <c r="AI201" t="n">
        <v>0.0</v>
      </c>
      <c r="AJ201" t="n">
        <v>0.0</v>
      </c>
      <c r="AK201" t="n">
        <v>0.0</v>
      </c>
      <c r="AL201" t="n">
        <v>205564.0</v>
      </c>
      <c r="AM201" t="n">
        <v>0.0</v>
      </c>
      <c r="AN201" t="n">
        <v>0.0</v>
      </c>
      <c r="AO201" t="n">
        <v>1.1055776E7</v>
      </c>
      <c r="AP201" t="n">
        <v>1085023.0</v>
      </c>
      <c r="AQ201" t="n">
        <v>899929.0</v>
      </c>
      <c r="CH201">
        <f>IFERROR(U201*1,0)</f>
      </c>
    </row>
    <row r="202">
      <c r="A202" t="n">
        <v>3.0</v>
      </c>
      <c r="B202">
        <f>IF((K202-G202-H202&gt;2400000),10,(L202/(K202-G202-H202)*100))</f>
      </c>
      <c r="C202">
        <f>IF(N202&gt;2400000,240000,(N202*S202)/100)</f>
      </c>
      <c r="D202">
        <f>IF(S202=0,0,IF((N202-I202)&gt;2400000,((((((N202-I202-J202)-240000))*0.1+(I202+J202)*0.1)))-7000,((((((N202-I202-J202)-(N202-I202-J202)*S202/100)))*0.1+(I202+J202)*0.1)-7000)))</f>
      </c>
      <c r="E202">
        <f>C202-O202</f>
      </c>
      <c r="F202">
        <f>D202-P202</f>
      </c>
      <c r="G202">
        <f>SUMIF(negtgel!U$2:BL$2,'Tsalin uzuulelt'!B$1,negtgel!U202:BL202) + SUMIF(negtgel!U$2:BL$2,'Tsalin uzuulelt'!B$2,negtgel!U202:BL202)+SUMIF(negtgel!U$2:BL$2,'Tsalin uzuulelt'!B$3,negtgel!U202:BL202)+SUMIF(negtgel!U$2:BL$2,'Tsalin uzuulelt'!B$4,negtgel!U202:BL202)+SUMIF(negtgel!U$2:BL$2,'Tsalin uzuulelt'!B$5,negtgel!U202:BL202)</f>
      </c>
      <c r="H202">
        <f>SUMIF(negtgel!U$2:BL$2,'Tsalin uzuulelt'!F$1,negtgel!U202:BL202) + SUMIF(negtgel!U$2:BL$2,'Tsalin uzuulelt'!F$2,negtgel!U202:BL202)+SUMIF(negtgel!U$2:BL$2,'Tsalin uzuulelt'!F$3,negtgel!U202:BL202)+SUMIF(negtgel!U$2:BL$2,'Tsalin uzuulelt'!F$4,negtgel!U202:BL202)+SUMIF(negtgel!U$2:BL$2,'Tsalin uzuulelt'!F$5,negtgel!U202:BL202)</f>
      </c>
      <c r="I202">
        <f>SUMIF(negtgel!U$2:BL$2,'Tsalin uzuulelt'!H$1,negtgel!U202:BL202) + SUMIF(negtgel!U$2:BL$2,'Tsalin uzuulelt'!H$2,negtgel!U202:BL202)+SUMIF(negtgel!U$2:BL$2,'Tsalin uzuulelt'!H$3,negtgel!U202:BL202)+SUMIF(negtgel!U$2:BL$2,'Tsalin uzuulelt'!H$4,negtgel!U202:BL202)+SUMIF(negtgel!U$2:BL$2,'Tsalin uzuulelt'!H$5,negtgel!U202:BL202)</f>
      </c>
      <c r="J202">
        <f>SUMIF(negtgel!U$2:BL$2,'Tsalin uzuulelt'!J$1,negtgel!U202:BL202) + SUMIF(negtgel!U$2:BL$2,'Tsalin uzuulelt'!J$2,negtgel!U202:BL202)+SUMIF(negtgel!U$2:BL$2,'Tsalin uzuulelt'!J$3,negtgel!U202:BL202)+SUMIF(negtgel!U$2:BL$2,'Tsalin uzuulelt'!J$4,negtgel!U202:BL202)+SUMIF(negtgel!U$2:BL$2,'Tsalin uzuulelt'!J$5,negtgel!U202:BL202)</f>
      </c>
      <c r="K202">
        <f>SUMIF(negtgel!U$2:BL$2,'Tsalin uzuulelt'!L$1,negtgel!U202:BL202) + SUMIF(negtgel!U$2:BL$2,'Tsalin uzuulelt'!L$2,negtgel!U202:BL202)+SUMIF(negtgel!U$2:BL$2,'Tsalin uzuulelt'!L$3,negtgel!U202:BL202)+SUMIF(negtgel!U$2:BL$2,'Tsalin uzuulelt'!L$4,negtgel!U202:BL202)+SUMIF(negtgel!U$2:BL$2,'Tsalin uzuulelt'!L$5,negtgel!U202:BL202)</f>
      </c>
      <c r="L202">
        <f>SUMIF(negtgel!U$2:BL$2,'Tsalin uzuulelt'!N$1,negtgel!U202:BL202) + SUMIF(negtgel!U$2:BL$2,'Tsalin uzuulelt'!N$2,negtgel!U202:BL202)+SUMIF(negtgel!U$2:BL$2,'Tsalin uzuulelt'!N$3,negtgel!U202:BL202)+SUMIF(negtgel!U$2:BL$2,'Tsalin uzuulelt'!N$4,negtgel!U202:BL202)+SUMIF(negtgel!U$2:BL$2,'Tsalin uzuulelt'!N$5,negtgel!U202:BL202)</f>
      </c>
      <c r="M202">
        <f>SUMIF(negtgel!U$2:BL$2,'Tsalin uzuulelt'!P$1,negtgel!U202:BL202) + SUMIF(negtgel!U$2:BL$2,'Tsalin uzuulelt'!P$2,negtgel!U202:BL202)+ SUMIF(negtgel!U$2:BL$2,'Tsalin uzuulelt'!P$3,negtgel!U202:BL202)+ SUMIF(negtgel!U$2:BL$2,'Tsalin uzuulelt'!P$4,negtgel!U202:BL202)+ SUMIF(negtgel!U$2:BL$2,'Tsalin uzuulelt'!P$5,negtgel!U202:BL202)</f>
      </c>
      <c r="N202">
        <f>IF(ISNUMBER(U202*1)=CF202,0,K202-H202-G202)</f>
      </c>
      <c r="O202">
        <f>IF(ISNUMBER(U202*1)=CF202,0,L202)</f>
      </c>
      <c r="P202">
        <f>IF(ISNUMBER(U202*1)=CF202,0,M202)</f>
      </c>
      <c r="Q202">
        <f>IF(N202&gt;2400000,N202,0)</f>
      </c>
      <c r="R202">
        <f>IF(L202/Q202*100&lt;3,2,10)</f>
      </c>
      <c r="S202">
        <f>IF(CH202=0,0,IF(B202&gt;9,10,IF(B202&gt;8,B202,IF(B202&gt;7.7,7.8,IF(B202&gt;3,B202,IF(B202&gt;1.5,2))))))</f>
      </c>
      <c r="T202">
        <f>IF(Q202=0,S202,R202)</f>
      </c>
      <c r="U202" t="s">
        <v>3858</v>
      </c>
      <c r="V202"/>
      <c r="W202"/>
      <c r="X202"/>
      <c r="Y202"/>
      <c r="Z202"/>
      <c r="AA202"/>
      <c r="AB202"/>
      <c r="AC202"/>
      <c r="AD202"/>
      <c r="AE202"/>
      <c r="AF202"/>
      <c r="AG202"/>
      <c r="AH202"/>
      <c r="AI202"/>
      <c r="AJ202"/>
      <c r="AK202"/>
      <c r="AL202"/>
      <c r="AM202"/>
      <c r="AN202"/>
      <c r="AO202"/>
      <c r="AP202"/>
      <c r="AQ202"/>
      <c r="CH202">
        <f>IFERROR(U202*1,0)</f>
      </c>
    </row>
    <row r="203">
      <c r="A203" t="n">
        <v>3.0</v>
      </c>
      <c r="B203">
        <f>IF((K203-G203-H203&gt;2400000),10,(L203/(K203-G203-H203)*100))</f>
      </c>
      <c r="C203">
        <f>IF(N203&gt;2400000,240000,(N203*S203)/100)</f>
      </c>
      <c r="D203">
        <f>IF(S203=0,0,IF((N203-I203)&gt;2400000,((((((N203-I203-J203)-240000))*0.1+(I203+J203)*0.1)))-7000,((((((N203-I203-J203)-(N203-I203-J203)*S203/100)))*0.1+(I203+J203)*0.1)-7000)))</f>
      </c>
      <c r="E203">
        <f>C203-O203</f>
      </c>
      <c r="F203">
        <f>D203-P203</f>
      </c>
      <c r="G203">
        <f>SUMIF(negtgel!U$2:BL$2,'Tsalin uzuulelt'!B$1,negtgel!U203:BL203) + SUMIF(negtgel!U$2:BL$2,'Tsalin uzuulelt'!B$2,negtgel!U203:BL203)+SUMIF(negtgel!U$2:BL$2,'Tsalin uzuulelt'!B$3,negtgel!U203:BL203)+SUMIF(negtgel!U$2:BL$2,'Tsalin uzuulelt'!B$4,negtgel!U203:BL203)+SUMIF(negtgel!U$2:BL$2,'Tsalin uzuulelt'!B$5,negtgel!U203:BL203)</f>
      </c>
      <c r="H203">
        <f>SUMIF(negtgel!U$2:BL$2,'Tsalin uzuulelt'!F$1,negtgel!U203:BL203) + SUMIF(negtgel!U$2:BL$2,'Tsalin uzuulelt'!F$2,negtgel!U203:BL203)+SUMIF(negtgel!U$2:BL$2,'Tsalin uzuulelt'!F$3,negtgel!U203:BL203)+SUMIF(negtgel!U$2:BL$2,'Tsalin uzuulelt'!F$4,negtgel!U203:BL203)+SUMIF(negtgel!U$2:BL$2,'Tsalin uzuulelt'!F$5,negtgel!U203:BL203)</f>
      </c>
      <c r="I203">
        <f>SUMIF(negtgel!U$2:BL$2,'Tsalin uzuulelt'!H$1,negtgel!U203:BL203) + SUMIF(negtgel!U$2:BL$2,'Tsalin uzuulelt'!H$2,negtgel!U203:BL203)+SUMIF(negtgel!U$2:BL$2,'Tsalin uzuulelt'!H$3,negtgel!U203:BL203)+SUMIF(negtgel!U$2:BL$2,'Tsalin uzuulelt'!H$4,negtgel!U203:BL203)+SUMIF(negtgel!U$2:BL$2,'Tsalin uzuulelt'!H$5,negtgel!U203:BL203)</f>
      </c>
      <c r="J203">
        <f>SUMIF(negtgel!U$2:BL$2,'Tsalin uzuulelt'!J$1,negtgel!U203:BL203) + SUMIF(negtgel!U$2:BL$2,'Tsalin uzuulelt'!J$2,negtgel!U203:BL203)+SUMIF(negtgel!U$2:BL$2,'Tsalin uzuulelt'!J$3,negtgel!U203:BL203)+SUMIF(negtgel!U$2:BL$2,'Tsalin uzuulelt'!J$4,negtgel!U203:BL203)+SUMIF(negtgel!U$2:BL$2,'Tsalin uzuulelt'!J$5,negtgel!U203:BL203)</f>
      </c>
      <c r="K203">
        <f>SUMIF(negtgel!U$2:BL$2,'Tsalin uzuulelt'!L$1,negtgel!U203:BL203) + SUMIF(negtgel!U$2:BL$2,'Tsalin uzuulelt'!L$2,negtgel!U203:BL203)+SUMIF(negtgel!U$2:BL$2,'Tsalin uzuulelt'!L$3,negtgel!U203:BL203)+SUMIF(negtgel!U$2:BL$2,'Tsalin uzuulelt'!L$4,negtgel!U203:BL203)+SUMIF(negtgel!U$2:BL$2,'Tsalin uzuulelt'!L$5,negtgel!U203:BL203)</f>
      </c>
      <c r="L203">
        <f>SUMIF(negtgel!U$2:BL$2,'Tsalin uzuulelt'!N$1,negtgel!U203:BL203) + SUMIF(negtgel!U$2:BL$2,'Tsalin uzuulelt'!N$2,negtgel!U203:BL203)+SUMIF(negtgel!U$2:BL$2,'Tsalin uzuulelt'!N$3,negtgel!U203:BL203)+SUMIF(negtgel!U$2:BL$2,'Tsalin uzuulelt'!N$4,negtgel!U203:BL203)+SUMIF(negtgel!U$2:BL$2,'Tsalin uzuulelt'!N$5,negtgel!U203:BL203)</f>
      </c>
      <c r="M203">
        <f>SUMIF(negtgel!U$2:BL$2,'Tsalin uzuulelt'!P$1,negtgel!U203:BL203) + SUMIF(negtgel!U$2:BL$2,'Tsalin uzuulelt'!P$2,negtgel!U203:BL203)+ SUMIF(negtgel!U$2:BL$2,'Tsalin uzuulelt'!P$3,negtgel!U203:BL203)+ SUMIF(negtgel!U$2:BL$2,'Tsalin uzuulelt'!P$4,negtgel!U203:BL203)+ SUMIF(negtgel!U$2:BL$2,'Tsalin uzuulelt'!P$5,negtgel!U203:BL203)</f>
      </c>
      <c r="N203">
        <f>IF(ISNUMBER(U203*1)=CF203,0,K203-H203-G203)</f>
      </c>
      <c r="O203">
        <f>IF(ISNUMBER(U203*1)=CF203,0,L203)</f>
      </c>
      <c r="P203">
        <f>IF(ISNUMBER(U203*1)=CF203,0,M203)</f>
      </c>
      <c r="Q203">
        <f>IF(N203&gt;2400000,N203,0)</f>
      </c>
      <c r="R203">
        <f>IF(L203/Q203*100&lt;3,2,10)</f>
      </c>
      <c r="S203">
        <f>IF(CH203=0,0,IF(B203&gt;9,10,IF(B203&gt;8,B203,IF(B203&gt;7.7,7.8,IF(B203&gt;3,B203,IF(B203&gt;1.5,2))))))</f>
      </c>
      <c r="T203">
        <f>IF(Q203=0,S203,R203)</f>
      </c>
      <c r="U203" t="n">
        <v>97.0</v>
      </c>
      <c r="V203" t="s">
        <v>3859</v>
      </c>
      <c r="W203" t="s">
        <v>3790</v>
      </c>
      <c r="X203" t="n">
        <v>580710.0</v>
      </c>
      <c r="Y203" t="n">
        <v>0.0</v>
      </c>
      <c r="Z203" t="n">
        <v>0.0</v>
      </c>
      <c r="AA203" t="n">
        <v>0.0</v>
      </c>
      <c r="AB203" t="n">
        <v>0.0</v>
      </c>
      <c r="AC203" t="n">
        <v>0.0</v>
      </c>
      <c r="AD203" t="n">
        <v>0.0</v>
      </c>
      <c r="AE203" t="n">
        <v>0.0</v>
      </c>
      <c r="AF203" t="n">
        <v>0.0</v>
      </c>
      <c r="AG203" t="n">
        <v>0.0</v>
      </c>
      <c r="AH203" t="n">
        <v>0.0</v>
      </c>
      <c r="AI203" t="n">
        <v>0.0</v>
      </c>
      <c r="AJ203" t="n">
        <v>0.0</v>
      </c>
      <c r="AK203" t="n">
        <v>0.0</v>
      </c>
      <c r="AL203" t="n">
        <v>0.0</v>
      </c>
      <c r="AM203" t="n">
        <v>0.0</v>
      </c>
      <c r="AN203" t="n">
        <v>0.0</v>
      </c>
      <c r="AO203" t="n">
        <v>0.0</v>
      </c>
      <c r="AP203" t="n">
        <v>0.0</v>
      </c>
      <c r="AQ203" t="n">
        <v>0.0</v>
      </c>
      <c r="CH203">
        <f>IFERROR(U203*1,0)</f>
      </c>
    </row>
    <row r="204">
      <c r="A204" t="n">
        <v>3.0</v>
      </c>
      <c r="B204">
        <f>IF((K204-G204-H204&gt;2400000),10,(L204/(K204-G204-H204)*100))</f>
      </c>
      <c r="C204">
        <f>IF(N204&gt;2400000,240000,(N204*S204)/100)</f>
      </c>
      <c r="D204">
        <f>IF(S204=0,0,IF((N204-I204)&gt;2400000,((((((N204-I204-J204)-240000))*0.1+(I204+J204)*0.1)))-7000,((((((N204-I204-J204)-(N204-I204-J204)*S204/100)))*0.1+(I204+J204)*0.1)-7000)))</f>
      </c>
      <c r="E204">
        <f>C204-O204</f>
      </c>
      <c r="F204">
        <f>D204-P204</f>
      </c>
      <c r="G204">
        <f>SUMIF(negtgel!U$2:BL$2,'Tsalin uzuulelt'!B$1,negtgel!U204:BL204) + SUMIF(negtgel!U$2:BL$2,'Tsalin uzuulelt'!B$2,negtgel!U204:BL204)+SUMIF(negtgel!U$2:BL$2,'Tsalin uzuulelt'!B$3,negtgel!U204:BL204)+SUMIF(negtgel!U$2:BL$2,'Tsalin uzuulelt'!B$4,negtgel!U204:BL204)+SUMIF(negtgel!U$2:BL$2,'Tsalin uzuulelt'!B$5,negtgel!U204:BL204)</f>
      </c>
      <c r="H204">
        <f>SUMIF(negtgel!U$2:BL$2,'Tsalin uzuulelt'!F$1,negtgel!U204:BL204) + SUMIF(negtgel!U$2:BL$2,'Tsalin uzuulelt'!F$2,negtgel!U204:BL204)+SUMIF(negtgel!U$2:BL$2,'Tsalin uzuulelt'!F$3,negtgel!U204:BL204)+SUMIF(negtgel!U$2:BL$2,'Tsalin uzuulelt'!F$4,negtgel!U204:BL204)+SUMIF(negtgel!U$2:BL$2,'Tsalin uzuulelt'!F$5,negtgel!U204:BL204)</f>
      </c>
      <c r="I204">
        <f>SUMIF(negtgel!U$2:BL$2,'Tsalin uzuulelt'!H$1,negtgel!U204:BL204) + SUMIF(negtgel!U$2:BL$2,'Tsalin uzuulelt'!H$2,negtgel!U204:BL204)+SUMIF(negtgel!U$2:BL$2,'Tsalin uzuulelt'!H$3,negtgel!U204:BL204)+SUMIF(negtgel!U$2:BL$2,'Tsalin uzuulelt'!H$4,negtgel!U204:BL204)+SUMIF(negtgel!U$2:BL$2,'Tsalin uzuulelt'!H$5,negtgel!U204:BL204)</f>
      </c>
      <c r="J204">
        <f>SUMIF(negtgel!U$2:BL$2,'Tsalin uzuulelt'!J$1,negtgel!U204:BL204) + SUMIF(negtgel!U$2:BL$2,'Tsalin uzuulelt'!J$2,negtgel!U204:BL204)+SUMIF(negtgel!U$2:BL$2,'Tsalin uzuulelt'!J$3,negtgel!U204:BL204)+SUMIF(negtgel!U$2:BL$2,'Tsalin uzuulelt'!J$4,negtgel!U204:BL204)+SUMIF(negtgel!U$2:BL$2,'Tsalin uzuulelt'!J$5,negtgel!U204:BL204)</f>
      </c>
      <c r="K204">
        <f>SUMIF(negtgel!U$2:BL$2,'Tsalin uzuulelt'!L$1,negtgel!U204:BL204) + SUMIF(negtgel!U$2:BL$2,'Tsalin uzuulelt'!L$2,negtgel!U204:BL204)+SUMIF(negtgel!U$2:BL$2,'Tsalin uzuulelt'!L$3,negtgel!U204:BL204)+SUMIF(negtgel!U$2:BL$2,'Tsalin uzuulelt'!L$4,negtgel!U204:BL204)+SUMIF(negtgel!U$2:BL$2,'Tsalin uzuulelt'!L$5,negtgel!U204:BL204)</f>
      </c>
      <c r="L204">
        <f>SUMIF(negtgel!U$2:BL$2,'Tsalin uzuulelt'!N$1,negtgel!U204:BL204) + SUMIF(negtgel!U$2:BL$2,'Tsalin uzuulelt'!N$2,negtgel!U204:BL204)+SUMIF(negtgel!U$2:BL$2,'Tsalin uzuulelt'!N$3,negtgel!U204:BL204)+SUMIF(negtgel!U$2:BL$2,'Tsalin uzuulelt'!N$4,negtgel!U204:BL204)+SUMIF(negtgel!U$2:BL$2,'Tsalin uzuulelt'!N$5,negtgel!U204:BL204)</f>
      </c>
      <c r="M204">
        <f>SUMIF(negtgel!U$2:BL$2,'Tsalin uzuulelt'!P$1,negtgel!U204:BL204) + SUMIF(negtgel!U$2:BL$2,'Tsalin uzuulelt'!P$2,negtgel!U204:BL204)+ SUMIF(negtgel!U$2:BL$2,'Tsalin uzuulelt'!P$3,negtgel!U204:BL204)+ SUMIF(negtgel!U$2:BL$2,'Tsalin uzuulelt'!P$4,negtgel!U204:BL204)+ SUMIF(negtgel!U$2:BL$2,'Tsalin uzuulelt'!P$5,negtgel!U204:BL204)</f>
      </c>
      <c r="N204">
        <f>IF(ISNUMBER(U204*1)=CF204,0,K204-H204-G204)</f>
      </c>
      <c r="O204">
        <f>IF(ISNUMBER(U204*1)=CF204,0,L204)</f>
      </c>
      <c r="P204">
        <f>IF(ISNUMBER(U204*1)=CF204,0,M204)</f>
      </c>
      <c r="Q204">
        <f>IF(N204&gt;2400000,N204,0)</f>
      </c>
      <c r="R204">
        <f>IF(L204/Q204*100&lt;3,2,10)</f>
      </c>
      <c r="S204">
        <f>IF(CH204=0,0,IF(B204&gt;9,10,IF(B204&gt;8,B204,IF(B204&gt;7.7,7.8,IF(B204&gt;3,B204,IF(B204&gt;1.5,2))))))</f>
      </c>
      <c r="T204">
        <f>IF(Q204=0,S204,R204)</f>
      </c>
      <c r="U204" t="n">
        <v>151.0</v>
      </c>
      <c r="V204" t="s">
        <v>3863</v>
      </c>
      <c r="W204" t="s">
        <v>3790</v>
      </c>
      <c r="X204" t="n">
        <v>577826.0</v>
      </c>
      <c r="Y204" t="n">
        <v>0.0</v>
      </c>
      <c r="Z204" t="n">
        <v>0.0</v>
      </c>
      <c r="AA204" t="n">
        <v>0.0</v>
      </c>
      <c r="AB204" t="n">
        <v>0.0</v>
      </c>
      <c r="AC204" t="n">
        <v>0.0</v>
      </c>
      <c r="AD204" t="n">
        <v>0.0</v>
      </c>
      <c r="AE204" t="n">
        <v>0.0</v>
      </c>
      <c r="AF204" t="n">
        <v>0.0</v>
      </c>
      <c r="AG204" t="n">
        <v>0.0</v>
      </c>
      <c r="AH204" t="n">
        <v>0.0</v>
      </c>
      <c r="AI204" t="n">
        <v>0.0</v>
      </c>
      <c r="AJ204" t="n">
        <v>0.0</v>
      </c>
      <c r="AK204" t="n">
        <v>0.0</v>
      </c>
      <c r="AL204" t="n">
        <v>0.0</v>
      </c>
      <c r="AM204" t="n">
        <v>0.0</v>
      </c>
      <c r="AN204" t="n">
        <v>0.0</v>
      </c>
      <c r="AO204" t="n">
        <v>0.0</v>
      </c>
      <c r="AP204" t="n">
        <v>0.0</v>
      </c>
      <c r="AQ204" t="n">
        <v>0.0</v>
      </c>
      <c r="CH204">
        <f>IFERROR(U204*1,0)</f>
      </c>
    </row>
    <row r="205">
      <c r="A205" t="n">
        <v>3.0</v>
      </c>
      <c r="B205">
        <f>IF((K205-G205-H205&gt;2400000),10,(L205/(K205-G205-H205)*100))</f>
      </c>
      <c r="C205">
        <f>IF(N205&gt;2400000,240000,(N205*S205)/100)</f>
      </c>
      <c r="D205">
        <f>IF(S205=0,0,IF((N205-I205)&gt;2400000,((((((N205-I205-J205)-240000))*0.1+(I205+J205)*0.1)))-7000,((((((N205-I205-J205)-(N205-I205-J205)*S205/100)))*0.1+(I205+J205)*0.1)-7000)))</f>
      </c>
      <c r="E205">
        <f>C205-O205</f>
      </c>
      <c r="F205">
        <f>D205-P205</f>
      </c>
      <c r="G205">
        <f>SUMIF(negtgel!U$2:BL$2,'Tsalin uzuulelt'!B$1,negtgel!U205:BL205) + SUMIF(negtgel!U$2:BL$2,'Tsalin uzuulelt'!B$2,negtgel!U205:BL205)+SUMIF(negtgel!U$2:BL$2,'Tsalin uzuulelt'!B$3,negtgel!U205:BL205)+SUMIF(negtgel!U$2:BL$2,'Tsalin uzuulelt'!B$4,negtgel!U205:BL205)+SUMIF(negtgel!U$2:BL$2,'Tsalin uzuulelt'!B$5,negtgel!U205:BL205)</f>
      </c>
      <c r="H205">
        <f>SUMIF(negtgel!U$2:BL$2,'Tsalin uzuulelt'!F$1,negtgel!U205:BL205) + SUMIF(negtgel!U$2:BL$2,'Tsalin uzuulelt'!F$2,negtgel!U205:BL205)+SUMIF(negtgel!U$2:BL$2,'Tsalin uzuulelt'!F$3,negtgel!U205:BL205)+SUMIF(negtgel!U$2:BL$2,'Tsalin uzuulelt'!F$4,negtgel!U205:BL205)+SUMIF(negtgel!U$2:BL$2,'Tsalin uzuulelt'!F$5,negtgel!U205:BL205)</f>
      </c>
      <c r="I205">
        <f>SUMIF(negtgel!U$2:BL$2,'Tsalin uzuulelt'!H$1,negtgel!U205:BL205) + SUMIF(negtgel!U$2:BL$2,'Tsalin uzuulelt'!H$2,negtgel!U205:BL205)+SUMIF(negtgel!U$2:BL$2,'Tsalin uzuulelt'!H$3,negtgel!U205:BL205)+SUMIF(negtgel!U$2:BL$2,'Tsalin uzuulelt'!H$4,negtgel!U205:BL205)+SUMIF(negtgel!U$2:BL$2,'Tsalin uzuulelt'!H$5,negtgel!U205:BL205)</f>
      </c>
      <c r="J205">
        <f>SUMIF(negtgel!U$2:BL$2,'Tsalin uzuulelt'!J$1,negtgel!U205:BL205) + SUMIF(negtgel!U$2:BL$2,'Tsalin uzuulelt'!J$2,negtgel!U205:BL205)+SUMIF(negtgel!U$2:BL$2,'Tsalin uzuulelt'!J$3,negtgel!U205:BL205)+SUMIF(negtgel!U$2:BL$2,'Tsalin uzuulelt'!J$4,negtgel!U205:BL205)+SUMIF(negtgel!U$2:BL$2,'Tsalin uzuulelt'!J$5,negtgel!U205:BL205)</f>
      </c>
      <c r="K205">
        <f>SUMIF(negtgel!U$2:BL$2,'Tsalin uzuulelt'!L$1,negtgel!U205:BL205) + SUMIF(negtgel!U$2:BL$2,'Tsalin uzuulelt'!L$2,negtgel!U205:BL205)+SUMIF(negtgel!U$2:BL$2,'Tsalin uzuulelt'!L$3,negtgel!U205:BL205)+SUMIF(negtgel!U$2:BL$2,'Tsalin uzuulelt'!L$4,negtgel!U205:BL205)+SUMIF(negtgel!U$2:BL$2,'Tsalin uzuulelt'!L$5,negtgel!U205:BL205)</f>
      </c>
      <c r="L205">
        <f>SUMIF(negtgel!U$2:BL$2,'Tsalin uzuulelt'!N$1,negtgel!U205:BL205) + SUMIF(negtgel!U$2:BL$2,'Tsalin uzuulelt'!N$2,negtgel!U205:BL205)+SUMIF(negtgel!U$2:BL$2,'Tsalin uzuulelt'!N$3,negtgel!U205:BL205)+SUMIF(negtgel!U$2:BL$2,'Tsalin uzuulelt'!N$4,negtgel!U205:BL205)+SUMIF(negtgel!U$2:BL$2,'Tsalin uzuulelt'!N$5,negtgel!U205:BL205)</f>
      </c>
      <c r="M205">
        <f>SUMIF(negtgel!U$2:BL$2,'Tsalin uzuulelt'!P$1,negtgel!U205:BL205) + SUMIF(negtgel!U$2:BL$2,'Tsalin uzuulelt'!P$2,negtgel!U205:BL205)+ SUMIF(negtgel!U$2:BL$2,'Tsalin uzuulelt'!P$3,negtgel!U205:BL205)+ SUMIF(negtgel!U$2:BL$2,'Tsalin uzuulelt'!P$4,negtgel!U205:BL205)+ SUMIF(negtgel!U$2:BL$2,'Tsalin uzuulelt'!P$5,negtgel!U205:BL205)</f>
      </c>
      <c r="N205">
        <f>IF(ISNUMBER(U205*1)=CF205,0,K205-H205-G205)</f>
      </c>
      <c r="O205">
        <f>IF(ISNUMBER(U205*1)=CF205,0,L205)</f>
      </c>
      <c r="P205">
        <f>IF(ISNUMBER(U205*1)=CF205,0,M205)</f>
      </c>
      <c r="Q205">
        <f>IF(N205&gt;2400000,N205,0)</f>
      </c>
      <c r="R205">
        <f>IF(L205/Q205*100&lt;3,2,10)</f>
      </c>
      <c r="S205">
        <f>IF(CH205=0,0,IF(B205&gt;9,10,IF(B205&gt;8,B205,IF(B205&gt;7.7,7.8,IF(B205&gt;3,B205,IF(B205&gt;1.5,2))))))</f>
      </c>
      <c r="T205">
        <f>IF(Q205=0,S205,R205)</f>
      </c>
      <c r="U205" t="n">
        <v>152.0</v>
      </c>
      <c r="V205" t="s">
        <v>3860</v>
      </c>
      <c r="W205" t="s">
        <v>3790</v>
      </c>
      <c r="X205" t="n">
        <v>547759.0</v>
      </c>
      <c r="Y205" t="n">
        <v>0.0</v>
      </c>
      <c r="Z205" t="n">
        <v>0.0</v>
      </c>
      <c r="AA205" t="n">
        <v>0.0</v>
      </c>
      <c r="AB205" t="n">
        <v>0.0</v>
      </c>
      <c r="AC205" t="n">
        <v>0.0</v>
      </c>
      <c r="AD205" t="n">
        <v>0.0</v>
      </c>
      <c r="AE205" t="n">
        <v>0.0</v>
      </c>
      <c r="AF205" t="n">
        <v>0.0</v>
      </c>
      <c r="AG205" t="n">
        <v>0.0</v>
      </c>
      <c r="AH205" t="n">
        <v>0.0</v>
      </c>
      <c r="AI205" t="n">
        <v>0.0</v>
      </c>
      <c r="AJ205" t="n">
        <v>0.0</v>
      </c>
      <c r="AK205" t="n">
        <v>0.0</v>
      </c>
      <c r="AL205" t="n">
        <v>0.0</v>
      </c>
      <c r="AM205" t="n">
        <v>0.0</v>
      </c>
      <c r="AN205" t="n">
        <v>0.0</v>
      </c>
      <c r="AO205" t="n">
        <v>0.0</v>
      </c>
      <c r="AP205" t="n">
        <v>0.0</v>
      </c>
      <c r="AQ205" t="n">
        <v>0.0</v>
      </c>
      <c r="CH205">
        <f>IFERROR(U205*1,0)</f>
      </c>
    </row>
    <row r="206">
      <c r="A206" t="n">
        <v>3.0</v>
      </c>
      <c r="B206">
        <f>IF((K206-G206-H206&gt;2400000),10,(L206/(K206-G206-H206)*100))</f>
      </c>
      <c r="C206">
        <f>IF(N206&gt;2400000,240000,(N206*S206)/100)</f>
      </c>
      <c r="D206">
        <f>IF(S206=0,0,IF((N206-I206)&gt;2400000,((((((N206-I206-J206)-240000))*0.1+(I206+J206)*0.1)))-7000,((((((N206-I206-J206)-(N206-I206-J206)*S206/100)))*0.1+(I206+J206)*0.1)-7000)))</f>
      </c>
      <c r="E206">
        <f>C206-O206</f>
      </c>
      <c r="F206">
        <f>D206-P206</f>
      </c>
      <c r="G206">
        <f>SUMIF(negtgel!U$2:BL$2,'Tsalin uzuulelt'!B$1,negtgel!U206:BL206) + SUMIF(negtgel!U$2:BL$2,'Tsalin uzuulelt'!B$2,negtgel!U206:BL206)+SUMIF(negtgel!U$2:BL$2,'Tsalin uzuulelt'!B$3,negtgel!U206:BL206)+SUMIF(negtgel!U$2:BL$2,'Tsalin uzuulelt'!B$4,negtgel!U206:BL206)+SUMIF(negtgel!U$2:BL$2,'Tsalin uzuulelt'!B$5,negtgel!U206:BL206)</f>
      </c>
      <c r="H206">
        <f>SUMIF(negtgel!U$2:BL$2,'Tsalin uzuulelt'!F$1,negtgel!U206:BL206) + SUMIF(negtgel!U$2:BL$2,'Tsalin uzuulelt'!F$2,negtgel!U206:BL206)+SUMIF(negtgel!U$2:BL$2,'Tsalin uzuulelt'!F$3,negtgel!U206:BL206)+SUMIF(negtgel!U$2:BL$2,'Tsalin uzuulelt'!F$4,negtgel!U206:BL206)+SUMIF(negtgel!U$2:BL$2,'Tsalin uzuulelt'!F$5,negtgel!U206:BL206)</f>
      </c>
      <c r="I206">
        <f>SUMIF(negtgel!U$2:BL$2,'Tsalin uzuulelt'!H$1,negtgel!U206:BL206) + SUMIF(negtgel!U$2:BL$2,'Tsalin uzuulelt'!H$2,negtgel!U206:BL206)+SUMIF(negtgel!U$2:BL$2,'Tsalin uzuulelt'!H$3,negtgel!U206:BL206)+SUMIF(negtgel!U$2:BL$2,'Tsalin uzuulelt'!H$4,negtgel!U206:BL206)+SUMIF(negtgel!U$2:BL$2,'Tsalin uzuulelt'!H$5,negtgel!U206:BL206)</f>
      </c>
      <c r="J206">
        <f>SUMIF(negtgel!U$2:BL$2,'Tsalin uzuulelt'!J$1,negtgel!U206:BL206) + SUMIF(negtgel!U$2:BL$2,'Tsalin uzuulelt'!J$2,negtgel!U206:BL206)+SUMIF(negtgel!U$2:BL$2,'Tsalin uzuulelt'!J$3,negtgel!U206:BL206)+SUMIF(negtgel!U$2:BL$2,'Tsalin uzuulelt'!J$4,negtgel!U206:BL206)+SUMIF(negtgel!U$2:BL$2,'Tsalin uzuulelt'!J$5,negtgel!U206:BL206)</f>
      </c>
      <c r="K206">
        <f>SUMIF(negtgel!U$2:BL$2,'Tsalin uzuulelt'!L$1,negtgel!U206:BL206) + SUMIF(negtgel!U$2:BL$2,'Tsalin uzuulelt'!L$2,negtgel!U206:BL206)+SUMIF(negtgel!U$2:BL$2,'Tsalin uzuulelt'!L$3,negtgel!U206:BL206)+SUMIF(negtgel!U$2:BL$2,'Tsalin uzuulelt'!L$4,negtgel!U206:BL206)+SUMIF(negtgel!U$2:BL$2,'Tsalin uzuulelt'!L$5,negtgel!U206:BL206)</f>
      </c>
      <c r="L206">
        <f>SUMIF(negtgel!U$2:BL$2,'Tsalin uzuulelt'!N$1,negtgel!U206:BL206) + SUMIF(negtgel!U$2:BL$2,'Tsalin uzuulelt'!N$2,negtgel!U206:BL206)+SUMIF(negtgel!U$2:BL$2,'Tsalin uzuulelt'!N$3,negtgel!U206:BL206)+SUMIF(negtgel!U$2:BL$2,'Tsalin uzuulelt'!N$4,negtgel!U206:BL206)+SUMIF(negtgel!U$2:BL$2,'Tsalin uzuulelt'!N$5,negtgel!U206:BL206)</f>
      </c>
      <c r="M206">
        <f>SUMIF(negtgel!U$2:BL$2,'Tsalin uzuulelt'!P$1,negtgel!U206:BL206) + SUMIF(negtgel!U$2:BL$2,'Tsalin uzuulelt'!P$2,negtgel!U206:BL206)+ SUMIF(negtgel!U$2:BL$2,'Tsalin uzuulelt'!P$3,negtgel!U206:BL206)+ SUMIF(negtgel!U$2:BL$2,'Tsalin uzuulelt'!P$4,negtgel!U206:BL206)+ SUMIF(negtgel!U$2:BL$2,'Tsalin uzuulelt'!P$5,negtgel!U206:BL206)</f>
      </c>
      <c r="N206">
        <f>IF(ISNUMBER(U206*1)=CF206,0,K206-H206-G206)</f>
      </c>
      <c r="O206">
        <f>IF(ISNUMBER(U206*1)=CF206,0,L206)</f>
      </c>
      <c r="P206">
        <f>IF(ISNUMBER(U206*1)=CF206,0,M206)</f>
      </c>
      <c r="Q206">
        <f>IF(N206&gt;2400000,N206,0)</f>
      </c>
      <c r="R206">
        <f>IF(L206/Q206*100&lt;3,2,10)</f>
      </c>
      <c r="S206">
        <f>IF(CH206=0,0,IF(B206&gt;9,10,IF(B206&gt;8,B206,IF(B206&gt;7.7,7.8,IF(B206&gt;3,B206,IF(B206&gt;1.5,2))))))</f>
      </c>
      <c r="T206">
        <f>IF(Q206=0,S206,R206)</f>
      </c>
      <c r="U206" t="n">
        <v>153.0</v>
      </c>
      <c r="V206" t="s">
        <v>3844</v>
      </c>
      <c r="W206" t="s">
        <v>3790</v>
      </c>
      <c r="X206" t="n">
        <v>677436.0</v>
      </c>
      <c r="Y206" t="n">
        <v>0.0</v>
      </c>
      <c r="Z206" t="n">
        <v>0.0</v>
      </c>
      <c r="AA206" t="n">
        <v>0.0</v>
      </c>
      <c r="AB206" t="n">
        <v>0.0</v>
      </c>
      <c r="AC206" t="n">
        <v>0.0</v>
      </c>
      <c r="AD206" t="n">
        <v>0.0</v>
      </c>
      <c r="AE206" t="n">
        <v>0.0</v>
      </c>
      <c r="AF206" t="n">
        <v>0.0</v>
      </c>
      <c r="AG206" t="n">
        <v>0.0</v>
      </c>
      <c r="AH206" t="n">
        <v>0.0</v>
      </c>
      <c r="AI206" t="n">
        <v>0.0</v>
      </c>
      <c r="AJ206" t="n">
        <v>0.0</v>
      </c>
      <c r="AK206" t="n">
        <v>0.0</v>
      </c>
      <c r="AL206" t="n">
        <v>0.0</v>
      </c>
      <c r="AM206" t="n">
        <v>0.0</v>
      </c>
      <c r="AN206" t="n">
        <v>0.0</v>
      </c>
      <c r="AO206" t="n">
        <v>0.0</v>
      </c>
      <c r="AP206" t="n">
        <v>0.0</v>
      </c>
      <c r="AQ206" t="n">
        <v>0.0</v>
      </c>
      <c r="CH206">
        <f>IFERROR(U206*1,0)</f>
      </c>
    </row>
    <row r="207">
      <c r="A207" t="n">
        <v>3.0</v>
      </c>
      <c r="B207">
        <f>IF((K207-G207-H207&gt;2400000),10,(L207/(K207-G207-H207)*100))</f>
      </c>
      <c r="C207">
        <f>IF(N207&gt;2400000,240000,(N207*S207)/100)</f>
      </c>
      <c r="D207">
        <f>IF(S207=0,0,IF((N207-I207)&gt;2400000,((((((N207-I207-J207)-240000))*0.1+(I207+J207)*0.1)))-7000,((((((N207-I207-J207)-(N207-I207-J207)*S207/100)))*0.1+(I207+J207)*0.1)-7000)))</f>
      </c>
      <c r="E207">
        <f>C207-O207</f>
      </c>
      <c r="F207">
        <f>D207-P207</f>
      </c>
      <c r="G207">
        <f>SUMIF(negtgel!U$2:BL$2,'Tsalin uzuulelt'!B$1,negtgel!U207:BL207) + SUMIF(negtgel!U$2:BL$2,'Tsalin uzuulelt'!B$2,negtgel!U207:BL207)+SUMIF(negtgel!U$2:BL$2,'Tsalin uzuulelt'!B$3,negtgel!U207:BL207)+SUMIF(negtgel!U$2:BL$2,'Tsalin uzuulelt'!B$4,negtgel!U207:BL207)+SUMIF(negtgel!U$2:BL$2,'Tsalin uzuulelt'!B$5,negtgel!U207:BL207)</f>
      </c>
      <c r="H207">
        <f>SUMIF(negtgel!U$2:BL$2,'Tsalin uzuulelt'!F$1,negtgel!U207:BL207) + SUMIF(negtgel!U$2:BL$2,'Tsalin uzuulelt'!F$2,negtgel!U207:BL207)+SUMIF(negtgel!U$2:BL$2,'Tsalin uzuulelt'!F$3,negtgel!U207:BL207)+SUMIF(negtgel!U$2:BL$2,'Tsalin uzuulelt'!F$4,negtgel!U207:BL207)+SUMIF(negtgel!U$2:BL$2,'Tsalin uzuulelt'!F$5,negtgel!U207:BL207)</f>
      </c>
      <c r="I207">
        <f>SUMIF(negtgel!U$2:BL$2,'Tsalin uzuulelt'!H$1,negtgel!U207:BL207) + SUMIF(negtgel!U$2:BL$2,'Tsalin uzuulelt'!H$2,negtgel!U207:BL207)+SUMIF(negtgel!U$2:BL$2,'Tsalin uzuulelt'!H$3,negtgel!U207:BL207)+SUMIF(negtgel!U$2:BL$2,'Tsalin uzuulelt'!H$4,negtgel!U207:BL207)+SUMIF(negtgel!U$2:BL$2,'Tsalin uzuulelt'!H$5,negtgel!U207:BL207)</f>
      </c>
      <c r="J207">
        <f>SUMIF(negtgel!U$2:BL$2,'Tsalin uzuulelt'!J$1,negtgel!U207:BL207) + SUMIF(negtgel!U$2:BL$2,'Tsalin uzuulelt'!J$2,negtgel!U207:BL207)+SUMIF(negtgel!U$2:BL$2,'Tsalin uzuulelt'!J$3,negtgel!U207:BL207)+SUMIF(negtgel!U$2:BL$2,'Tsalin uzuulelt'!J$4,negtgel!U207:BL207)+SUMIF(negtgel!U$2:BL$2,'Tsalin uzuulelt'!J$5,negtgel!U207:BL207)</f>
      </c>
      <c r="K207">
        <f>SUMIF(negtgel!U$2:BL$2,'Tsalin uzuulelt'!L$1,negtgel!U207:BL207) + SUMIF(negtgel!U$2:BL$2,'Tsalin uzuulelt'!L$2,negtgel!U207:BL207)+SUMIF(negtgel!U$2:BL$2,'Tsalin uzuulelt'!L$3,negtgel!U207:BL207)+SUMIF(negtgel!U$2:BL$2,'Tsalin uzuulelt'!L$4,negtgel!U207:BL207)+SUMIF(negtgel!U$2:BL$2,'Tsalin uzuulelt'!L$5,negtgel!U207:BL207)</f>
      </c>
      <c r="L207">
        <f>SUMIF(negtgel!U$2:BL$2,'Tsalin uzuulelt'!N$1,negtgel!U207:BL207) + SUMIF(negtgel!U$2:BL$2,'Tsalin uzuulelt'!N$2,negtgel!U207:BL207)+SUMIF(negtgel!U$2:BL$2,'Tsalin uzuulelt'!N$3,negtgel!U207:BL207)+SUMIF(negtgel!U$2:BL$2,'Tsalin uzuulelt'!N$4,negtgel!U207:BL207)+SUMIF(negtgel!U$2:BL$2,'Tsalin uzuulelt'!N$5,negtgel!U207:BL207)</f>
      </c>
      <c r="M207">
        <f>SUMIF(negtgel!U$2:BL$2,'Tsalin uzuulelt'!P$1,negtgel!U207:BL207) + SUMIF(negtgel!U$2:BL$2,'Tsalin uzuulelt'!P$2,negtgel!U207:BL207)+ SUMIF(negtgel!U$2:BL$2,'Tsalin uzuulelt'!P$3,negtgel!U207:BL207)+ SUMIF(negtgel!U$2:BL$2,'Tsalin uzuulelt'!P$4,negtgel!U207:BL207)+ SUMIF(negtgel!U$2:BL$2,'Tsalin uzuulelt'!P$5,negtgel!U207:BL207)</f>
      </c>
      <c r="N207">
        <f>IF(ISNUMBER(U207*1)=CF207,0,K207-H207-G207)</f>
      </c>
      <c r="O207">
        <f>IF(ISNUMBER(U207*1)=CF207,0,L207)</f>
      </c>
      <c r="P207">
        <f>IF(ISNUMBER(U207*1)=CF207,0,M207)</f>
      </c>
      <c r="Q207">
        <f>IF(N207&gt;2400000,N207,0)</f>
      </c>
      <c r="R207">
        <f>IF(L207/Q207*100&lt;3,2,10)</f>
      </c>
      <c r="S207">
        <f>IF(CH207=0,0,IF(B207&gt;9,10,IF(B207&gt;8,B207,IF(B207&gt;7.7,7.8,IF(B207&gt;3,B207,IF(B207&gt;1.5,2))))))</f>
      </c>
      <c r="T207">
        <f>IF(Q207=0,S207,R207)</f>
      </c>
      <c r="U207" t="n">
        <v>154.0</v>
      </c>
      <c r="V207" t="s">
        <v>3845</v>
      </c>
      <c r="W207" t="s">
        <v>3790</v>
      </c>
      <c r="X207" t="n">
        <v>677436.0</v>
      </c>
      <c r="Y207" t="n">
        <v>0.0</v>
      </c>
      <c r="Z207" t="n">
        <v>0.0</v>
      </c>
      <c r="AA207" t="n">
        <v>0.0</v>
      </c>
      <c r="AB207" t="n">
        <v>0.0</v>
      </c>
      <c r="AC207" t="n">
        <v>0.0</v>
      </c>
      <c r="AD207" t="n">
        <v>0.0</v>
      </c>
      <c r="AE207" t="n">
        <v>0.0</v>
      </c>
      <c r="AF207" t="n">
        <v>0.0</v>
      </c>
      <c r="AG207" t="n">
        <v>0.0</v>
      </c>
      <c r="AH207" t="n">
        <v>0.0</v>
      </c>
      <c r="AI207" t="n">
        <v>0.0</v>
      </c>
      <c r="AJ207" t="n">
        <v>0.0</v>
      </c>
      <c r="AK207" t="n">
        <v>0.0</v>
      </c>
      <c r="AL207" t="n">
        <v>0.0</v>
      </c>
      <c r="AM207" t="n">
        <v>0.0</v>
      </c>
      <c r="AN207" t="n">
        <v>0.0</v>
      </c>
      <c r="AO207" t="n">
        <v>0.0</v>
      </c>
      <c r="AP207" t="n">
        <v>0.0</v>
      </c>
      <c r="AQ207" t="n">
        <v>0.0</v>
      </c>
      <c r="CH207">
        <f>IFERROR(U207*1,0)</f>
      </c>
    </row>
    <row r="208">
      <c r="A208" t="n">
        <v>3.0</v>
      </c>
      <c r="B208">
        <f>IF((K208-G208-H208&gt;2400000),10,(L208/(K208-G208-H208)*100))</f>
      </c>
      <c r="C208">
        <f>IF(N208&gt;2400000,240000,(N208*S208)/100)</f>
      </c>
      <c r="D208">
        <f>IF(S208=0,0,IF((N208-I208)&gt;2400000,((((((N208-I208-J208)-240000))*0.1+(I208+J208)*0.1)))-7000,((((((N208-I208-J208)-(N208-I208-J208)*S208/100)))*0.1+(I208+J208)*0.1)-7000)))</f>
      </c>
      <c r="E208">
        <f>C208-O208</f>
      </c>
      <c r="F208">
        <f>D208-P208</f>
      </c>
      <c r="G208">
        <f>SUMIF(negtgel!U$2:BL$2,'Tsalin uzuulelt'!B$1,negtgel!U208:BL208) + SUMIF(negtgel!U$2:BL$2,'Tsalin uzuulelt'!B$2,negtgel!U208:BL208)+SUMIF(negtgel!U$2:BL$2,'Tsalin uzuulelt'!B$3,negtgel!U208:BL208)+SUMIF(negtgel!U$2:BL$2,'Tsalin uzuulelt'!B$4,negtgel!U208:BL208)+SUMIF(negtgel!U$2:BL$2,'Tsalin uzuulelt'!B$5,negtgel!U208:BL208)</f>
      </c>
      <c r="H208">
        <f>SUMIF(negtgel!U$2:BL$2,'Tsalin uzuulelt'!F$1,negtgel!U208:BL208) + SUMIF(negtgel!U$2:BL$2,'Tsalin uzuulelt'!F$2,negtgel!U208:BL208)+SUMIF(negtgel!U$2:BL$2,'Tsalin uzuulelt'!F$3,negtgel!U208:BL208)+SUMIF(negtgel!U$2:BL$2,'Tsalin uzuulelt'!F$4,negtgel!U208:BL208)+SUMIF(negtgel!U$2:BL$2,'Tsalin uzuulelt'!F$5,negtgel!U208:BL208)</f>
      </c>
      <c r="I208">
        <f>SUMIF(negtgel!U$2:BL$2,'Tsalin uzuulelt'!H$1,negtgel!U208:BL208) + SUMIF(negtgel!U$2:BL$2,'Tsalin uzuulelt'!H$2,negtgel!U208:BL208)+SUMIF(negtgel!U$2:BL$2,'Tsalin uzuulelt'!H$3,negtgel!U208:BL208)+SUMIF(negtgel!U$2:BL$2,'Tsalin uzuulelt'!H$4,negtgel!U208:BL208)+SUMIF(negtgel!U$2:BL$2,'Tsalin uzuulelt'!H$5,negtgel!U208:BL208)</f>
      </c>
      <c r="J208">
        <f>SUMIF(negtgel!U$2:BL$2,'Tsalin uzuulelt'!J$1,negtgel!U208:BL208) + SUMIF(negtgel!U$2:BL$2,'Tsalin uzuulelt'!J$2,negtgel!U208:BL208)+SUMIF(negtgel!U$2:BL$2,'Tsalin uzuulelt'!J$3,negtgel!U208:BL208)+SUMIF(negtgel!U$2:BL$2,'Tsalin uzuulelt'!J$4,negtgel!U208:BL208)+SUMIF(negtgel!U$2:BL$2,'Tsalin uzuulelt'!J$5,negtgel!U208:BL208)</f>
      </c>
      <c r="K208">
        <f>SUMIF(negtgel!U$2:BL$2,'Tsalin uzuulelt'!L$1,negtgel!U208:BL208) + SUMIF(negtgel!U$2:BL$2,'Tsalin uzuulelt'!L$2,negtgel!U208:BL208)+SUMIF(negtgel!U$2:BL$2,'Tsalin uzuulelt'!L$3,negtgel!U208:BL208)+SUMIF(negtgel!U$2:BL$2,'Tsalin uzuulelt'!L$4,negtgel!U208:BL208)+SUMIF(negtgel!U$2:BL$2,'Tsalin uzuulelt'!L$5,negtgel!U208:BL208)</f>
      </c>
      <c r="L208">
        <f>SUMIF(negtgel!U$2:BL$2,'Tsalin uzuulelt'!N$1,negtgel!U208:BL208) + SUMIF(negtgel!U$2:BL$2,'Tsalin uzuulelt'!N$2,negtgel!U208:BL208)+SUMIF(negtgel!U$2:BL$2,'Tsalin uzuulelt'!N$3,negtgel!U208:BL208)+SUMIF(negtgel!U$2:BL$2,'Tsalin uzuulelt'!N$4,negtgel!U208:BL208)+SUMIF(negtgel!U$2:BL$2,'Tsalin uzuulelt'!N$5,negtgel!U208:BL208)</f>
      </c>
      <c r="M208">
        <f>SUMIF(negtgel!U$2:BL$2,'Tsalin uzuulelt'!P$1,negtgel!U208:BL208) + SUMIF(negtgel!U$2:BL$2,'Tsalin uzuulelt'!P$2,negtgel!U208:BL208)+ SUMIF(negtgel!U$2:BL$2,'Tsalin uzuulelt'!P$3,negtgel!U208:BL208)+ SUMIF(negtgel!U$2:BL$2,'Tsalin uzuulelt'!P$4,negtgel!U208:BL208)+ SUMIF(negtgel!U$2:BL$2,'Tsalin uzuulelt'!P$5,negtgel!U208:BL208)</f>
      </c>
      <c r="N208">
        <f>IF(ISNUMBER(U208*1)=CF208,0,K208-H208-G208)</f>
      </c>
      <c r="O208">
        <f>IF(ISNUMBER(U208*1)=CF208,0,L208)</f>
      </c>
      <c r="P208">
        <f>IF(ISNUMBER(U208*1)=CF208,0,M208)</f>
      </c>
      <c r="Q208">
        <f>IF(N208&gt;2400000,N208,0)</f>
      </c>
      <c r="R208">
        <f>IF(L208/Q208*100&lt;3,2,10)</f>
      </c>
      <c r="S208">
        <f>IF(CH208=0,0,IF(B208&gt;9,10,IF(B208&gt;8,B208,IF(B208&gt;7.7,7.8,IF(B208&gt;3,B208,IF(B208&gt;1.5,2))))))</f>
      </c>
      <c r="T208">
        <f>IF(Q208=0,S208,R208)</f>
      </c>
      <c r="U208" t="n">
        <v>155.0</v>
      </c>
      <c r="V208" t="s">
        <v>3846</v>
      </c>
      <c r="W208" t="s">
        <v>3790</v>
      </c>
      <c r="X208" t="n">
        <v>645556.0</v>
      </c>
      <c r="Y208" t="n">
        <v>0.0</v>
      </c>
      <c r="Z208" t="n">
        <v>0.0</v>
      </c>
      <c r="AA208" t="n">
        <v>0.0</v>
      </c>
      <c r="AB208" t="n">
        <v>0.0</v>
      </c>
      <c r="AC208" t="n">
        <v>0.0</v>
      </c>
      <c r="AD208" t="n">
        <v>0.0</v>
      </c>
      <c r="AE208" t="n">
        <v>0.0</v>
      </c>
      <c r="AF208" t="n">
        <v>0.0</v>
      </c>
      <c r="AG208" t="n">
        <v>0.0</v>
      </c>
      <c r="AH208" t="n">
        <v>0.0</v>
      </c>
      <c r="AI208" t="n">
        <v>0.0</v>
      </c>
      <c r="AJ208" t="n">
        <v>0.0</v>
      </c>
      <c r="AK208" t="n">
        <v>0.0</v>
      </c>
      <c r="AL208" t="n">
        <v>0.0</v>
      </c>
      <c r="AM208" t="n">
        <v>0.0</v>
      </c>
      <c r="AN208" t="n">
        <v>0.0</v>
      </c>
      <c r="AO208" t="n">
        <v>0.0</v>
      </c>
      <c r="AP208" t="n">
        <v>0.0</v>
      </c>
      <c r="AQ208" t="n">
        <v>0.0</v>
      </c>
      <c r="CH208">
        <f>IFERROR(U208*1,0)</f>
      </c>
    </row>
    <row r="209">
      <c r="A209" t="n">
        <v>3.0</v>
      </c>
      <c r="B209">
        <f>IF((K209-G209-H209&gt;2400000),10,(L209/(K209-G209-H209)*100))</f>
      </c>
      <c r="C209">
        <f>IF(N209&gt;2400000,240000,(N209*S209)/100)</f>
      </c>
      <c r="D209">
        <f>IF(S209=0,0,IF((N209-I209)&gt;2400000,((((((N209-I209-J209)-240000))*0.1+(I209+J209)*0.1)))-7000,((((((N209-I209-J209)-(N209-I209-J209)*S209/100)))*0.1+(I209+J209)*0.1)-7000)))</f>
      </c>
      <c r="E209">
        <f>C209-O209</f>
      </c>
      <c r="F209">
        <f>D209-P209</f>
      </c>
      <c r="G209">
        <f>SUMIF(negtgel!U$2:BL$2,'Tsalin uzuulelt'!B$1,negtgel!U209:BL209) + SUMIF(negtgel!U$2:BL$2,'Tsalin uzuulelt'!B$2,negtgel!U209:BL209)+SUMIF(negtgel!U$2:BL$2,'Tsalin uzuulelt'!B$3,negtgel!U209:BL209)+SUMIF(negtgel!U$2:BL$2,'Tsalin uzuulelt'!B$4,negtgel!U209:BL209)+SUMIF(negtgel!U$2:BL$2,'Tsalin uzuulelt'!B$5,negtgel!U209:BL209)</f>
      </c>
      <c r="H209">
        <f>SUMIF(negtgel!U$2:BL$2,'Tsalin uzuulelt'!F$1,negtgel!U209:BL209) + SUMIF(negtgel!U$2:BL$2,'Tsalin uzuulelt'!F$2,negtgel!U209:BL209)+SUMIF(negtgel!U$2:BL$2,'Tsalin uzuulelt'!F$3,negtgel!U209:BL209)+SUMIF(negtgel!U$2:BL$2,'Tsalin uzuulelt'!F$4,negtgel!U209:BL209)+SUMIF(negtgel!U$2:BL$2,'Tsalin uzuulelt'!F$5,negtgel!U209:BL209)</f>
      </c>
      <c r="I209">
        <f>SUMIF(negtgel!U$2:BL$2,'Tsalin uzuulelt'!H$1,negtgel!U209:BL209) + SUMIF(negtgel!U$2:BL$2,'Tsalin uzuulelt'!H$2,negtgel!U209:BL209)+SUMIF(negtgel!U$2:BL$2,'Tsalin uzuulelt'!H$3,negtgel!U209:BL209)+SUMIF(negtgel!U$2:BL$2,'Tsalin uzuulelt'!H$4,negtgel!U209:BL209)+SUMIF(negtgel!U$2:BL$2,'Tsalin uzuulelt'!H$5,negtgel!U209:BL209)</f>
      </c>
      <c r="J209">
        <f>SUMIF(negtgel!U$2:BL$2,'Tsalin uzuulelt'!J$1,negtgel!U209:BL209) + SUMIF(negtgel!U$2:BL$2,'Tsalin uzuulelt'!J$2,negtgel!U209:BL209)+SUMIF(negtgel!U$2:BL$2,'Tsalin uzuulelt'!J$3,negtgel!U209:BL209)+SUMIF(negtgel!U$2:BL$2,'Tsalin uzuulelt'!J$4,negtgel!U209:BL209)+SUMIF(negtgel!U$2:BL$2,'Tsalin uzuulelt'!J$5,negtgel!U209:BL209)</f>
      </c>
      <c r="K209">
        <f>SUMIF(negtgel!U$2:BL$2,'Tsalin uzuulelt'!L$1,negtgel!U209:BL209) + SUMIF(negtgel!U$2:BL$2,'Tsalin uzuulelt'!L$2,negtgel!U209:BL209)+SUMIF(negtgel!U$2:BL$2,'Tsalin uzuulelt'!L$3,negtgel!U209:BL209)+SUMIF(negtgel!U$2:BL$2,'Tsalin uzuulelt'!L$4,negtgel!U209:BL209)+SUMIF(negtgel!U$2:BL$2,'Tsalin uzuulelt'!L$5,negtgel!U209:BL209)</f>
      </c>
      <c r="L209">
        <f>SUMIF(negtgel!U$2:BL$2,'Tsalin uzuulelt'!N$1,negtgel!U209:BL209) + SUMIF(negtgel!U$2:BL$2,'Tsalin uzuulelt'!N$2,negtgel!U209:BL209)+SUMIF(negtgel!U$2:BL$2,'Tsalin uzuulelt'!N$3,negtgel!U209:BL209)+SUMIF(negtgel!U$2:BL$2,'Tsalin uzuulelt'!N$4,negtgel!U209:BL209)+SUMIF(negtgel!U$2:BL$2,'Tsalin uzuulelt'!N$5,negtgel!U209:BL209)</f>
      </c>
      <c r="M209">
        <f>SUMIF(negtgel!U$2:BL$2,'Tsalin uzuulelt'!P$1,negtgel!U209:BL209) + SUMIF(negtgel!U$2:BL$2,'Tsalin uzuulelt'!P$2,negtgel!U209:BL209)+ SUMIF(negtgel!U$2:BL$2,'Tsalin uzuulelt'!P$3,negtgel!U209:BL209)+ SUMIF(negtgel!U$2:BL$2,'Tsalin uzuulelt'!P$4,negtgel!U209:BL209)+ SUMIF(negtgel!U$2:BL$2,'Tsalin uzuulelt'!P$5,negtgel!U209:BL209)</f>
      </c>
      <c r="N209">
        <f>IF(ISNUMBER(U209*1)=CF209,0,K209-H209-G209)</f>
      </c>
      <c r="O209">
        <f>IF(ISNUMBER(U209*1)=CF209,0,L209)</f>
      </c>
      <c r="P209">
        <f>IF(ISNUMBER(U209*1)=CF209,0,M209)</f>
      </c>
      <c r="Q209">
        <f>IF(N209&gt;2400000,N209,0)</f>
      </c>
      <c r="R209">
        <f>IF(L209/Q209*100&lt;3,2,10)</f>
      </c>
      <c r="S209">
        <f>IF(CH209=0,0,IF(B209&gt;9,10,IF(B209&gt;8,B209,IF(B209&gt;7.7,7.8,IF(B209&gt;3,B209,IF(B209&gt;1.5,2))))))</f>
      </c>
      <c r="T209">
        <f>IF(Q209=0,S209,R209)</f>
      </c>
      <c r="U209" t="s">
        <v>3787</v>
      </c>
      <c r="V209"/>
      <c r="W209"/>
      <c r="X209" t="n">
        <v>3.7688315E7</v>
      </c>
      <c r="Y209" t="n">
        <v>0.0</v>
      </c>
      <c r="Z209" t="n">
        <v>0.0</v>
      </c>
      <c r="AA209" t="n">
        <v>0.0</v>
      </c>
      <c r="AB209" t="n">
        <v>0.0</v>
      </c>
      <c r="AC209" t="n">
        <v>0.0</v>
      </c>
      <c r="AD209" t="n">
        <v>0.0</v>
      </c>
      <c r="AE209" t="n">
        <v>0.0</v>
      </c>
      <c r="AF209" t="n">
        <v>0.0</v>
      </c>
      <c r="AG209" t="n">
        <v>0.0</v>
      </c>
      <c r="AH209" t="n">
        <v>0.0</v>
      </c>
      <c r="AI209" t="n">
        <v>0.0</v>
      </c>
      <c r="AJ209" t="n">
        <v>0.0</v>
      </c>
      <c r="AK209" t="n">
        <v>0.0</v>
      </c>
      <c r="AL209" t="n">
        <v>0.0</v>
      </c>
      <c r="AM209" t="n">
        <v>0.0</v>
      </c>
      <c r="AN209" t="n">
        <v>0.0</v>
      </c>
      <c r="AO209" t="n">
        <v>0.0</v>
      </c>
      <c r="AP209" t="n">
        <v>0.0</v>
      </c>
      <c r="AQ209" t="n">
        <v>0.0</v>
      </c>
      <c r="CH209">
        <f>IFERROR(U209*1,0)</f>
      </c>
    </row>
    <row r="210">
      <c r="A210" t="n">
        <v>3.0</v>
      </c>
      <c r="B210">
        <f>IF((K210-G210-H210&gt;2400000),10,(L210/(K210-G210-H210)*100))</f>
      </c>
      <c r="C210">
        <f>IF(N210&gt;2400000,240000,(N210*S210)/100)</f>
      </c>
      <c r="D210">
        <f>IF(S210=0,0,IF((N210-I210)&gt;2400000,((((((N210-I210-J210)-240000))*0.1+(I210+J210)*0.1)))-7000,((((((N210-I210-J210)-(N210-I210-J210)*S210/100)))*0.1+(I210+J210)*0.1)-7000)))</f>
      </c>
      <c r="E210">
        <f>C210-O210</f>
      </c>
      <c r="F210">
        <f>D210-P210</f>
      </c>
      <c r="G210">
        <f>SUMIF(negtgel!U$2:BL$2,'Tsalin uzuulelt'!B$1,negtgel!U210:BL210) + SUMIF(negtgel!U$2:BL$2,'Tsalin uzuulelt'!B$2,negtgel!U210:BL210)+SUMIF(negtgel!U$2:BL$2,'Tsalin uzuulelt'!B$3,negtgel!U210:BL210)+SUMIF(negtgel!U$2:BL$2,'Tsalin uzuulelt'!B$4,negtgel!U210:BL210)+SUMIF(negtgel!U$2:BL$2,'Tsalin uzuulelt'!B$5,negtgel!U210:BL210)</f>
      </c>
      <c r="H210">
        <f>SUMIF(negtgel!U$2:BL$2,'Tsalin uzuulelt'!F$1,negtgel!U210:BL210) + SUMIF(negtgel!U$2:BL$2,'Tsalin uzuulelt'!F$2,negtgel!U210:BL210)+SUMIF(negtgel!U$2:BL$2,'Tsalin uzuulelt'!F$3,negtgel!U210:BL210)+SUMIF(negtgel!U$2:BL$2,'Tsalin uzuulelt'!F$4,negtgel!U210:BL210)+SUMIF(negtgel!U$2:BL$2,'Tsalin uzuulelt'!F$5,negtgel!U210:BL210)</f>
      </c>
      <c r="I210">
        <f>SUMIF(negtgel!U$2:BL$2,'Tsalin uzuulelt'!H$1,negtgel!U210:BL210) + SUMIF(negtgel!U$2:BL$2,'Tsalin uzuulelt'!H$2,negtgel!U210:BL210)+SUMIF(negtgel!U$2:BL$2,'Tsalin uzuulelt'!H$3,negtgel!U210:BL210)+SUMIF(negtgel!U$2:BL$2,'Tsalin uzuulelt'!H$4,negtgel!U210:BL210)+SUMIF(negtgel!U$2:BL$2,'Tsalin uzuulelt'!H$5,negtgel!U210:BL210)</f>
      </c>
      <c r="J210">
        <f>SUMIF(negtgel!U$2:BL$2,'Tsalin uzuulelt'!J$1,negtgel!U210:BL210) + SUMIF(negtgel!U$2:BL$2,'Tsalin uzuulelt'!J$2,negtgel!U210:BL210)+SUMIF(negtgel!U$2:BL$2,'Tsalin uzuulelt'!J$3,negtgel!U210:BL210)+SUMIF(negtgel!U$2:BL$2,'Tsalin uzuulelt'!J$4,negtgel!U210:BL210)+SUMIF(negtgel!U$2:BL$2,'Tsalin uzuulelt'!J$5,negtgel!U210:BL210)</f>
      </c>
      <c r="K210">
        <f>SUMIF(negtgel!U$2:BL$2,'Tsalin uzuulelt'!L$1,negtgel!U210:BL210) + SUMIF(negtgel!U$2:BL$2,'Tsalin uzuulelt'!L$2,negtgel!U210:BL210)+SUMIF(negtgel!U$2:BL$2,'Tsalin uzuulelt'!L$3,negtgel!U210:BL210)+SUMIF(negtgel!U$2:BL$2,'Tsalin uzuulelt'!L$4,negtgel!U210:BL210)+SUMIF(negtgel!U$2:BL$2,'Tsalin uzuulelt'!L$5,negtgel!U210:BL210)</f>
      </c>
      <c r="L210">
        <f>SUMIF(negtgel!U$2:BL$2,'Tsalin uzuulelt'!N$1,negtgel!U210:BL210) + SUMIF(negtgel!U$2:BL$2,'Tsalin uzuulelt'!N$2,negtgel!U210:BL210)+SUMIF(negtgel!U$2:BL$2,'Tsalin uzuulelt'!N$3,negtgel!U210:BL210)+SUMIF(negtgel!U$2:BL$2,'Tsalin uzuulelt'!N$4,negtgel!U210:BL210)+SUMIF(negtgel!U$2:BL$2,'Tsalin uzuulelt'!N$5,negtgel!U210:BL210)</f>
      </c>
      <c r="M210">
        <f>SUMIF(negtgel!U$2:BL$2,'Tsalin uzuulelt'!P$1,negtgel!U210:BL210) + SUMIF(negtgel!U$2:BL$2,'Tsalin uzuulelt'!P$2,negtgel!U210:BL210)+ SUMIF(negtgel!U$2:BL$2,'Tsalin uzuulelt'!P$3,negtgel!U210:BL210)+ SUMIF(negtgel!U$2:BL$2,'Tsalin uzuulelt'!P$4,negtgel!U210:BL210)+ SUMIF(negtgel!U$2:BL$2,'Tsalin uzuulelt'!P$5,negtgel!U210:BL210)</f>
      </c>
      <c r="N210">
        <f>IF(ISNUMBER(U210*1)=CF210,0,K210-H210-G210)</f>
      </c>
      <c r="O210">
        <f>IF(ISNUMBER(U210*1)=CF210,0,L210)</f>
      </c>
      <c r="P210">
        <f>IF(ISNUMBER(U210*1)=CF210,0,M210)</f>
      </c>
      <c r="Q210">
        <f>IF(N210&gt;2400000,N210,0)</f>
      </c>
      <c r="R210">
        <f>IF(L210/Q210*100&lt;3,2,10)</f>
      </c>
      <c r="S210">
        <f>IF(CH210=0,0,IF(B210&gt;9,10,IF(B210&gt;8,B210,IF(B210&gt;7.7,7.8,IF(B210&gt;3,B210,IF(B210&gt;1.5,2))))))</f>
      </c>
      <c r="T210">
        <f>IF(Q210=0,S210,R210)</f>
      </c>
      <c r="U210" t="s">
        <v>3847</v>
      </c>
      <c r="V210"/>
      <c r="W210"/>
      <c r="X210"/>
      <c r="Y210"/>
      <c r="Z210"/>
      <c r="AA210"/>
      <c r="AB210"/>
      <c r="AC210"/>
      <c r="AD210"/>
      <c r="AE210"/>
      <c r="AF210"/>
      <c r="AG210"/>
      <c r="AH210"/>
      <c r="AI210"/>
      <c r="AJ210"/>
      <c r="AK210"/>
      <c r="AL210"/>
      <c r="AM210"/>
      <c r="AN210"/>
      <c r="AO210"/>
      <c r="AP210"/>
      <c r="AQ210"/>
      <c r="CH210">
        <f>IFERROR(U210*1,0)</f>
      </c>
    </row>
    <row r="213">
      <c r="A213" t="n">
        <v>4.0</v>
      </c>
      <c r="B213">
        <f>IF((K213-G213-H213&gt;2400000),10,(L213/(K213-G213-H213)*100))</f>
      </c>
      <c r="C213">
        <f>IF(N213&gt;2400000,240000,(N213*S213)/100)</f>
      </c>
      <c r="D213">
        <f>IF(S213=0,0,IF((N213-I213)&gt;2400000,((((((N213-I213-J213)-240000))*0.1+(I213+J213)*0.1)))-7000,((((((N213-I213-J213)-(N213-I213-J213)*S213/100)))*0.1+(I213+J213)*0.1)-7000)))</f>
      </c>
      <c r="E213">
        <f>C213-O213</f>
      </c>
      <c r="F213">
        <f>D213-P213</f>
      </c>
      <c r="G213">
        <f>SUMIF(negtgel!U$2:BL$2,'Tsalin uzuulelt'!B$1,negtgel!U213:BL213) + SUMIF(negtgel!U$2:BL$2,'Tsalin uzuulelt'!B$2,negtgel!U213:BL213)+SUMIF(negtgel!U$2:BL$2,'Tsalin uzuulelt'!B$3,negtgel!U213:BL213)+SUMIF(negtgel!U$2:BL$2,'Tsalin uzuulelt'!B$4,negtgel!U213:BL213)+SUMIF(negtgel!U$2:BL$2,'Tsalin uzuulelt'!B$5,negtgel!U213:BL213)</f>
      </c>
      <c r="H213">
        <f>SUMIF(negtgel!U$2:BL$2,'Tsalin uzuulelt'!F$1,negtgel!U213:BL213) + SUMIF(negtgel!U$2:BL$2,'Tsalin uzuulelt'!F$2,negtgel!U213:BL213)+SUMIF(negtgel!U$2:BL$2,'Tsalin uzuulelt'!F$3,negtgel!U213:BL213)+SUMIF(negtgel!U$2:BL$2,'Tsalin uzuulelt'!F$4,negtgel!U213:BL213)+SUMIF(negtgel!U$2:BL$2,'Tsalin uzuulelt'!F$5,negtgel!U213:BL213)</f>
      </c>
      <c r="I213">
        <f>SUMIF(negtgel!U$2:BL$2,'Tsalin uzuulelt'!H$1,negtgel!U213:BL213) + SUMIF(negtgel!U$2:BL$2,'Tsalin uzuulelt'!H$2,negtgel!U213:BL213)+SUMIF(negtgel!U$2:BL$2,'Tsalin uzuulelt'!H$3,negtgel!U213:BL213)+SUMIF(negtgel!U$2:BL$2,'Tsalin uzuulelt'!H$4,negtgel!U213:BL213)+SUMIF(negtgel!U$2:BL$2,'Tsalin uzuulelt'!H$5,negtgel!U213:BL213)</f>
      </c>
      <c r="J213">
        <f>SUMIF(negtgel!U$2:BL$2,'Tsalin uzuulelt'!J$1,negtgel!U213:BL213) + SUMIF(negtgel!U$2:BL$2,'Tsalin uzuulelt'!J$2,negtgel!U213:BL213)+SUMIF(negtgel!U$2:BL$2,'Tsalin uzuulelt'!J$3,negtgel!U213:BL213)+SUMIF(negtgel!U$2:BL$2,'Tsalin uzuulelt'!J$4,negtgel!U213:BL213)+SUMIF(negtgel!U$2:BL$2,'Tsalin uzuulelt'!J$5,negtgel!U213:BL213)</f>
      </c>
      <c r="K213">
        <f>SUMIF(negtgel!U$2:BL$2,'Tsalin uzuulelt'!L$1,negtgel!U213:BL213) + SUMIF(negtgel!U$2:BL$2,'Tsalin uzuulelt'!L$2,negtgel!U213:BL213)+SUMIF(negtgel!U$2:BL$2,'Tsalin uzuulelt'!L$3,negtgel!U213:BL213)+SUMIF(negtgel!U$2:BL$2,'Tsalin uzuulelt'!L$4,negtgel!U213:BL213)+SUMIF(negtgel!U$2:BL$2,'Tsalin uzuulelt'!L$5,negtgel!U213:BL213)</f>
      </c>
      <c r="L213">
        <f>SUMIF(negtgel!U$2:BL$2,'Tsalin uzuulelt'!N$1,negtgel!U213:BL213) + SUMIF(negtgel!U$2:BL$2,'Tsalin uzuulelt'!N$2,negtgel!U213:BL213)+SUMIF(negtgel!U$2:BL$2,'Tsalin uzuulelt'!N$3,negtgel!U213:BL213)+SUMIF(negtgel!U$2:BL$2,'Tsalin uzuulelt'!N$4,negtgel!U213:BL213)+SUMIF(negtgel!U$2:BL$2,'Tsalin uzuulelt'!N$5,negtgel!U213:BL213)</f>
      </c>
      <c r="M213">
        <f>SUMIF(negtgel!U$2:BL$2,'Tsalin uzuulelt'!P$1,negtgel!U213:BL213) + SUMIF(negtgel!U$2:BL$2,'Tsalin uzuulelt'!P$2,negtgel!U213:BL213)+ SUMIF(negtgel!U$2:BL$2,'Tsalin uzuulelt'!P$3,negtgel!U213:BL213)+ SUMIF(negtgel!U$2:BL$2,'Tsalin uzuulelt'!P$4,negtgel!U213:BL213)+ SUMIF(negtgel!U$2:BL$2,'Tsalin uzuulelt'!P$5,negtgel!U213:BL213)</f>
      </c>
      <c r="N213">
        <f>IF(ISNUMBER(U213*1)=CF213,0,K213-H213-G213)</f>
      </c>
      <c r="O213">
        <f>IF(ISNUMBER(U213*1)=CF213,0,L213)</f>
      </c>
      <c r="P213">
        <f>IF(ISNUMBER(U213*1)=CF213,0,M213)</f>
      </c>
      <c r="Q213">
        <f>IF(N213&gt;2400000,N213,0)</f>
      </c>
      <c r="R213">
        <f>IF(L213/Q213*100&lt;3,2,10)</f>
      </c>
      <c r="S213">
        <f>IF(CH213=0,0,IF(B213&gt;9,10,IF(B213&gt;8,B213,IF(B213&gt;7.7,7.8,IF(B213&gt;3,B213,IF(B213&gt;1.5,2))))))</f>
      </c>
      <c r="T213">
        <f>IF(Q213=0,S213,R213)</f>
      </c>
      <c r="U213" t="s">
        <v>3781</v>
      </c>
      <c r="V213"/>
      <c r="W213"/>
      <c r="X213"/>
      <c r="Y213"/>
      <c r="Z213"/>
      <c r="AA213"/>
      <c r="AB213"/>
      <c r="AC213"/>
      <c r="AD213"/>
      <c r="AE213"/>
      <c r="AF213"/>
      <c r="AG213"/>
      <c r="AH213"/>
      <c r="AI213"/>
      <c r="AJ213"/>
      <c r="AK213"/>
      <c r="AL213"/>
      <c r="AM213"/>
      <c r="AN213"/>
      <c r="AO213"/>
      <c r="AP213"/>
      <c r="AQ213"/>
      <c r="CH213">
        <f>IFERROR(U213*1,0)</f>
      </c>
    </row>
    <row r="214">
      <c r="A214" t="n">
        <v>4.0</v>
      </c>
      <c r="B214">
        <f>IF((K214-G214-H214&gt;2400000),10,(L214/(K214-G214-H214)*100))</f>
      </c>
      <c r="C214">
        <f>IF(N214&gt;2400000,240000,(N214*S214)/100)</f>
      </c>
      <c r="D214">
        <f>IF(S214=0,0,IF((N214-I214)&gt;2400000,((((((N214-I214-J214)-240000))*0.1+(I214+J214)*0.1)))-7000,((((((N214-I214-J214)-(N214-I214-J214)*S214/100)))*0.1+(I214+J214)*0.1)-7000)))</f>
      </c>
      <c r="E214">
        <f>C214-O214</f>
      </c>
      <c r="F214">
        <f>D214-P214</f>
      </c>
      <c r="G214">
        <f>SUMIF(negtgel!U$2:BL$2,'Tsalin uzuulelt'!B$1,negtgel!U214:BL214) + SUMIF(negtgel!U$2:BL$2,'Tsalin uzuulelt'!B$2,negtgel!U214:BL214)+SUMIF(negtgel!U$2:BL$2,'Tsalin uzuulelt'!B$3,negtgel!U214:BL214)+SUMIF(negtgel!U$2:BL$2,'Tsalin uzuulelt'!B$4,negtgel!U214:BL214)+SUMIF(negtgel!U$2:BL$2,'Tsalin uzuulelt'!B$5,negtgel!U214:BL214)</f>
      </c>
      <c r="H214">
        <f>SUMIF(negtgel!U$2:BL$2,'Tsalin uzuulelt'!F$1,negtgel!U214:BL214) + SUMIF(negtgel!U$2:BL$2,'Tsalin uzuulelt'!F$2,negtgel!U214:BL214)+SUMIF(negtgel!U$2:BL$2,'Tsalin uzuulelt'!F$3,negtgel!U214:BL214)+SUMIF(negtgel!U$2:BL$2,'Tsalin uzuulelt'!F$4,negtgel!U214:BL214)+SUMIF(negtgel!U$2:BL$2,'Tsalin uzuulelt'!F$5,negtgel!U214:BL214)</f>
      </c>
      <c r="I214">
        <f>SUMIF(negtgel!U$2:BL$2,'Tsalin uzuulelt'!H$1,negtgel!U214:BL214) + SUMIF(negtgel!U$2:BL$2,'Tsalin uzuulelt'!H$2,negtgel!U214:BL214)+SUMIF(negtgel!U$2:BL$2,'Tsalin uzuulelt'!H$3,negtgel!U214:BL214)+SUMIF(negtgel!U$2:BL$2,'Tsalin uzuulelt'!H$4,negtgel!U214:BL214)+SUMIF(negtgel!U$2:BL$2,'Tsalin uzuulelt'!H$5,negtgel!U214:BL214)</f>
      </c>
      <c r="J214">
        <f>SUMIF(negtgel!U$2:BL$2,'Tsalin uzuulelt'!J$1,negtgel!U214:BL214) + SUMIF(negtgel!U$2:BL$2,'Tsalin uzuulelt'!J$2,negtgel!U214:BL214)+SUMIF(negtgel!U$2:BL$2,'Tsalin uzuulelt'!J$3,negtgel!U214:BL214)+SUMIF(negtgel!U$2:BL$2,'Tsalin uzuulelt'!J$4,negtgel!U214:BL214)+SUMIF(negtgel!U$2:BL$2,'Tsalin uzuulelt'!J$5,negtgel!U214:BL214)</f>
      </c>
      <c r="K214">
        <f>SUMIF(negtgel!U$2:BL$2,'Tsalin uzuulelt'!L$1,negtgel!U214:BL214) + SUMIF(negtgel!U$2:BL$2,'Tsalin uzuulelt'!L$2,negtgel!U214:BL214)+SUMIF(negtgel!U$2:BL$2,'Tsalin uzuulelt'!L$3,negtgel!U214:BL214)+SUMIF(negtgel!U$2:BL$2,'Tsalin uzuulelt'!L$4,negtgel!U214:BL214)+SUMIF(negtgel!U$2:BL$2,'Tsalin uzuulelt'!L$5,negtgel!U214:BL214)</f>
      </c>
      <c r="L214">
        <f>SUMIF(negtgel!U$2:BL$2,'Tsalin uzuulelt'!N$1,negtgel!U214:BL214) + SUMIF(negtgel!U$2:BL$2,'Tsalin uzuulelt'!N$2,negtgel!U214:BL214)+SUMIF(negtgel!U$2:BL$2,'Tsalin uzuulelt'!N$3,negtgel!U214:BL214)+SUMIF(negtgel!U$2:BL$2,'Tsalin uzuulelt'!N$4,negtgel!U214:BL214)+SUMIF(negtgel!U$2:BL$2,'Tsalin uzuulelt'!N$5,negtgel!U214:BL214)</f>
      </c>
      <c r="M214">
        <f>SUMIF(negtgel!U$2:BL$2,'Tsalin uzuulelt'!P$1,negtgel!U214:BL214) + SUMIF(negtgel!U$2:BL$2,'Tsalin uzuulelt'!P$2,negtgel!U214:BL214)+ SUMIF(negtgel!U$2:BL$2,'Tsalin uzuulelt'!P$3,negtgel!U214:BL214)+ SUMIF(negtgel!U$2:BL$2,'Tsalin uzuulelt'!P$4,negtgel!U214:BL214)+ SUMIF(negtgel!U$2:BL$2,'Tsalin uzuulelt'!P$5,negtgel!U214:BL214)</f>
      </c>
      <c r="N214">
        <f>IF(ISNUMBER(U214*1)=CF214,0,K214-H214-G214)</f>
      </c>
      <c r="O214">
        <f>IF(ISNUMBER(U214*1)=CF214,0,L214)</f>
      </c>
      <c r="P214">
        <f>IF(ISNUMBER(U214*1)=CF214,0,M214)</f>
      </c>
      <c r="Q214">
        <f>IF(N214&gt;2400000,N214,0)</f>
      </c>
      <c r="R214">
        <f>IF(L214/Q214*100&lt;3,2,10)</f>
      </c>
      <c r="S214">
        <f>IF(CH214=0,0,IF(B214&gt;9,10,IF(B214&gt;8,B214,IF(B214&gt;7.7,7.8,IF(B214&gt;3,B214,IF(B214&gt;1.5,2))))))</f>
      </c>
      <c r="T214">
        <f>IF(Q214=0,S214,R214)</f>
      </c>
      <c r="U214" t="n">
        <v>20.0</v>
      </c>
      <c r="V214" t="s">
        <v>3782</v>
      </c>
      <c r="W214" t="s">
        <v>3783</v>
      </c>
      <c r="X214" t="n">
        <v>864211.0</v>
      </c>
      <c r="Y214" t="n">
        <v>864211.0</v>
      </c>
      <c r="Z214" t="n">
        <v>216053.0</v>
      </c>
      <c r="AA214" t="n">
        <v>216053.0</v>
      </c>
      <c r="AB214" t="n">
        <v>0.0</v>
      </c>
      <c r="AC214" t="n">
        <v>0.0</v>
      </c>
      <c r="AD214" t="n">
        <v>0.0</v>
      </c>
      <c r="AE214" t="n">
        <v>331857.0</v>
      </c>
      <c r="AF214" t="n">
        <v>60000.0</v>
      </c>
      <c r="AG214" t="n">
        <v>0.0</v>
      </c>
      <c r="AH214" t="n">
        <v>0.0</v>
      </c>
      <c r="AI214" t="n">
        <v>0.0</v>
      </c>
      <c r="AJ214" t="n">
        <v>0.0</v>
      </c>
      <c r="AK214" t="n">
        <v>0.0</v>
      </c>
      <c r="AL214" t="n">
        <v>0.0</v>
      </c>
      <c r="AM214" t="n">
        <v>0.0</v>
      </c>
      <c r="AN214" t="n">
        <v>0.0</v>
      </c>
      <c r="AO214" t="n">
        <v>1688174.0</v>
      </c>
      <c r="AP214" t="n">
        <v>168816.0</v>
      </c>
      <c r="AQ214" t="n">
        <v>145535.7</v>
      </c>
      <c r="CH214">
        <f>IFERROR(U214*1,0)</f>
      </c>
    </row>
    <row r="215">
      <c r="A215" t="n">
        <v>4.0</v>
      </c>
      <c r="B215">
        <f>IF((K215-G215-H215&gt;2400000),10,(L215/(K215-G215-H215)*100))</f>
      </c>
      <c r="C215">
        <f>IF(N215&gt;2400000,240000,(N215*S215)/100)</f>
      </c>
      <c r="D215">
        <f>IF(S215=0,0,IF((N215-I215)&gt;2400000,((((((N215-I215-J215)-240000))*0.1+(I215+J215)*0.1)))-7000,((((((N215-I215-J215)-(N215-I215-J215)*S215/100)))*0.1+(I215+J215)*0.1)-7000)))</f>
      </c>
      <c r="E215">
        <f>C215-O215</f>
      </c>
      <c r="F215">
        <f>D215-P215</f>
      </c>
      <c r="G215">
        <f>SUMIF(negtgel!U$2:BL$2,'Tsalin uzuulelt'!B$1,negtgel!U215:BL215) + SUMIF(negtgel!U$2:BL$2,'Tsalin uzuulelt'!B$2,negtgel!U215:BL215)+SUMIF(negtgel!U$2:BL$2,'Tsalin uzuulelt'!B$3,negtgel!U215:BL215)+SUMIF(negtgel!U$2:BL$2,'Tsalin uzuulelt'!B$4,negtgel!U215:BL215)+SUMIF(negtgel!U$2:BL$2,'Tsalin uzuulelt'!B$5,negtgel!U215:BL215)</f>
      </c>
      <c r="H215">
        <f>SUMIF(negtgel!U$2:BL$2,'Tsalin uzuulelt'!F$1,negtgel!U215:BL215) + SUMIF(negtgel!U$2:BL$2,'Tsalin uzuulelt'!F$2,negtgel!U215:BL215)+SUMIF(negtgel!U$2:BL$2,'Tsalin uzuulelt'!F$3,negtgel!U215:BL215)+SUMIF(negtgel!U$2:BL$2,'Tsalin uzuulelt'!F$4,negtgel!U215:BL215)+SUMIF(negtgel!U$2:BL$2,'Tsalin uzuulelt'!F$5,negtgel!U215:BL215)</f>
      </c>
      <c r="I215">
        <f>SUMIF(negtgel!U$2:BL$2,'Tsalin uzuulelt'!H$1,negtgel!U215:BL215) + SUMIF(negtgel!U$2:BL$2,'Tsalin uzuulelt'!H$2,negtgel!U215:BL215)+SUMIF(negtgel!U$2:BL$2,'Tsalin uzuulelt'!H$3,negtgel!U215:BL215)+SUMIF(negtgel!U$2:BL$2,'Tsalin uzuulelt'!H$4,negtgel!U215:BL215)+SUMIF(negtgel!U$2:BL$2,'Tsalin uzuulelt'!H$5,negtgel!U215:BL215)</f>
      </c>
      <c r="J215">
        <f>SUMIF(negtgel!U$2:BL$2,'Tsalin uzuulelt'!J$1,negtgel!U215:BL215) + SUMIF(negtgel!U$2:BL$2,'Tsalin uzuulelt'!J$2,negtgel!U215:BL215)+SUMIF(negtgel!U$2:BL$2,'Tsalin uzuulelt'!J$3,negtgel!U215:BL215)+SUMIF(negtgel!U$2:BL$2,'Tsalin uzuulelt'!J$4,negtgel!U215:BL215)+SUMIF(negtgel!U$2:BL$2,'Tsalin uzuulelt'!J$5,negtgel!U215:BL215)</f>
      </c>
      <c r="K215">
        <f>SUMIF(negtgel!U$2:BL$2,'Tsalin uzuulelt'!L$1,negtgel!U215:BL215) + SUMIF(negtgel!U$2:BL$2,'Tsalin uzuulelt'!L$2,negtgel!U215:BL215)+SUMIF(negtgel!U$2:BL$2,'Tsalin uzuulelt'!L$3,negtgel!U215:BL215)+SUMIF(negtgel!U$2:BL$2,'Tsalin uzuulelt'!L$4,negtgel!U215:BL215)+SUMIF(negtgel!U$2:BL$2,'Tsalin uzuulelt'!L$5,negtgel!U215:BL215)</f>
      </c>
      <c r="L215">
        <f>SUMIF(negtgel!U$2:BL$2,'Tsalin uzuulelt'!N$1,negtgel!U215:BL215) + SUMIF(negtgel!U$2:BL$2,'Tsalin uzuulelt'!N$2,negtgel!U215:BL215)+SUMIF(negtgel!U$2:BL$2,'Tsalin uzuulelt'!N$3,negtgel!U215:BL215)+SUMIF(negtgel!U$2:BL$2,'Tsalin uzuulelt'!N$4,negtgel!U215:BL215)+SUMIF(negtgel!U$2:BL$2,'Tsalin uzuulelt'!N$5,negtgel!U215:BL215)</f>
      </c>
      <c r="M215">
        <f>SUMIF(negtgel!U$2:BL$2,'Tsalin uzuulelt'!P$1,negtgel!U215:BL215) + SUMIF(negtgel!U$2:BL$2,'Tsalin uzuulelt'!P$2,negtgel!U215:BL215)+ SUMIF(negtgel!U$2:BL$2,'Tsalin uzuulelt'!P$3,negtgel!U215:BL215)+ SUMIF(negtgel!U$2:BL$2,'Tsalin uzuulelt'!P$4,negtgel!U215:BL215)+ SUMIF(negtgel!U$2:BL$2,'Tsalin uzuulelt'!P$5,negtgel!U215:BL215)</f>
      </c>
      <c r="N215">
        <f>IF(ISNUMBER(U215*1)=CF215,0,K215-H215-G215)</f>
      </c>
      <c r="O215">
        <f>IF(ISNUMBER(U215*1)=CF215,0,L215)</f>
      </c>
      <c r="P215">
        <f>IF(ISNUMBER(U215*1)=CF215,0,M215)</f>
      </c>
      <c r="Q215">
        <f>IF(N215&gt;2400000,N215,0)</f>
      </c>
      <c r="R215">
        <f>IF(L215/Q215*100&lt;3,2,10)</f>
      </c>
      <c r="S215">
        <f>IF(CH215=0,0,IF(B215&gt;9,10,IF(B215&gt;8,B215,IF(B215&gt;7.7,7.8,IF(B215&gt;3,B215,IF(B215&gt;1.5,2))))))</f>
      </c>
      <c r="T215">
        <f>IF(Q215=0,S215,R215)</f>
      </c>
      <c r="U215" t="n">
        <v>21.0</v>
      </c>
      <c r="V215" t="s">
        <v>3784</v>
      </c>
      <c r="W215" t="s">
        <v>3785</v>
      </c>
      <c r="X215" t="n">
        <v>757359.0</v>
      </c>
      <c r="Y215" t="n">
        <v>757359.0</v>
      </c>
      <c r="Z215" t="n">
        <v>113604.0</v>
      </c>
      <c r="AA215" t="n">
        <v>166619.0</v>
      </c>
      <c r="AB215" t="n">
        <v>0.0</v>
      </c>
      <c r="AC215" t="n">
        <v>113604.0</v>
      </c>
      <c r="AD215" t="n">
        <v>0.0</v>
      </c>
      <c r="AE215" t="n">
        <v>287266.0</v>
      </c>
      <c r="AF215" t="n">
        <v>60000.0</v>
      </c>
      <c r="AG215" t="n">
        <v>0.0</v>
      </c>
      <c r="AH215" t="n">
        <v>0.0</v>
      </c>
      <c r="AI215" t="n">
        <v>0.0</v>
      </c>
      <c r="AJ215" t="n">
        <v>0.0</v>
      </c>
      <c r="AK215" t="n">
        <v>0.0</v>
      </c>
      <c r="AL215" t="n">
        <v>0.0</v>
      </c>
      <c r="AM215" t="n">
        <v>0.0</v>
      </c>
      <c r="AN215" t="n">
        <v>0.0</v>
      </c>
      <c r="AO215" t="n">
        <v>1498452.0</v>
      </c>
      <c r="AP215" t="n">
        <v>149846.0</v>
      </c>
      <c r="AQ215" t="n">
        <v>128460.7</v>
      </c>
      <c r="CH215">
        <f>IFERROR(U215*1,0)</f>
      </c>
    </row>
    <row r="216">
      <c r="A216" t="n">
        <v>4.0</v>
      </c>
      <c r="B216">
        <f>IF((K216-G216-H216&gt;2400000),10,(L216/(K216-G216-H216)*100))</f>
      </c>
      <c r="C216">
        <f>IF(N216&gt;2400000,240000,(N216*S216)/100)</f>
      </c>
      <c r="D216">
        <f>IF(S216=0,0,IF((N216-I216)&gt;2400000,((((((N216-I216-J216)-240000))*0.1+(I216+J216)*0.1)))-7000,((((((N216-I216-J216)-(N216-I216-J216)*S216/100)))*0.1+(I216+J216)*0.1)-7000)))</f>
      </c>
      <c r="E216">
        <f>C216-O216</f>
      </c>
      <c r="F216">
        <f>D216-P216</f>
      </c>
      <c r="G216">
        <f>SUMIF(negtgel!U$2:BL$2,'Tsalin uzuulelt'!B$1,negtgel!U216:BL216) + SUMIF(negtgel!U$2:BL$2,'Tsalin uzuulelt'!B$2,negtgel!U216:BL216)+SUMIF(negtgel!U$2:BL$2,'Tsalin uzuulelt'!B$3,negtgel!U216:BL216)+SUMIF(negtgel!U$2:BL$2,'Tsalin uzuulelt'!B$4,negtgel!U216:BL216)+SUMIF(negtgel!U$2:BL$2,'Tsalin uzuulelt'!B$5,negtgel!U216:BL216)</f>
      </c>
      <c r="H216">
        <f>SUMIF(negtgel!U$2:BL$2,'Tsalin uzuulelt'!F$1,negtgel!U216:BL216) + SUMIF(negtgel!U$2:BL$2,'Tsalin uzuulelt'!F$2,negtgel!U216:BL216)+SUMIF(negtgel!U$2:BL$2,'Tsalin uzuulelt'!F$3,negtgel!U216:BL216)+SUMIF(negtgel!U$2:BL$2,'Tsalin uzuulelt'!F$4,negtgel!U216:BL216)+SUMIF(negtgel!U$2:BL$2,'Tsalin uzuulelt'!F$5,negtgel!U216:BL216)</f>
      </c>
      <c r="I216">
        <f>SUMIF(negtgel!U$2:BL$2,'Tsalin uzuulelt'!H$1,negtgel!U216:BL216) + SUMIF(negtgel!U$2:BL$2,'Tsalin uzuulelt'!H$2,negtgel!U216:BL216)+SUMIF(negtgel!U$2:BL$2,'Tsalin uzuulelt'!H$3,negtgel!U216:BL216)+SUMIF(negtgel!U$2:BL$2,'Tsalin uzuulelt'!H$4,negtgel!U216:BL216)+SUMIF(negtgel!U$2:BL$2,'Tsalin uzuulelt'!H$5,negtgel!U216:BL216)</f>
      </c>
      <c r="J216">
        <f>SUMIF(negtgel!U$2:BL$2,'Tsalin uzuulelt'!J$1,negtgel!U216:BL216) + SUMIF(negtgel!U$2:BL$2,'Tsalin uzuulelt'!J$2,negtgel!U216:BL216)+SUMIF(negtgel!U$2:BL$2,'Tsalin uzuulelt'!J$3,negtgel!U216:BL216)+SUMIF(negtgel!U$2:BL$2,'Tsalin uzuulelt'!J$4,negtgel!U216:BL216)+SUMIF(negtgel!U$2:BL$2,'Tsalin uzuulelt'!J$5,negtgel!U216:BL216)</f>
      </c>
      <c r="K216">
        <f>SUMIF(negtgel!U$2:BL$2,'Tsalin uzuulelt'!L$1,negtgel!U216:BL216) + SUMIF(negtgel!U$2:BL$2,'Tsalin uzuulelt'!L$2,negtgel!U216:BL216)+SUMIF(negtgel!U$2:BL$2,'Tsalin uzuulelt'!L$3,negtgel!U216:BL216)+SUMIF(negtgel!U$2:BL$2,'Tsalin uzuulelt'!L$4,negtgel!U216:BL216)+SUMIF(negtgel!U$2:BL$2,'Tsalin uzuulelt'!L$5,negtgel!U216:BL216)</f>
      </c>
      <c r="L216">
        <f>SUMIF(negtgel!U$2:BL$2,'Tsalin uzuulelt'!N$1,negtgel!U216:BL216) + SUMIF(negtgel!U$2:BL$2,'Tsalin uzuulelt'!N$2,negtgel!U216:BL216)+SUMIF(negtgel!U$2:BL$2,'Tsalin uzuulelt'!N$3,negtgel!U216:BL216)+SUMIF(negtgel!U$2:BL$2,'Tsalin uzuulelt'!N$4,negtgel!U216:BL216)+SUMIF(negtgel!U$2:BL$2,'Tsalin uzuulelt'!N$5,negtgel!U216:BL216)</f>
      </c>
      <c r="M216">
        <f>SUMIF(negtgel!U$2:BL$2,'Tsalin uzuulelt'!P$1,negtgel!U216:BL216) + SUMIF(negtgel!U$2:BL$2,'Tsalin uzuulelt'!P$2,negtgel!U216:BL216)+ SUMIF(negtgel!U$2:BL$2,'Tsalin uzuulelt'!P$3,negtgel!U216:BL216)+ SUMIF(negtgel!U$2:BL$2,'Tsalin uzuulelt'!P$4,negtgel!U216:BL216)+ SUMIF(negtgel!U$2:BL$2,'Tsalin uzuulelt'!P$5,negtgel!U216:BL216)</f>
      </c>
      <c r="N216">
        <f>IF(ISNUMBER(U216*1)=CF216,0,K216-H216-G216)</f>
      </c>
      <c r="O216">
        <f>IF(ISNUMBER(U216*1)=CF216,0,L216)</f>
      </c>
      <c r="P216">
        <f>IF(ISNUMBER(U216*1)=CF216,0,M216)</f>
      </c>
      <c r="Q216">
        <f>IF(N216&gt;2400000,N216,0)</f>
      </c>
      <c r="R216">
        <f>IF(L216/Q216*100&lt;3,2,10)</f>
      </c>
      <c r="S216">
        <f>IF(CH216=0,0,IF(B216&gt;9,10,IF(B216&gt;8,B216,IF(B216&gt;7.7,7.8,IF(B216&gt;3,B216,IF(B216&gt;1.5,2))))))</f>
      </c>
      <c r="T216">
        <f>IF(Q216=0,S216,R216)</f>
      </c>
      <c r="U216" t="n">
        <v>22.0</v>
      </c>
      <c r="V216" t="s">
        <v>3864</v>
      </c>
      <c r="W216" t="s">
        <v>3865</v>
      </c>
      <c r="X216" t="n">
        <v>371016.0</v>
      </c>
      <c r="Y216" t="n">
        <v>371016.0</v>
      </c>
      <c r="Z216" t="n">
        <v>0.0</v>
      </c>
      <c r="AA216" t="n">
        <v>0.0</v>
      </c>
      <c r="AB216" t="n">
        <v>0.0</v>
      </c>
      <c r="AC216" t="n">
        <v>0.0</v>
      </c>
      <c r="AD216" t="n">
        <v>0.0</v>
      </c>
      <c r="AE216" t="n">
        <v>0.0</v>
      </c>
      <c r="AF216" t="n">
        <v>60000.0</v>
      </c>
      <c r="AG216" t="n">
        <v>0.0</v>
      </c>
      <c r="AH216" t="n">
        <v>0.0</v>
      </c>
      <c r="AI216" t="n">
        <v>0.0</v>
      </c>
      <c r="AJ216" t="n">
        <v>0.0</v>
      </c>
      <c r="AK216" t="n">
        <v>0.0</v>
      </c>
      <c r="AL216" t="n">
        <v>0.0</v>
      </c>
      <c r="AM216" t="n">
        <v>0.0</v>
      </c>
      <c r="AN216" t="n">
        <v>0.0</v>
      </c>
      <c r="AO216" t="n">
        <v>431016.0</v>
      </c>
      <c r="AP216" t="n">
        <v>43101.0</v>
      </c>
      <c r="AQ216" t="n">
        <v>32391.4</v>
      </c>
      <c r="CH216">
        <f>IFERROR(U216*1,0)</f>
      </c>
    </row>
    <row r="217">
      <c r="A217" t="n">
        <v>4.0</v>
      </c>
      <c r="B217">
        <f>IF((K217-G217-H217&gt;2400000),10,(L217/(K217-G217-H217)*100))</f>
      </c>
      <c r="C217">
        <f>IF(N217&gt;2400000,240000,(N217*S217)/100)</f>
      </c>
      <c r="D217">
        <f>IF(S217=0,0,IF((N217-I217)&gt;2400000,((((((N217-I217-J217)-240000))*0.1+(I217+J217)*0.1)))-7000,((((((N217-I217-J217)-(N217-I217-J217)*S217/100)))*0.1+(I217+J217)*0.1)-7000)))</f>
      </c>
      <c r="E217">
        <f>C217-O217</f>
      </c>
      <c r="F217">
        <f>D217-P217</f>
      </c>
      <c r="G217">
        <f>SUMIF(negtgel!U$2:BL$2,'Tsalin uzuulelt'!B$1,negtgel!U217:BL217) + SUMIF(negtgel!U$2:BL$2,'Tsalin uzuulelt'!B$2,negtgel!U217:BL217)+SUMIF(negtgel!U$2:BL$2,'Tsalin uzuulelt'!B$3,negtgel!U217:BL217)+SUMIF(negtgel!U$2:BL$2,'Tsalin uzuulelt'!B$4,negtgel!U217:BL217)+SUMIF(negtgel!U$2:BL$2,'Tsalin uzuulelt'!B$5,negtgel!U217:BL217)</f>
      </c>
      <c r="H217">
        <f>SUMIF(negtgel!U$2:BL$2,'Tsalin uzuulelt'!F$1,negtgel!U217:BL217) + SUMIF(negtgel!U$2:BL$2,'Tsalin uzuulelt'!F$2,negtgel!U217:BL217)+SUMIF(negtgel!U$2:BL$2,'Tsalin uzuulelt'!F$3,negtgel!U217:BL217)+SUMIF(negtgel!U$2:BL$2,'Tsalin uzuulelt'!F$4,negtgel!U217:BL217)+SUMIF(negtgel!U$2:BL$2,'Tsalin uzuulelt'!F$5,negtgel!U217:BL217)</f>
      </c>
      <c r="I217">
        <f>SUMIF(negtgel!U$2:BL$2,'Tsalin uzuulelt'!H$1,negtgel!U217:BL217) + SUMIF(negtgel!U$2:BL$2,'Tsalin uzuulelt'!H$2,negtgel!U217:BL217)+SUMIF(negtgel!U$2:BL$2,'Tsalin uzuulelt'!H$3,negtgel!U217:BL217)+SUMIF(negtgel!U$2:BL$2,'Tsalin uzuulelt'!H$4,negtgel!U217:BL217)+SUMIF(negtgel!U$2:BL$2,'Tsalin uzuulelt'!H$5,negtgel!U217:BL217)</f>
      </c>
      <c r="J217">
        <f>SUMIF(negtgel!U$2:BL$2,'Tsalin uzuulelt'!J$1,negtgel!U217:BL217) + SUMIF(negtgel!U$2:BL$2,'Tsalin uzuulelt'!J$2,negtgel!U217:BL217)+SUMIF(negtgel!U$2:BL$2,'Tsalin uzuulelt'!J$3,negtgel!U217:BL217)+SUMIF(negtgel!U$2:BL$2,'Tsalin uzuulelt'!J$4,negtgel!U217:BL217)+SUMIF(negtgel!U$2:BL$2,'Tsalin uzuulelt'!J$5,negtgel!U217:BL217)</f>
      </c>
      <c r="K217">
        <f>SUMIF(negtgel!U$2:BL$2,'Tsalin uzuulelt'!L$1,negtgel!U217:BL217) + SUMIF(negtgel!U$2:BL$2,'Tsalin uzuulelt'!L$2,negtgel!U217:BL217)+SUMIF(negtgel!U$2:BL$2,'Tsalin uzuulelt'!L$3,negtgel!U217:BL217)+SUMIF(negtgel!U$2:BL$2,'Tsalin uzuulelt'!L$4,negtgel!U217:BL217)+SUMIF(negtgel!U$2:BL$2,'Tsalin uzuulelt'!L$5,negtgel!U217:BL217)</f>
      </c>
      <c r="L217">
        <f>SUMIF(negtgel!U$2:BL$2,'Tsalin uzuulelt'!N$1,negtgel!U217:BL217) + SUMIF(negtgel!U$2:BL$2,'Tsalin uzuulelt'!N$2,negtgel!U217:BL217)+SUMIF(negtgel!U$2:BL$2,'Tsalin uzuulelt'!N$3,negtgel!U217:BL217)+SUMIF(negtgel!U$2:BL$2,'Tsalin uzuulelt'!N$4,negtgel!U217:BL217)+SUMIF(negtgel!U$2:BL$2,'Tsalin uzuulelt'!N$5,negtgel!U217:BL217)</f>
      </c>
      <c r="M217">
        <f>SUMIF(negtgel!U$2:BL$2,'Tsalin uzuulelt'!P$1,negtgel!U217:BL217) + SUMIF(negtgel!U$2:BL$2,'Tsalin uzuulelt'!P$2,negtgel!U217:BL217)+ SUMIF(negtgel!U$2:BL$2,'Tsalin uzuulelt'!P$3,negtgel!U217:BL217)+ SUMIF(negtgel!U$2:BL$2,'Tsalin uzuulelt'!P$4,negtgel!U217:BL217)+ SUMIF(negtgel!U$2:BL$2,'Tsalin uzuulelt'!P$5,negtgel!U217:BL217)</f>
      </c>
      <c r="N217">
        <f>IF(ISNUMBER(U217*1)=CF217,0,K217-H217-G217)</f>
      </c>
      <c r="O217">
        <f>IF(ISNUMBER(U217*1)=CF217,0,L217)</f>
      </c>
      <c r="P217">
        <f>IF(ISNUMBER(U217*1)=CF217,0,M217)</f>
      </c>
      <c r="Q217">
        <f>IF(N217&gt;2400000,N217,0)</f>
      </c>
      <c r="R217">
        <f>IF(L217/Q217*100&lt;3,2,10)</f>
      </c>
      <c r="S217">
        <f>IF(CH217=0,0,IF(B217&gt;9,10,IF(B217&gt;8,B217,IF(B217&gt;7.7,7.8,IF(B217&gt;3,B217,IF(B217&gt;1.5,2))))))</f>
      </c>
      <c r="T217">
        <f>IF(Q217=0,S217,R217)</f>
      </c>
      <c r="U217" t="n">
        <v>23.0</v>
      </c>
      <c r="V217" t="s">
        <v>3861</v>
      </c>
      <c r="W217" t="s">
        <v>3790</v>
      </c>
      <c r="X217" t="n">
        <v>645556.0</v>
      </c>
      <c r="Y217" t="n">
        <v>645556.0</v>
      </c>
      <c r="Z217" t="n">
        <v>96833.0</v>
      </c>
      <c r="AA217" t="n">
        <v>129111.0</v>
      </c>
      <c r="AB217" t="n">
        <v>0.0</v>
      </c>
      <c r="AC217" t="n">
        <v>96833.0</v>
      </c>
      <c r="AD217" t="n">
        <v>0.0</v>
      </c>
      <c r="AE217" t="n">
        <v>254995.0</v>
      </c>
      <c r="AF217" t="n">
        <v>60000.0</v>
      </c>
      <c r="AG217" t="n">
        <v>0.0</v>
      </c>
      <c r="AH217" t="n">
        <v>0.0</v>
      </c>
      <c r="AI217" t="n">
        <v>0.0</v>
      </c>
      <c r="AJ217" t="n">
        <v>0.0</v>
      </c>
      <c r="AK217" t="n">
        <v>0.0</v>
      </c>
      <c r="AL217" t="n">
        <v>0.0</v>
      </c>
      <c r="AM217" t="n">
        <v>0.0</v>
      </c>
      <c r="AN217" t="n">
        <v>0.0</v>
      </c>
      <c r="AO217" t="n">
        <v>1283328.0</v>
      </c>
      <c r="AP217" t="n">
        <v>128334.0</v>
      </c>
      <c r="AQ217" t="n">
        <v>109099.5</v>
      </c>
      <c r="CH217">
        <f>IFERROR(U217*1,0)</f>
      </c>
    </row>
    <row r="218">
      <c r="A218" t="n">
        <v>4.0</v>
      </c>
      <c r="B218">
        <f>IF((K218-G218-H218&gt;2400000),10,(L218/(K218-G218-H218)*100))</f>
      </c>
      <c r="C218">
        <f>IF(N218&gt;2400000,240000,(N218*S218)/100)</f>
      </c>
      <c r="D218">
        <f>IF(S218=0,0,IF((N218-I218)&gt;2400000,((((((N218-I218-J218)-240000))*0.1+(I218+J218)*0.1)))-7000,((((((N218-I218-J218)-(N218-I218-J218)*S218/100)))*0.1+(I218+J218)*0.1)-7000)))</f>
      </c>
      <c r="E218">
        <f>C218-O218</f>
      </c>
      <c r="F218">
        <f>D218-P218</f>
      </c>
      <c r="G218">
        <f>SUMIF(negtgel!U$2:BL$2,'Tsalin uzuulelt'!B$1,negtgel!U218:BL218) + SUMIF(negtgel!U$2:BL$2,'Tsalin uzuulelt'!B$2,negtgel!U218:BL218)+SUMIF(negtgel!U$2:BL$2,'Tsalin uzuulelt'!B$3,negtgel!U218:BL218)+SUMIF(negtgel!U$2:BL$2,'Tsalin uzuulelt'!B$4,negtgel!U218:BL218)+SUMIF(negtgel!U$2:BL$2,'Tsalin uzuulelt'!B$5,negtgel!U218:BL218)</f>
      </c>
      <c r="H218">
        <f>SUMIF(negtgel!U$2:BL$2,'Tsalin uzuulelt'!F$1,negtgel!U218:BL218) + SUMIF(negtgel!U$2:BL$2,'Tsalin uzuulelt'!F$2,negtgel!U218:BL218)+SUMIF(negtgel!U$2:BL$2,'Tsalin uzuulelt'!F$3,negtgel!U218:BL218)+SUMIF(negtgel!U$2:BL$2,'Tsalin uzuulelt'!F$4,negtgel!U218:BL218)+SUMIF(negtgel!U$2:BL$2,'Tsalin uzuulelt'!F$5,negtgel!U218:BL218)</f>
      </c>
      <c r="I218">
        <f>SUMIF(negtgel!U$2:BL$2,'Tsalin uzuulelt'!H$1,negtgel!U218:BL218) + SUMIF(negtgel!U$2:BL$2,'Tsalin uzuulelt'!H$2,negtgel!U218:BL218)+SUMIF(negtgel!U$2:BL$2,'Tsalin uzuulelt'!H$3,negtgel!U218:BL218)+SUMIF(negtgel!U$2:BL$2,'Tsalin uzuulelt'!H$4,negtgel!U218:BL218)+SUMIF(negtgel!U$2:BL$2,'Tsalin uzuulelt'!H$5,negtgel!U218:BL218)</f>
      </c>
      <c r="J218">
        <f>SUMIF(negtgel!U$2:BL$2,'Tsalin uzuulelt'!J$1,negtgel!U218:BL218) + SUMIF(negtgel!U$2:BL$2,'Tsalin uzuulelt'!J$2,negtgel!U218:BL218)+SUMIF(negtgel!U$2:BL$2,'Tsalin uzuulelt'!J$3,negtgel!U218:BL218)+SUMIF(negtgel!U$2:BL$2,'Tsalin uzuulelt'!J$4,negtgel!U218:BL218)+SUMIF(negtgel!U$2:BL$2,'Tsalin uzuulelt'!J$5,negtgel!U218:BL218)</f>
      </c>
      <c r="K218">
        <f>SUMIF(negtgel!U$2:BL$2,'Tsalin uzuulelt'!L$1,negtgel!U218:BL218) + SUMIF(negtgel!U$2:BL$2,'Tsalin uzuulelt'!L$2,negtgel!U218:BL218)+SUMIF(negtgel!U$2:BL$2,'Tsalin uzuulelt'!L$3,negtgel!U218:BL218)+SUMIF(negtgel!U$2:BL$2,'Tsalin uzuulelt'!L$4,negtgel!U218:BL218)+SUMIF(negtgel!U$2:BL$2,'Tsalin uzuulelt'!L$5,negtgel!U218:BL218)</f>
      </c>
      <c r="L218">
        <f>SUMIF(negtgel!U$2:BL$2,'Tsalin uzuulelt'!N$1,negtgel!U218:BL218) + SUMIF(negtgel!U$2:BL$2,'Tsalin uzuulelt'!N$2,negtgel!U218:BL218)+SUMIF(negtgel!U$2:BL$2,'Tsalin uzuulelt'!N$3,negtgel!U218:BL218)+SUMIF(negtgel!U$2:BL$2,'Tsalin uzuulelt'!N$4,negtgel!U218:BL218)+SUMIF(negtgel!U$2:BL$2,'Tsalin uzuulelt'!N$5,negtgel!U218:BL218)</f>
      </c>
      <c r="M218">
        <f>SUMIF(negtgel!U$2:BL$2,'Tsalin uzuulelt'!P$1,negtgel!U218:BL218) + SUMIF(negtgel!U$2:BL$2,'Tsalin uzuulelt'!P$2,negtgel!U218:BL218)+ SUMIF(negtgel!U$2:BL$2,'Tsalin uzuulelt'!P$3,negtgel!U218:BL218)+ SUMIF(negtgel!U$2:BL$2,'Tsalin uzuulelt'!P$4,negtgel!U218:BL218)+ SUMIF(negtgel!U$2:BL$2,'Tsalin uzuulelt'!P$5,negtgel!U218:BL218)</f>
      </c>
      <c r="N218">
        <f>IF(ISNUMBER(U218*1)=CF218,0,K218-H218-G218)</f>
      </c>
      <c r="O218">
        <f>IF(ISNUMBER(U218*1)=CF218,0,L218)</f>
      </c>
      <c r="P218">
        <f>IF(ISNUMBER(U218*1)=CF218,0,M218)</f>
      </c>
      <c r="Q218">
        <f>IF(N218&gt;2400000,N218,0)</f>
      </c>
      <c r="R218">
        <f>IF(L218/Q218*100&lt;3,2,10)</f>
      </c>
      <c r="S218">
        <f>IF(CH218=0,0,IF(B218&gt;9,10,IF(B218&gt;8,B218,IF(B218&gt;7.7,7.8,IF(B218&gt;3,B218,IF(B218&gt;1.5,2))))))</f>
      </c>
      <c r="T218">
        <f>IF(Q218=0,S218,R218)</f>
      </c>
      <c r="U218" t="s">
        <v>3787</v>
      </c>
      <c r="V218"/>
      <c r="W218"/>
      <c r="X218" t="n">
        <v>1.3127025E7</v>
      </c>
      <c r="Y218" t="n">
        <v>1.1777122E7</v>
      </c>
      <c r="Z218" t="n">
        <v>1383977.0</v>
      </c>
      <c r="AA218" t="n">
        <v>1502562.0</v>
      </c>
      <c r="AB218" t="n">
        <v>657229.0</v>
      </c>
      <c r="AC218" t="n">
        <v>422131.0</v>
      </c>
      <c r="AD218" t="n">
        <v>778470.0</v>
      </c>
      <c r="AE218" t="n">
        <v>3705427.0</v>
      </c>
      <c r="AF218" t="n">
        <v>1194000.0</v>
      </c>
      <c r="AG218" t="n">
        <v>0.0</v>
      </c>
      <c r="AH218" t="n">
        <v>0.0</v>
      </c>
      <c r="AI218" t="n">
        <v>0.0</v>
      </c>
      <c r="AJ218" t="n">
        <v>0.0</v>
      </c>
      <c r="AK218" t="n">
        <v>0.0</v>
      </c>
      <c r="AL218" t="n">
        <v>122778.0</v>
      </c>
      <c r="AM218" t="n">
        <v>0.0</v>
      </c>
      <c r="AN218" t="n">
        <v>0.0</v>
      </c>
      <c r="AO218" t="n">
        <v>2.1648621E7</v>
      </c>
      <c r="AP218" t="n">
        <v>2152583.0</v>
      </c>
      <c r="AQ218" t="n">
        <v>1802265.8</v>
      </c>
      <c r="CH218">
        <f>IFERROR(U218*1,0)</f>
      </c>
    </row>
    <row r="219">
      <c r="A219" t="n">
        <v>4.0</v>
      </c>
      <c r="B219">
        <f>IF((K219-G219-H219&gt;2400000),10,(L219/(K219-G219-H219)*100))</f>
      </c>
      <c r="C219">
        <f>IF(N219&gt;2400000,240000,(N219*S219)/100)</f>
      </c>
      <c r="D219">
        <f>IF(S219=0,0,IF((N219-I219)&gt;2400000,((((((N219-I219-J219)-240000))*0.1+(I219+J219)*0.1)))-7000,((((((N219-I219-J219)-(N219-I219-J219)*S219/100)))*0.1+(I219+J219)*0.1)-7000)))</f>
      </c>
      <c r="E219">
        <f>C219-O219</f>
      </c>
      <c r="F219">
        <f>D219-P219</f>
      </c>
      <c r="G219">
        <f>SUMIF(negtgel!U$2:BL$2,'Tsalin uzuulelt'!B$1,negtgel!U219:BL219) + SUMIF(negtgel!U$2:BL$2,'Tsalin uzuulelt'!B$2,negtgel!U219:BL219)+SUMIF(negtgel!U$2:BL$2,'Tsalin uzuulelt'!B$3,negtgel!U219:BL219)+SUMIF(negtgel!U$2:BL$2,'Tsalin uzuulelt'!B$4,negtgel!U219:BL219)+SUMIF(negtgel!U$2:BL$2,'Tsalin uzuulelt'!B$5,negtgel!U219:BL219)</f>
      </c>
      <c r="H219">
        <f>SUMIF(negtgel!U$2:BL$2,'Tsalin uzuulelt'!F$1,negtgel!U219:BL219) + SUMIF(negtgel!U$2:BL$2,'Tsalin uzuulelt'!F$2,negtgel!U219:BL219)+SUMIF(negtgel!U$2:BL$2,'Tsalin uzuulelt'!F$3,negtgel!U219:BL219)+SUMIF(negtgel!U$2:BL$2,'Tsalin uzuulelt'!F$4,negtgel!U219:BL219)+SUMIF(negtgel!U$2:BL$2,'Tsalin uzuulelt'!F$5,negtgel!U219:BL219)</f>
      </c>
      <c r="I219">
        <f>SUMIF(negtgel!U$2:BL$2,'Tsalin uzuulelt'!H$1,negtgel!U219:BL219) + SUMIF(negtgel!U$2:BL$2,'Tsalin uzuulelt'!H$2,negtgel!U219:BL219)+SUMIF(negtgel!U$2:BL$2,'Tsalin uzuulelt'!H$3,negtgel!U219:BL219)+SUMIF(negtgel!U$2:BL$2,'Tsalin uzuulelt'!H$4,negtgel!U219:BL219)+SUMIF(negtgel!U$2:BL$2,'Tsalin uzuulelt'!H$5,negtgel!U219:BL219)</f>
      </c>
      <c r="J219">
        <f>SUMIF(negtgel!U$2:BL$2,'Tsalin uzuulelt'!J$1,negtgel!U219:BL219) + SUMIF(negtgel!U$2:BL$2,'Tsalin uzuulelt'!J$2,negtgel!U219:BL219)+SUMIF(negtgel!U$2:BL$2,'Tsalin uzuulelt'!J$3,negtgel!U219:BL219)+SUMIF(negtgel!U$2:BL$2,'Tsalin uzuulelt'!J$4,negtgel!U219:BL219)+SUMIF(negtgel!U$2:BL$2,'Tsalin uzuulelt'!J$5,negtgel!U219:BL219)</f>
      </c>
      <c r="K219">
        <f>SUMIF(negtgel!U$2:BL$2,'Tsalin uzuulelt'!L$1,negtgel!U219:BL219) + SUMIF(negtgel!U$2:BL$2,'Tsalin uzuulelt'!L$2,negtgel!U219:BL219)+SUMIF(negtgel!U$2:BL$2,'Tsalin uzuulelt'!L$3,negtgel!U219:BL219)+SUMIF(negtgel!U$2:BL$2,'Tsalin uzuulelt'!L$4,negtgel!U219:BL219)+SUMIF(negtgel!U$2:BL$2,'Tsalin uzuulelt'!L$5,negtgel!U219:BL219)</f>
      </c>
      <c r="L219">
        <f>SUMIF(negtgel!U$2:BL$2,'Tsalin uzuulelt'!N$1,negtgel!U219:BL219) + SUMIF(negtgel!U$2:BL$2,'Tsalin uzuulelt'!N$2,negtgel!U219:BL219)+SUMIF(negtgel!U$2:BL$2,'Tsalin uzuulelt'!N$3,negtgel!U219:BL219)+SUMIF(negtgel!U$2:BL$2,'Tsalin uzuulelt'!N$4,negtgel!U219:BL219)+SUMIF(negtgel!U$2:BL$2,'Tsalin uzuulelt'!N$5,negtgel!U219:BL219)</f>
      </c>
      <c r="M219">
        <f>SUMIF(negtgel!U$2:BL$2,'Tsalin uzuulelt'!P$1,negtgel!U219:BL219) + SUMIF(negtgel!U$2:BL$2,'Tsalin uzuulelt'!P$2,negtgel!U219:BL219)+ SUMIF(negtgel!U$2:BL$2,'Tsalin uzuulelt'!P$3,negtgel!U219:BL219)+ SUMIF(negtgel!U$2:BL$2,'Tsalin uzuulelt'!P$4,negtgel!U219:BL219)+ SUMIF(negtgel!U$2:BL$2,'Tsalin uzuulelt'!P$5,negtgel!U219:BL219)</f>
      </c>
      <c r="N219">
        <f>IF(ISNUMBER(U219*1)=CF219,0,K219-H219-G219)</f>
      </c>
      <c r="O219">
        <f>IF(ISNUMBER(U219*1)=CF219,0,L219)</f>
      </c>
      <c r="P219">
        <f>IF(ISNUMBER(U219*1)=CF219,0,M219)</f>
      </c>
      <c r="Q219">
        <f>IF(N219&gt;2400000,N219,0)</f>
      </c>
      <c r="R219">
        <f>IF(L219/Q219*100&lt;3,2,10)</f>
      </c>
      <c r="S219">
        <f>IF(CH219=0,0,IF(B219&gt;9,10,IF(B219&gt;8,B219,IF(B219&gt;7.7,7.8,IF(B219&gt;3,B219,IF(B219&gt;1.5,2))))))</f>
      </c>
      <c r="T219">
        <f>IF(Q219=0,S219,R219)</f>
      </c>
      <c r="U219" t="s">
        <v>3788</v>
      </c>
      <c r="V219"/>
      <c r="W219"/>
      <c r="X219"/>
      <c r="Y219"/>
      <c r="Z219"/>
      <c r="AA219"/>
      <c r="AB219"/>
      <c r="AC219"/>
      <c r="AD219"/>
      <c r="AE219"/>
      <c r="AF219"/>
      <c r="AG219"/>
      <c r="AH219"/>
      <c r="AI219"/>
      <c r="AJ219"/>
      <c r="AK219"/>
      <c r="AL219"/>
      <c r="AM219"/>
      <c r="AN219"/>
      <c r="AO219"/>
      <c r="AP219"/>
      <c r="AQ219"/>
      <c r="CH219">
        <f>IFERROR(U219*1,0)</f>
      </c>
    </row>
    <row r="220">
      <c r="A220" t="n">
        <v>4.0</v>
      </c>
      <c r="B220">
        <f>IF((K220-G220-H220&gt;2400000),10,(L220/(K220-G220-H220)*100))</f>
      </c>
      <c r="C220">
        <f>IF(N220&gt;2400000,240000,(N220*S220)/100)</f>
      </c>
      <c r="D220">
        <f>IF(S220=0,0,IF((N220-I220)&gt;2400000,((((((N220-I220-J220)-240000))*0.1+(I220+J220)*0.1)))-7000,((((((N220-I220-J220)-(N220-I220-J220)*S220/100)))*0.1+(I220+J220)*0.1)-7000)))</f>
      </c>
      <c r="E220">
        <f>C220-O220</f>
      </c>
      <c r="F220">
        <f>D220-P220</f>
      </c>
      <c r="G220">
        <f>SUMIF(negtgel!U$2:BL$2,'Tsalin uzuulelt'!B$1,negtgel!U220:BL220) + SUMIF(negtgel!U$2:BL$2,'Tsalin uzuulelt'!B$2,negtgel!U220:BL220)+SUMIF(negtgel!U$2:BL$2,'Tsalin uzuulelt'!B$3,negtgel!U220:BL220)+SUMIF(negtgel!U$2:BL$2,'Tsalin uzuulelt'!B$4,negtgel!U220:BL220)+SUMIF(negtgel!U$2:BL$2,'Tsalin uzuulelt'!B$5,negtgel!U220:BL220)</f>
      </c>
      <c r="H220">
        <f>SUMIF(negtgel!U$2:BL$2,'Tsalin uzuulelt'!F$1,negtgel!U220:BL220) + SUMIF(negtgel!U$2:BL$2,'Tsalin uzuulelt'!F$2,negtgel!U220:BL220)+SUMIF(negtgel!U$2:BL$2,'Tsalin uzuulelt'!F$3,negtgel!U220:BL220)+SUMIF(negtgel!U$2:BL$2,'Tsalin uzuulelt'!F$4,negtgel!U220:BL220)+SUMIF(negtgel!U$2:BL$2,'Tsalin uzuulelt'!F$5,negtgel!U220:BL220)</f>
      </c>
      <c r="I220">
        <f>SUMIF(negtgel!U$2:BL$2,'Tsalin uzuulelt'!H$1,negtgel!U220:BL220) + SUMIF(negtgel!U$2:BL$2,'Tsalin uzuulelt'!H$2,negtgel!U220:BL220)+SUMIF(negtgel!U$2:BL$2,'Tsalin uzuulelt'!H$3,negtgel!U220:BL220)+SUMIF(negtgel!U$2:BL$2,'Tsalin uzuulelt'!H$4,negtgel!U220:BL220)+SUMIF(negtgel!U$2:BL$2,'Tsalin uzuulelt'!H$5,negtgel!U220:BL220)</f>
      </c>
      <c r="J220">
        <f>SUMIF(negtgel!U$2:BL$2,'Tsalin uzuulelt'!J$1,negtgel!U220:BL220) + SUMIF(negtgel!U$2:BL$2,'Tsalin uzuulelt'!J$2,negtgel!U220:BL220)+SUMIF(negtgel!U$2:BL$2,'Tsalin uzuulelt'!J$3,negtgel!U220:BL220)+SUMIF(negtgel!U$2:BL$2,'Tsalin uzuulelt'!J$4,negtgel!U220:BL220)+SUMIF(negtgel!U$2:BL$2,'Tsalin uzuulelt'!J$5,negtgel!U220:BL220)</f>
      </c>
      <c r="K220">
        <f>SUMIF(negtgel!U$2:BL$2,'Tsalin uzuulelt'!L$1,negtgel!U220:BL220) + SUMIF(negtgel!U$2:BL$2,'Tsalin uzuulelt'!L$2,negtgel!U220:BL220)+SUMIF(negtgel!U$2:BL$2,'Tsalin uzuulelt'!L$3,negtgel!U220:BL220)+SUMIF(negtgel!U$2:BL$2,'Tsalin uzuulelt'!L$4,negtgel!U220:BL220)+SUMIF(negtgel!U$2:BL$2,'Tsalin uzuulelt'!L$5,negtgel!U220:BL220)</f>
      </c>
      <c r="L220">
        <f>SUMIF(negtgel!U$2:BL$2,'Tsalin uzuulelt'!N$1,negtgel!U220:BL220) + SUMIF(negtgel!U$2:BL$2,'Tsalin uzuulelt'!N$2,negtgel!U220:BL220)+SUMIF(negtgel!U$2:BL$2,'Tsalin uzuulelt'!N$3,negtgel!U220:BL220)+SUMIF(negtgel!U$2:BL$2,'Tsalin uzuulelt'!N$4,negtgel!U220:BL220)+SUMIF(negtgel!U$2:BL$2,'Tsalin uzuulelt'!N$5,negtgel!U220:BL220)</f>
      </c>
      <c r="M220">
        <f>SUMIF(negtgel!U$2:BL$2,'Tsalin uzuulelt'!P$1,negtgel!U220:BL220) + SUMIF(negtgel!U$2:BL$2,'Tsalin uzuulelt'!P$2,negtgel!U220:BL220)+ SUMIF(negtgel!U$2:BL$2,'Tsalin uzuulelt'!P$3,negtgel!U220:BL220)+ SUMIF(negtgel!U$2:BL$2,'Tsalin uzuulelt'!P$4,negtgel!U220:BL220)+ SUMIF(negtgel!U$2:BL$2,'Tsalin uzuulelt'!P$5,negtgel!U220:BL220)</f>
      </c>
      <c r="N220">
        <f>IF(ISNUMBER(U220*1)=CF220,0,K220-H220-G220)</f>
      </c>
      <c r="O220">
        <f>IF(ISNUMBER(U220*1)=CF220,0,L220)</f>
      </c>
      <c r="P220">
        <f>IF(ISNUMBER(U220*1)=CF220,0,M220)</f>
      </c>
      <c r="Q220">
        <f>IF(N220&gt;2400000,N220,0)</f>
      </c>
      <c r="R220">
        <f>IF(L220/Q220*100&lt;3,2,10)</f>
      </c>
      <c r="S220">
        <f>IF(CH220=0,0,IF(B220&gt;9,10,IF(B220&gt;8,B220,IF(B220&gt;7.7,7.8,IF(B220&gt;3,B220,IF(B220&gt;1.5,2))))))</f>
      </c>
      <c r="T220">
        <f>IF(Q220=0,S220,R220)</f>
      </c>
      <c r="U220" t="n">
        <v>24.0</v>
      </c>
      <c r="V220" t="s">
        <v>3789</v>
      </c>
      <c r="W220" t="s">
        <v>3790</v>
      </c>
      <c r="X220" t="n">
        <v>613669.0</v>
      </c>
      <c r="Y220" t="n">
        <v>613669.0</v>
      </c>
      <c r="Z220" t="n">
        <v>61367.0</v>
      </c>
      <c r="AA220" t="n">
        <v>92050.0</v>
      </c>
      <c r="AB220" t="n">
        <v>0.0</v>
      </c>
      <c r="AC220" t="n">
        <v>0.0</v>
      </c>
      <c r="AD220" t="n">
        <v>0.0</v>
      </c>
      <c r="AE220" t="n">
        <v>192447.0</v>
      </c>
      <c r="AF220" t="n">
        <v>60000.0</v>
      </c>
      <c r="AG220" t="n">
        <v>0.0</v>
      </c>
      <c r="AH220" t="n">
        <v>0.0</v>
      </c>
      <c r="AI220" t="n">
        <v>0.0</v>
      </c>
      <c r="AJ220" t="n">
        <v>0.0</v>
      </c>
      <c r="AK220" t="n">
        <v>0.0</v>
      </c>
      <c r="AL220" t="n">
        <v>0.0</v>
      </c>
      <c r="AM220" t="n">
        <v>0.0</v>
      </c>
      <c r="AN220" t="n">
        <v>0.0</v>
      </c>
      <c r="AO220" t="n">
        <v>1019533.0</v>
      </c>
      <c r="AP220" t="n">
        <v>101953.0</v>
      </c>
      <c r="AQ220" t="n">
        <v>85358.0</v>
      </c>
      <c r="CH220">
        <f>IFERROR(U220*1,0)</f>
      </c>
    </row>
    <row r="221">
      <c r="A221" t="n">
        <v>4.0</v>
      </c>
      <c r="B221">
        <f>IF((K221-G221-H221&gt;2400000),10,(L221/(K221-G221-H221)*100))</f>
      </c>
      <c r="C221">
        <f>IF(N221&gt;2400000,240000,(N221*S221)/100)</f>
      </c>
      <c r="D221">
        <f>IF(S221=0,0,IF((N221-I221)&gt;2400000,((((((N221-I221-J221)-240000))*0.1+(I221+J221)*0.1)))-7000,((((((N221-I221-J221)-(N221-I221-J221)*S221/100)))*0.1+(I221+J221)*0.1)-7000)))</f>
      </c>
      <c r="E221">
        <f>C221-O221</f>
      </c>
      <c r="F221">
        <f>D221-P221</f>
      </c>
      <c r="G221">
        <f>SUMIF(negtgel!U$2:BL$2,'Tsalin uzuulelt'!B$1,negtgel!U221:BL221) + SUMIF(negtgel!U$2:BL$2,'Tsalin uzuulelt'!B$2,negtgel!U221:BL221)+SUMIF(negtgel!U$2:BL$2,'Tsalin uzuulelt'!B$3,negtgel!U221:BL221)+SUMIF(negtgel!U$2:BL$2,'Tsalin uzuulelt'!B$4,negtgel!U221:BL221)+SUMIF(negtgel!U$2:BL$2,'Tsalin uzuulelt'!B$5,negtgel!U221:BL221)</f>
      </c>
      <c r="H221">
        <f>SUMIF(negtgel!U$2:BL$2,'Tsalin uzuulelt'!F$1,negtgel!U221:BL221) + SUMIF(negtgel!U$2:BL$2,'Tsalin uzuulelt'!F$2,negtgel!U221:BL221)+SUMIF(negtgel!U$2:BL$2,'Tsalin uzuulelt'!F$3,negtgel!U221:BL221)+SUMIF(negtgel!U$2:BL$2,'Tsalin uzuulelt'!F$4,negtgel!U221:BL221)+SUMIF(negtgel!U$2:BL$2,'Tsalin uzuulelt'!F$5,negtgel!U221:BL221)</f>
      </c>
      <c r="I221">
        <f>SUMIF(negtgel!U$2:BL$2,'Tsalin uzuulelt'!H$1,negtgel!U221:BL221) + SUMIF(negtgel!U$2:BL$2,'Tsalin uzuulelt'!H$2,negtgel!U221:BL221)+SUMIF(negtgel!U$2:BL$2,'Tsalin uzuulelt'!H$3,negtgel!U221:BL221)+SUMIF(negtgel!U$2:BL$2,'Tsalin uzuulelt'!H$4,negtgel!U221:BL221)+SUMIF(negtgel!U$2:BL$2,'Tsalin uzuulelt'!H$5,negtgel!U221:BL221)</f>
      </c>
      <c r="J221">
        <f>SUMIF(negtgel!U$2:BL$2,'Tsalin uzuulelt'!J$1,negtgel!U221:BL221) + SUMIF(negtgel!U$2:BL$2,'Tsalin uzuulelt'!J$2,negtgel!U221:BL221)+SUMIF(negtgel!U$2:BL$2,'Tsalin uzuulelt'!J$3,negtgel!U221:BL221)+SUMIF(negtgel!U$2:BL$2,'Tsalin uzuulelt'!J$4,negtgel!U221:BL221)+SUMIF(negtgel!U$2:BL$2,'Tsalin uzuulelt'!J$5,negtgel!U221:BL221)</f>
      </c>
      <c r="K221">
        <f>SUMIF(negtgel!U$2:BL$2,'Tsalin uzuulelt'!L$1,negtgel!U221:BL221) + SUMIF(negtgel!U$2:BL$2,'Tsalin uzuulelt'!L$2,negtgel!U221:BL221)+SUMIF(negtgel!U$2:BL$2,'Tsalin uzuulelt'!L$3,negtgel!U221:BL221)+SUMIF(negtgel!U$2:BL$2,'Tsalin uzuulelt'!L$4,negtgel!U221:BL221)+SUMIF(negtgel!U$2:BL$2,'Tsalin uzuulelt'!L$5,negtgel!U221:BL221)</f>
      </c>
      <c r="L221">
        <f>SUMIF(negtgel!U$2:BL$2,'Tsalin uzuulelt'!N$1,negtgel!U221:BL221) + SUMIF(negtgel!U$2:BL$2,'Tsalin uzuulelt'!N$2,negtgel!U221:BL221)+SUMIF(negtgel!U$2:BL$2,'Tsalin uzuulelt'!N$3,negtgel!U221:BL221)+SUMIF(negtgel!U$2:BL$2,'Tsalin uzuulelt'!N$4,negtgel!U221:BL221)+SUMIF(negtgel!U$2:BL$2,'Tsalin uzuulelt'!N$5,negtgel!U221:BL221)</f>
      </c>
      <c r="M221">
        <f>SUMIF(negtgel!U$2:BL$2,'Tsalin uzuulelt'!P$1,negtgel!U221:BL221) + SUMIF(negtgel!U$2:BL$2,'Tsalin uzuulelt'!P$2,negtgel!U221:BL221)+ SUMIF(negtgel!U$2:BL$2,'Tsalin uzuulelt'!P$3,negtgel!U221:BL221)+ SUMIF(negtgel!U$2:BL$2,'Tsalin uzuulelt'!P$4,negtgel!U221:BL221)+ SUMIF(negtgel!U$2:BL$2,'Tsalin uzuulelt'!P$5,negtgel!U221:BL221)</f>
      </c>
      <c r="N221">
        <f>IF(ISNUMBER(U221*1)=CF221,0,K221-H221-G221)</f>
      </c>
      <c r="O221">
        <f>IF(ISNUMBER(U221*1)=CF221,0,L221)</f>
      </c>
      <c r="P221">
        <f>IF(ISNUMBER(U221*1)=CF221,0,M221)</f>
      </c>
      <c r="Q221">
        <f>IF(N221&gt;2400000,N221,0)</f>
      </c>
      <c r="R221">
        <f>IF(L221/Q221*100&lt;3,2,10)</f>
      </c>
      <c r="S221">
        <f>IF(CH221=0,0,IF(B221&gt;9,10,IF(B221&gt;8,B221,IF(B221&gt;7.7,7.8,IF(B221&gt;3,B221,IF(B221&gt;1.5,2))))))</f>
      </c>
      <c r="T221">
        <f>IF(Q221=0,S221,R221)</f>
      </c>
      <c r="U221" t="n">
        <v>25.0</v>
      </c>
      <c r="V221" t="s">
        <v>3791</v>
      </c>
      <c r="W221" t="s">
        <v>3792</v>
      </c>
      <c r="X221" t="n">
        <v>535584.0</v>
      </c>
      <c r="Y221" t="n">
        <v>508805.0</v>
      </c>
      <c r="Z221" t="n">
        <v>0.0</v>
      </c>
      <c r="AA221" t="n">
        <v>0.0</v>
      </c>
      <c r="AB221" t="n">
        <v>0.0</v>
      </c>
      <c r="AC221" t="n">
        <v>0.0</v>
      </c>
      <c r="AD221" t="n">
        <v>0.0</v>
      </c>
      <c r="AE221" t="n">
        <v>190239.0</v>
      </c>
      <c r="AF221" t="n">
        <v>57000.0</v>
      </c>
      <c r="AG221" t="n">
        <v>0.0</v>
      </c>
      <c r="AH221" t="n">
        <v>0.0</v>
      </c>
      <c r="AI221" t="n">
        <v>0.0</v>
      </c>
      <c r="AJ221" t="n">
        <v>0.0</v>
      </c>
      <c r="AK221" t="n">
        <v>0.0</v>
      </c>
      <c r="AL221" t="n">
        <v>0.0</v>
      </c>
      <c r="AM221" t="n">
        <v>0.0</v>
      </c>
      <c r="AN221" t="n">
        <v>0.0</v>
      </c>
      <c r="AO221" t="n">
        <v>756044.0</v>
      </c>
      <c r="AP221" t="n">
        <v>75604.0</v>
      </c>
      <c r="AQ221" t="n">
        <v>61614.0</v>
      </c>
      <c r="CH221">
        <f>IFERROR(U221*1,0)</f>
      </c>
    </row>
    <row r="222">
      <c r="A222" t="n">
        <v>4.0</v>
      </c>
      <c r="B222">
        <f>IF((K222-G222-H222&gt;2400000),10,(L222/(K222-G222-H222)*100))</f>
      </c>
      <c r="C222">
        <f>IF(N222&gt;2400000,240000,(N222*S222)/100)</f>
      </c>
      <c r="D222">
        <f>IF(S222=0,0,IF((N222-I222)&gt;2400000,((((((N222-I222-J222)-240000))*0.1+(I222+J222)*0.1)))-7000,((((((N222-I222-J222)-(N222-I222-J222)*S222/100)))*0.1+(I222+J222)*0.1)-7000)))</f>
      </c>
      <c r="E222">
        <f>C222-O222</f>
      </c>
      <c r="F222">
        <f>D222-P222</f>
      </c>
      <c r="G222">
        <f>SUMIF(negtgel!U$2:BL$2,'Tsalin uzuulelt'!B$1,negtgel!U222:BL222) + SUMIF(negtgel!U$2:BL$2,'Tsalin uzuulelt'!B$2,negtgel!U222:BL222)+SUMIF(negtgel!U$2:BL$2,'Tsalin uzuulelt'!B$3,negtgel!U222:BL222)+SUMIF(negtgel!U$2:BL$2,'Tsalin uzuulelt'!B$4,negtgel!U222:BL222)+SUMIF(negtgel!U$2:BL$2,'Tsalin uzuulelt'!B$5,negtgel!U222:BL222)</f>
      </c>
      <c r="H222">
        <f>SUMIF(negtgel!U$2:BL$2,'Tsalin uzuulelt'!F$1,negtgel!U222:BL222) + SUMIF(negtgel!U$2:BL$2,'Tsalin uzuulelt'!F$2,negtgel!U222:BL222)+SUMIF(negtgel!U$2:BL$2,'Tsalin uzuulelt'!F$3,negtgel!U222:BL222)+SUMIF(negtgel!U$2:BL$2,'Tsalin uzuulelt'!F$4,negtgel!U222:BL222)+SUMIF(negtgel!U$2:BL$2,'Tsalin uzuulelt'!F$5,negtgel!U222:BL222)</f>
      </c>
      <c r="I222">
        <f>SUMIF(negtgel!U$2:BL$2,'Tsalin uzuulelt'!H$1,negtgel!U222:BL222) + SUMIF(negtgel!U$2:BL$2,'Tsalin uzuulelt'!H$2,negtgel!U222:BL222)+SUMIF(negtgel!U$2:BL$2,'Tsalin uzuulelt'!H$3,negtgel!U222:BL222)+SUMIF(negtgel!U$2:BL$2,'Tsalin uzuulelt'!H$4,negtgel!U222:BL222)+SUMIF(negtgel!U$2:BL$2,'Tsalin uzuulelt'!H$5,negtgel!U222:BL222)</f>
      </c>
      <c r="J222">
        <f>SUMIF(negtgel!U$2:BL$2,'Tsalin uzuulelt'!J$1,negtgel!U222:BL222) + SUMIF(negtgel!U$2:BL$2,'Tsalin uzuulelt'!J$2,negtgel!U222:BL222)+SUMIF(negtgel!U$2:BL$2,'Tsalin uzuulelt'!J$3,negtgel!U222:BL222)+SUMIF(negtgel!U$2:BL$2,'Tsalin uzuulelt'!J$4,negtgel!U222:BL222)+SUMIF(negtgel!U$2:BL$2,'Tsalin uzuulelt'!J$5,negtgel!U222:BL222)</f>
      </c>
      <c r="K222">
        <f>SUMIF(negtgel!U$2:BL$2,'Tsalin uzuulelt'!L$1,negtgel!U222:BL222) + SUMIF(negtgel!U$2:BL$2,'Tsalin uzuulelt'!L$2,negtgel!U222:BL222)+SUMIF(negtgel!U$2:BL$2,'Tsalin uzuulelt'!L$3,negtgel!U222:BL222)+SUMIF(negtgel!U$2:BL$2,'Tsalin uzuulelt'!L$4,negtgel!U222:BL222)+SUMIF(negtgel!U$2:BL$2,'Tsalin uzuulelt'!L$5,negtgel!U222:BL222)</f>
      </c>
      <c r="L222">
        <f>SUMIF(negtgel!U$2:BL$2,'Tsalin uzuulelt'!N$1,negtgel!U222:BL222) + SUMIF(negtgel!U$2:BL$2,'Tsalin uzuulelt'!N$2,negtgel!U222:BL222)+SUMIF(negtgel!U$2:BL$2,'Tsalin uzuulelt'!N$3,negtgel!U222:BL222)+SUMIF(negtgel!U$2:BL$2,'Tsalin uzuulelt'!N$4,negtgel!U222:BL222)+SUMIF(negtgel!U$2:BL$2,'Tsalin uzuulelt'!N$5,negtgel!U222:BL222)</f>
      </c>
      <c r="M222">
        <f>SUMIF(negtgel!U$2:BL$2,'Tsalin uzuulelt'!P$1,negtgel!U222:BL222) + SUMIF(negtgel!U$2:BL$2,'Tsalin uzuulelt'!P$2,negtgel!U222:BL222)+ SUMIF(negtgel!U$2:BL$2,'Tsalin uzuulelt'!P$3,negtgel!U222:BL222)+ SUMIF(negtgel!U$2:BL$2,'Tsalin uzuulelt'!P$4,negtgel!U222:BL222)+ SUMIF(negtgel!U$2:BL$2,'Tsalin uzuulelt'!P$5,negtgel!U222:BL222)</f>
      </c>
      <c r="N222">
        <f>IF(ISNUMBER(U222*1)=CF222,0,K222-H222-G222)</f>
      </c>
      <c r="O222">
        <f>IF(ISNUMBER(U222*1)=CF222,0,L222)</f>
      </c>
      <c r="P222">
        <f>IF(ISNUMBER(U222*1)=CF222,0,M222)</f>
      </c>
      <c r="Q222">
        <f>IF(N222&gt;2400000,N222,0)</f>
      </c>
      <c r="R222">
        <f>IF(L222/Q222*100&lt;3,2,10)</f>
      </c>
      <c r="S222">
        <f>IF(CH222=0,0,IF(B222&gt;9,10,IF(B222&gt;8,B222,IF(B222&gt;7.7,7.8,IF(B222&gt;3,B222,IF(B222&gt;1.5,2))))))</f>
      </c>
      <c r="T222">
        <f>IF(Q222=0,S222,R222)</f>
      </c>
      <c r="U222" t="n">
        <v>26.0</v>
      </c>
      <c r="V222" t="s">
        <v>3793</v>
      </c>
      <c r="W222" t="s">
        <v>3790</v>
      </c>
      <c r="X222" t="n">
        <v>645556.0</v>
      </c>
      <c r="Y222" t="n">
        <v>645556.0</v>
      </c>
      <c r="Z222" t="n">
        <v>96833.0</v>
      </c>
      <c r="AA222" t="n">
        <v>0.0</v>
      </c>
      <c r="AB222" t="n">
        <v>0.0</v>
      </c>
      <c r="AC222" t="n">
        <v>0.0</v>
      </c>
      <c r="AD222" t="n">
        <v>0.0</v>
      </c>
      <c r="AE222" t="n">
        <v>238856.0</v>
      </c>
      <c r="AF222" t="n">
        <v>60000.0</v>
      </c>
      <c r="AG222" t="n">
        <v>0.0</v>
      </c>
      <c r="AH222" t="n">
        <v>0.0</v>
      </c>
      <c r="AI222" t="n">
        <v>0.0</v>
      </c>
      <c r="AJ222" t="n">
        <v>0.0</v>
      </c>
      <c r="AK222" t="n">
        <v>0.0</v>
      </c>
      <c r="AL222" t="n">
        <v>0.0</v>
      </c>
      <c r="AM222" t="n">
        <v>0.0</v>
      </c>
      <c r="AN222" t="n">
        <v>0.0</v>
      </c>
      <c r="AO222" t="n">
        <v>1041245.0</v>
      </c>
      <c r="AP222" t="n">
        <v>104124.0</v>
      </c>
      <c r="AQ222" t="n">
        <v>87312.0</v>
      </c>
      <c r="CH222">
        <f>IFERROR(U222*1,0)</f>
      </c>
    </row>
    <row r="223">
      <c r="A223" t="n">
        <v>4.0</v>
      </c>
      <c r="B223">
        <f>IF((K223-G223-H223&gt;2400000),10,(L223/(K223-G223-H223)*100))</f>
      </c>
      <c r="C223">
        <f>IF(N223&gt;2400000,240000,(N223*S223)/100)</f>
      </c>
      <c r="D223">
        <f>IF(S223=0,0,IF((N223-I223)&gt;2400000,((((((N223-I223-J223)-240000))*0.1+(I223+J223)*0.1)))-7000,((((((N223-I223-J223)-(N223-I223-J223)*S223/100)))*0.1+(I223+J223)*0.1)-7000)))</f>
      </c>
      <c r="E223">
        <f>C223-O223</f>
      </c>
      <c r="F223">
        <f>D223-P223</f>
      </c>
      <c r="G223">
        <f>SUMIF(negtgel!U$2:BL$2,'Tsalin uzuulelt'!B$1,negtgel!U223:BL223) + SUMIF(negtgel!U$2:BL$2,'Tsalin uzuulelt'!B$2,negtgel!U223:BL223)+SUMIF(negtgel!U$2:BL$2,'Tsalin uzuulelt'!B$3,negtgel!U223:BL223)+SUMIF(negtgel!U$2:BL$2,'Tsalin uzuulelt'!B$4,negtgel!U223:BL223)+SUMIF(negtgel!U$2:BL$2,'Tsalin uzuulelt'!B$5,negtgel!U223:BL223)</f>
      </c>
      <c r="H223">
        <f>SUMIF(negtgel!U$2:BL$2,'Tsalin uzuulelt'!F$1,negtgel!U223:BL223) + SUMIF(negtgel!U$2:BL$2,'Tsalin uzuulelt'!F$2,negtgel!U223:BL223)+SUMIF(negtgel!U$2:BL$2,'Tsalin uzuulelt'!F$3,negtgel!U223:BL223)+SUMIF(negtgel!U$2:BL$2,'Tsalin uzuulelt'!F$4,negtgel!U223:BL223)+SUMIF(negtgel!U$2:BL$2,'Tsalin uzuulelt'!F$5,negtgel!U223:BL223)</f>
      </c>
      <c r="I223">
        <f>SUMIF(negtgel!U$2:BL$2,'Tsalin uzuulelt'!H$1,negtgel!U223:BL223) + SUMIF(negtgel!U$2:BL$2,'Tsalin uzuulelt'!H$2,negtgel!U223:BL223)+SUMIF(negtgel!U$2:BL$2,'Tsalin uzuulelt'!H$3,negtgel!U223:BL223)+SUMIF(negtgel!U$2:BL$2,'Tsalin uzuulelt'!H$4,negtgel!U223:BL223)+SUMIF(negtgel!U$2:BL$2,'Tsalin uzuulelt'!H$5,negtgel!U223:BL223)</f>
      </c>
      <c r="J223">
        <f>SUMIF(negtgel!U$2:BL$2,'Tsalin uzuulelt'!J$1,negtgel!U223:BL223) + SUMIF(negtgel!U$2:BL$2,'Tsalin uzuulelt'!J$2,negtgel!U223:BL223)+SUMIF(negtgel!U$2:BL$2,'Tsalin uzuulelt'!J$3,negtgel!U223:BL223)+SUMIF(negtgel!U$2:BL$2,'Tsalin uzuulelt'!J$4,negtgel!U223:BL223)+SUMIF(negtgel!U$2:BL$2,'Tsalin uzuulelt'!J$5,negtgel!U223:BL223)</f>
      </c>
      <c r="K223">
        <f>SUMIF(negtgel!U$2:BL$2,'Tsalin uzuulelt'!L$1,negtgel!U223:BL223) + SUMIF(negtgel!U$2:BL$2,'Tsalin uzuulelt'!L$2,negtgel!U223:BL223)+SUMIF(negtgel!U$2:BL$2,'Tsalin uzuulelt'!L$3,negtgel!U223:BL223)+SUMIF(negtgel!U$2:BL$2,'Tsalin uzuulelt'!L$4,negtgel!U223:BL223)+SUMIF(negtgel!U$2:BL$2,'Tsalin uzuulelt'!L$5,negtgel!U223:BL223)</f>
      </c>
      <c r="L223">
        <f>SUMIF(negtgel!U$2:BL$2,'Tsalin uzuulelt'!N$1,negtgel!U223:BL223) + SUMIF(negtgel!U$2:BL$2,'Tsalin uzuulelt'!N$2,negtgel!U223:BL223)+SUMIF(negtgel!U$2:BL$2,'Tsalin uzuulelt'!N$3,negtgel!U223:BL223)+SUMIF(negtgel!U$2:BL$2,'Tsalin uzuulelt'!N$4,negtgel!U223:BL223)+SUMIF(negtgel!U$2:BL$2,'Tsalin uzuulelt'!N$5,negtgel!U223:BL223)</f>
      </c>
      <c r="M223">
        <f>SUMIF(negtgel!U$2:BL$2,'Tsalin uzuulelt'!P$1,negtgel!U223:BL223) + SUMIF(negtgel!U$2:BL$2,'Tsalin uzuulelt'!P$2,negtgel!U223:BL223)+ SUMIF(negtgel!U$2:BL$2,'Tsalin uzuulelt'!P$3,negtgel!U223:BL223)+ SUMIF(negtgel!U$2:BL$2,'Tsalin uzuulelt'!P$4,negtgel!U223:BL223)+ SUMIF(negtgel!U$2:BL$2,'Tsalin uzuulelt'!P$5,negtgel!U223:BL223)</f>
      </c>
      <c r="N223">
        <f>IF(ISNUMBER(U223*1)=CF223,0,K223-H223-G223)</f>
      </c>
      <c r="O223">
        <f>IF(ISNUMBER(U223*1)=CF223,0,L223)</f>
      </c>
      <c r="P223">
        <f>IF(ISNUMBER(U223*1)=CF223,0,M223)</f>
      </c>
      <c r="Q223">
        <f>IF(N223&gt;2400000,N223,0)</f>
      </c>
      <c r="R223">
        <f>IF(L223/Q223*100&lt;3,2,10)</f>
      </c>
      <c r="S223">
        <f>IF(CH223=0,0,IF(B223&gt;9,10,IF(B223&gt;8,B223,IF(B223&gt;7.7,7.8,IF(B223&gt;3,B223,IF(B223&gt;1.5,2))))))</f>
      </c>
      <c r="T223">
        <f>IF(Q223=0,S223,R223)</f>
      </c>
      <c r="U223" t="n">
        <v>49.0</v>
      </c>
      <c r="V223" t="s">
        <v>3866</v>
      </c>
      <c r="W223" t="s">
        <v>3790</v>
      </c>
      <c r="X223" t="n">
        <v>580710.0</v>
      </c>
      <c r="Y223" t="n">
        <v>580710.0</v>
      </c>
      <c r="Z223" t="n">
        <v>29036.0</v>
      </c>
      <c r="AA223" t="n">
        <v>87106.0</v>
      </c>
      <c r="AB223" t="n">
        <v>0.0</v>
      </c>
      <c r="AC223" t="n">
        <v>0.0</v>
      </c>
      <c r="AD223" t="n">
        <v>0.0</v>
      </c>
      <c r="AE223" t="n">
        <v>214863.0</v>
      </c>
      <c r="AF223" t="n">
        <v>60000.0</v>
      </c>
      <c r="AG223" t="n">
        <v>0.0</v>
      </c>
      <c r="AH223" t="n">
        <v>0.0</v>
      </c>
      <c r="AI223" t="n">
        <v>0.0</v>
      </c>
      <c r="AJ223" t="n">
        <v>0.0</v>
      </c>
      <c r="AK223" t="n">
        <v>0.0</v>
      </c>
      <c r="AL223" t="n">
        <v>0.0</v>
      </c>
      <c r="AM223" t="n">
        <v>0.0</v>
      </c>
      <c r="AN223" t="n">
        <v>0.0</v>
      </c>
      <c r="AO223" t="n">
        <v>971715.0</v>
      </c>
      <c r="AP223" t="n">
        <v>97171.0</v>
      </c>
      <c r="AQ223" t="n">
        <v>81054.4</v>
      </c>
      <c r="CH223">
        <f>IFERROR(U223*1,0)</f>
      </c>
    </row>
    <row r="224">
      <c r="A224" t="n">
        <v>4.0</v>
      </c>
      <c r="B224">
        <f>IF((K224-G224-H224&gt;2400000),10,(L224/(K224-G224-H224)*100))</f>
      </c>
      <c r="C224">
        <f>IF(N224&gt;2400000,240000,(N224*S224)/100)</f>
      </c>
      <c r="D224">
        <f>IF(S224=0,0,IF((N224-I224)&gt;2400000,((((((N224-I224-J224)-240000))*0.1+(I224+J224)*0.1)))-7000,((((((N224-I224-J224)-(N224-I224-J224)*S224/100)))*0.1+(I224+J224)*0.1)-7000)))</f>
      </c>
      <c r="E224">
        <f>C224-O224</f>
      </c>
      <c r="F224">
        <f>D224-P224</f>
      </c>
      <c r="G224">
        <f>SUMIF(negtgel!U$2:BL$2,'Tsalin uzuulelt'!B$1,negtgel!U224:BL224) + SUMIF(negtgel!U$2:BL$2,'Tsalin uzuulelt'!B$2,negtgel!U224:BL224)+SUMIF(negtgel!U$2:BL$2,'Tsalin uzuulelt'!B$3,negtgel!U224:BL224)+SUMIF(negtgel!U$2:BL$2,'Tsalin uzuulelt'!B$4,negtgel!U224:BL224)+SUMIF(negtgel!U$2:BL$2,'Tsalin uzuulelt'!B$5,negtgel!U224:BL224)</f>
      </c>
      <c r="H224">
        <f>SUMIF(negtgel!U$2:BL$2,'Tsalin uzuulelt'!F$1,negtgel!U224:BL224) + SUMIF(negtgel!U$2:BL$2,'Tsalin uzuulelt'!F$2,negtgel!U224:BL224)+SUMIF(negtgel!U$2:BL$2,'Tsalin uzuulelt'!F$3,negtgel!U224:BL224)+SUMIF(negtgel!U$2:BL$2,'Tsalin uzuulelt'!F$4,negtgel!U224:BL224)+SUMIF(negtgel!U$2:BL$2,'Tsalin uzuulelt'!F$5,negtgel!U224:BL224)</f>
      </c>
      <c r="I224">
        <f>SUMIF(negtgel!U$2:BL$2,'Tsalin uzuulelt'!H$1,negtgel!U224:BL224) + SUMIF(negtgel!U$2:BL$2,'Tsalin uzuulelt'!H$2,negtgel!U224:BL224)+SUMIF(negtgel!U$2:BL$2,'Tsalin uzuulelt'!H$3,negtgel!U224:BL224)+SUMIF(negtgel!U$2:BL$2,'Tsalin uzuulelt'!H$4,negtgel!U224:BL224)+SUMIF(negtgel!U$2:BL$2,'Tsalin uzuulelt'!H$5,negtgel!U224:BL224)</f>
      </c>
      <c r="J224">
        <f>SUMIF(negtgel!U$2:BL$2,'Tsalin uzuulelt'!J$1,negtgel!U224:BL224) + SUMIF(negtgel!U$2:BL$2,'Tsalin uzuulelt'!J$2,negtgel!U224:BL224)+SUMIF(negtgel!U$2:BL$2,'Tsalin uzuulelt'!J$3,negtgel!U224:BL224)+SUMIF(negtgel!U$2:BL$2,'Tsalin uzuulelt'!J$4,negtgel!U224:BL224)+SUMIF(negtgel!U$2:BL$2,'Tsalin uzuulelt'!J$5,negtgel!U224:BL224)</f>
      </c>
      <c r="K224">
        <f>SUMIF(negtgel!U$2:BL$2,'Tsalin uzuulelt'!L$1,negtgel!U224:BL224) + SUMIF(negtgel!U$2:BL$2,'Tsalin uzuulelt'!L$2,negtgel!U224:BL224)+SUMIF(negtgel!U$2:BL$2,'Tsalin uzuulelt'!L$3,negtgel!U224:BL224)+SUMIF(negtgel!U$2:BL$2,'Tsalin uzuulelt'!L$4,negtgel!U224:BL224)+SUMIF(negtgel!U$2:BL$2,'Tsalin uzuulelt'!L$5,negtgel!U224:BL224)</f>
      </c>
      <c r="L224">
        <f>SUMIF(negtgel!U$2:BL$2,'Tsalin uzuulelt'!N$1,negtgel!U224:BL224) + SUMIF(negtgel!U$2:BL$2,'Tsalin uzuulelt'!N$2,negtgel!U224:BL224)+SUMIF(negtgel!U$2:BL$2,'Tsalin uzuulelt'!N$3,negtgel!U224:BL224)+SUMIF(negtgel!U$2:BL$2,'Tsalin uzuulelt'!N$4,negtgel!U224:BL224)+SUMIF(negtgel!U$2:BL$2,'Tsalin uzuulelt'!N$5,negtgel!U224:BL224)</f>
      </c>
      <c r="M224">
        <f>SUMIF(negtgel!U$2:BL$2,'Tsalin uzuulelt'!P$1,negtgel!U224:BL224) + SUMIF(negtgel!U$2:BL$2,'Tsalin uzuulelt'!P$2,negtgel!U224:BL224)+ SUMIF(negtgel!U$2:BL$2,'Tsalin uzuulelt'!P$3,negtgel!U224:BL224)+ SUMIF(negtgel!U$2:BL$2,'Tsalin uzuulelt'!P$4,negtgel!U224:BL224)+ SUMIF(negtgel!U$2:BL$2,'Tsalin uzuulelt'!P$5,negtgel!U224:BL224)</f>
      </c>
      <c r="N224">
        <f>IF(ISNUMBER(U224*1)=CF224,0,K224-H224-G224)</f>
      </c>
      <c r="O224">
        <f>IF(ISNUMBER(U224*1)=CF224,0,L224)</f>
      </c>
      <c r="P224">
        <f>IF(ISNUMBER(U224*1)=CF224,0,M224)</f>
      </c>
      <c r="Q224">
        <f>IF(N224&gt;2400000,N224,0)</f>
      </c>
      <c r="R224">
        <f>IF(L224/Q224*100&lt;3,2,10)</f>
      </c>
      <c r="S224">
        <f>IF(CH224=0,0,IF(B224&gt;9,10,IF(B224&gt;8,B224,IF(B224&gt;7.7,7.8,IF(B224&gt;3,B224,IF(B224&gt;1.5,2))))))</f>
      </c>
      <c r="T224">
        <f>IF(Q224=0,S224,R224)</f>
      </c>
      <c r="U224" t="n">
        <v>50.0</v>
      </c>
      <c r="V224" t="s">
        <v>3862</v>
      </c>
      <c r="W224" t="s">
        <v>3790</v>
      </c>
      <c r="X224" t="n">
        <v>677436.0</v>
      </c>
      <c r="Y224" t="n">
        <v>677436.0</v>
      </c>
      <c r="Z224" t="n">
        <v>101615.0</v>
      </c>
      <c r="AA224" t="n">
        <v>135487.0</v>
      </c>
      <c r="AB224" t="n">
        <v>0.0</v>
      </c>
      <c r="AC224" t="n">
        <v>101615.0</v>
      </c>
      <c r="AD224" t="n">
        <v>0.0</v>
      </c>
      <c r="AE224" t="n">
        <v>253361.0</v>
      </c>
      <c r="AF224" t="n">
        <v>60000.0</v>
      </c>
      <c r="AG224" t="n">
        <v>0.0</v>
      </c>
      <c r="AH224" t="n">
        <v>0.0</v>
      </c>
      <c r="AI224" t="n">
        <v>0.0</v>
      </c>
      <c r="AJ224" t="n">
        <v>0.0</v>
      </c>
      <c r="AK224" t="n">
        <v>0.0</v>
      </c>
      <c r="AL224" t="n">
        <v>0.0</v>
      </c>
      <c r="AM224" t="n">
        <v>0.0</v>
      </c>
      <c r="AN224" t="n">
        <v>0.0</v>
      </c>
      <c r="AO224" t="n">
        <v>1329514.0</v>
      </c>
      <c r="AP224" t="n">
        <v>132951.0</v>
      </c>
      <c r="AQ224" t="n">
        <v>113256.3</v>
      </c>
      <c r="CH224">
        <f>IFERROR(U224*1,0)</f>
      </c>
    </row>
    <row r="225">
      <c r="A225" t="n">
        <v>4.0</v>
      </c>
      <c r="B225">
        <f>IF((K225-G225-H225&gt;2400000),10,(L225/(K225-G225-H225)*100))</f>
      </c>
      <c r="C225">
        <f>IF(N225&gt;2400000,240000,(N225*S225)/100)</f>
      </c>
      <c r="D225">
        <f>IF(S225=0,0,IF((N225-I225)&gt;2400000,((((((N225-I225-J225)-240000))*0.1+(I225+J225)*0.1)))-7000,((((((N225-I225-J225)-(N225-I225-J225)*S225/100)))*0.1+(I225+J225)*0.1)-7000)))</f>
      </c>
      <c r="E225">
        <f>C225-O225</f>
      </c>
      <c r="F225">
        <f>D225-P225</f>
      </c>
      <c r="G225">
        <f>SUMIF(negtgel!U$2:BL$2,'Tsalin uzuulelt'!B$1,negtgel!U225:BL225) + SUMIF(negtgel!U$2:BL$2,'Tsalin uzuulelt'!B$2,negtgel!U225:BL225)+SUMIF(negtgel!U$2:BL$2,'Tsalin uzuulelt'!B$3,negtgel!U225:BL225)+SUMIF(negtgel!U$2:BL$2,'Tsalin uzuulelt'!B$4,negtgel!U225:BL225)+SUMIF(negtgel!U$2:BL$2,'Tsalin uzuulelt'!B$5,negtgel!U225:BL225)</f>
      </c>
      <c r="H225">
        <f>SUMIF(negtgel!U$2:BL$2,'Tsalin uzuulelt'!F$1,negtgel!U225:BL225) + SUMIF(negtgel!U$2:BL$2,'Tsalin uzuulelt'!F$2,negtgel!U225:BL225)+SUMIF(negtgel!U$2:BL$2,'Tsalin uzuulelt'!F$3,negtgel!U225:BL225)+SUMIF(negtgel!U$2:BL$2,'Tsalin uzuulelt'!F$4,negtgel!U225:BL225)+SUMIF(negtgel!U$2:BL$2,'Tsalin uzuulelt'!F$5,negtgel!U225:BL225)</f>
      </c>
      <c r="I225">
        <f>SUMIF(negtgel!U$2:BL$2,'Tsalin uzuulelt'!H$1,negtgel!U225:BL225) + SUMIF(negtgel!U$2:BL$2,'Tsalin uzuulelt'!H$2,negtgel!U225:BL225)+SUMIF(negtgel!U$2:BL$2,'Tsalin uzuulelt'!H$3,negtgel!U225:BL225)+SUMIF(negtgel!U$2:BL$2,'Tsalin uzuulelt'!H$4,negtgel!U225:BL225)+SUMIF(negtgel!U$2:BL$2,'Tsalin uzuulelt'!H$5,negtgel!U225:BL225)</f>
      </c>
      <c r="J225">
        <f>SUMIF(negtgel!U$2:BL$2,'Tsalin uzuulelt'!J$1,negtgel!U225:BL225) + SUMIF(negtgel!U$2:BL$2,'Tsalin uzuulelt'!J$2,negtgel!U225:BL225)+SUMIF(negtgel!U$2:BL$2,'Tsalin uzuulelt'!J$3,negtgel!U225:BL225)+SUMIF(negtgel!U$2:BL$2,'Tsalin uzuulelt'!J$4,negtgel!U225:BL225)+SUMIF(negtgel!U$2:BL$2,'Tsalin uzuulelt'!J$5,negtgel!U225:BL225)</f>
      </c>
      <c r="K225">
        <f>SUMIF(negtgel!U$2:BL$2,'Tsalin uzuulelt'!L$1,negtgel!U225:BL225) + SUMIF(negtgel!U$2:BL$2,'Tsalin uzuulelt'!L$2,negtgel!U225:BL225)+SUMIF(negtgel!U$2:BL$2,'Tsalin uzuulelt'!L$3,negtgel!U225:BL225)+SUMIF(negtgel!U$2:BL$2,'Tsalin uzuulelt'!L$4,negtgel!U225:BL225)+SUMIF(negtgel!U$2:BL$2,'Tsalin uzuulelt'!L$5,negtgel!U225:BL225)</f>
      </c>
      <c r="L225">
        <f>SUMIF(negtgel!U$2:BL$2,'Tsalin uzuulelt'!N$1,negtgel!U225:BL225) + SUMIF(negtgel!U$2:BL$2,'Tsalin uzuulelt'!N$2,negtgel!U225:BL225)+SUMIF(negtgel!U$2:BL$2,'Tsalin uzuulelt'!N$3,negtgel!U225:BL225)+SUMIF(negtgel!U$2:BL$2,'Tsalin uzuulelt'!N$4,negtgel!U225:BL225)+SUMIF(negtgel!U$2:BL$2,'Tsalin uzuulelt'!N$5,negtgel!U225:BL225)</f>
      </c>
      <c r="M225">
        <f>SUMIF(negtgel!U$2:BL$2,'Tsalin uzuulelt'!P$1,negtgel!U225:BL225) + SUMIF(negtgel!U$2:BL$2,'Tsalin uzuulelt'!P$2,negtgel!U225:BL225)+ SUMIF(negtgel!U$2:BL$2,'Tsalin uzuulelt'!P$3,negtgel!U225:BL225)+ SUMIF(negtgel!U$2:BL$2,'Tsalin uzuulelt'!P$4,negtgel!U225:BL225)+ SUMIF(negtgel!U$2:BL$2,'Tsalin uzuulelt'!P$5,negtgel!U225:BL225)</f>
      </c>
      <c r="N225">
        <f>IF(ISNUMBER(U225*1)=CF225,0,K225-H225-G225)</f>
      </c>
      <c r="O225">
        <f>IF(ISNUMBER(U225*1)=CF225,0,L225)</f>
      </c>
      <c r="P225">
        <f>IF(ISNUMBER(U225*1)=CF225,0,M225)</f>
      </c>
      <c r="Q225">
        <f>IF(N225&gt;2400000,N225,0)</f>
      </c>
      <c r="R225">
        <f>IF(L225/Q225*100&lt;3,2,10)</f>
      </c>
      <c r="S225">
        <f>IF(CH225=0,0,IF(B225&gt;9,10,IF(B225&gt;8,B225,IF(B225&gt;7.7,7.8,IF(B225&gt;3,B225,IF(B225&gt;1.5,2))))))</f>
      </c>
      <c r="T225">
        <f>IF(Q225=0,S225,R225)</f>
      </c>
      <c r="U225" t="n">
        <v>51.0</v>
      </c>
      <c r="V225" t="s">
        <v>3796</v>
      </c>
      <c r="W225" t="s">
        <v>3792</v>
      </c>
      <c r="X225" t="n">
        <v>496912.0</v>
      </c>
      <c r="Y225" t="n">
        <v>0.0</v>
      </c>
      <c r="Z225" t="n">
        <v>0.0</v>
      </c>
      <c r="AA225" t="n">
        <v>0.0</v>
      </c>
      <c r="AB225" t="n">
        <v>0.0</v>
      </c>
      <c r="AC225" t="n">
        <v>0.0</v>
      </c>
      <c r="AD225" t="n">
        <v>0.0</v>
      </c>
      <c r="AE225" t="n">
        <v>0.0</v>
      </c>
      <c r="AF225" t="n">
        <v>0.0</v>
      </c>
      <c r="AG225" t="n">
        <v>0.0</v>
      </c>
      <c r="AH225" t="n">
        <v>0.0</v>
      </c>
      <c r="AI225" t="n">
        <v>0.0</v>
      </c>
      <c r="AJ225" t="n">
        <v>195397.0</v>
      </c>
      <c r="AK225" t="n">
        <v>0.0</v>
      </c>
      <c r="AL225" t="n">
        <v>0.0</v>
      </c>
      <c r="AM225" t="n">
        <v>0.0</v>
      </c>
      <c r="AN225" t="n">
        <v>0.0</v>
      </c>
      <c r="AO225" t="n">
        <v>195397.0</v>
      </c>
      <c r="AP225" t="n">
        <v>19540.0</v>
      </c>
      <c r="AQ225" t="n">
        <v>10585.7</v>
      </c>
      <c r="CH225">
        <f>IFERROR(U225*1,0)</f>
      </c>
    </row>
    <row r="226">
      <c r="A226" t="n">
        <v>4.0</v>
      </c>
      <c r="B226">
        <f>IF((K226-G226-H226&gt;2400000),10,(L226/(K226-G226-H226)*100))</f>
      </c>
      <c r="C226">
        <f>IF(N226&gt;2400000,240000,(N226*S226)/100)</f>
      </c>
      <c r="D226">
        <f>IF(S226=0,0,IF((N226-I226)&gt;2400000,((((((N226-I226-J226)-240000))*0.1+(I226+J226)*0.1)))-7000,((((((N226-I226-J226)-(N226-I226-J226)*S226/100)))*0.1+(I226+J226)*0.1)-7000)))</f>
      </c>
      <c r="E226">
        <f>C226-O226</f>
      </c>
      <c r="F226">
        <f>D226-P226</f>
      </c>
      <c r="G226">
        <f>SUMIF(negtgel!U$2:BL$2,'Tsalin uzuulelt'!B$1,negtgel!U226:BL226) + SUMIF(negtgel!U$2:BL$2,'Tsalin uzuulelt'!B$2,negtgel!U226:BL226)+SUMIF(negtgel!U$2:BL$2,'Tsalin uzuulelt'!B$3,negtgel!U226:BL226)+SUMIF(negtgel!U$2:BL$2,'Tsalin uzuulelt'!B$4,negtgel!U226:BL226)+SUMIF(negtgel!U$2:BL$2,'Tsalin uzuulelt'!B$5,negtgel!U226:BL226)</f>
      </c>
      <c r="H226">
        <f>SUMIF(negtgel!U$2:BL$2,'Tsalin uzuulelt'!F$1,negtgel!U226:BL226) + SUMIF(negtgel!U$2:BL$2,'Tsalin uzuulelt'!F$2,negtgel!U226:BL226)+SUMIF(negtgel!U$2:BL$2,'Tsalin uzuulelt'!F$3,negtgel!U226:BL226)+SUMIF(negtgel!U$2:BL$2,'Tsalin uzuulelt'!F$4,negtgel!U226:BL226)+SUMIF(negtgel!U$2:BL$2,'Tsalin uzuulelt'!F$5,negtgel!U226:BL226)</f>
      </c>
      <c r="I226">
        <f>SUMIF(negtgel!U$2:BL$2,'Tsalin uzuulelt'!H$1,negtgel!U226:BL226) + SUMIF(negtgel!U$2:BL$2,'Tsalin uzuulelt'!H$2,negtgel!U226:BL226)+SUMIF(negtgel!U$2:BL$2,'Tsalin uzuulelt'!H$3,negtgel!U226:BL226)+SUMIF(negtgel!U$2:BL$2,'Tsalin uzuulelt'!H$4,negtgel!U226:BL226)+SUMIF(negtgel!U$2:BL$2,'Tsalin uzuulelt'!H$5,negtgel!U226:BL226)</f>
      </c>
      <c r="J226">
        <f>SUMIF(negtgel!U$2:BL$2,'Tsalin uzuulelt'!J$1,negtgel!U226:BL226) + SUMIF(negtgel!U$2:BL$2,'Tsalin uzuulelt'!J$2,negtgel!U226:BL226)+SUMIF(negtgel!U$2:BL$2,'Tsalin uzuulelt'!J$3,negtgel!U226:BL226)+SUMIF(negtgel!U$2:BL$2,'Tsalin uzuulelt'!J$4,negtgel!U226:BL226)+SUMIF(negtgel!U$2:BL$2,'Tsalin uzuulelt'!J$5,negtgel!U226:BL226)</f>
      </c>
      <c r="K226">
        <f>SUMIF(negtgel!U$2:BL$2,'Tsalin uzuulelt'!L$1,negtgel!U226:BL226) + SUMIF(negtgel!U$2:BL$2,'Tsalin uzuulelt'!L$2,negtgel!U226:BL226)+SUMIF(negtgel!U$2:BL$2,'Tsalin uzuulelt'!L$3,negtgel!U226:BL226)+SUMIF(negtgel!U$2:BL$2,'Tsalin uzuulelt'!L$4,negtgel!U226:BL226)+SUMIF(negtgel!U$2:BL$2,'Tsalin uzuulelt'!L$5,negtgel!U226:BL226)</f>
      </c>
      <c r="L226">
        <f>SUMIF(negtgel!U$2:BL$2,'Tsalin uzuulelt'!N$1,negtgel!U226:BL226) + SUMIF(negtgel!U$2:BL$2,'Tsalin uzuulelt'!N$2,negtgel!U226:BL226)+SUMIF(negtgel!U$2:BL$2,'Tsalin uzuulelt'!N$3,negtgel!U226:BL226)+SUMIF(negtgel!U$2:BL$2,'Tsalin uzuulelt'!N$4,negtgel!U226:BL226)+SUMIF(negtgel!U$2:BL$2,'Tsalin uzuulelt'!N$5,negtgel!U226:BL226)</f>
      </c>
      <c r="M226">
        <f>SUMIF(negtgel!U$2:BL$2,'Tsalin uzuulelt'!P$1,negtgel!U226:BL226) + SUMIF(negtgel!U$2:BL$2,'Tsalin uzuulelt'!P$2,negtgel!U226:BL226)+ SUMIF(negtgel!U$2:BL$2,'Tsalin uzuulelt'!P$3,negtgel!U226:BL226)+ SUMIF(negtgel!U$2:BL$2,'Tsalin uzuulelt'!P$4,negtgel!U226:BL226)+ SUMIF(negtgel!U$2:BL$2,'Tsalin uzuulelt'!P$5,negtgel!U226:BL226)</f>
      </c>
      <c r="N226">
        <f>IF(ISNUMBER(U226*1)=CF226,0,K226-H226-G226)</f>
      </c>
      <c r="O226">
        <f>IF(ISNUMBER(U226*1)=CF226,0,L226)</f>
      </c>
      <c r="P226">
        <f>IF(ISNUMBER(U226*1)=CF226,0,M226)</f>
      </c>
      <c r="Q226">
        <f>IF(N226&gt;2400000,N226,0)</f>
      </c>
      <c r="R226">
        <f>IF(L226/Q226*100&lt;3,2,10)</f>
      </c>
      <c r="S226">
        <f>IF(CH226=0,0,IF(B226&gt;9,10,IF(B226&gt;8,B226,IF(B226&gt;7.7,7.8,IF(B226&gt;3,B226,IF(B226&gt;1.5,2))))))</f>
      </c>
      <c r="T226">
        <f>IF(Q226=0,S226,R226)</f>
      </c>
      <c r="U226" t="n">
        <v>52.0</v>
      </c>
      <c r="V226" t="s">
        <v>3797</v>
      </c>
      <c r="W226" t="s">
        <v>3790</v>
      </c>
      <c r="X226" t="n">
        <v>580710.0</v>
      </c>
      <c r="Y226" t="n">
        <v>580710.0</v>
      </c>
      <c r="Z226" t="n">
        <v>29036.0</v>
      </c>
      <c r="AA226" t="n">
        <v>87106.0</v>
      </c>
      <c r="AB226" t="n">
        <v>0.0</v>
      </c>
      <c r="AC226" t="n">
        <v>0.0</v>
      </c>
      <c r="AD226" t="n">
        <v>0.0</v>
      </c>
      <c r="AE226" t="n">
        <v>213411.0</v>
      </c>
      <c r="AF226" t="n">
        <v>60000.0</v>
      </c>
      <c r="AG226" t="n">
        <v>0.0</v>
      </c>
      <c r="AH226" t="n">
        <v>0.0</v>
      </c>
      <c r="AI226" t="n">
        <v>0.0</v>
      </c>
      <c r="AJ226" t="n">
        <v>0.0</v>
      </c>
      <c r="AK226" t="n">
        <v>0.0</v>
      </c>
      <c r="AL226" t="n">
        <v>0.0</v>
      </c>
      <c r="AM226" t="n">
        <v>0.0</v>
      </c>
      <c r="AN226" t="n">
        <v>0.0</v>
      </c>
      <c r="AO226" t="n">
        <v>970263.0</v>
      </c>
      <c r="AP226" t="n">
        <v>97026.0</v>
      </c>
      <c r="AQ226" t="n">
        <v>80923.7</v>
      </c>
      <c r="CH226">
        <f>IFERROR(U226*1,0)</f>
      </c>
    </row>
    <row r="227">
      <c r="A227" t="n">
        <v>4.0</v>
      </c>
      <c r="B227">
        <f>IF((K227-G227-H227&gt;2400000),10,(L227/(K227-G227-H227)*100))</f>
      </c>
      <c r="C227">
        <f>IF(N227&gt;2400000,240000,(N227*S227)/100)</f>
      </c>
      <c r="D227">
        <f>IF(S227=0,0,IF((N227-I227)&gt;2400000,((((((N227-I227-J227)-240000))*0.1+(I227+J227)*0.1)))-7000,((((((N227-I227-J227)-(N227-I227-J227)*S227/100)))*0.1+(I227+J227)*0.1)-7000)))</f>
      </c>
      <c r="E227">
        <f>C227-O227</f>
      </c>
      <c r="F227">
        <f>D227-P227</f>
      </c>
      <c r="G227">
        <f>SUMIF(negtgel!U$2:BL$2,'Tsalin uzuulelt'!B$1,negtgel!U227:BL227) + SUMIF(negtgel!U$2:BL$2,'Tsalin uzuulelt'!B$2,negtgel!U227:BL227)+SUMIF(negtgel!U$2:BL$2,'Tsalin uzuulelt'!B$3,negtgel!U227:BL227)+SUMIF(negtgel!U$2:BL$2,'Tsalin uzuulelt'!B$4,negtgel!U227:BL227)+SUMIF(negtgel!U$2:BL$2,'Tsalin uzuulelt'!B$5,negtgel!U227:BL227)</f>
      </c>
      <c r="H227">
        <f>SUMIF(negtgel!U$2:BL$2,'Tsalin uzuulelt'!F$1,negtgel!U227:BL227) + SUMIF(negtgel!U$2:BL$2,'Tsalin uzuulelt'!F$2,negtgel!U227:BL227)+SUMIF(negtgel!U$2:BL$2,'Tsalin uzuulelt'!F$3,negtgel!U227:BL227)+SUMIF(negtgel!U$2:BL$2,'Tsalin uzuulelt'!F$4,negtgel!U227:BL227)+SUMIF(negtgel!U$2:BL$2,'Tsalin uzuulelt'!F$5,negtgel!U227:BL227)</f>
      </c>
      <c r="I227">
        <f>SUMIF(negtgel!U$2:BL$2,'Tsalin uzuulelt'!H$1,negtgel!U227:BL227) + SUMIF(negtgel!U$2:BL$2,'Tsalin uzuulelt'!H$2,negtgel!U227:BL227)+SUMIF(negtgel!U$2:BL$2,'Tsalin uzuulelt'!H$3,negtgel!U227:BL227)+SUMIF(negtgel!U$2:BL$2,'Tsalin uzuulelt'!H$4,negtgel!U227:BL227)+SUMIF(negtgel!U$2:BL$2,'Tsalin uzuulelt'!H$5,negtgel!U227:BL227)</f>
      </c>
      <c r="J227">
        <f>SUMIF(negtgel!U$2:BL$2,'Tsalin uzuulelt'!J$1,negtgel!U227:BL227) + SUMIF(negtgel!U$2:BL$2,'Tsalin uzuulelt'!J$2,negtgel!U227:BL227)+SUMIF(negtgel!U$2:BL$2,'Tsalin uzuulelt'!J$3,negtgel!U227:BL227)+SUMIF(negtgel!U$2:BL$2,'Tsalin uzuulelt'!J$4,negtgel!U227:BL227)+SUMIF(negtgel!U$2:BL$2,'Tsalin uzuulelt'!J$5,negtgel!U227:BL227)</f>
      </c>
      <c r="K227">
        <f>SUMIF(negtgel!U$2:BL$2,'Tsalin uzuulelt'!L$1,negtgel!U227:BL227) + SUMIF(negtgel!U$2:BL$2,'Tsalin uzuulelt'!L$2,negtgel!U227:BL227)+SUMIF(negtgel!U$2:BL$2,'Tsalin uzuulelt'!L$3,negtgel!U227:BL227)+SUMIF(negtgel!U$2:BL$2,'Tsalin uzuulelt'!L$4,negtgel!U227:BL227)+SUMIF(negtgel!U$2:BL$2,'Tsalin uzuulelt'!L$5,negtgel!U227:BL227)</f>
      </c>
      <c r="L227">
        <f>SUMIF(negtgel!U$2:BL$2,'Tsalin uzuulelt'!N$1,negtgel!U227:BL227) + SUMIF(negtgel!U$2:BL$2,'Tsalin uzuulelt'!N$2,negtgel!U227:BL227)+SUMIF(negtgel!U$2:BL$2,'Tsalin uzuulelt'!N$3,negtgel!U227:BL227)+SUMIF(negtgel!U$2:BL$2,'Tsalin uzuulelt'!N$4,negtgel!U227:BL227)+SUMIF(negtgel!U$2:BL$2,'Tsalin uzuulelt'!N$5,negtgel!U227:BL227)</f>
      </c>
      <c r="M227">
        <f>SUMIF(negtgel!U$2:BL$2,'Tsalin uzuulelt'!P$1,negtgel!U227:BL227) + SUMIF(negtgel!U$2:BL$2,'Tsalin uzuulelt'!P$2,negtgel!U227:BL227)+ SUMIF(negtgel!U$2:BL$2,'Tsalin uzuulelt'!P$3,negtgel!U227:BL227)+ SUMIF(negtgel!U$2:BL$2,'Tsalin uzuulelt'!P$4,negtgel!U227:BL227)+ SUMIF(negtgel!U$2:BL$2,'Tsalin uzuulelt'!P$5,negtgel!U227:BL227)</f>
      </c>
      <c r="N227">
        <f>IF(ISNUMBER(U227*1)=CF227,0,K227-H227-G227)</f>
      </c>
      <c r="O227">
        <f>IF(ISNUMBER(U227*1)=CF227,0,L227)</f>
      </c>
      <c r="P227">
        <f>IF(ISNUMBER(U227*1)=CF227,0,M227)</f>
      </c>
      <c r="Q227">
        <f>IF(N227&gt;2400000,N227,0)</f>
      </c>
      <c r="R227">
        <f>IF(L227/Q227*100&lt;3,2,10)</f>
      </c>
      <c r="S227">
        <f>IF(CH227=0,0,IF(B227&gt;9,10,IF(B227&gt;8,B227,IF(B227&gt;7.7,7.8,IF(B227&gt;3,B227,IF(B227&gt;1.5,2))))))</f>
      </c>
      <c r="T227">
        <f>IF(Q227=0,S227,R227)</f>
      </c>
      <c r="U227" t="n">
        <v>53.0</v>
      </c>
      <c r="V227" t="s">
        <v>3798</v>
      </c>
      <c r="W227" t="s">
        <v>3792</v>
      </c>
      <c r="X227" t="n">
        <v>496912.0</v>
      </c>
      <c r="Y227" t="n">
        <v>496912.0</v>
      </c>
      <c r="Z227" t="n">
        <v>0.0</v>
      </c>
      <c r="AA227" t="n">
        <v>0.0</v>
      </c>
      <c r="AB227" t="n">
        <v>0.0</v>
      </c>
      <c r="AC227" t="n">
        <v>0.0</v>
      </c>
      <c r="AD227" t="n">
        <v>0.0</v>
      </c>
      <c r="AE227" t="n">
        <v>185845.0</v>
      </c>
      <c r="AF227" t="n">
        <v>60000.0</v>
      </c>
      <c r="AG227" t="n">
        <v>0.0</v>
      </c>
      <c r="AH227" t="n">
        <v>0.0</v>
      </c>
      <c r="AI227" t="n">
        <v>0.0</v>
      </c>
      <c r="AJ227" t="n">
        <v>0.0</v>
      </c>
      <c r="AK227" t="n">
        <v>0.0</v>
      </c>
      <c r="AL227" t="n">
        <v>0.0</v>
      </c>
      <c r="AM227" t="n">
        <v>0.0</v>
      </c>
      <c r="AN227" t="n">
        <v>0.0</v>
      </c>
      <c r="AO227" t="n">
        <v>742757.0</v>
      </c>
      <c r="AP227" t="n">
        <v>74276.0</v>
      </c>
      <c r="AQ227" t="n">
        <v>60448.1</v>
      </c>
      <c r="CH227">
        <f>IFERROR(U227*1,0)</f>
      </c>
    </row>
    <row r="228">
      <c r="A228" t="n">
        <v>4.0</v>
      </c>
      <c r="B228">
        <f>IF((K228-G228-H228&gt;2400000),10,(L228/(K228-G228-H228)*100))</f>
      </c>
      <c r="C228">
        <f>IF(N228&gt;2400000,240000,(N228*S228)/100)</f>
      </c>
      <c r="D228">
        <f>IF(S228=0,0,IF((N228-I228)&gt;2400000,((((((N228-I228-J228)-240000))*0.1+(I228+J228)*0.1)))-7000,((((((N228-I228-J228)-(N228-I228-J228)*S228/100)))*0.1+(I228+J228)*0.1)-7000)))</f>
      </c>
      <c r="E228">
        <f>C228-O228</f>
      </c>
      <c r="F228">
        <f>D228-P228</f>
      </c>
      <c r="G228">
        <f>SUMIF(negtgel!U$2:BL$2,'Tsalin uzuulelt'!B$1,negtgel!U228:BL228) + SUMIF(negtgel!U$2:BL$2,'Tsalin uzuulelt'!B$2,negtgel!U228:BL228)+SUMIF(negtgel!U$2:BL$2,'Tsalin uzuulelt'!B$3,negtgel!U228:BL228)+SUMIF(negtgel!U$2:BL$2,'Tsalin uzuulelt'!B$4,negtgel!U228:BL228)+SUMIF(negtgel!U$2:BL$2,'Tsalin uzuulelt'!B$5,negtgel!U228:BL228)</f>
      </c>
      <c r="H228">
        <f>SUMIF(negtgel!U$2:BL$2,'Tsalin uzuulelt'!F$1,negtgel!U228:BL228) + SUMIF(negtgel!U$2:BL$2,'Tsalin uzuulelt'!F$2,negtgel!U228:BL228)+SUMIF(negtgel!U$2:BL$2,'Tsalin uzuulelt'!F$3,negtgel!U228:BL228)+SUMIF(negtgel!U$2:BL$2,'Tsalin uzuulelt'!F$4,negtgel!U228:BL228)+SUMIF(negtgel!U$2:BL$2,'Tsalin uzuulelt'!F$5,negtgel!U228:BL228)</f>
      </c>
      <c r="I228">
        <f>SUMIF(negtgel!U$2:BL$2,'Tsalin uzuulelt'!H$1,negtgel!U228:BL228) + SUMIF(negtgel!U$2:BL$2,'Tsalin uzuulelt'!H$2,negtgel!U228:BL228)+SUMIF(negtgel!U$2:BL$2,'Tsalin uzuulelt'!H$3,negtgel!U228:BL228)+SUMIF(negtgel!U$2:BL$2,'Tsalin uzuulelt'!H$4,negtgel!U228:BL228)+SUMIF(negtgel!U$2:BL$2,'Tsalin uzuulelt'!H$5,negtgel!U228:BL228)</f>
      </c>
      <c r="J228">
        <f>SUMIF(negtgel!U$2:BL$2,'Tsalin uzuulelt'!J$1,negtgel!U228:BL228) + SUMIF(negtgel!U$2:BL$2,'Tsalin uzuulelt'!J$2,negtgel!U228:BL228)+SUMIF(negtgel!U$2:BL$2,'Tsalin uzuulelt'!J$3,negtgel!U228:BL228)+SUMIF(negtgel!U$2:BL$2,'Tsalin uzuulelt'!J$4,negtgel!U228:BL228)+SUMIF(negtgel!U$2:BL$2,'Tsalin uzuulelt'!J$5,negtgel!U228:BL228)</f>
      </c>
      <c r="K228">
        <f>SUMIF(negtgel!U$2:BL$2,'Tsalin uzuulelt'!L$1,negtgel!U228:BL228) + SUMIF(negtgel!U$2:BL$2,'Tsalin uzuulelt'!L$2,negtgel!U228:BL228)+SUMIF(negtgel!U$2:BL$2,'Tsalin uzuulelt'!L$3,negtgel!U228:BL228)+SUMIF(negtgel!U$2:BL$2,'Tsalin uzuulelt'!L$4,negtgel!U228:BL228)+SUMIF(negtgel!U$2:BL$2,'Tsalin uzuulelt'!L$5,negtgel!U228:BL228)</f>
      </c>
      <c r="L228">
        <f>SUMIF(negtgel!U$2:BL$2,'Tsalin uzuulelt'!N$1,negtgel!U228:BL228) + SUMIF(negtgel!U$2:BL$2,'Tsalin uzuulelt'!N$2,negtgel!U228:BL228)+SUMIF(negtgel!U$2:BL$2,'Tsalin uzuulelt'!N$3,negtgel!U228:BL228)+SUMIF(negtgel!U$2:BL$2,'Tsalin uzuulelt'!N$4,negtgel!U228:BL228)+SUMIF(negtgel!U$2:BL$2,'Tsalin uzuulelt'!N$5,negtgel!U228:BL228)</f>
      </c>
      <c r="M228">
        <f>SUMIF(negtgel!U$2:BL$2,'Tsalin uzuulelt'!P$1,negtgel!U228:BL228) + SUMIF(negtgel!U$2:BL$2,'Tsalin uzuulelt'!P$2,negtgel!U228:BL228)+ SUMIF(negtgel!U$2:BL$2,'Tsalin uzuulelt'!P$3,negtgel!U228:BL228)+ SUMIF(negtgel!U$2:BL$2,'Tsalin uzuulelt'!P$4,negtgel!U228:BL228)+ SUMIF(negtgel!U$2:BL$2,'Tsalin uzuulelt'!P$5,negtgel!U228:BL228)</f>
      </c>
      <c r="N228">
        <f>IF(ISNUMBER(U228*1)=CF228,0,K228-H228-G228)</f>
      </c>
      <c r="O228">
        <f>IF(ISNUMBER(U228*1)=CF228,0,L228)</f>
      </c>
      <c r="P228">
        <f>IF(ISNUMBER(U228*1)=CF228,0,M228)</f>
      </c>
      <c r="Q228">
        <f>IF(N228&gt;2400000,N228,0)</f>
      </c>
      <c r="R228">
        <f>IF(L228/Q228*100&lt;3,2,10)</f>
      </c>
      <c r="S228">
        <f>IF(CH228=0,0,IF(B228&gt;9,10,IF(B228&gt;8,B228,IF(B228&gt;7.7,7.8,IF(B228&gt;3,B228,IF(B228&gt;1.5,2))))))</f>
      </c>
      <c r="T228">
        <f>IF(Q228=0,S228,R228)</f>
      </c>
      <c r="U228" t="n">
        <v>54.0</v>
      </c>
      <c r="V228" t="s">
        <v>3799</v>
      </c>
      <c r="W228" t="s">
        <v>3785</v>
      </c>
      <c r="X228" t="n">
        <v>795935.0</v>
      </c>
      <c r="Y228" t="n">
        <v>795935.0</v>
      </c>
      <c r="Z228" t="n">
        <v>119390.0</v>
      </c>
      <c r="AA228" t="n">
        <v>159187.0</v>
      </c>
      <c r="AB228" t="n">
        <v>0.0</v>
      </c>
      <c r="AC228" t="n">
        <v>0.0</v>
      </c>
      <c r="AD228" t="n">
        <v>0.0</v>
      </c>
      <c r="AE228" t="n">
        <v>305639.0</v>
      </c>
      <c r="AF228" t="n">
        <v>60000.0</v>
      </c>
      <c r="AG228" t="n">
        <v>0.0</v>
      </c>
      <c r="AH228" t="n">
        <v>0.0</v>
      </c>
      <c r="AI228" t="n">
        <v>0.0</v>
      </c>
      <c r="AJ228" t="n">
        <v>0.0</v>
      </c>
      <c r="AK228" t="n">
        <v>0.0</v>
      </c>
      <c r="AL228" t="n">
        <v>0.0</v>
      </c>
      <c r="AM228" t="n">
        <v>0.0</v>
      </c>
      <c r="AN228" t="n">
        <v>0.0</v>
      </c>
      <c r="AO228" t="n">
        <v>1440151.0</v>
      </c>
      <c r="AP228" t="n">
        <v>144015.0</v>
      </c>
      <c r="AQ228" t="n">
        <v>123213.6</v>
      </c>
      <c r="CH228">
        <f>IFERROR(U228*1,0)</f>
      </c>
    </row>
    <row r="229">
      <c r="A229" t="n">
        <v>4.0</v>
      </c>
      <c r="B229">
        <f>IF((K229-G229-H229&gt;2400000),10,(L229/(K229-G229-H229)*100))</f>
      </c>
      <c r="C229">
        <f>IF(N229&gt;2400000,240000,(N229*S229)/100)</f>
      </c>
      <c r="D229">
        <f>IF(S229=0,0,IF((N229-I229)&gt;2400000,((((((N229-I229-J229)-240000))*0.1+(I229+J229)*0.1)))-7000,((((((N229-I229-J229)-(N229-I229-J229)*S229/100)))*0.1+(I229+J229)*0.1)-7000)))</f>
      </c>
      <c r="E229">
        <f>C229-O229</f>
      </c>
      <c r="F229">
        <f>D229-P229</f>
      </c>
      <c r="G229">
        <f>SUMIF(negtgel!U$2:BL$2,'Tsalin uzuulelt'!B$1,negtgel!U229:BL229) + SUMIF(negtgel!U$2:BL$2,'Tsalin uzuulelt'!B$2,negtgel!U229:BL229)+SUMIF(negtgel!U$2:BL$2,'Tsalin uzuulelt'!B$3,negtgel!U229:BL229)+SUMIF(negtgel!U$2:BL$2,'Tsalin uzuulelt'!B$4,negtgel!U229:BL229)+SUMIF(negtgel!U$2:BL$2,'Tsalin uzuulelt'!B$5,negtgel!U229:BL229)</f>
      </c>
      <c r="H229">
        <f>SUMIF(negtgel!U$2:BL$2,'Tsalin uzuulelt'!F$1,negtgel!U229:BL229) + SUMIF(negtgel!U$2:BL$2,'Tsalin uzuulelt'!F$2,negtgel!U229:BL229)+SUMIF(negtgel!U$2:BL$2,'Tsalin uzuulelt'!F$3,negtgel!U229:BL229)+SUMIF(negtgel!U$2:BL$2,'Tsalin uzuulelt'!F$4,negtgel!U229:BL229)+SUMIF(negtgel!U$2:BL$2,'Tsalin uzuulelt'!F$5,negtgel!U229:BL229)</f>
      </c>
      <c r="I229">
        <f>SUMIF(negtgel!U$2:BL$2,'Tsalin uzuulelt'!H$1,negtgel!U229:BL229) + SUMIF(negtgel!U$2:BL$2,'Tsalin uzuulelt'!H$2,negtgel!U229:BL229)+SUMIF(negtgel!U$2:BL$2,'Tsalin uzuulelt'!H$3,negtgel!U229:BL229)+SUMIF(negtgel!U$2:BL$2,'Tsalin uzuulelt'!H$4,negtgel!U229:BL229)+SUMIF(negtgel!U$2:BL$2,'Tsalin uzuulelt'!H$5,negtgel!U229:BL229)</f>
      </c>
      <c r="J229">
        <f>SUMIF(negtgel!U$2:BL$2,'Tsalin uzuulelt'!J$1,negtgel!U229:BL229) + SUMIF(negtgel!U$2:BL$2,'Tsalin uzuulelt'!J$2,negtgel!U229:BL229)+SUMIF(negtgel!U$2:BL$2,'Tsalin uzuulelt'!J$3,negtgel!U229:BL229)+SUMIF(negtgel!U$2:BL$2,'Tsalin uzuulelt'!J$4,negtgel!U229:BL229)+SUMIF(negtgel!U$2:BL$2,'Tsalin uzuulelt'!J$5,negtgel!U229:BL229)</f>
      </c>
      <c r="K229">
        <f>SUMIF(negtgel!U$2:BL$2,'Tsalin uzuulelt'!L$1,negtgel!U229:BL229) + SUMIF(negtgel!U$2:BL$2,'Tsalin uzuulelt'!L$2,negtgel!U229:BL229)+SUMIF(negtgel!U$2:BL$2,'Tsalin uzuulelt'!L$3,negtgel!U229:BL229)+SUMIF(negtgel!U$2:BL$2,'Tsalin uzuulelt'!L$4,negtgel!U229:BL229)+SUMIF(negtgel!U$2:BL$2,'Tsalin uzuulelt'!L$5,negtgel!U229:BL229)</f>
      </c>
      <c r="L229">
        <f>SUMIF(negtgel!U$2:BL$2,'Tsalin uzuulelt'!N$1,negtgel!U229:BL229) + SUMIF(negtgel!U$2:BL$2,'Tsalin uzuulelt'!N$2,negtgel!U229:BL229)+SUMIF(negtgel!U$2:BL$2,'Tsalin uzuulelt'!N$3,negtgel!U229:BL229)+SUMIF(negtgel!U$2:BL$2,'Tsalin uzuulelt'!N$4,negtgel!U229:BL229)+SUMIF(negtgel!U$2:BL$2,'Tsalin uzuulelt'!N$5,negtgel!U229:BL229)</f>
      </c>
      <c r="M229">
        <f>SUMIF(negtgel!U$2:BL$2,'Tsalin uzuulelt'!P$1,negtgel!U229:BL229) + SUMIF(negtgel!U$2:BL$2,'Tsalin uzuulelt'!P$2,negtgel!U229:BL229)+ SUMIF(negtgel!U$2:BL$2,'Tsalin uzuulelt'!P$3,negtgel!U229:BL229)+ SUMIF(negtgel!U$2:BL$2,'Tsalin uzuulelt'!P$4,negtgel!U229:BL229)+ SUMIF(negtgel!U$2:BL$2,'Tsalin uzuulelt'!P$5,negtgel!U229:BL229)</f>
      </c>
      <c r="N229">
        <f>IF(ISNUMBER(U229*1)=CF229,0,K229-H229-G229)</f>
      </c>
      <c r="O229">
        <f>IF(ISNUMBER(U229*1)=CF229,0,L229)</f>
      </c>
      <c r="P229">
        <f>IF(ISNUMBER(U229*1)=CF229,0,M229)</f>
      </c>
      <c r="Q229">
        <f>IF(N229&gt;2400000,N229,0)</f>
      </c>
      <c r="R229">
        <f>IF(L229/Q229*100&lt;3,2,10)</f>
      </c>
      <c r="S229">
        <f>IF(CH229=0,0,IF(B229&gt;9,10,IF(B229&gt;8,B229,IF(B229&gt;7.7,7.8,IF(B229&gt;3,B229,IF(B229&gt;1.5,2))))))</f>
      </c>
      <c r="T229">
        <f>IF(Q229=0,S229,R229)</f>
      </c>
      <c r="U229" t="n">
        <v>55.0</v>
      </c>
      <c r="V229" t="s">
        <v>3801</v>
      </c>
      <c r="W229" t="s">
        <v>3790</v>
      </c>
      <c r="X229" t="n">
        <v>580710.0</v>
      </c>
      <c r="Y229" t="n">
        <v>580710.0</v>
      </c>
      <c r="Z229" t="n">
        <v>0.0</v>
      </c>
      <c r="AA229" t="n">
        <v>0.0</v>
      </c>
      <c r="AB229" t="n">
        <v>0.0</v>
      </c>
      <c r="AC229" t="n">
        <v>0.0</v>
      </c>
      <c r="AD229" t="n">
        <v>0.0</v>
      </c>
      <c r="AE229" t="n">
        <v>218928.0</v>
      </c>
      <c r="AF229" t="n">
        <v>60000.0</v>
      </c>
      <c r="AG229" t="n">
        <v>0.0</v>
      </c>
      <c r="AH229" t="n">
        <v>0.0</v>
      </c>
      <c r="AI229" t="n">
        <v>0.0</v>
      </c>
      <c r="AJ229" t="n">
        <v>0.0</v>
      </c>
      <c r="AK229" t="n">
        <v>0.0</v>
      </c>
      <c r="AL229" t="n">
        <v>0.0</v>
      </c>
      <c r="AM229" t="n">
        <v>0.0</v>
      </c>
      <c r="AN229" t="n">
        <v>0.0</v>
      </c>
      <c r="AO229" t="n">
        <v>859638.0</v>
      </c>
      <c r="AP229" t="n">
        <v>85964.0</v>
      </c>
      <c r="AQ229" t="n">
        <v>70967.4</v>
      </c>
      <c r="CH229">
        <f>IFERROR(U229*1,0)</f>
      </c>
    </row>
    <row r="230">
      <c r="A230" t="n">
        <v>4.0</v>
      </c>
      <c r="B230">
        <f>IF((K230-G230-H230&gt;2400000),10,(L230/(K230-G230-H230)*100))</f>
      </c>
      <c r="C230">
        <f>IF(N230&gt;2400000,240000,(N230*S230)/100)</f>
      </c>
      <c r="D230">
        <f>IF(S230=0,0,IF((N230-I230)&gt;2400000,((((((N230-I230-J230)-240000))*0.1+(I230+J230)*0.1)))-7000,((((((N230-I230-J230)-(N230-I230-J230)*S230/100)))*0.1+(I230+J230)*0.1)-7000)))</f>
      </c>
      <c r="E230">
        <f>C230-O230</f>
      </c>
      <c r="F230">
        <f>D230-P230</f>
      </c>
      <c r="G230">
        <f>SUMIF(negtgel!U$2:BL$2,'Tsalin uzuulelt'!B$1,negtgel!U230:BL230) + SUMIF(negtgel!U$2:BL$2,'Tsalin uzuulelt'!B$2,negtgel!U230:BL230)+SUMIF(negtgel!U$2:BL$2,'Tsalin uzuulelt'!B$3,negtgel!U230:BL230)+SUMIF(negtgel!U$2:BL$2,'Tsalin uzuulelt'!B$4,negtgel!U230:BL230)+SUMIF(negtgel!U$2:BL$2,'Tsalin uzuulelt'!B$5,negtgel!U230:BL230)</f>
      </c>
      <c r="H230">
        <f>SUMIF(negtgel!U$2:BL$2,'Tsalin uzuulelt'!F$1,negtgel!U230:BL230) + SUMIF(negtgel!U$2:BL$2,'Tsalin uzuulelt'!F$2,negtgel!U230:BL230)+SUMIF(negtgel!U$2:BL$2,'Tsalin uzuulelt'!F$3,negtgel!U230:BL230)+SUMIF(negtgel!U$2:BL$2,'Tsalin uzuulelt'!F$4,negtgel!U230:BL230)+SUMIF(negtgel!U$2:BL$2,'Tsalin uzuulelt'!F$5,negtgel!U230:BL230)</f>
      </c>
      <c r="I230">
        <f>SUMIF(negtgel!U$2:BL$2,'Tsalin uzuulelt'!H$1,negtgel!U230:BL230) + SUMIF(negtgel!U$2:BL$2,'Tsalin uzuulelt'!H$2,negtgel!U230:BL230)+SUMIF(negtgel!U$2:BL$2,'Tsalin uzuulelt'!H$3,negtgel!U230:BL230)+SUMIF(negtgel!U$2:BL$2,'Tsalin uzuulelt'!H$4,negtgel!U230:BL230)+SUMIF(negtgel!U$2:BL$2,'Tsalin uzuulelt'!H$5,negtgel!U230:BL230)</f>
      </c>
      <c r="J230">
        <f>SUMIF(negtgel!U$2:BL$2,'Tsalin uzuulelt'!J$1,negtgel!U230:BL230) + SUMIF(negtgel!U$2:BL$2,'Tsalin uzuulelt'!J$2,negtgel!U230:BL230)+SUMIF(negtgel!U$2:BL$2,'Tsalin uzuulelt'!J$3,negtgel!U230:BL230)+SUMIF(negtgel!U$2:BL$2,'Tsalin uzuulelt'!J$4,negtgel!U230:BL230)+SUMIF(negtgel!U$2:BL$2,'Tsalin uzuulelt'!J$5,negtgel!U230:BL230)</f>
      </c>
      <c r="K230">
        <f>SUMIF(negtgel!U$2:BL$2,'Tsalin uzuulelt'!L$1,negtgel!U230:BL230) + SUMIF(negtgel!U$2:BL$2,'Tsalin uzuulelt'!L$2,negtgel!U230:BL230)+SUMIF(negtgel!U$2:BL$2,'Tsalin uzuulelt'!L$3,negtgel!U230:BL230)+SUMIF(negtgel!U$2:BL$2,'Tsalin uzuulelt'!L$4,negtgel!U230:BL230)+SUMIF(negtgel!U$2:BL$2,'Tsalin uzuulelt'!L$5,negtgel!U230:BL230)</f>
      </c>
      <c r="L230">
        <f>SUMIF(negtgel!U$2:BL$2,'Tsalin uzuulelt'!N$1,negtgel!U230:BL230) + SUMIF(negtgel!U$2:BL$2,'Tsalin uzuulelt'!N$2,negtgel!U230:BL230)+SUMIF(negtgel!U$2:BL$2,'Tsalin uzuulelt'!N$3,negtgel!U230:BL230)+SUMIF(negtgel!U$2:BL$2,'Tsalin uzuulelt'!N$4,negtgel!U230:BL230)+SUMIF(negtgel!U$2:BL$2,'Tsalin uzuulelt'!N$5,negtgel!U230:BL230)</f>
      </c>
      <c r="M230">
        <f>SUMIF(negtgel!U$2:BL$2,'Tsalin uzuulelt'!P$1,negtgel!U230:BL230) + SUMIF(negtgel!U$2:BL$2,'Tsalin uzuulelt'!P$2,negtgel!U230:BL230)+ SUMIF(negtgel!U$2:BL$2,'Tsalin uzuulelt'!P$3,negtgel!U230:BL230)+ SUMIF(negtgel!U$2:BL$2,'Tsalin uzuulelt'!P$4,negtgel!U230:BL230)+ SUMIF(negtgel!U$2:BL$2,'Tsalin uzuulelt'!P$5,negtgel!U230:BL230)</f>
      </c>
      <c r="N230">
        <f>IF(ISNUMBER(U230*1)=CF230,0,K230-H230-G230)</f>
      </c>
      <c r="O230">
        <f>IF(ISNUMBER(U230*1)=CF230,0,L230)</f>
      </c>
      <c r="P230">
        <f>IF(ISNUMBER(U230*1)=CF230,0,M230)</f>
      </c>
      <c r="Q230">
        <f>IF(N230&gt;2400000,N230,0)</f>
      </c>
      <c r="R230">
        <f>IF(L230/Q230*100&lt;3,2,10)</f>
      </c>
      <c r="S230">
        <f>IF(CH230=0,0,IF(B230&gt;9,10,IF(B230&gt;8,B230,IF(B230&gt;7.7,7.8,IF(B230&gt;3,B230,IF(B230&gt;1.5,2))))))</f>
      </c>
      <c r="T230">
        <f>IF(Q230=0,S230,R230)</f>
      </c>
      <c r="U230" t="n">
        <v>56.0</v>
      </c>
      <c r="V230" t="s">
        <v>3802</v>
      </c>
      <c r="W230" t="s">
        <v>3792</v>
      </c>
      <c r="X230" t="n">
        <v>496912.0</v>
      </c>
      <c r="Y230" t="n">
        <v>496912.0</v>
      </c>
      <c r="Z230" t="n">
        <v>0.0</v>
      </c>
      <c r="AA230" t="n">
        <v>0.0</v>
      </c>
      <c r="AB230" t="n">
        <v>0.0</v>
      </c>
      <c r="AC230" t="n">
        <v>0.0</v>
      </c>
      <c r="AD230" t="n">
        <v>0.0</v>
      </c>
      <c r="AE230" t="n">
        <v>184851.0</v>
      </c>
      <c r="AF230" t="n">
        <v>60000.0</v>
      </c>
      <c r="AG230" t="n">
        <v>0.0</v>
      </c>
      <c r="AH230" t="n">
        <v>0.0</v>
      </c>
      <c r="AI230" t="n">
        <v>0.0</v>
      </c>
      <c r="AJ230" t="n">
        <v>0.0</v>
      </c>
      <c r="AK230" t="n">
        <v>0.0</v>
      </c>
      <c r="AL230" t="n">
        <v>0.0</v>
      </c>
      <c r="AM230" t="n">
        <v>0.0</v>
      </c>
      <c r="AN230" t="n">
        <v>0.0</v>
      </c>
      <c r="AO230" t="n">
        <v>741763.0</v>
      </c>
      <c r="AP230" t="n">
        <v>74176.0</v>
      </c>
      <c r="AQ230" t="n">
        <v>60358.7</v>
      </c>
      <c r="CH230">
        <f>IFERROR(U230*1,0)</f>
      </c>
    </row>
    <row r="231">
      <c r="A231" t="n">
        <v>4.0</v>
      </c>
      <c r="B231">
        <f>IF((K231-G231-H231&gt;2400000),10,(L231/(K231-G231-H231)*100))</f>
      </c>
      <c r="C231">
        <f>IF(N231&gt;2400000,240000,(N231*S231)/100)</f>
      </c>
      <c r="D231">
        <f>IF(S231=0,0,IF((N231-I231)&gt;2400000,((((((N231-I231-J231)-240000))*0.1+(I231+J231)*0.1)))-7000,((((((N231-I231-J231)-(N231-I231-J231)*S231/100)))*0.1+(I231+J231)*0.1)-7000)))</f>
      </c>
      <c r="E231">
        <f>C231-O231</f>
      </c>
      <c r="F231">
        <f>D231-P231</f>
      </c>
      <c r="G231">
        <f>SUMIF(negtgel!U$2:BL$2,'Tsalin uzuulelt'!B$1,negtgel!U231:BL231) + SUMIF(negtgel!U$2:BL$2,'Tsalin uzuulelt'!B$2,negtgel!U231:BL231)+SUMIF(negtgel!U$2:BL$2,'Tsalin uzuulelt'!B$3,negtgel!U231:BL231)+SUMIF(negtgel!U$2:BL$2,'Tsalin uzuulelt'!B$4,negtgel!U231:BL231)+SUMIF(negtgel!U$2:BL$2,'Tsalin uzuulelt'!B$5,negtgel!U231:BL231)</f>
      </c>
      <c r="H231">
        <f>SUMIF(negtgel!U$2:BL$2,'Tsalin uzuulelt'!F$1,negtgel!U231:BL231) + SUMIF(negtgel!U$2:BL$2,'Tsalin uzuulelt'!F$2,negtgel!U231:BL231)+SUMIF(negtgel!U$2:BL$2,'Tsalin uzuulelt'!F$3,negtgel!U231:BL231)+SUMIF(negtgel!U$2:BL$2,'Tsalin uzuulelt'!F$4,negtgel!U231:BL231)+SUMIF(negtgel!U$2:BL$2,'Tsalin uzuulelt'!F$5,negtgel!U231:BL231)</f>
      </c>
      <c r="I231">
        <f>SUMIF(negtgel!U$2:BL$2,'Tsalin uzuulelt'!H$1,negtgel!U231:BL231) + SUMIF(negtgel!U$2:BL$2,'Tsalin uzuulelt'!H$2,negtgel!U231:BL231)+SUMIF(negtgel!U$2:BL$2,'Tsalin uzuulelt'!H$3,negtgel!U231:BL231)+SUMIF(negtgel!U$2:BL$2,'Tsalin uzuulelt'!H$4,negtgel!U231:BL231)+SUMIF(negtgel!U$2:BL$2,'Tsalin uzuulelt'!H$5,negtgel!U231:BL231)</f>
      </c>
      <c r="J231">
        <f>SUMIF(negtgel!U$2:BL$2,'Tsalin uzuulelt'!J$1,negtgel!U231:BL231) + SUMIF(negtgel!U$2:BL$2,'Tsalin uzuulelt'!J$2,negtgel!U231:BL231)+SUMIF(negtgel!U$2:BL$2,'Tsalin uzuulelt'!J$3,negtgel!U231:BL231)+SUMIF(negtgel!U$2:BL$2,'Tsalin uzuulelt'!J$4,negtgel!U231:BL231)+SUMIF(negtgel!U$2:BL$2,'Tsalin uzuulelt'!J$5,negtgel!U231:BL231)</f>
      </c>
      <c r="K231">
        <f>SUMIF(negtgel!U$2:BL$2,'Tsalin uzuulelt'!L$1,negtgel!U231:BL231) + SUMIF(negtgel!U$2:BL$2,'Tsalin uzuulelt'!L$2,negtgel!U231:BL231)+SUMIF(negtgel!U$2:BL$2,'Tsalin uzuulelt'!L$3,negtgel!U231:BL231)+SUMIF(negtgel!U$2:BL$2,'Tsalin uzuulelt'!L$4,negtgel!U231:BL231)+SUMIF(negtgel!U$2:BL$2,'Tsalin uzuulelt'!L$5,negtgel!U231:BL231)</f>
      </c>
      <c r="L231">
        <f>SUMIF(negtgel!U$2:BL$2,'Tsalin uzuulelt'!N$1,negtgel!U231:BL231) + SUMIF(negtgel!U$2:BL$2,'Tsalin uzuulelt'!N$2,negtgel!U231:BL231)+SUMIF(negtgel!U$2:BL$2,'Tsalin uzuulelt'!N$3,negtgel!U231:BL231)+SUMIF(negtgel!U$2:BL$2,'Tsalin uzuulelt'!N$4,negtgel!U231:BL231)+SUMIF(negtgel!U$2:BL$2,'Tsalin uzuulelt'!N$5,negtgel!U231:BL231)</f>
      </c>
      <c r="M231">
        <f>SUMIF(negtgel!U$2:BL$2,'Tsalin uzuulelt'!P$1,negtgel!U231:BL231) + SUMIF(negtgel!U$2:BL$2,'Tsalin uzuulelt'!P$2,negtgel!U231:BL231)+ SUMIF(negtgel!U$2:BL$2,'Tsalin uzuulelt'!P$3,negtgel!U231:BL231)+ SUMIF(negtgel!U$2:BL$2,'Tsalin uzuulelt'!P$4,negtgel!U231:BL231)+ SUMIF(negtgel!U$2:BL$2,'Tsalin uzuulelt'!P$5,negtgel!U231:BL231)</f>
      </c>
      <c r="N231">
        <f>IF(ISNUMBER(U231*1)=CF231,0,K231-H231-G231)</f>
      </c>
      <c r="O231">
        <f>IF(ISNUMBER(U231*1)=CF231,0,L231)</f>
      </c>
      <c r="P231">
        <f>IF(ISNUMBER(U231*1)=CF231,0,M231)</f>
      </c>
      <c r="Q231">
        <f>IF(N231&gt;2400000,N231,0)</f>
      </c>
      <c r="R231">
        <f>IF(L231/Q231*100&lt;3,2,10)</f>
      </c>
      <c r="S231">
        <f>IF(CH231=0,0,IF(B231&gt;9,10,IF(B231&gt;8,B231,IF(B231&gt;7.7,7.8,IF(B231&gt;3,B231,IF(B231&gt;1.5,2))))))</f>
      </c>
      <c r="T231">
        <f>IF(Q231=0,S231,R231)</f>
      </c>
      <c r="U231" t="n">
        <v>57.0</v>
      </c>
      <c r="V231" t="s">
        <v>3803</v>
      </c>
      <c r="W231" t="s">
        <v>3790</v>
      </c>
      <c r="X231" t="n">
        <v>733863.0</v>
      </c>
      <c r="Y231" t="n">
        <v>733863.0</v>
      </c>
      <c r="Z231" t="n">
        <v>146773.0</v>
      </c>
      <c r="AA231" t="n">
        <v>146773.0</v>
      </c>
      <c r="AB231" t="n">
        <v>0.0</v>
      </c>
      <c r="AC231" t="n">
        <v>110079.0</v>
      </c>
      <c r="AD231" t="n">
        <v>0.0</v>
      </c>
      <c r="AE231" t="n">
        <v>274832.0</v>
      </c>
      <c r="AF231" t="n">
        <v>60000.0</v>
      </c>
      <c r="AG231" t="n">
        <v>0.0</v>
      </c>
      <c r="AH231" t="n">
        <v>0.0</v>
      </c>
      <c r="AI231" t="n">
        <v>0.0</v>
      </c>
      <c r="AJ231" t="n">
        <v>0.0</v>
      </c>
      <c r="AK231" t="n">
        <v>0.0</v>
      </c>
      <c r="AL231" t="n">
        <v>0.0</v>
      </c>
      <c r="AM231" t="n">
        <v>0.0</v>
      </c>
      <c r="AN231" t="n">
        <v>0.0</v>
      </c>
      <c r="AO231" t="n">
        <v>1472320.0</v>
      </c>
      <c r="AP231" t="n">
        <v>147232.0</v>
      </c>
      <c r="AQ231" t="n">
        <v>126108.8</v>
      </c>
      <c r="CH231">
        <f>IFERROR(U231*1,0)</f>
      </c>
    </row>
    <row r="232">
      <c r="A232" t="n">
        <v>4.0</v>
      </c>
      <c r="B232">
        <f>IF((K232-G232-H232&gt;2400000),10,(L232/(K232-G232-H232)*100))</f>
      </c>
      <c r="C232">
        <f>IF(N232&gt;2400000,240000,(N232*S232)/100)</f>
      </c>
      <c r="D232">
        <f>IF(S232=0,0,IF((N232-I232)&gt;2400000,((((((N232-I232-J232)-240000))*0.1+(I232+J232)*0.1)))-7000,((((((N232-I232-J232)-(N232-I232-J232)*S232/100)))*0.1+(I232+J232)*0.1)-7000)))</f>
      </c>
      <c r="E232">
        <f>C232-O232</f>
      </c>
      <c r="F232">
        <f>D232-P232</f>
      </c>
      <c r="G232">
        <f>SUMIF(negtgel!U$2:BL$2,'Tsalin uzuulelt'!B$1,negtgel!U232:BL232) + SUMIF(negtgel!U$2:BL$2,'Tsalin uzuulelt'!B$2,negtgel!U232:BL232)+SUMIF(negtgel!U$2:BL$2,'Tsalin uzuulelt'!B$3,negtgel!U232:BL232)+SUMIF(negtgel!U$2:BL$2,'Tsalin uzuulelt'!B$4,negtgel!U232:BL232)+SUMIF(negtgel!U$2:BL$2,'Tsalin uzuulelt'!B$5,negtgel!U232:BL232)</f>
      </c>
      <c r="H232">
        <f>SUMIF(negtgel!U$2:BL$2,'Tsalin uzuulelt'!F$1,negtgel!U232:BL232) + SUMIF(negtgel!U$2:BL$2,'Tsalin uzuulelt'!F$2,negtgel!U232:BL232)+SUMIF(negtgel!U$2:BL$2,'Tsalin uzuulelt'!F$3,negtgel!U232:BL232)+SUMIF(negtgel!U$2:BL$2,'Tsalin uzuulelt'!F$4,negtgel!U232:BL232)+SUMIF(negtgel!U$2:BL$2,'Tsalin uzuulelt'!F$5,negtgel!U232:BL232)</f>
      </c>
      <c r="I232">
        <f>SUMIF(negtgel!U$2:BL$2,'Tsalin uzuulelt'!H$1,negtgel!U232:BL232) + SUMIF(negtgel!U$2:BL$2,'Tsalin uzuulelt'!H$2,negtgel!U232:BL232)+SUMIF(negtgel!U$2:BL$2,'Tsalin uzuulelt'!H$3,negtgel!U232:BL232)+SUMIF(negtgel!U$2:BL$2,'Tsalin uzuulelt'!H$4,negtgel!U232:BL232)+SUMIF(negtgel!U$2:BL$2,'Tsalin uzuulelt'!H$5,negtgel!U232:BL232)</f>
      </c>
      <c r="J232">
        <f>SUMIF(negtgel!U$2:BL$2,'Tsalin uzuulelt'!J$1,negtgel!U232:BL232) + SUMIF(negtgel!U$2:BL$2,'Tsalin uzuulelt'!J$2,negtgel!U232:BL232)+SUMIF(negtgel!U$2:BL$2,'Tsalin uzuulelt'!J$3,negtgel!U232:BL232)+SUMIF(negtgel!U$2:BL$2,'Tsalin uzuulelt'!J$4,negtgel!U232:BL232)+SUMIF(negtgel!U$2:BL$2,'Tsalin uzuulelt'!J$5,negtgel!U232:BL232)</f>
      </c>
      <c r="K232">
        <f>SUMIF(negtgel!U$2:BL$2,'Tsalin uzuulelt'!L$1,negtgel!U232:BL232) + SUMIF(negtgel!U$2:BL$2,'Tsalin uzuulelt'!L$2,negtgel!U232:BL232)+SUMIF(negtgel!U$2:BL$2,'Tsalin uzuulelt'!L$3,negtgel!U232:BL232)+SUMIF(negtgel!U$2:BL$2,'Tsalin uzuulelt'!L$4,negtgel!U232:BL232)+SUMIF(negtgel!U$2:BL$2,'Tsalin uzuulelt'!L$5,negtgel!U232:BL232)</f>
      </c>
      <c r="L232">
        <f>SUMIF(negtgel!U$2:BL$2,'Tsalin uzuulelt'!N$1,negtgel!U232:BL232) + SUMIF(negtgel!U$2:BL$2,'Tsalin uzuulelt'!N$2,negtgel!U232:BL232)+SUMIF(negtgel!U$2:BL$2,'Tsalin uzuulelt'!N$3,negtgel!U232:BL232)+SUMIF(negtgel!U$2:BL$2,'Tsalin uzuulelt'!N$4,negtgel!U232:BL232)+SUMIF(negtgel!U$2:BL$2,'Tsalin uzuulelt'!N$5,negtgel!U232:BL232)</f>
      </c>
      <c r="M232">
        <f>SUMIF(negtgel!U$2:BL$2,'Tsalin uzuulelt'!P$1,negtgel!U232:BL232) + SUMIF(negtgel!U$2:BL$2,'Tsalin uzuulelt'!P$2,negtgel!U232:BL232)+ SUMIF(negtgel!U$2:BL$2,'Tsalin uzuulelt'!P$3,negtgel!U232:BL232)+ SUMIF(negtgel!U$2:BL$2,'Tsalin uzuulelt'!P$4,negtgel!U232:BL232)+ SUMIF(negtgel!U$2:BL$2,'Tsalin uzuulelt'!P$5,negtgel!U232:BL232)</f>
      </c>
      <c r="N232">
        <f>IF(ISNUMBER(U232*1)=CF232,0,K232-H232-G232)</f>
      </c>
      <c r="O232">
        <f>IF(ISNUMBER(U232*1)=CF232,0,L232)</f>
      </c>
      <c r="P232">
        <f>IF(ISNUMBER(U232*1)=CF232,0,M232)</f>
      </c>
      <c r="Q232">
        <f>IF(N232&gt;2400000,N232,0)</f>
      </c>
      <c r="R232">
        <f>IF(L232/Q232*100&lt;3,2,10)</f>
      </c>
      <c r="S232">
        <f>IF(CH232=0,0,IF(B232&gt;9,10,IF(B232&gt;8,B232,IF(B232&gt;7.7,7.8,IF(B232&gt;3,B232,IF(B232&gt;1.5,2))))))</f>
      </c>
      <c r="T232">
        <f>IF(Q232=0,S232,R232)</f>
      </c>
      <c r="U232" t="s">
        <v>3787</v>
      </c>
      <c r="V232"/>
      <c r="W232"/>
      <c r="X232" t="n">
        <v>5440100.0</v>
      </c>
      <c r="Y232" t="n">
        <v>4943188.0</v>
      </c>
      <c r="Z232" t="n">
        <v>425850.0</v>
      </c>
      <c r="AA232" t="n">
        <v>615659.0</v>
      </c>
      <c r="AB232" t="n">
        <v>0.0</v>
      </c>
      <c r="AC232" t="n">
        <v>211694.0</v>
      </c>
      <c r="AD232" t="n">
        <v>0.0</v>
      </c>
      <c r="AE232" t="n">
        <v>1851730.0</v>
      </c>
      <c r="AF232" t="n">
        <v>480000.0</v>
      </c>
      <c r="AG232" t="n">
        <v>0.0</v>
      </c>
      <c r="AH232" t="n">
        <v>0.0</v>
      </c>
      <c r="AI232" t="n">
        <v>0.0</v>
      </c>
      <c r="AJ232" t="n">
        <v>195397.0</v>
      </c>
      <c r="AK232" t="n">
        <v>0.0</v>
      </c>
      <c r="AL232" t="n">
        <v>0.0</v>
      </c>
      <c r="AM232" t="n">
        <v>0.0</v>
      </c>
      <c r="AN232" t="n">
        <v>0.0</v>
      </c>
      <c r="AO232" t="n">
        <v>8723518.0</v>
      </c>
      <c r="AP232" t="n">
        <v>872351.0</v>
      </c>
      <c r="AQ232" t="n">
        <v>726916.7</v>
      </c>
      <c r="CH232">
        <f>IFERROR(U232*1,0)</f>
      </c>
    </row>
    <row r="233">
      <c r="A233" t="n">
        <v>4.0</v>
      </c>
      <c r="B233">
        <f>IF((K233-G233-H233&gt;2400000),10,(L233/(K233-G233-H233)*100))</f>
      </c>
      <c r="C233">
        <f>IF(N233&gt;2400000,240000,(N233*S233)/100)</f>
      </c>
      <c r="D233">
        <f>IF(S233=0,0,IF((N233-I233)&gt;2400000,((((((N233-I233-J233)-240000))*0.1+(I233+J233)*0.1)))-7000,((((((N233-I233-J233)-(N233-I233-J233)*S233/100)))*0.1+(I233+J233)*0.1)-7000)))</f>
      </c>
      <c r="E233">
        <f>C233-O233</f>
      </c>
      <c r="F233">
        <f>D233-P233</f>
      </c>
      <c r="G233">
        <f>SUMIF(negtgel!U$2:BL$2,'Tsalin uzuulelt'!B$1,negtgel!U233:BL233) + SUMIF(negtgel!U$2:BL$2,'Tsalin uzuulelt'!B$2,negtgel!U233:BL233)+SUMIF(negtgel!U$2:BL$2,'Tsalin uzuulelt'!B$3,negtgel!U233:BL233)+SUMIF(negtgel!U$2:BL$2,'Tsalin uzuulelt'!B$4,negtgel!U233:BL233)+SUMIF(negtgel!U$2:BL$2,'Tsalin uzuulelt'!B$5,negtgel!U233:BL233)</f>
      </c>
      <c r="H233">
        <f>SUMIF(negtgel!U$2:BL$2,'Tsalin uzuulelt'!F$1,negtgel!U233:BL233) + SUMIF(negtgel!U$2:BL$2,'Tsalin uzuulelt'!F$2,negtgel!U233:BL233)+SUMIF(negtgel!U$2:BL$2,'Tsalin uzuulelt'!F$3,negtgel!U233:BL233)+SUMIF(negtgel!U$2:BL$2,'Tsalin uzuulelt'!F$4,negtgel!U233:BL233)+SUMIF(negtgel!U$2:BL$2,'Tsalin uzuulelt'!F$5,negtgel!U233:BL233)</f>
      </c>
      <c r="I233">
        <f>SUMIF(negtgel!U$2:BL$2,'Tsalin uzuulelt'!H$1,negtgel!U233:BL233) + SUMIF(negtgel!U$2:BL$2,'Tsalin uzuulelt'!H$2,negtgel!U233:BL233)+SUMIF(negtgel!U$2:BL$2,'Tsalin uzuulelt'!H$3,negtgel!U233:BL233)+SUMIF(negtgel!U$2:BL$2,'Tsalin uzuulelt'!H$4,negtgel!U233:BL233)+SUMIF(negtgel!U$2:BL$2,'Tsalin uzuulelt'!H$5,negtgel!U233:BL233)</f>
      </c>
      <c r="J233">
        <f>SUMIF(negtgel!U$2:BL$2,'Tsalin uzuulelt'!J$1,negtgel!U233:BL233) + SUMIF(negtgel!U$2:BL$2,'Tsalin uzuulelt'!J$2,negtgel!U233:BL233)+SUMIF(negtgel!U$2:BL$2,'Tsalin uzuulelt'!J$3,negtgel!U233:BL233)+SUMIF(negtgel!U$2:BL$2,'Tsalin uzuulelt'!J$4,negtgel!U233:BL233)+SUMIF(negtgel!U$2:BL$2,'Tsalin uzuulelt'!J$5,negtgel!U233:BL233)</f>
      </c>
      <c r="K233">
        <f>SUMIF(negtgel!U$2:BL$2,'Tsalin uzuulelt'!L$1,negtgel!U233:BL233) + SUMIF(negtgel!U$2:BL$2,'Tsalin uzuulelt'!L$2,negtgel!U233:BL233)+SUMIF(negtgel!U$2:BL$2,'Tsalin uzuulelt'!L$3,negtgel!U233:BL233)+SUMIF(negtgel!U$2:BL$2,'Tsalin uzuulelt'!L$4,negtgel!U233:BL233)+SUMIF(negtgel!U$2:BL$2,'Tsalin uzuulelt'!L$5,negtgel!U233:BL233)</f>
      </c>
      <c r="L233">
        <f>SUMIF(negtgel!U$2:BL$2,'Tsalin uzuulelt'!N$1,negtgel!U233:BL233) + SUMIF(negtgel!U$2:BL$2,'Tsalin uzuulelt'!N$2,negtgel!U233:BL233)+SUMIF(negtgel!U$2:BL$2,'Tsalin uzuulelt'!N$3,negtgel!U233:BL233)+SUMIF(negtgel!U$2:BL$2,'Tsalin uzuulelt'!N$4,negtgel!U233:BL233)+SUMIF(negtgel!U$2:BL$2,'Tsalin uzuulelt'!N$5,negtgel!U233:BL233)</f>
      </c>
      <c r="M233">
        <f>SUMIF(negtgel!U$2:BL$2,'Tsalin uzuulelt'!P$1,negtgel!U233:BL233) + SUMIF(negtgel!U$2:BL$2,'Tsalin uzuulelt'!P$2,negtgel!U233:BL233)+ SUMIF(negtgel!U$2:BL$2,'Tsalin uzuulelt'!P$3,negtgel!U233:BL233)+ SUMIF(negtgel!U$2:BL$2,'Tsalin uzuulelt'!P$4,negtgel!U233:BL233)+ SUMIF(negtgel!U$2:BL$2,'Tsalin uzuulelt'!P$5,negtgel!U233:BL233)</f>
      </c>
      <c r="N233">
        <f>IF(ISNUMBER(U233*1)=CF233,0,K233-H233-G233)</f>
      </c>
      <c r="O233">
        <f>IF(ISNUMBER(U233*1)=CF233,0,L233)</f>
      </c>
      <c r="P233">
        <f>IF(ISNUMBER(U233*1)=CF233,0,M233)</f>
      </c>
      <c r="Q233">
        <f>IF(N233&gt;2400000,N233,0)</f>
      </c>
      <c r="R233">
        <f>IF(L233/Q233*100&lt;3,2,10)</f>
      </c>
      <c r="S233">
        <f>IF(CH233=0,0,IF(B233&gt;9,10,IF(B233&gt;8,B233,IF(B233&gt;7.7,7.8,IF(B233&gt;3,B233,IF(B233&gt;1.5,2))))))</f>
      </c>
      <c r="T233">
        <f>IF(Q233=0,S233,R233)</f>
      </c>
      <c r="U233" t="s">
        <v>3804</v>
      </c>
      <c r="V233"/>
      <c r="W233"/>
      <c r="X233"/>
      <c r="Y233"/>
      <c r="Z233"/>
      <c r="AA233"/>
      <c r="AB233"/>
      <c r="AC233"/>
      <c r="AD233"/>
      <c r="AE233"/>
      <c r="AF233"/>
      <c r="AG233"/>
      <c r="AH233"/>
      <c r="AI233"/>
      <c r="AJ233"/>
      <c r="AK233"/>
      <c r="AL233"/>
      <c r="AM233"/>
      <c r="AN233"/>
      <c r="AO233"/>
      <c r="AP233"/>
      <c r="AQ233"/>
      <c r="CH233">
        <f>IFERROR(U233*1,0)</f>
      </c>
    </row>
    <row r="234">
      <c r="A234" t="n">
        <v>4.0</v>
      </c>
      <c r="B234">
        <f>IF((K234-G234-H234&gt;2400000),10,(L234/(K234-G234-H234)*100))</f>
      </c>
      <c r="C234">
        <f>IF(N234&gt;2400000,240000,(N234*S234)/100)</f>
      </c>
      <c r="D234">
        <f>IF(S234=0,0,IF((N234-I234)&gt;2400000,((((((N234-I234-J234)-240000))*0.1+(I234+J234)*0.1)))-7000,((((((N234-I234-J234)-(N234-I234-J234)*S234/100)))*0.1+(I234+J234)*0.1)-7000)))</f>
      </c>
      <c r="E234">
        <f>C234-O234</f>
      </c>
      <c r="F234">
        <f>D234-P234</f>
      </c>
      <c r="G234">
        <f>SUMIF(negtgel!U$2:BL$2,'Tsalin uzuulelt'!B$1,negtgel!U234:BL234) + SUMIF(negtgel!U$2:BL$2,'Tsalin uzuulelt'!B$2,negtgel!U234:BL234)+SUMIF(negtgel!U$2:BL$2,'Tsalin uzuulelt'!B$3,negtgel!U234:BL234)+SUMIF(negtgel!U$2:BL$2,'Tsalin uzuulelt'!B$4,negtgel!U234:BL234)+SUMIF(negtgel!U$2:BL$2,'Tsalin uzuulelt'!B$5,negtgel!U234:BL234)</f>
      </c>
      <c r="H234">
        <f>SUMIF(negtgel!U$2:BL$2,'Tsalin uzuulelt'!F$1,negtgel!U234:BL234) + SUMIF(negtgel!U$2:BL$2,'Tsalin uzuulelt'!F$2,negtgel!U234:BL234)+SUMIF(negtgel!U$2:BL$2,'Tsalin uzuulelt'!F$3,negtgel!U234:BL234)+SUMIF(negtgel!U$2:BL$2,'Tsalin uzuulelt'!F$4,negtgel!U234:BL234)+SUMIF(negtgel!U$2:BL$2,'Tsalin uzuulelt'!F$5,negtgel!U234:BL234)</f>
      </c>
      <c r="I234">
        <f>SUMIF(negtgel!U$2:BL$2,'Tsalin uzuulelt'!H$1,negtgel!U234:BL234) + SUMIF(negtgel!U$2:BL$2,'Tsalin uzuulelt'!H$2,negtgel!U234:BL234)+SUMIF(negtgel!U$2:BL$2,'Tsalin uzuulelt'!H$3,negtgel!U234:BL234)+SUMIF(negtgel!U$2:BL$2,'Tsalin uzuulelt'!H$4,negtgel!U234:BL234)+SUMIF(negtgel!U$2:BL$2,'Tsalin uzuulelt'!H$5,negtgel!U234:BL234)</f>
      </c>
      <c r="J234">
        <f>SUMIF(negtgel!U$2:BL$2,'Tsalin uzuulelt'!J$1,negtgel!U234:BL234) + SUMIF(negtgel!U$2:BL$2,'Tsalin uzuulelt'!J$2,negtgel!U234:BL234)+SUMIF(negtgel!U$2:BL$2,'Tsalin uzuulelt'!J$3,negtgel!U234:BL234)+SUMIF(negtgel!U$2:BL$2,'Tsalin uzuulelt'!J$4,negtgel!U234:BL234)+SUMIF(negtgel!U$2:BL$2,'Tsalin uzuulelt'!J$5,negtgel!U234:BL234)</f>
      </c>
      <c r="K234">
        <f>SUMIF(negtgel!U$2:BL$2,'Tsalin uzuulelt'!L$1,negtgel!U234:BL234) + SUMIF(negtgel!U$2:BL$2,'Tsalin uzuulelt'!L$2,negtgel!U234:BL234)+SUMIF(negtgel!U$2:BL$2,'Tsalin uzuulelt'!L$3,negtgel!U234:BL234)+SUMIF(negtgel!U$2:BL$2,'Tsalin uzuulelt'!L$4,negtgel!U234:BL234)+SUMIF(negtgel!U$2:BL$2,'Tsalin uzuulelt'!L$5,negtgel!U234:BL234)</f>
      </c>
      <c r="L234">
        <f>SUMIF(negtgel!U$2:BL$2,'Tsalin uzuulelt'!N$1,negtgel!U234:BL234) + SUMIF(negtgel!U$2:BL$2,'Tsalin uzuulelt'!N$2,negtgel!U234:BL234)+SUMIF(negtgel!U$2:BL$2,'Tsalin uzuulelt'!N$3,negtgel!U234:BL234)+SUMIF(negtgel!U$2:BL$2,'Tsalin uzuulelt'!N$4,negtgel!U234:BL234)+SUMIF(negtgel!U$2:BL$2,'Tsalin uzuulelt'!N$5,negtgel!U234:BL234)</f>
      </c>
      <c r="M234">
        <f>SUMIF(negtgel!U$2:BL$2,'Tsalin uzuulelt'!P$1,negtgel!U234:BL234) + SUMIF(negtgel!U$2:BL$2,'Tsalin uzuulelt'!P$2,negtgel!U234:BL234)+ SUMIF(negtgel!U$2:BL$2,'Tsalin uzuulelt'!P$3,negtgel!U234:BL234)+ SUMIF(negtgel!U$2:BL$2,'Tsalin uzuulelt'!P$4,negtgel!U234:BL234)+ SUMIF(negtgel!U$2:BL$2,'Tsalin uzuulelt'!P$5,negtgel!U234:BL234)</f>
      </c>
      <c r="N234">
        <f>IF(ISNUMBER(U234*1)=CF234,0,K234-H234-G234)</f>
      </c>
      <c r="O234">
        <f>IF(ISNUMBER(U234*1)=CF234,0,L234)</f>
      </c>
      <c r="P234">
        <f>IF(ISNUMBER(U234*1)=CF234,0,M234)</f>
      </c>
      <c r="Q234">
        <f>IF(N234&gt;2400000,N234,0)</f>
      </c>
      <c r="R234">
        <f>IF(L234/Q234*100&lt;3,2,10)</f>
      </c>
      <c r="S234">
        <f>IF(CH234=0,0,IF(B234&gt;9,10,IF(B234&gt;8,B234,IF(B234&gt;7.7,7.8,IF(B234&gt;3,B234,IF(B234&gt;1.5,2))))))</f>
      </c>
      <c r="T234">
        <f>IF(Q234=0,S234,R234)</f>
      </c>
      <c r="U234" t="n">
        <v>58.0</v>
      </c>
      <c r="V234" t="s">
        <v>3805</v>
      </c>
      <c r="W234" t="s">
        <v>3790</v>
      </c>
      <c r="X234" t="n">
        <v>613669.0</v>
      </c>
      <c r="Y234" t="n">
        <v>337518.0</v>
      </c>
      <c r="Z234" t="n">
        <v>33752.0</v>
      </c>
      <c r="AA234" t="n">
        <v>50628.0</v>
      </c>
      <c r="AB234" t="n">
        <v>0.0</v>
      </c>
      <c r="AC234" t="n">
        <v>0.0</v>
      </c>
      <c r="AD234" t="n">
        <v>0.0</v>
      </c>
      <c r="AE234" t="n">
        <v>224419.0</v>
      </c>
      <c r="AF234" t="n">
        <v>33000.0</v>
      </c>
      <c r="AG234" t="n">
        <v>0.0</v>
      </c>
      <c r="AH234" t="n">
        <v>0.0</v>
      </c>
      <c r="AI234" t="n">
        <v>0.0</v>
      </c>
      <c r="AJ234" t="n">
        <v>0.0</v>
      </c>
      <c r="AK234" t="n">
        <v>0.0</v>
      </c>
      <c r="AL234" t="n">
        <v>0.0</v>
      </c>
      <c r="AM234" t="n">
        <v>0.0</v>
      </c>
      <c r="AN234" t="n">
        <v>0.0</v>
      </c>
      <c r="AO234" t="n">
        <v>679317.0</v>
      </c>
      <c r="AP234" t="n">
        <v>67932.0</v>
      </c>
      <c r="AQ234" t="n">
        <v>54468.5</v>
      </c>
      <c r="CH234">
        <f>IFERROR(U234*1,0)</f>
      </c>
    </row>
    <row r="235">
      <c r="A235" t="n">
        <v>4.0</v>
      </c>
      <c r="B235">
        <f>IF((K235-G235-H235&gt;2400000),10,(L235/(K235-G235-H235)*100))</f>
      </c>
      <c r="C235">
        <f>IF(N235&gt;2400000,240000,(N235*S235)/100)</f>
      </c>
      <c r="D235">
        <f>IF(S235=0,0,IF((N235-I235)&gt;2400000,((((((N235-I235-J235)-240000))*0.1+(I235+J235)*0.1)))-7000,((((((N235-I235-J235)-(N235-I235-J235)*S235/100)))*0.1+(I235+J235)*0.1)-7000)))</f>
      </c>
      <c r="E235">
        <f>C235-O235</f>
      </c>
      <c r="F235">
        <f>D235-P235</f>
      </c>
      <c r="G235">
        <f>SUMIF(negtgel!U$2:BL$2,'Tsalin uzuulelt'!B$1,negtgel!U235:BL235) + SUMIF(negtgel!U$2:BL$2,'Tsalin uzuulelt'!B$2,negtgel!U235:BL235)+SUMIF(negtgel!U$2:BL$2,'Tsalin uzuulelt'!B$3,negtgel!U235:BL235)+SUMIF(negtgel!U$2:BL$2,'Tsalin uzuulelt'!B$4,negtgel!U235:BL235)+SUMIF(negtgel!U$2:BL$2,'Tsalin uzuulelt'!B$5,negtgel!U235:BL235)</f>
      </c>
      <c r="H235">
        <f>SUMIF(negtgel!U$2:BL$2,'Tsalin uzuulelt'!F$1,negtgel!U235:BL235) + SUMIF(negtgel!U$2:BL$2,'Tsalin uzuulelt'!F$2,negtgel!U235:BL235)+SUMIF(negtgel!U$2:BL$2,'Tsalin uzuulelt'!F$3,negtgel!U235:BL235)+SUMIF(negtgel!U$2:BL$2,'Tsalin uzuulelt'!F$4,negtgel!U235:BL235)+SUMIF(negtgel!U$2:BL$2,'Tsalin uzuulelt'!F$5,negtgel!U235:BL235)</f>
      </c>
      <c r="I235">
        <f>SUMIF(negtgel!U$2:BL$2,'Tsalin uzuulelt'!H$1,negtgel!U235:BL235) + SUMIF(negtgel!U$2:BL$2,'Tsalin uzuulelt'!H$2,negtgel!U235:BL235)+SUMIF(negtgel!U$2:BL$2,'Tsalin uzuulelt'!H$3,negtgel!U235:BL235)+SUMIF(negtgel!U$2:BL$2,'Tsalin uzuulelt'!H$4,negtgel!U235:BL235)+SUMIF(negtgel!U$2:BL$2,'Tsalin uzuulelt'!H$5,negtgel!U235:BL235)</f>
      </c>
      <c r="J235">
        <f>SUMIF(negtgel!U$2:BL$2,'Tsalin uzuulelt'!J$1,negtgel!U235:BL235) + SUMIF(negtgel!U$2:BL$2,'Tsalin uzuulelt'!J$2,negtgel!U235:BL235)+SUMIF(negtgel!U$2:BL$2,'Tsalin uzuulelt'!J$3,negtgel!U235:BL235)+SUMIF(negtgel!U$2:BL$2,'Tsalin uzuulelt'!J$4,negtgel!U235:BL235)+SUMIF(negtgel!U$2:BL$2,'Tsalin uzuulelt'!J$5,negtgel!U235:BL235)</f>
      </c>
      <c r="K235">
        <f>SUMIF(negtgel!U$2:BL$2,'Tsalin uzuulelt'!L$1,negtgel!U235:BL235) + SUMIF(negtgel!U$2:BL$2,'Tsalin uzuulelt'!L$2,negtgel!U235:BL235)+SUMIF(negtgel!U$2:BL$2,'Tsalin uzuulelt'!L$3,negtgel!U235:BL235)+SUMIF(negtgel!U$2:BL$2,'Tsalin uzuulelt'!L$4,negtgel!U235:BL235)+SUMIF(negtgel!U$2:BL$2,'Tsalin uzuulelt'!L$5,negtgel!U235:BL235)</f>
      </c>
      <c r="L235">
        <f>SUMIF(negtgel!U$2:BL$2,'Tsalin uzuulelt'!N$1,negtgel!U235:BL235) + SUMIF(negtgel!U$2:BL$2,'Tsalin uzuulelt'!N$2,negtgel!U235:BL235)+SUMIF(negtgel!U$2:BL$2,'Tsalin uzuulelt'!N$3,negtgel!U235:BL235)+SUMIF(negtgel!U$2:BL$2,'Tsalin uzuulelt'!N$4,negtgel!U235:BL235)+SUMIF(negtgel!U$2:BL$2,'Tsalin uzuulelt'!N$5,negtgel!U235:BL235)</f>
      </c>
      <c r="M235">
        <f>SUMIF(negtgel!U$2:BL$2,'Tsalin uzuulelt'!P$1,negtgel!U235:BL235) + SUMIF(negtgel!U$2:BL$2,'Tsalin uzuulelt'!P$2,negtgel!U235:BL235)+ SUMIF(negtgel!U$2:BL$2,'Tsalin uzuulelt'!P$3,negtgel!U235:BL235)+ SUMIF(negtgel!U$2:BL$2,'Tsalin uzuulelt'!P$4,negtgel!U235:BL235)+ SUMIF(negtgel!U$2:BL$2,'Tsalin uzuulelt'!P$5,negtgel!U235:BL235)</f>
      </c>
      <c r="N235">
        <f>IF(ISNUMBER(U235*1)=CF235,0,K235-H235-G235)</f>
      </c>
      <c r="O235">
        <f>IF(ISNUMBER(U235*1)=CF235,0,L235)</f>
      </c>
      <c r="P235">
        <f>IF(ISNUMBER(U235*1)=CF235,0,M235)</f>
      </c>
      <c r="Q235">
        <f>IF(N235&gt;2400000,N235,0)</f>
      </c>
      <c r="R235">
        <f>IF(L235/Q235*100&lt;3,2,10)</f>
      </c>
      <c r="S235">
        <f>IF(CH235=0,0,IF(B235&gt;9,10,IF(B235&gt;8,B235,IF(B235&gt;7.7,7.8,IF(B235&gt;3,B235,IF(B235&gt;1.5,2))))))</f>
      </c>
      <c r="T235">
        <f>IF(Q235=0,S235,R235)</f>
      </c>
      <c r="U235" t="n">
        <v>59.0</v>
      </c>
      <c r="V235" t="s">
        <v>3851</v>
      </c>
      <c r="W235" t="s">
        <v>3790</v>
      </c>
      <c r="X235" t="n">
        <v>547759.0</v>
      </c>
      <c r="Y235" t="n">
        <v>547759.0</v>
      </c>
      <c r="Z235" t="n">
        <v>0.0</v>
      </c>
      <c r="AA235" t="n">
        <v>0.0</v>
      </c>
      <c r="AB235" t="n">
        <v>0.0</v>
      </c>
      <c r="AC235" t="n">
        <v>0.0</v>
      </c>
      <c r="AD235" t="n">
        <v>0.0</v>
      </c>
      <c r="AE235" t="n">
        <v>184540.0</v>
      </c>
      <c r="AF235" t="n">
        <v>60000.0</v>
      </c>
      <c r="AG235" t="n">
        <v>0.0</v>
      </c>
      <c r="AH235" t="n">
        <v>0.0</v>
      </c>
      <c r="AI235" t="n">
        <v>0.0</v>
      </c>
      <c r="AJ235" t="n">
        <v>0.0</v>
      </c>
      <c r="AK235" t="n">
        <v>0.0</v>
      </c>
      <c r="AL235" t="n">
        <v>0.0</v>
      </c>
      <c r="AM235" t="n">
        <v>0.0</v>
      </c>
      <c r="AN235" t="n">
        <v>0.0</v>
      </c>
      <c r="AO235" t="n">
        <v>792299.0</v>
      </c>
      <c r="AP235" t="n">
        <v>79230.0</v>
      </c>
      <c r="AQ235" t="n">
        <v>64906.9</v>
      </c>
      <c r="CH235">
        <f>IFERROR(U235*1,0)</f>
      </c>
    </row>
    <row r="236">
      <c r="A236" t="n">
        <v>4.0</v>
      </c>
      <c r="B236">
        <f>IF((K236-G236-H236&gt;2400000),10,(L236/(K236-G236-H236)*100))</f>
      </c>
      <c r="C236">
        <f>IF(N236&gt;2400000,240000,(N236*S236)/100)</f>
      </c>
      <c r="D236">
        <f>IF(S236=0,0,IF((N236-I236)&gt;2400000,((((((N236-I236-J236)-240000))*0.1+(I236+J236)*0.1)))-7000,((((((N236-I236-J236)-(N236-I236-J236)*S236/100)))*0.1+(I236+J236)*0.1)-7000)))</f>
      </c>
      <c r="E236">
        <f>C236-O236</f>
      </c>
      <c r="F236">
        <f>D236-P236</f>
      </c>
      <c r="G236">
        <f>SUMIF(negtgel!U$2:BL$2,'Tsalin uzuulelt'!B$1,negtgel!U236:BL236) + SUMIF(negtgel!U$2:BL$2,'Tsalin uzuulelt'!B$2,negtgel!U236:BL236)+SUMIF(negtgel!U$2:BL$2,'Tsalin uzuulelt'!B$3,negtgel!U236:BL236)+SUMIF(negtgel!U$2:BL$2,'Tsalin uzuulelt'!B$4,negtgel!U236:BL236)+SUMIF(negtgel!U$2:BL$2,'Tsalin uzuulelt'!B$5,negtgel!U236:BL236)</f>
      </c>
      <c r="H236">
        <f>SUMIF(negtgel!U$2:BL$2,'Tsalin uzuulelt'!F$1,negtgel!U236:BL236) + SUMIF(negtgel!U$2:BL$2,'Tsalin uzuulelt'!F$2,negtgel!U236:BL236)+SUMIF(negtgel!U$2:BL$2,'Tsalin uzuulelt'!F$3,negtgel!U236:BL236)+SUMIF(negtgel!U$2:BL$2,'Tsalin uzuulelt'!F$4,negtgel!U236:BL236)+SUMIF(negtgel!U$2:BL$2,'Tsalin uzuulelt'!F$5,negtgel!U236:BL236)</f>
      </c>
      <c r="I236">
        <f>SUMIF(negtgel!U$2:BL$2,'Tsalin uzuulelt'!H$1,negtgel!U236:BL236) + SUMIF(negtgel!U$2:BL$2,'Tsalin uzuulelt'!H$2,negtgel!U236:BL236)+SUMIF(negtgel!U$2:BL$2,'Tsalin uzuulelt'!H$3,negtgel!U236:BL236)+SUMIF(negtgel!U$2:BL$2,'Tsalin uzuulelt'!H$4,negtgel!U236:BL236)+SUMIF(negtgel!U$2:BL$2,'Tsalin uzuulelt'!H$5,negtgel!U236:BL236)</f>
      </c>
      <c r="J236">
        <f>SUMIF(negtgel!U$2:BL$2,'Tsalin uzuulelt'!J$1,negtgel!U236:BL236) + SUMIF(negtgel!U$2:BL$2,'Tsalin uzuulelt'!J$2,negtgel!U236:BL236)+SUMIF(negtgel!U$2:BL$2,'Tsalin uzuulelt'!J$3,negtgel!U236:BL236)+SUMIF(negtgel!U$2:BL$2,'Tsalin uzuulelt'!J$4,negtgel!U236:BL236)+SUMIF(negtgel!U$2:BL$2,'Tsalin uzuulelt'!J$5,negtgel!U236:BL236)</f>
      </c>
      <c r="K236">
        <f>SUMIF(negtgel!U$2:BL$2,'Tsalin uzuulelt'!L$1,negtgel!U236:BL236) + SUMIF(negtgel!U$2:BL$2,'Tsalin uzuulelt'!L$2,negtgel!U236:BL236)+SUMIF(negtgel!U$2:BL$2,'Tsalin uzuulelt'!L$3,negtgel!U236:BL236)+SUMIF(negtgel!U$2:BL$2,'Tsalin uzuulelt'!L$4,negtgel!U236:BL236)+SUMIF(negtgel!U$2:BL$2,'Tsalin uzuulelt'!L$5,negtgel!U236:BL236)</f>
      </c>
      <c r="L236">
        <f>SUMIF(negtgel!U$2:BL$2,'Tsalin uzuulelt'!N$1,negtgel!U236:BL236) + SUMIF(negtgel!U$2:BL$2,'Tsalin uzuulelt'!N$2,negtgel!U236:BL236)+SUMIF(negtgel!U$2:BL$2,'Tsalin uzuulelt'!N$3,negtgel!U236:BL236)+SUMIF(negtgel!U$2:BL$2,'Tsalin uzuulelt'!N$4,negtgel!U236:BL236)+SUMIF(negtgel!U$2:BL$2,'Tsalin uzuulelt'!N$5,negtgel!U236:BL236)</f>
      </c>
      <c r="M236">
        <f>SUMIF(negtgel!U$2:BL$2,'Tsalin uzuulelt'!P$1,negtgel!U236:BL236) + SUMIF(negtgel!U$2:BL$2,'Tsalin uzuulelt'!P$2,negtgel!U236:BL236)+ SUMIF(negtgel!U$2:BL$2,'Tsalin uzuulelt'!P$3,negtgel!U236:BL236)+ SUMIF(negtgel!U$2:BL$2,'Tsalin uzuulelt'!P$4,negtgel!U236:BL236)+ SUMIF(negtgel!U$2:BL$2,'Tsalin uzuulelt'!P$5,negtgel!U236:BL236)</f>
      </c>
      <c r="N236">
        <f>IF(ISNUMBER(U236*1)=CF236,0,K236-H236-G236)</f>
      </c>
      <c r="O236">
        <f>IF(ISNUMBER(U236*1)=CF236,0,L236)</f>
      </c>
      <c r="P236">
        <f>IF(ISNUMBER(U236*1)=CF236,0,M236)</f>
      </c>
      <c r="Q236">
        <f>IF(N236&gt;2400000,N236,0)</f>
      </c>
      <c r="R236">
        <f>IF(L236/Q236*100&lt;3,2,10)</f>
      </c>
      <c r="S236">
        <f>IF(CH236=0,0,IF(B236&gt;9,10,IF(B236&gt;8,B236,IF(B236&gt;7.7,7.8,IF(B236&gt;3,B236,IF(B236&gt;1.5,2))))))</f>
      </c>
      <c r="T236">
        <f>IF(Q236=0,S236,R236)</f>
      </c>
      <c r="U236" t="n">
        <v>68.0</v>
      </c>
      <c r="V236" t="s">
        <v>3812</v>
      </c>
      <c r="W236" t="s">
        <v>3790</v>
      </c>
      <c r="X236" t="n">
        <v>580710.0</v>
      </c>
      <c r="Y236" t="n">
        <v>580710.0</v>
      </c>
      <c r="Z236" t="n">
        <v>29036.0</v>
      </c>
      <c r="AA236" t="n">
        <v>87106.0</v>
      </c>
      <c r="AB236" t="n">
        <v>0.0</v>
      </c>
      <c r="AC236" t="n">
        <v>0.0</v>
      </c>
      <c r="AD236" t="n">
        <v>0.0</v>
      </c>
      <c r="AE236" t="n">
        <v>176884.0</v>
      </c>
      <c r="AF236" t="n">
        <v>60000.0</v>
      </c>
      <c r="AG236" t="n">
        <v>0.0</v>
      </c>
      <c r="AH236" t="n">
        <v>0.0</v>
      </c>
      <c r="AI236" t="n">
        <v>0.0</v>
      </c>
      <c r="AJ236" t="n">
        <v>0.0</v>
      </c>
      <c r="AK236" t="n">
        <v>0.0</v>
      </c>
      <c r="AL236" t="n">
        <v>0.0</v>
      </c>
      <c r="AM236" t="n">
        <v>0.0</v>
      </c>
      <c r="AN236" t="n">
        <v>0.0</v>
      </c>
      <c r="AO236" t="n">
        <v>933736.0</v>
      </c>
      <c r="AP236" t="n">
        <v>93374.0</v>
      </c>
      <c r="AQ236" t="n">
        <v>77636.2</v>
      </c>
      <c r="CH236">
        <f>IFERROR(U236*1,0)</f>
      </c>
    </row>
    <row r="237">
      <c r="A237" t="n">
        <v>4.0</v>
      </c>
      <c r="B237">
        <f>IF((K237-G237-H237&gt;2400000),10,(L237/(K237-G237-H237)*100))</f>
      </c>
      <c r="C237">
        <f>IF(N237&gt;2400000,240000,(N237*S237)/100)</f>
      </c>
      <c r="D237">
        <f>IF(S237=0,0,IF((N237-I237)&gt;2400000,((((((N237-I237-J237)-240000))*0.1+(I237+J237)*0.1)))-7000,((((((N237-I237-J237)-(N237-I237-J237)*S237/100)))*0.1+(I237+J237)*0.1)-7000)))</f>
      </c>
      <c r="E237">
        <f>C237-O237</f>
      </c>
      <c r="F237">
        <f>D237-P237</f>
      </c>
      <c r="G237">
        <f>SUMIF(negtgel!U$2:BL$2,'Tsalin uzuulelt'!B$1,negtgel!U237:BL237) + SUMIF(negtgel!U$2:BL$2,'Tsalin uzuulelt'!B$2,negtgel!U237:BL237)+SUMIF(negtgel!U$2:BL$2,'Tsalin uzuulelt'!B$3,negtgel!U237:BL237)+SUMIF(negtgel!U$2:BL$2,'Tsalin uzuulelt'!B$4,negtgel!U237:BL237)+SUMIF(negtgel!U$2:BL$2,'Tsalin uzuulelt'!B$5,negtgel!U237:BL237)</f>
      </c>
      <c r="H237">
        <f>SUMIF(negtgel!U$2:BL$2,'Tsalin uzuulelt'!F$1,negtgel!U237:BL237) + SUMIF(negtgel!U$2:BL$2,'Tsalin uzuulelt'!F$2,negtgel!U237:BL237)+SUMIF(negtgel!U$2:BL$2,'Tsalin uzuulelt'!F$3,negtgel!U237:BL237)+SUMIF(negtgel!U$2:BL$2,'Tsalin uzuulelt'!F$4,negtgel!U237:BL237)+SUMIF(negtgel!U$2:BL$2,'Tsalin uzuulelt'!F$5,negtgel!U237:BL237)</f>
      </c>
      <c r="I237">
        <f>SUMIF(negtgel!U$2:BL$2,'Tsalin uzuulelt'!H$1,negtgel!U237:BL237) + SUMIF(negtgel!U$2:BL$2,'Tsalin uzuulelt'!H$2,negtgel!U237:BL237)+SUMIF(negtgel!U$2:BL$2,'Tsalin uzuulelt'!H$3,negtgel!U237:BL237)+SUMIF(negtgel!U$2:BL$2,'Tsalin uzuulelt'!H$4,negtgel!U237:BL237)+SUMIF(negtgel!U$2:BL$2,'Tsalin uzuulelt'!H$5,negtgel!U237:BL237)</f>
      </c>
      <c r="J237">
        <f>SUMIF(negtgel!U$2:BL$2,'Tsalin uzuulelt'!J$1,negtgel!U237:BL237) + SUMIF(negtgel!U$2:BL$2,'Tsalin uzuulelt'!J$2,negtgel!U237:BL237)+SUMIF(negtgel!U$2:BL$2,'Tsalin uzuulelt'!J$3,negtgel!U237:BL237)+SUMIF(negtgel!U$2:BL$2,'Tsalin uzuulelt'!J$4,negtgel!U237:BL237)+SUMIF(negtgel!U$2:BL$2,'Tsalin uzuulelt'!J$5,negtgel!U237:BL237)</f>
      </c>
      <c r="K237">
        <f>SUMIF(negtgel!U$2:BL$2,'Tsalin uzuulelt'!L$1,negtgel!U237:BL237) + SUMIF(negtgel!U$2:BL$2,'Tsalin uzuulelt'!L$2,negtgel!U237:BL237)+SUMIF(negtgel!U$2:BL$2,'Tsalin uzuulelt'!L$3,negtgel!U237:BL237)+SUMIF(negtgel!U$2:BL$2,'Tsalin uzuulelt'!L$4,negtgel!U237:BL237)+SUMIF(negtgel!U$2:BL$2,'Tsalin uzuulelt'!L$5,negtgel!U237:BL237)</f>
      </c>
      <c r="L237">
        <f>SUMIF(negtgel!U$2:BL$2,'Tsalin uzuulelt'!N$1,negtgel!U237:BL237) + SUMIF(negtgel!U$2:BL$2,'Tsalin uzuulelt'!N$2,negtgel!U237:BL237)+SUMIF(negtgel!U$2:BL$2,'Tsalin uzuulelt'!N$3,negtgel!U237:BL237)+SUMIF(negtgel!U$2:BL$2,'Tsalin uzuulelt'!N$4,negtgel!U237:BL237)+SUMIF(negtgel!U$2:BL$2,'Tsalin uzuulelt'!N$5,negtgel!U237:BL237)</f>
      </c>
      <c r="M237">
        <f>SUMIF(negtgel!U$2:BL$2,'Tsalin uzuulelt'!P$1,negtgel!U237:BL237) + SUMIF(negtgel!U$2:BL$2,'Tsalin uzuulelt'!P$2,negtgel!U237:BL237)+ SUMIF(negtgel!U$2:BL$2,'Tsalin uzuulelt'!P$3,negtgel!U237:BL237)+ SUMIF(negtgel!U$2:BL$2,'Tsalin uzuulelt'!P$4,negtgel!U237:BL237)+ SUMIF(negtgel!U$2:BL$2,'Tsalin uzuulelt'!P$5,negtgel!U237:BL237)</f>
      </c>
      <c r="N237">
        <f>IF(ISNUMBER(U237*1)=CF237,0,K237-H237-G237)</f>
      </c>
      <c r="O237">
        <f>IF(ISNUMBER(U237*1)=CF237,0,L237)</f>
      </c>
      <c r="P237">
        <f>IF(ISNUMBER(U237*1)=CF237,0,M237)</f>
      </c>
      <c r="Q237">
        <f>IF(N237&gt;2400000,N237,0)</f>
      </c>
      <c r="R237">
        <f>IF(L237/Q237*100&lt;3,2,10)</f>
      </c>
      <c r="S237">
        <f>IF(CH237=0,0,IF(B237&gt;9,10,IF(B237&gt;8,B237,IF(B237&gt;7.7,7.8,IF(B237&gt;3,B237,IF(B237&gt;1.5,2))))))</f>
      </c>
      <c r="T237">
        <f>IF(Q237=0,S237,R237)</f>
      </c>
      <c r="U237" t="n">
        <v>69.0</v>
      </c>
      <c r="V237" t="s">
        <v>3813</v>
      </c>
      <c r="W237" t="s">
        <v>3790</v>
      </c>
      <c r="X237" t="n">
        <v>580710.0</v>
      </c>
      <c r="Y237" t="n">
        <v>580710.0</v>
      </c>
      <c r="Z237" t="n">
        <v>29036.0</v>
      </c>
      <c r="AA237" t="n">
        <v>87106.0</v>
      </c>
      <c r="AB237" t="n">
        <v>0.0</v>
      </c>
      <c r="AC237" t="n">
        <v>0.0</v>
      </c>
      <c r="AD237" t="n">
        <v>0.0</v>
      </c>
      <c r="AE237" t="n">
        <v>220670.0</v>
      </c>
      <c r="AF237" t="n">
        <v>60000.0</v>
      </c>
      <c r="AG237" t="n">
        <v>0.0</v>
      </c>
      <c r="AH237" t="n">
        <v>0.0</v>
      </c>
      <c r="AI237" t="n">
        <v>0.0</v>
      </c>
      <c r="AJ237" t="n">
        <v>0.0</v>
      </c>
      <c r="AK237" t="n">
        <v>0.0</v>
      </c>
      <c r="AL237" t="n">
        <v>0.0</v>
      </c>
      <c r="AM237" t="n">
        <v>0.0</v>
      </c>
      <c r="AN237" t="n">
        <v>0.0</v>
      </c>
      <c r="AO237" t="n">
        <v>977522.0</v>
      </c>
      <c r="AP237" t="n">
        <v>97752.0</v>
      </c>
      <c r="AQ237" t="n">
        <v>81577.0</v>
      </c>
      <c r="CH237">
        <f>IFERROR(U237*1,0)</f>
      </c>
    </row>
    <row r="238">
      <c r="A238" t="n">
        <v>4.0</v>
      </c>
      <c r="B238">
        <f>IF((K238-G238-H238&gt;2400000),10,(L238/(K238-G238-H238)*100))</f>
      </c>
      <c r="C238">
        <f>IF(N238&gt;2400000,240000,(N238*S238)/100)</f>
      </c>
      <c r="D238">
        <f>IF(S238=0,0,IF((N238-I238)&gt;2400000,((((((N238-I238-J238)-240000))*0.1+(I238+J238)*0.1)))-7000,((((((N238-I238-J238)-(N238-I238-J238)*S238/100)))*0.1+(I238+J238)*0.1)-7000)))</f>
      </c>
      <c r="E238">
        <f>C238-O238</f>
      </c>
      <c r="F238">
        <f>D238-P238</f>
      </c>
      <c r="G238">
        <f>SUMIF(negtgel!U$2:BL$2,'Tsalin uzuulelt'!B$1,negtgel!U238:BL238) + SUMIF(negtgel!U$2:BL$2,'Tsalin uzuulelt'!B$2,negtgel!U238:BL238)+SUMIF(negtgel!U$2:BL$2,'Tsalin uzuulelt'!B$3,negtgel!U238:BL238)+SUMIF(negtgel!U$2:BL$2,'Tsalin uzuulelt'!B$4,negtgel!U238:BL238)+SUMIF(negtgel!U$2:BL$2,'Tsalin uzuulelt'!B$5,negtgel!U238:BL238)</f>
      </c>
      <c r="H238">
        <f>SUMIF(negtgel!U$2:BL$2,'Tsalin uzuulelt'!F$1,negtgel!U238:BL238) + SUMIF(negtgel!U$2:BL$2,'Tsalin uzuulelt'!F$2,negtgel!U238:BL238)+SUMIF(negtgel!U$2:BL$2,'Tsalin uzuulelt'!F$3,negtgel!U238:BL238)+SUMIF(negtgel!U$2:BL$2,'Tsalin uzuulelt'!F$4,negtgel!U238:BL238)+SUMIF(negtgel!U$2:BL$2,'Tsalin uzuulelt'!F$5,negtgel!U238:BL238)</f>
      </c>
      <c r="I238">
        <f>SUMIF(negtgel!U$2:BL$2,'Tsalin uzuulelt'!H$1,negtgel!U238:BL238) + SUMIF(negtgel!U$2:BL$2,'Tsalin uzuulelt'!H$2,negtgel!U238:BL238)+SUMIF(negtgel!U$2:BL$2,'Tsalin uzuulelt'!H$3,negtgel!U238:BL238)+SUMIF(negtgel!U$2:BL$2,'Tsalin uzuulelt'!H$4,negtgel!U238:BL238)+SUMIF(negtgel!U$2:BL$2,'Tsalin uzuulelt'!H$5,negtgel!U238:BL238)</f>
      </c>
      <c r="J238">
        <f>SUMIF(negtgel!U$2:BL$2,'Tsalin uzuulelt'!J$1,negtgel!U238:BL238) + SUMIF(negtgel!U$2:BL$2,'Tsalin uzuulelt'!J$2,negtgel!U238:BL238)+SUMIF(negtgel!U$2:BL$2,'Tsalin uzuulelt'!J$3,negtgel!U238:BL238)+SUMIF(negtgel!U$2:BL$2,'Tsalin uzuulelt'!J$4,negtgel!U238:BL238)+SUMIF(negtgel!U$2:BL$2,'Tsalin uzuulelt'!J$5,negtgel!U238:BL238)</f>
      </c>
      <c r="K238">
        <f>SUMIF(negtgel!U$2:BL$2,'Tsalin uzuulelt'!L$1,negtgel!U238:BL238) + SUMIF(negtgel!U$2:BL$2,'Tsalin uzuulelt'!L$2,negtgel!U238:BL238)+SUMIF(negtgel!U$2:BL$2,'Tsalin uzuulelt'!L$3,negtgel!U238:BL238)+SUMIF(negtgel!U$2:BL$2,'Tsalin uzuulelt'!L$4,negtgel!U238:BL238)+SUMIF(negtgel!U$2:BL$2,'Tsalin uzuulelt'!L$5,negtgel!U238:BL238)</f>
      </c>
      <c r="L238">
        <f>SUMIF(negtgel!U$2:BL$2,'Tsalin uzuulelt'!N$1,negtgel!U238:BL238) + SUMIF(negtgel!U$2:BL$2,'Tsalin uzuulelt'!N$2,negtgel!U238:BL238)+SUMIF(negtgel!U$2:BL$2,'Tsalin uzuulelt'!N$3,negtgel!U238:BL238)+SUMIF(negtgel!U$2:BL$2,'Tsalin uzuulelt'!N$4,negtgel!U238:BL238)+SUMIF(negtgel!U$2:BL$2,'Tsalin uzuulelt'!N$5,negtgel!U238:BL238)</f>
      </c>
      <c r="M238">
        <f>SUMIF(negtgel!U$2:BL$2,'Tsalin uzuulelt'!P$1,negtgel!U238:BL238) + SUMIF(negtgel!U$2:BL$2,'Tsalin uzuulelt'!P$2,negtgel!U238:BL238)+ SUMIF(negtgel!U$2:BL$2,'Tsalin uzuulelt'!P$3,negtgel!U238:BL238)+ SUMIF(negtgel!U$2:BL$2,'Tsalin uzuulelt'!P$4,negtgel!U238:BL238)+ SUMIF(negtgel!U$2:BL$2,'Tsalin uzuulelt'!P$5,negtgel!U238:BL238)</f>
      </c>
      <c r="N238">
        <f>IF(ISNUMBER(U238*1)=CF238,0,K238-H238-G238)</f>
      </c>
      <c r="O238">
        <f>IF(ISNUMBER(U238*1)=CF238,0,L238)</f>
      </c>
      <c r="P238">
        <f>IF(ISNUMBER(U238*1)=CF238,0,M238)</f>
      </c>
      <c r="Q238">
        <f>IF(N238&gt;2400000,N238,0)</f>
      </c>
      <c r="R238">
        <f>IF(L238/Q238*100&lt;3,2,10)</f>
      </c>
      <c r="S238">
        <f>IF(CH238=0,0,IF(B238&gt;9,10,IF(B238&gt;8,B238,IF(B238&gt;7.7,7.8,IF(B238&gt;3,B238,IF(B238&gt;1.5,2))))))</f>
      </c>
      <c r="T238">
        <f>IF(Q238=0,S238,R238)</f>
      </c>
      <c r="U238" t="n">
        <v>70.0</v>
      </c>
      <c r="V238" t="s">
        <v>3814</v>
      </c>
      <c r="W238" t="s">
        <v>3792</v>
      </c>
      <c r="X238" t="n">
        <v>500784.0</v>
      </c>
      <c r="Y238" t="n">
        <v>500784.0</v>
      </c>
      <c r="Z238" t="n">
        <v>0.0</v>
      </c>
      <c r="AA238" t="n">
        <v>0.0</v>
      </c>
      <c r="AB238" t="n">
        <v>0.0</v>
      </c>
      <c r="AC238" t="n">
        <v>0.0</v>
      </c>
      <c r="AD238" t="n">
        <v>0.0</v>
      </c>
      <c r="AE238" t="n">
        <v>159500.0</v>
      </c>
      <c r="AF238" t="n">
        <v>60000.0</v>
      </c>
      <c r="AG238" t="n">
        <v>0.0</v>
      </c>
      <c r="AH238" t="n">
        <v>0.0</v>
      </c>
      <c r="AI238" t="n">
        <v>0.0</v>
      </c>
      <c r="AJ238" t="n">
        <v>0.0</v>
      </c>
      <c r="AK238" t="n">
        <v>0.0</v>
      </c>
      <c r="AL238" t="n">
        <v>0.0</v>
      </c>
      <c r="AM238" t="n">
        <v>0.0</v>
      </c>
      <c r="AN238" t="n">
        <v>0.0</v>
      </c>
      <c r="AO238" t="n">
        <v>720284.0</v>
      </c>
      <c r="AP238" t="n">
        <v>72029.0</v>
      </c>
      <c r="AQ238" t="n">
        <v>58425.6</v>
      </c>
      <c r="CH238">
        <f>IFERROR(U238*1,0)</f>
      </c>
    </row>
    <row r="239">
      <c r="A239" t="n">
        <v>4.0</v>
      </c>
      <c r="B239">
        <f>IF((K239-G239-H239&gt;2400000),10,(L239/(K239-G239-H239)*100))</f>
      </c>
      <c r="C239">
        <f>IF(N239&gt;2400000,240000,(N239*S239)/100)</f>
      </c>
      <c r="D239">
        <f>IF(S239=0,0,IF((N239-I239)&gt;2400000,((((((N239-I239-J239)-240000))*0.1+(I239+J239)*0.1)))-7000,((((((N239-I239-J239)-(N239-I239-J239)*S239/100)))*0.1+(I239+J239)*0.1)-7000)))</f>
      </c>
      <c r="E239">
        <f>C239-O239</f>
      </c>
      <c r="F239">
        <f>D239-P239</f>
      </c>
      <c r="G239">
        <f>SUMIF(negtgel!U$2:BL$2,'Tsalin uzuulelt'!B$1,negtgel!U239:BL239) + SUMIF(negtgel!U$2:BL$2,'Tsalin uzuulelt'!B$2,negtgel!U239:BL239)+SUMIF(negtgel!U$2:BL$2,'Tsalin uzuulelt'!B$3,negtgel!U239:BL239)+SUMIF(negtgel!U$2:BL$2,'Tsalin uzuulelt'!B$4,negtgel!U239:BL239)+SUMIF(negtgel!U$2:BL$2,'Tsalin uzuulelt'!B$5,negtgel!U239:BL239)</f>
      </c>
      <c r="H239">
        <f>SUMIF(negtgel!U$2:BL$2,'Tsalin uzuulelt'!F$1,negtgel!U239:BL239) + SUMIF(negtgel!U$2:BL$2,'Tsalin uzuulelt'!F$2,negtgel!U239:BL239)+SUMIF(negtgel!U$2:BL$2,'Tsalin uzuulelt'!F$3,negtgel!U239:BL239)+SUMIF(negtgel!U$2:BL$2,'Tsalin uzuulelt'!F$4,negtgel!U239:BL239)+SUMIF(negtgel!U$2:BL$2,'Tsalin uzuulelt'!F$5,negtgel!U239:BL239)</f>
      </c>
      <c r="I239">
        <f>SUMIF(negtgel!U$2:BL$2,'Tsalin uzuulelt'!H$1,negtgel!U239:BL239) + SUMIF(negtgel!U$2:BL$2,'Tsalin uzuulelt'!H$2,negtgel!U239:BL239)+SUMIF(negtgel!U$2:BL$2,'Tsalin uzuulelt'!H$3,negtgel!U239:BL239)+SUMIF(negtgel!U$2:BL$2,'Tsalin uzuulelt'!H$4,negtgel!U239:BL239)+SUMIF(negtgel!U$2:BL$2,'Tsalin uzuulelt'!H$5,negtgel!U239:BL239)</f>
      </c>
      <c r="J239">
        <f>SUMIF(negtgel!U$2:BL$2,'Tsalin uzuulelt'!J$1,negtgel!U239:BL239) + SUMIF(negtgel!U$2:BL$2,'Tsalin uzuulelt'!J$2,negtgel!U239:BL239)+SUMIF(negtgel!U$2:BL$2,'Tsalin uzuulelt'!J$3,negtgel!U239:BL239)+SUMIF(negtgel!U$2:BL$2,'Tsalin uzuulelt'!J$4,negtgel!U239:BL239)+SUMIF(negtgel!U$2:BL$2,'Tsalin uzuulelt'!J$5,negtgel!U239:BL239)</f>
      </c>
      <c r="K239">
        <f>SUMIF(negtgel!U$2:BL$2,'Tsalin uzuulelt'!L$1,negtgel!U239:BL239) + SUMIF(negtgel!U$2:BL$2,'Tsalin uzuulelt'!L$2,negtgel!U239:BL239)+SUMIF(negtgel!U$2:BL$2,'Tsalin uzuulelt'!L$3,negtgel!U239:BL239)+SUMIF(negtgel!U$2:BL$2,'Tsalin uzuulelt'!L$4,negtgel!U239:BL239)+SUMIF(negtgel!U$2:BL$2,'Tsalin uzuulelt'!L$5,negtgel!U239:BL239)</f>
      </c>
      <c r="L239">
        <f>SUMIF(negtgel!U$2:BL$2,'Tsalin uzuulelt'!N$1,negtgel!U239:BL239) + SUMIF(negtgel!U$2:BL$2,'Tsalin uzuulelt'!N$2,negtgel!U239:BL239)+SUMIF(negtgel!U$2:BL$2,'Tsalin uzuulelt'!N$3,negtgel!U239:BL239)+SUMIF(negtgel!U$2:BL$2,'Tsalin uzuulelt'!N$4,negtgel!U239:BL239)+SUMIF(negtgel!U$2:BL$2,'Tsalin uzuulelt'!N$5,negtgel!U239:BL239)</f>
      </c>
      <c r="M239">
        <f>SUMIF(negtgel!U$2:BL$2,'Tsalin uzuulelt'!P$1,negtgel!U239:BL239) + SUMIF(negtgel!U$2:BL$2,'Tsalin uzuulelt'!P$2,negtgel!U239:BL239)+ SUMIF(negtgel!U$2:BL$2,'Tsalin uzuulelt'!P$3,negtgel!U239:BL239)+ SUMIF(negtgel!U$2:BL$2,'Tsalin uzuulelt'!P$4,negtgel!U239:BL239)+ SUMIF(negtgel!U$2:BL$2,'Tsalin uzuulelt'!P$5,negtgel!U239:BL239)</f>
      </c>
      <c r="N239">
        <f>IF(ISNUMBER(U239*1)=CF239,0,K239-H239-G239)</f>
      </c>
      <c r="O239">
        <f>IF(ISNUMBER(U239*1)=CF239,0,L239)</f>
      </c>
      <c r="P239">
        <f>IF(ISNUMBER(U239*1)=CF239,0,M239)</f>
      </c>
      <c r="Q239">
        <f>IF(N239&gt;2400000,N239,0)</f>
      </c>
      <c r="R239">
        <f>IF(L239/Q239*100&lt;3,2,10)</f>
      </c>
      <c r="S239">
        <f>IF(CH239=0,0,IF(B239&gt;9,10,IF(B239&gt;8,B239,IF(B239&gt;7.7,7.8,IF(B239&gt;3,B239,IF(B239&gt;1.5,2))))))</f>
      </c>
      <c r="T239">
        <f>IF(Q239=0,S239,R239)</f>
      </c>
      <c r="U239" t="s">
        <v>3787</v>
      </c>
      <c r="V239"/>
      <c r="W239"/>
      <c r="X239" t="n">
        <v>7413317.0</v>
      </c>
      <c r="Y239" t="n">
        <v>5867838.0</v>
      </c>
      <c r="Z239" t="n">
        <v>211054.0</v>
      </c>
      <c r="AA239" t="n">
        <v>495423.0</v>
      </c>
      <c r="AB239" t="n">
        <v>0.0</v>
      </c>
      <c r="AC239" t="n">
        <v>0.0</v>
      </c>
      <c r="AD239" t="n">
        <v>0.0</v>
      </c>
      <c r="AE239" t="n">
        <v>2337644.0</v>
      </c>
      <c r="AF239" t="n">
        <v>630000.0</v>
      </c>
      <c r="AG239" t="n">
        <v>0.0</v>
      </c>
      <c r="AH239" t="n">
        <v>0.0</v>
      </c>
      <c r="AI239" t="n">
        <v>0.0</v>
      </c>
      <c r="AJ239" t="n">
        <v>648371.0</v>
      </c>
      <c r="AK239" t="n">
        <v>0.0</v>
      </c>
      <c r="AL239" t="n">
        <v>271599.0</v>
      </c>
      <c r="AM239" t="n">
        <v>0.0</v>
      </c>
      <c r="AN239" t="n">
        <v>0.0</v>
      </c>
      <c r="AO239" t="n">
        <v>1.0461929E7</v>
      </c>
      <c r="AP239" t="n">
        <v>1019032.0</v>
      </c>
      <c r="AQ239" t="n">
        <v>839429.7</v>
      </c>
      <c r="CH239">
        <f>IFERROR(U239*1,0)</f>
      </c>
    </row>
    <row r="240">
      <c r="A240" t="n">
        <v>4.0</v>
      </c>
      <c r="B240">
        <f>IF((K240-G240-H240&gt;2400000),10,(L240/(K240-G240-H240)*100))</f>
      </c>
      <c r="C240">
        <f>IF(N240&gt;2400000,240000,(N240*S240)/100)</f>
      </c>
      <c r="D240">
        <f>IF(S240=0,0,IF((N240-I240)&gt;2400000,((((((N240-I240-J240)-240000))*0.1+(I240+J240)*0.1)))-7000,((((((N240-I240-J240)-(N240-I240-J240)*S240/100)))*0.1+(I240+J240)*0.1)-7000)))</f>
      </c>
      <c r="E240">
        <f>C240-O240</f>
      </c>
      <c r="F240">
        <f>D240-P240</f>
      </c>
      <c r="G240">
        <f>SUMIF(negtgel!U$2:BL$2,'Tsalin uzuulelt'!B$1,negtgel!U240:BL240) + SUMIF(negtgel!U$2:BL$2,'Tsalin uzuulelt'!B$2,negtgel!U240:BL240)+SUMIF(negtgel!U$2:BL$2,'Tsalin uzuulelt'!B$3,negtgel!U240:BL240)+SUMIF(negtgel!U$2:BL$2,'Tsalin uzuulelt'!B$4,negtgel!U240:BL240)+SUMIF(negtgel!U$2:BL$2,'Tsalin uzuulelt'!B$5,negtgel!U240:BL240)</f>
      </c>
      <c r="H240">
        <f>SUMIF(negtgel!U$2:BL$2,'Tsalin uzuulelt'!F$1,negtgel!U240:BL240) + SUMIF(negtgel!U$2:BL$2,'Tsalin uzuulelt'!F$2,negtgel!U240:BL240)+SUMIF(negtgel!U$2:BL$2,'Tsalin uzuulelt'!F$3,negtgel!U240:BL240)+SUMIF(negtgel!U$2:BL$2,'Tsalin uzuulelt'!F$4,negtgel!U240:BL240)+SUMIF(negtgel!U$2:BL$2,'Tsalin uzuulelt'!F$5,negtgel!U240:BL240)</f>
      </c>
      <c r="I240">
        <f>SUMIF(negtgel!U$2:BL$2,'Tsalin uzuulelt'!H$1,negtgel!U240:BL240) + SUMIF(negtgel!U$2:BL$2,'Tsalin uzuulelt'!H$2,negtgel!U240:BL240)+SUMIF(negtgel!U$2:BL$2,'Tsalin uzuulelt'!H$3,negtgel!U240:BL240)+SUMIF(negtgel!U$2:BL$2,'Tsalin uzuulelt'!H$4,negtgel!U240:BL240)+SUMIF(negtgel!U$2:BL$2,'Tsalin uzuulelt'!H$5,negtgel!U240:BL240)</f>
      </c>
      <c r="J240">
        <f>SUMIF(negtgel!U$2:BL$2,'Tsalin uzuulelt'!J$1,negtgel!U240:BL240) + SUMIF(negtgel!U$2:BL$2,'Tsalin uzuulelt'!J$2,negtgel!U240:BL240)+SUMIF(negtgel!U$2:BL$2,'Tsalin uzuulelt'!J$3,negtgel!U240:BL240)+SUMIF(negtgel!U$2:BL$2,'Tsalin uzuulelt'!J$4,negtgel!U240:BL240)+SUMIF(negtgel!U$2:BL$2,'Tsalin uzuulelt'!J$5,negtgel!U240:BL240)</f>
      </c>
      <c r="K240">
        <f>SUMIF(negtgel!U$2:BL$2,'Tsalin uzuulelt'!L$1,negtgel!U240:BL240) + SUMIF(negtgel!U$2:BL$2,'Tsalin uzuulelt'!L$2,negtgel!U240:BL240)+SUMIF(negtgel!U$2:BL$2,'Tsalin uzuulelt'!L$3,negtgel!U240:BL240)+SUMIF(negtgel!U$2:BL$2,'Tsalin uzuulelt'!L$4,negtgel!U240:BL240)+SUMIF(negtgel!U$2:BL$2,'Tsalin uzuulelt'!L$5,negtgel!U240:BL240)</f>
      </c>
      <c r="L240">
        <f>SUMIF(negtgel!U$2:BL$2,'Tsalin uzuulelt'!N$1,negtgel!U240:BL240) + SUMIF(negtgel!U$2:BL$2,'Tsalin uzuulelt'!N$2,negtgel!U240:BL240)+SUMIF(negtgel!U$2:BL$2,'Tsalin uzuulelt'!N$3,negtgel!U240:BL240)+SUMIF(negtgel!U$2:BL$2,'Tsalin uzuulelt'!N$4,negtgel!U240:BL240)+SUMIF(negtgel!U$2:BL$2,'Tsalin uzuulelt'!N$5,negtgel!U240:BL240)</f>
      </c>
      <c r="M240">
        <f>SUMIF(negtgel!U$2:BL$2,'Tsalin uzuulelt'!P$1,negtgel!U240:BL240) + SUMIF(negtgel!U$2:BL$2,'Tsalin uzuulelt'!P$2,negtgel!U240:BL240)+ SUMIF(negtgel!U$2:BL$2,'Tsalin uzuulelt'!P$3,negtgel!U240:BL240)+ SUMIF(negtgel!U$2:BL$2,'Tsalin uzuulelt'!P$4,negtgel!U240:BL240)+ SUMIF(negtgel!U$2:BL$2,'Tsalin uzuulelt'!P$5,negtgel!U240:BL240)</f>
      </c>
      <c r="N240">
        <f>IF(ISNUMBER(U240*1)=CF240,0,K240-H240-G240)</f>
      </c>
      <c r="O240">
        <f>IF(ISNUMBER(U240*1)=CF240,0,L240)</f>
      </c>
      <c r="P240">
        <f>IF(ISNUMBER(U240*1)=CF240,0,M240)</f>
      </c>
      <c r="Q240">
        <f>IF(N240&gt;2400000,N240,0)</f>
      </c>
      <c r="R240">
        <f>IF(L240/Q240*100&lt;3,2,10)</f>
      </c>
      <c r="S240">
        <f>IF(CH240=0,0,IF(B240&gt;9,10,IF(B240&gt;8,B240,IF(B240&gt;7.7,7.8,IF(B240&gt;3,B240,IF(B240&gt;1.5,2))))))</f>
      </c>
      <c r="T240">
        <f>IF(Q240=0,S240,R240)</f>
      </c>
      <c r="U240" t="s">
        <v>3815</v>
      </c>
      <c r="V240"/>
      <c r="W240"/>
      <c r="X240"/>
      <c r="Y240"/>
      <c r="Z240"/>
      <c r="AA240"/>
      <c r="AB240"/>
      <c r="AC240"/>
      <c r="AD240"/>
      <c r="AE240"/>
      <c r="AF240"/>
      <c r="AG240"/>
      <c r="AH240"/>
      <c r="AI240"/>
      <c r="AJ240"/>
      <c r="AK240"/>
      <c r="AL240"/>
      <c r="AM240"/>
      <c r="AN240"/>
      <c r="AO240"/>
      <c r="AP240"/>
      <c r="AQ240"/>
      <c r="CH240">
        <f>IFERROR(U240*1,0)</f>
      </c>
    </row>
    <row r="241">
      <c r="A241" t="n">
        <v>4.0</v>
      </c>
      <c r="B241">
        <f>IF((K241-G241-H241&gt;2400000),10,(L241/(K241-G241-H241)*100))</f>
      </c>
      <c r="C241">
        <f>IF(N241&gt;2400000,240000,(N241*S241)/100)</f>
      </c>
      <c r="D241">
        <f>IF(S241=0,0,IF((N241-I241)&gt;2400000,((((((N241-I241-J241)-240000))*0.1+(I241+J241)*0.1)))-7000,((((((N241-I241-J241)-(N241-I241-J241)*S241/100)))*0.1+(I241+J241)*0.1)-7000)))</f>
      </c>
      <c r="E241">
        <f>C241-O241</f>
      </c>
      <c r="F241">
        <f>D241-P241</f>
      </c>
      <c r="G241">
        <f>SUMIF(negtgel!U$2:BL$2,'Tsalin uzuulelt'!B$1,negtgel!U241:BL241) + SUMIF(negtgel!U$2:BL$2,'Tsalin uzuulelt'!B$2,negtgel!U241:BL241)+SUMIF(negtgel!U$2:BL$2,'Tsalin uzuulelt'!B$3,negtgel!U241:BL241)+SUMIF(negtgel!U$2:BL$2,'Tsalin uzuulelt'!B$4,negtgel!U241:BL241)+SUMIF(negtgel!U$2:BL$2,'Tsalin uzuulelt'!B$5,negtgel!U241:BL241)</f>
      </c>
      <c r="H241">
        <f>SUMIF(negtgel!U$2:BL$2,'Tsalin uzuulelt'!F$1,negtgel!U241:BL241) + SUMIF(negtgel!U$2:BL$2,'Tsalin uzuulelt'!F$2,negtgel!U241:BL241)+SUMIF(negtgel!U$2:BL$2,'Tsalin uzuulelt'!F$3,negtgel!U241:BL241)+SUMIF(negtgel!U$2:BL$2,'Tsalin uzuulelt'!F$4,negtgel!U241:BL241)+SUMIF(negtgel!U$2:BL$2,'Tsalin uzuulelt'!F$5,negtgel!U241:BL241)</f>
      </c>
      <c r="I241">
        <f>SUMIF(negtgel!U$2:BL$2,'Tsalin uzuulelt'!H$1,negtgel!U241:BL241) + SUMIF(negtgel!U$2:BL$2,'Tsalin uzuulelt'!H$2,negtgel!U241:BL241)+SUMIF(negtgel!U$2:BL$2,'Tsalin uzuulelt'!H$3,negtgel!U241:BL241)+SUMIF(negtgel!U$2:BL$2,'Tsalin uzuulelt'!H$4,negtgel!U241:BL241)+SUMIF(negtgel!U$2:BL$2,'Tsalin uzuulelt'!H$5,negtgel!U241:BL241)</f>
      </c>
      <c r="J241">
        <f>SUMIF(negtgel!U$2:BL$2,'Tsalin uzuulelt'!J$1,negtgel!U241:BL241) + SUMIF(negtgel!U$2:BL$2,'Tsalin uzuulelt'!J$2,negtgel!U241:BL241)+SUMIF(negtgel!U$2:BL$2,'Tsalin uzuulelt'!J$3,negtgel!U241:BL241)+SUMIF(negtgel!U$2:BL$2,'Tsalin uzuulelt'!J$4,negtgel!U241:BL241)+SUMIF(negtgel!U$2:BL$2,'Tsalin uzuulelt'!J$5,negtgel!U241:BL241)</f>
      </c>
      <c r="K241">
        <f>SUMIF(negtgel!U$2:BL$2,'Tsalin uzuulelt'!L$1,negtgel!U241:BL241) + SUMIF(negtgel!U$2:BL$2,'Tsalin uzuulelt'!L$2,negtgel!U241:BL241)+SUMIF(negtgel!U$2:BL$2,'Tsalin uzuulelt'!L$3,negtgel!U241:BL241)+SUMIF(negtgel!U$2:BL$2,'Tsalin uzuulelt'!L$4,negtgel!U241:BL241)+SUMIF(negtgel!U$2:BL$2,'Tsalin uzuulelt'!L$5,negtgel!U241:BL241)</f>
      </c>
      <c r="L241">
        <f>SUMIF(negtgel!U$2:BL$2,'Tsalin uzuulelt'!N$1,negtgel!U241:BL241) + SUMIF(negtgel!U$2:BL$2,'Tsalin uzuulelt'!N$2,negtgel!U241:BL241)+SUMIF(negtgel!U$2:BL$2,'Tsalin uzuulelt'!N$3,negtgel!U241:BL241)+SUMIF(negtgel!U$2:BL$2,'Tsalin uzuulelt'!N$4,negtgel!U241:BL241)+SUMIF(negtgel!U$2:BL$2,'Tsalin uzuulelt'!N$5,negtgel!U241:BL241)</f>
      </c>
      <c r="M241">
        <f>SUMIF(negtgel!U$2:BL$2,'Tsalin uzuulelt'!P$1,negtgel!U241:BL241) + SUMIF(negtgel!U$2:BL$2,'Tsalin uzuulelt'!P$2,negtgel!U241:BL241)+ SUMIF(negtgel!U$2:BL$2,'Tsalin uzuulelt'!P$3,negtgel!U241:BL241)+ SUMIF(negtgel!U$2:BL$2,'Tsalin uzuulelt'!P$4,negtgel!U241:BL241)+ SUMIF(negtgel!U$2:BL$2,'Tsalin uzuulelt'!P$5,negtgel!U241:BL241)</f>
      </c>
      <c r="N241">
        <f>IF(ISNUMBER(U241*1)=CF241,0,K241-H241-G241)</f>
      </c>
      <c r="O241">
        <f>IF(ISNUMBER(U241*1)=CF241,0,L241)</f>
      </c>
      <c r="P241">
        <f>IF(ISNUMBER(U241*1)=CF241,0,M241)</f>
      </c>
      <c r="Q241">
        <f>IF(N241&gt;2400000,N241,0)</f>
      </c>
      <c r="R241">
        <f>IF(L241/Q241*100&lt;3,2,10)</f>
      </c>
      <c r="S241">
        <f>IF(CH241=0,0,IF(B241&gt;9,10,IF(B241&gt;8,B241,IF(B241&gt;7.7,7.8,IF(B241&gt;3,B241,IF(B241&gt;1.5,2))))))</f>
      </c>
      <c r="T241">
        <f>IF(Q241=0,S241,R241)</f>
      </c>
      <c r="U241" t="n">
        <v>71.0</v>
      </c>
      <c r="V241" t="s">
        <v>3816</v>
      </c>
      <c r="W241" t="s">
        <v>3790</v>
      </c>
      <c r="X241" t="n">
        <v>547759.0</v>
      </c>
      <c r="Y241" t="n">
        <v>273880.0</v>
      </c>
      <c r="Z241" t="n">
        <v>0.0</v>
      </c>
      <c r="AA241" t="n">
        <v>0.0</v>
      </c>
      <c r="AB241" t="n">
        <v>0.0</v>
      </c>
      <c r="AC241" t="n">
        <v>0.0</v>
      </c>
      <c r="AD241" t="n">
        <v>0.0</v>
      </c>
      <c r="AE241" t="n">
        <v>219104.0</v>
      </c>
      <c r="AF241" t="n">
        <v>30000.0</v>
      </c>
      <c r="AG241" t="n">
        <v>0.0</v>
      </c>
      <c r="AH241" t="n">
        <v>0.0</v>
      </c>
      <c r="AI241" t="n">
        <v>0.0</v>
      </c>
      <c r="AJ241" t="n">
        <v>408746.0</v>
      </c>
      <c r="AK241" t="n">
        <v>0.0</v>
      </c>
      <c r="AL241" t="n">
        <v>0.0</v>
      </c>
      <c r="AM241" t="n">
        <v>0.0</v>
      </c>
      <c r="AN241" t="n">
        <v>0.0</v>
      </c>
      <c r="AO241" t="n">
        <v>931730.0</v>
      </c>
      <c r="AP241" t="n">
        <v>93173.0</v>
      </c>
      <c r="AQ241" t="n">
        <v>77155.7</v>
      </c>
      <c r="CH241">
        <f>IFERROR(U241*1,0)</f>
      </c>
    </row>
    <row r="242">
      <c r="A242" t="n">
        <v>4.0</v>
      </c>
      <c r="B242">
        <f>IF((K242-G242-H242&gt;2400000),10,(L242/(K242-G242-H242)*100))</f>
      </c>
      <c r="C242">
        <f>IF(N242&gt;2400000,240000,(N242*S242)/100)</f>
      </c>
      <c r="D242">
        <f>IF(S242=0,0,IF((N242-I242)&gt;2400000,((((((N242-I242-J242)-240000))*0.1+(I242+J242)*0.1)))-7000,((((((N242-I242-J242)-(N242-I242-J242)*S242/100)))*0.1+(I242+J242)*0.1)-7000)))</f>
      </c>
      <c r="E242">
        <f>C242-O242</f>
      </c>
      <c r="F242">
        <f>D242-P242</f>
      </c>
      <c r="G242">
        <f>SUMIF(negtgel!U$2:BL$2,'Tsalin uzuulelt'!B$1,negtgel!U242:BL242) + SUMIF(negtgel!U$2:BL$2,'Tsalin uzuulelt'!B$2,negtgel!U242:BL242)+SUMIF(negtgel!U$2:BL$2,'Tsalin uzuulelt'!B$3,negtgel!U242:BL242)+SUMIF(negtgel!U$2:BL$2,'Tsalin uzuulelt'!B$4,negtgel!U242:BL242)+SUMIF(negtgel!U$2:BL$2,'Tsalin uzuulelt'!B$5,negtgel!U242:BL242)</f>
      </c>
      <c r="H242">
        <f>SUMIF(negtgel!U$2:BL$2,'Tsalin uzuulelt'!F$1,negtgel!U242:BL242) + SUMIF(negtgel!U$2:BL$2,'Tsalin uzuulelt'!F$2,negtgel!U242:BL242)+SUMIF(negtgel!U$2:BL$2,'Tsalin uzuulelt'!F$3,negtgel!U242:BL242)+SUMIF(negtgel!U$2:BL$2,'Tsalin uzuulelt'!F$4,negtgel!U242:BL242)+SUMIF(negtgel!U$2:BL$2,'Tsalin uzuulelt'!F$5,negtgel!U242:BL242)</f>
      </c>
      <c r="I242">
        <f>SUMIF(negtgel!U$2:BL$2,'Tsalin uzuulelt'!H$1,negtgel!U242:BL242) + SUMIF(negtgel!U$2:BL$2,'Tsalin uzuulelt'!H$2,negtgel!U242:BL242)+SUMIF(negtgel!U$2:BL$2,'Tsalin uzuulelt'!H$3,negtgel!U242:BL242)+SUMIF(negtgel!U$2:BL$2,'Tsalin uzuulelt'!H$4,negtgel!U242:BL242)+SUMIF(negtgel!U$2:BL$2,'Tsalin uzuulelt'!H$5,negtgel!U242:BL242)</f>
      </c>
      <c r="J242">
        <f>SUMIF(negtgel!U$2:BL$2,'Tsalin uzuulelt'!J$1,negtgel!U242:BL242) + SUMIF(negtgel!U$2:BL$2,'Tsalin uzuulelt'!J$2,negtgel!U242:BL242)+SUMIF(negtgel!U$2:BL$2,'Tsalin uzuulelt'!J$3,negtgel!U242:BL242)+SUMIF(negtgel!U$2:BL$2,'Tsalin uzuulelt'!J$4,negtgel!U242:BL242)+SUMIF(negtgel!U$2:BL$2,'Tsalin uzuulelt'!J$5,negtgel!U242:BL242)</f>
      </c>
      <c r="K242">
        <f>SUMIF(negtgel!U$2:BL$2,'Tsalin uzuulelt'!L$1,negtgel!U242:BL242) + SUMIF(negtgel!U$2:BL$2,'Tsalin uzuulelt'!L$2,negtgel!U242:BL242)+SUMIF(negtgel!U$2:BL$2,'Tsalin uzuulelt'!L$3,negtgel!U242:BL242)+SUMIF(negtgel!U$2:BL$2,'Tsalin uzuulelt'!L$4,negtgel!U242:BL242)+SUMIF(negtgel!U$2:BL$2,'Tsalin uzuulelt'!L$5,negtgel!U242:BL242)</f>
      </c>
      <c r="L242">
        <f>SUMIF(negtgel!U$2:BL$2,'Tsalin uzuulelt'!N$1,negtgel!U242:BL242) + SUMIF(negtgel!U$2:BL$2,'Tsalin uzuulelt'!N$2,negtgel!U242:BL242)+SUMIF(negtgel!U$2:BL$2,'Tsalin uzuulelt'!N$3,negtgel!U242:BL242)+SUMIF(negtgel!U$2:BL$2,'Tsalin uzuulelt'!N$4,negtgel!U242:BL242)+SUMIF(negtgel!U$2:BL$2,'Tsalin uzuulelt'!N$5,negtgel!U242:BL242)</f>
      </c>
      <c r="M242">
        <f>SUMIF(negtgel!U$2:BL$2,'Tsalin uzuulelt'!P$1,negtgel!U242:BL242) + SUMIF(negtgel!U$2:BL$2,'Tsalin uzuulelt'!P$2,negtgel!U242:BL242)+ SUMIF(negtgel!U$2:BL$2,'Tsalin uzuulelt'!P$3,negtgel!U242:BL242)+ SUMIF(negtgel!U$2:BL$2,'Tsalin uzuulelt'!P$4,negtgel!U242:BL242)+ SUMIF(negtgel!U$2:BL$2,'Tsalin uzuulelt'!P$5,negtgel!U242:BL242)</f>
      </c>
      <c r="N242">
        <f>IF(ISNUMBER(U242*1)=CF242,0,K242-H242-G242)</f>
      </c>
      <c r="O242">
        <f>IF(ISNUMBER(U242*1)=CF242,0,L242)</f>
      </c>
      <c r="P242">
        <f>IF(ISNUMBER(U242*1)=CF242,0,M242)</f>
      </c>
      <c r="Q242">
        <f>IF(N242&gt;2400000,N242,0)</f>
      </c>
      <c r="R242">
        <f>IF(L242/Q242*100&lt;3,2,10)</f>
      </c>
      <c r="S242">
        <f>IF(CH242=0,0,IF(B242&gt;9,10,IF(B242&gt;8,B242,IF(B242&gt;7.7,7.8,IF(B242&gt;3,B242,IF(B242&gt;1.5,2))))))</f>
      </c>
      <c r="T242">
        <f>IF(Q242=0,S242,R242)</f>
      </c>
      <c r="U242" t="n">
        <v>72.0</v>
      </c>
      <c r="V242" t="s">
        <v>3817</v>
      </c>
      <c r="W242" t="s">
        <v>3790</v>
      </c>
      <c r="X242" t="n">
        <v>677436.0</v>
      </c>
      <c r="Y242" t="n">
        <v>677436.0</v>
      </c>
      <c r="Z242" t="n">
        <v>135487.0</v>
      </c>
      <c r="AA242" t="n">
        <v>135487.0</v>
      </c>
      <c r="AB242" t="n">
        <v>0.0</v>
      </c>
      <c r="AC242" t="n">
        <v>0.0</v>
      </c>
      <c r="AD242" t="n">
        <v>0.0</v>
      </c>
      <c r="AE242" t="n">
        <v>270974.0</v>
      </c>
      <c r="AF242" t="n">
        <v>60000.0</v>
      </c>
      <c r="AG242" t="n">
        <v>0.0</v>
      </c>
      <c r="AH242" t="n">
        <v>0.0</v>
      </c>
      <c r="AI242" t="n">
        <v>0.0</v>
      </c>
      <c r="AJ242" t="n">
        <v>0.0</v>
      </c>
      <c r="AK242" t="n">
        <v>0.0</v>
      </c>
      <c r="AL242" t="n">
        <v>0.0</v>
      </c>
      <c r="AM242" t="n">
        <v>0.0</v>
      </c>
      <c r="AN242" t="n">
        <v>0.0</v>
      </c>
      <c r="AO242" t="n">
        <v>1279384.0</v>
      </c>
      <c r="AP242" t="n">
        <v>127939.0</v>
      </c>
      <c r="AQ242" t="n">
        <v>108744.6</v>
      </c>
      <c r="CH242">
        <f>IFERROR(U242*1,0)</f>
      </c>
    </row>
    <row r="243">
      <c r="A243" t="n">
        <v>4.0</v>
      </c>
      <c r="B243">
        <f>IF((K243-G243-H243&gt;2400000),10,(L243/(K243-G243-H243)*100))</f>
      </c>
      <c r="C243">
        <f>IF(N243&gt;2400000,240000,(N243*S243)/100)</f>
      </c>
      <c r="D243">
        <f>IF(S243=0,0,IF((N243-I243)&gt;2400000,((((((N243-I243-J243)-240000))*0.1+(I243+J243)*0.1)))-7000,((((((N243-I243-J243)-(N243-I243-J243)*S243/100)))*0.1+(I243+J243)*0.1)-7000)))</f>
      </c>
      <c r="E243">
        <f>C243-O243</f>
      </c>
      <c r="F243">
        <f>D243-P243</f>
      </c>
      <c r="G243">
        <f>SUMIF(negtgel!U$2:BL$2,'Tsalin uzuulelt'!B$1,negtgel!U243:BL243) + SUMIF(negtgel!U$2:BL$2,'Tsalin uzuulelt'!B$2,negtgel!U243:BL243)+SUMIF(negtgel!U$2:BL$2,'Tsalin uzuulelt'!B$3,negtgel!U243:BL243)+SUMIF(negtgel!U$2:BL$2,'Tsalin uzuulelt'!B$4,negtgel!U243:BL243)+SUMIF(negtgel!U$2:BL$2,'Tsalin uzuulelt'!B$5,negtgel!U243:BL243)</f>
      </c>
      <c r="H243">
        <f>SUMIF(negtgel!U$2:BL$2,'Tsalin uzuulelt'!F$1,negtgel!U243:BL243) + SUMIF(negtgel!U$2:BL$2,'Tsalin uzuulelt'!F$2,negtgel!U243:BL243)+SUMIF(negtgel!U$2:BL$2,'Tsalin uzuulelt'!F$3,negtgel!U243:BL243)+SUMIF(negtgel!U$2:BL$2,'Tsalin uzuulelt'!F$4,negtgel!U243:BL243)+SUMIF(negtgel!U$2:BL$2,'Tsalin uzuulelt'!F$5,negtgel!U243:BL243)</f>
      </c>
      <c r="I243">
        <f>SUMIF(negtgel!U$2:BL$2,'Tsalin uzuulelt'!H$1,negtgel!U243:BL243) + SUMIF(negtgel!U$2:BL$2,'Tsalin uzuulelt'!H$2,negtgel!U243:BL243)+SUMIF(negtgel!U$2:BL$2,'Tsalin uzuulelt'!H$3,negtgel!U243:BL243)+SUMIF(negtgel!U$2:BL$2,'Tsalin uzuulelt'!H$4,negtgel!U243:BL243)+SUMIF(negtgel!U$2:BL$2,'Tsalin uzuulelt'!H$5,negtgel!U243:BL243)</f>
      </c>
      <c r="J243">
        <f>SUMIF(negtgel!U$2:BL$2,'Tsalin uzuulelt'!J$1,negtgel!U243:BL243) + SUMIF(negtgel!U$2:BL$2,'Tsalin uzuulelt'!J$2,negtgel!U243:BL243)+SUMIF(negtgel!U$2:BL$2,'Tsalin uzuulelt'!J$3,negtgel!U243:BL243)+SUMIF(negtgel!U$2:BL$2,'Tsalin uzuulelt'!J$4,negtgel!U243:BL243)+SUMIF(negtgel!U$2:BL$2,'Tsalin uzuulelt'!J$5,negtgel!U243:BL243)</f>
      </c>
      <c r="K243">
        <f>SUMIF(negtgel!U$2:BL$2,'Tsalin uzuulelt'!L$1,negtgel!U243:BL243) + SUMIF(negtgel!U$2:BL$2,'Tsalin uzuulelt'!L$2,negtgel!U243:BL243)+SUMIF(negtgel!U$2:BL$2,'Tsalin uzuulelt'!L$3,negtgel!U243:BL243)+SUMIF(negtgel!U$2:BL$2,'Tsalin uzuulelt'!L$4,negtgel!U243:BL243)+SUMIF(negtgel!U$2:BL$2,'Tsalin uzuulelt'!L$5,negtgel!U243:BL243)</f>
      </c>
      <c r="L243">
        <f>SUMIF(negtgel!U$2:BL$2,'Tsalin uzuulelt'!N$1,negtgel!U243:BL243) + SUMIF(negtgel!U$2:BL$2,'Tsalin uzuulelt'!N$2,negtgel!U243:BL243)+SUMIF(negtgel!U$2:BL$2,'Tsalin uzuulelt'!N$3,negtgel!U243:BL243)+SUMIF(negtgel!U$2:BL$2,'Tsalin uzuulelt'!N$4,negtgel!U243:BL243)+SUMIF(negtgel!U$2:BL$2,'Tsalin uzuulelt'!N$5,negtgel!U243:BL243)</f>
      </c>
      <c r="M243">
        <f>SUMIF(negtgel!U$2:BL$2,'Tsalin uzuulelt'!P$1,negtgel!U243:BL243) + SUMIF(negtgel!U$2:BL$2,'Tsalin uzuulelt'!P$2,negtgel!U243:BL243)+ SUMIF(negtgel!U$2:BL$2,'Tsalin uzuulelt'!P$3,negtgel!U243:BL243)+ SUMIF(negtgel!U$2:BL$2,'Tsalin uzuulelt'!P$4,negtgel!U243:BL243)+ SUMIF(negtgel!U$2:BL$2,'Tsalin uzuulelt'!P$5,negtgel!U243:BL243)</f>
      </c>
      <c r="N243">
        <f>IF(ISNUMBER(U243*1)=CF243,0,K243-H243-G243)</f>
      </c>
      <c r="O243">
        <f>IF(ISNUMBER(U243*1)=CF243,0,L243)</f>
      </c>
      <c r="P243">
        <f>IF(ISNUMBER(U243*1)=CF243,0,M243)</f>
      </c>
      <c r="Q243">
        <f>IF(N243&gt;2400000,N243,0)</f>
      </c>
      <c r="R243">
        <f>IF(L243/Q243*100&lt;3,2,10)</f>
      </c>
      <c r="S243">
        <f>IF(CH243=0,0,IF(B243&gt;9,10,IF(B243&gt;8,B243,IF(B243&gt;7.7,7.8,IF(B243&gt;3,B243,IF(B243&gt;1.5,2))))))</f>
      </c>
      <c r="T243">
        <f>IF(Q243=0,S243,R243)</f>
      </c>
      <c r="U243" t="n">
        <v>73.0</v>
      </c>
      <c r="V243" t="s">
        <v>3818</v>
      </c>
      <c r="W243" t="s">
        <v>3785</v>
      </c>
      <c r="X243" t="n">
        <v>795935.0</v>
      </c>
      <c r="Y243" t="n">
        <v>795935.0</v>
      </c>
      <c r="Z243" t="n">
        <v>159187.0</v>
      </c>
      <c r="AA243" t="n">
        <v>143268.0</v>
      </c>
      <c r="AB243" t="n">
        <v>0.0</v>
      </c>
      <c r="AC243" t="n">
        <v>0.0</v>
      </c>
      <c r="AD243" t="n">
        <v>0.0</v>
      </c>
      <c r="AE243" t="n">
        <v>318374.0</v>
      </c>
      <c r="AF243" t="n">
        <v>60000.0</v>
      </c>
      <c r="AG243" t="n">
        <v>0.0</v>
      </c>
      <c r="AH243" t="n">
        <v>0.0</v>
      </c>
      <c r="AI243" t="n">
        <v>0.0</v>
      </c>
      <c r="AJ243" t="n">
        <v>0.0</v>
      </c>
      <c r="AK243" t="n">
        <v>0.0</v>
      </c>
      <c r="AL243" t="n">
        <v>0.0</v>
      </c>
      <c r="AM243" t="n">
        <v>0.0</v>
      </c>
      <c r="AN243" t="n">
        <v>0.0</v>
      </c>
      <c r="AO243" t="n">
        <v>1476764.0</v>
      </c>
      <c r="AP243" t="n">
        <v>147676.0</v>
      </c>
      <c r="AQ243" t="n">
        <v>126508.8</v>
      </c>
      <c r="CH243">
        <f>IFERROR(U243*1,0)</f>
      </c>
    </row>
    <row r="244">
      <c r="A244" t="n">
        <v>4.0</v>
      </c>
      <c r="B244">
        <f>IF((K244-G244-H244&gt;2400000),10,(L244/(K244-G244-H244)*100))</f>
      </c>
      <c r="C244">
        <f>IF(N244&gt;2400000,240000,(N244*S244)/100)</f>
      </c>
      <c r="D244">
        <f>IF(S244=0,0,IF((N244-I244)&gt;2400000,((((((N244-I244-J244)-240000))*0.1+(I244+J244)*0.1)))-7000,((((((N244-I244-J244)-(N244-I244-J244)*S244/100)))*0.1+(I244+J244)*0.1)-7000)))</f>
      </c>
      <c r="E244">
        <f>C244-O244</f>
      </c>
      <c r="F244">
        <f>D244-P244</f>
      </c>
      <c r="G244">
        <f>SUMIF(negtgel!U$2:BL$2,'Tsalin uzuulelt'!B$1,negtgel!U244:BL244) + SUMIF(negtgel!U$2:BL$2,'Tsalin uzuulelt'!B$2,negtgel!U244:BL244)+SUMIF(negtgel!U$2:BL$2,'Tsalin uzuulelt'!B$3,negtgel!U244:BL244)+SUMIF(negtgel!U$2:BL$2,'Tsalin uzuulelt'!B$4,negtgel!U244:BL244)+SUMIF(negtgel!U$2:BL$2,'Tsalin uzuulelt'!B$5,negtgel!U244:BL244)</f>
      </c>
      <c r="H244">
        <f>SUMIF(negtgel!U$2:BL$2,'Tsalin uzuulelt'!F$1,negtgel!U244:BL244) + SUMIF(negtgel!U$2:BL$2,'Tsalin uzuulelt'!F$2,negtgel!U244:BL244)+SUMIF(negtgel!U$2:BL$2,'Tsalin uzuulelt'!F$3,negtgel!U244:BL244)+SUMIF(negtgel!U$2:BL$2,'Tsalin uzuulelt'!F$4,negtgel!U244:BL244)+SUMIF(negtgel!U$2:BL$2,'Tsalin uzuulelt'!F$5,negtgel!U244:BL244)</f>
      </c>
      <c r="I244">
        <f>SUMIF(negtgel!U$2:BL$2,'Tsalin uzuulelt'!H$1,negtgel!U244:BL244) + SUMIF(negtgel!U$2:BL$2,'Tsalin uzuulelt'!H$2,negtgel!U244:BL244)+SUMIF(negtgel!U$2:BL$2,'Tsalin uzuulelt'!H$3,negtgel!U244:BL244)+SUMIF(negtgel!U$2:BL$2,'Tsalin uzuulelt'!H$4,negtgel!U244:BL244)+SUMIF(negtgel!U$2:BL$2,'Tsalin uzuulelt'!H$5,negtgel!U244:BL244)</f>
      </c>
      <c r="J244">
        <f>SUMIF(negtgel!U$2:BL$2,'Tsalin uzuulelt'!J$1,negtgel!U244:BL244) + SUMIF(negtgel!U$2:BL$2,'Tsalin uzuulelt'!J$2,negtgel!U244:BL244)+SUMIF(negtgel!U$2:BL$2,'Tsalin uzuulelt'!J$3,negtgel!U244:BL244)+SUMIF(negtgel!U$2:BL$2,'Tsalin uzuulelt'!J$4,negtgel!U244:BL244)+SUMIF(negtgel!U$2:BL$2,'Tsalin uzuulelt'!J$5,negtgel!U244:BL244)</f>
      </c>
      <c r="K244">
        <f>SUMIF(negtgel!U$2:BL$2,'Tsalin uzuulelt'!L$1,negtgel!U244:BL244) + SUMIF(negtgel!U$2:BL$2,'Tsalin uzuulelt'!L$2,negtgel!U244:BL244)+SUMIF(negtgel!U$2:BL$2,'Tsalin uzuulelt'!L$3,negtgel!U244:BL244)+SUMIF(negtgel!U$2:BL$2,'Tsalin uzuulelt'!L$4,negtgel!U244:BL244)+SUMIF(negtgel!U$2:BL$2,'Tsalin uzuulelt'!L$5,negtgel!U244:BL244)</f>
      </c>
      <c r="L244">
        <f>SUMIF(negtgel!U$2:BL$2,'Tsalin uzuulelt'!N$1,negtgel!U244:BL244) + SUMIF(negtgel!U$2:BL$2,'Tsalin uzuulelt'!N$2,negtgel!U244:BL244)+SUMIF(negtgel!U$2:BL$2,'Tsalin uzuulelt'!N$3,negtgel!U244:BL244)+SUMIF(negtgel!U$2:BL$2,'Tsalin uzuulelt'!N$4,negtgel!U244:BL244)+SUMIF(negtgel!U$2:BL$2,'Tsalin uzuulelt'!N$5,negtgel!U244:BL244)</f>
      </c>
      <c r="M244">
        <f>SUMIF(negtgel!U$2:BL$2,'Tsalin uzuulelt'!P$1,negtgel!U244:BL244) + SUMIF(negtgel!U$2:BL$2,'Tsalin uzuulelt'!P$2,negtgel!U244:BL244)+ SUMIF(negtgel!U$2:BL$2,'Tsalin uzuulelt'!P$3,negtgel!U244:BL244)+ SUMIF(negtgel!U$2:BL$2,'Tsalin uzuulelt'!P$4,negtgel!U244:BL244)+ SUMIF(negtgel!U$2:BL$2,'Tsalin uzuulelt'!P$5,negtgel!U244:BL244)</f>
      </c>
      <c r="N244">
        <f>IF(ISNUMBER(U244*1)=CF244,0,K244-H244-G244)</f>
      </c>
      <c r="O244">
        <f>IF(ISNUMBER(U244*1)=CF244,0,L244)</f>
      </c>
      <c r="P244">
        <f>IF(ISNUMBER(U244*1)=CF244,0,M244)</f>
      </c>
      <c r="Q244">
        <f>IF(N244&gt;2400000,N244,0)</f>
      </c>
      <c r="R244">
        <f>IF(L244/Q244*100&lt;3,2,10)</f>
      </c>
      <c r="S244">
        <f>IF(CH244=0,0,IF(B244&gt;9,10,IF(B244&gt;8,B244,IF(B244&gt;7.7,7.8,IF(B244&gt;3,B244,IF(B244&gt;1.5,2))))))</f>
      </c>
      <c r="T244">
        <f>IF(Q244=0,S244,R244)</f>
      </c>
      <c r="U244" t="n">
        <v>74.0</v>
      </c>
      <c r="V244" t="s">
        <v>3819</v>
      </c>
      <c r="W244" t="s">
        <v>3820</v>
      </c>
      <c r="X244" t="n">
        <v>698795.0</v>
      </c>
      <c r="Y244" t="n">
        <v>698795.0</v>
      </c>
      <c r="Z244" t="n">
        <v>104819.0</v>
      </c>
      <c r="AA244" t="n">
        <v>125783.0</v>
      </c>
      <c r="AB244" t="n">
        <v>0.0</v>
      </c>
      <c r="AC244" t="n">
        <v>0.0</v>
      </c>
      <c r="AD244" t="n">
        <v>0.0</v>
      </c>
      <c r="AE244" t="n">
        <v>268896.0</v>
      </c>
      <c r="AF244" t="n">
        <v>60000.0</v>
      </c>
      <c r="AG244" t="n">
        <v>0.0</v>
      </c>
      <c r="AH244" t="n">
        <v>0.0</v>
      </c>
      <c r="AI244" t="n">
        <v>0.0</v>
      </c>
      <c r="AJ244" t="n">
        <v>0.0</v>
      </c>
      <c r="AK244" t="n">
        <v>0.0</v>
      </c>
      <c r="AL244" t="n">
        <v>0.0</v>
      </c>
      <c r="AM244" t="n">
        <v>0.0</v>
      </c>
      <c r="AN244" t="n">
        <v>0.0</v>
      </c>
      <c r="AO244" t="n">
        <v>1258293.0</v>
      </c>
      <c r="AP244" t="n">
        <v>125830.0</v>
      </c>
      <c r="AQ244" t="n">
        <v>106846.4</v>
      </c>
      <c r="CH244">
        <f>IFERROR(U244*1,0)</f>
      </c>
    </row>
    <row r="245">
      <c r="A245" t="n">
        <v>4.0</v>
      </c>
      <c r="B245">
        <f>IF((K245-G245-H245&gt;2400000),10,(L245/(K245-G245-H245)*100))</f>
      </c>
      <c r="C245">
        <f>IF(N245&gt;2400000,240000,(N245*S245)/100)</f>
      </c>
      <c r="D245">
        <f>IF(S245=0,0,IF((N245-I245)&gt;2400000,((((((N245-I245-J245)-240000))*0.1+(I245+J245)*0.1)))-7000,((((((N245-I245-J245)-(N245-I245-J245)*S245/100)))*0.1+(I245+J245)*0.1)-7000)))</f>
      </c>
      <c r="E245">
        <f>C245-O245</f>
      </c>
      <c r="F245">
        <f>D245-P245</f>
      </c>
      <c r="G245">
        <f>SUMIF(negtgel!U$2:BL$2,'Tsalin uzuulelt'!B$1,negtgel!U245:BL245) + SUMIF(negtgel!U$2:BL$2,'Tsalin uzuulelt'!B$2,negtgel!U245:BL245)+SUMIF(negtgel!U$2:BL$2,'Tsalin uzuulelt'!B$3,negtgel!U245:BL245)+SUMIF(negtgel!U$2:BL$2,'Tsalin uzuulelt'!B$4,negtgel!U245:BL245)+SUMIF(negtgel!U$2:BL$2,'Tsalin uzuulelt'!B$5,negtgel!U245:BL245)</f>
      </c>
      <c r="H245">
        <f>SUMIF(negtgel!U$2:BL$2,'Tsalin uzuulelt'!F$1,negtgel!U245:BL245) + SUMIF(negtgel!U$2:BL$2,'Tsalin uzuulelt'!F$2,negtgel!U245:BL245)+SUMIF(negtgel!U$2:BL$2,'Tsalin uzuulelt'!F$3,negtgel!U245:BL245)+SUMIF(negtgel!U$2:BL$2,'Tsalin uzuulelt'!F$4,negtgel!U245:BL245)+SUMIF(negtgel!U$2:BL$2,'Tsalin uzuulelt'!F$5,negtgel!U245:BL245)</f>
      </c>
      <c r="I245">
        <f>SUMIF(negtgel!U$2:BL$2,'Tsalin uzuulelt'!H$1,negtgel!U245:BL245) + SUMIF(negtgel!U$2:BL$2,'Tsalin uzuulelt'!H$2,negtgel!U245:BL245)+SUMIF(negtgel!U$2:BL$2,'Tsalin uzuulelt'!H$3,negtgel!U245:BL245)+SUMIF(negtgel!U$2:BL$2,'Tsalin uzuulelt'!H$4,negtgel!U245:BL245)+SUMIF(negtgel!U$2:BL$2,'Tsalin uzuulelt'!H$5,negtgel!U245:BL245)</f>
      </c>
      <c r="J245">
        <f>SUMIF(negtgel!U$2:BL$2,'Tsalin uzuulelt'!J$1,negtgel!U245:BL245) + SUMIF(negtgel!U$2:BL$2,'Tsalin uzuulelt'!J$2,negtgel!U245:BL245)+SUMIF(negtgel!U$2:BL$2,'Tsalin uzuulelt'!J$3,negtgel!U245:BL245)+SUMIF(negtgel!U$2:BL$2,'Tsalin uzuulelt'!J$4,negtgel!U245:BL245)+SUMIF(negtgel!U$2:BL$2,'Tsalin uzuulelt'!J$5,negtgel!U245:BL245)</f>
      </c>
      <c r="K245">
        <f>SUMIF(negtgel!U$2:BL$2,'Tsalin uzuulelt'!L$1,negtgel!U245:BL245) + SUMIF(negtgel!U$2:BL$2,'Tsalin uzuulelt'!L$2,negtgel!U245:BL245)+SUMIF(negtgel!U$2:BL$2,'Tsalin uzuulelt'!L$3,negtgel!U245:BL245)+SUMIF(negtgel!U$2:BL$2,'Tsalin uzuulelt'!L$4,negtgel!U245:BL245)+SUMIF(negtgel!U$2:BL$2,'Tsalin uzuulelt'!L$5,negtgel!U245:BL245)</f>
      </c>
      <c r="L245">
        <f>SUMIF(negtgel!U$2:BL$2,'Tsalin uzuulelt'!N$1,negtgel!U245:BL245) + SUMIF(negtgel!U$2:BL$2,'Tsalin uzuulelt'!N$2,negtgel!U245:BL245)+SUMIF(negtgel!U$2:BL$2,'Tsalin uzuulelt'!N$3,negtgel!U245:BL245)+SUMIF(negtgel!U$2:BL$2,'Tsalin uzuulelt'!N$4,negtgel!U245:BL245)+SUMIF(negtgel!U$2:BL$2,'Tsalin uzuulelt'!N$5,negtgel!U245:BL245)</f>
      </c>
      <c r="M245">
        <f>SUMIF(negtgel!U$2:BL$2,'Tsalin uzuulelt'!P$1,negtgel!U245:BL245) + SUMIF(negtgel!U$2:BL$2,'Tsalin uzuulelt'!P$2,negtgel!U245:BL245)+ SUMIF(negtgel!U$2:BL$2,'Tsalin uzuulelt'!P$3,negtgel!U245:BL245)+ SUMIF(negtgel!U$2:BL$2,'Tsalin uzuulelt'!P$4,negtgel!U245:BL245)+ SUMIF(negtgel!U$2:BL$2,'Tsalin uzuulelt'!P$5,negtgel!U245:BL245)</f>
      </c>
      <c r="N245">
        <f>IF(ISNUMBER(U245*1)=CF245,0,K245-H245-G245)</f>
      </c>
      <c r="O245">
        <f>IF(ISNUMBER(U245*1)=CF245,0,L245)</f>
      </c>
      <c r="P245">
        <f>IF(ISNUMBER(U245*1)=CF245,0,M245)</f>
      </c>
      <c r="Q245">
        <f>IF(N245&gt;2400000,N245,0)</f>
      </c>
      <c r="R245">
        <f>IF(L245/Q245*100&lt;3,2,10)</f>
      </c>
      <c r="S245">
        <f>IF(CH245=0,0,IF(B245&gt;9,10,IF(B245&gt;8,B245,IF(B245&gt;7.7,7.8,IF(B245&gt;3,B245,IF(B245&gt;1.5,2))))))</f>
      </c>
      <c r="T245">
        <f>IF(Q245=0,S245,R245)</f>
      </c>
      <c r="U245" t="n">
        <v>75.0</v>
      </c>
      <c r="V245" t="s">
        <v>3821</v>
      </c>
      <c r="W245" t="s">
        <v>3790</v>
      </c>
      <c r="X245" t="n">
        <v>547759.0</v>
      </c>
      <c r="Y245" t="n">
        <v>547759.0</v>
      </c>
      <c r="Z245" t="n">
        <v>0.0</v>
      </c>
      <c r="AA245" t="n">
        <v>0.0</v>
      </c>
      <c r="AB245" t="n">
        <v>0.0</v>
      </c>
      <c r="AC245" t="n">
        <v>0.0</v>
      </c>
      <c r="AD245" t="n">
        <v>0.0</v>
      </c>
      <c r="AE245" t="n">
        <v>219104.0</v>
      </c>
      <c r="AF245" t="n">
        <v>60000.0</v>
      </c>
      <c r="AG245" t="n">
        <v>0.0</v>
      </c>
      <c r="AH245" t="n">
        <v>0.0</v>
      </c>
      <c r="AI245" t="n">
        <v>0.0</v>
      </c>
      <c r="AJ245" t="n">
        <v>0.0</v>
      </c>
      <c r="AK245" t="n">
        <v>0.0</v>
      </c>
      <c r="AL245" t="n">
        <v>0.0</v>
      </c>
      <c r="AM245" t="n">
        <v>0.0</v>
      </c>
      <c r="AN245" t="n">
        <v>0.0</v>
      </c>
      <c r="AO245" t="n">
        <v>826863.0</v>
      </c>
      <c r="AP245" t="n">
        <v>82686.0</v>
      </c>
      <c r="AQ245" t="n">
        <v>68017.7</v>
      </c>
      <c r="CH245">
        <f>IFERROR(U245*1,0)</f>
      </c>
    </row>
    <row r="246">
      <c r="A246" t="n">
        <v>4.0</v>
      </c>
      <c r="B246">
        <f>IF((K246-G246-H246&gt;2400000),10,(L246/(K246-G246-H246)*100))</f>
      </c>
      <c r="C246">
        <f>IF(N246&gt;2400000,240000,(N246*S246)/100)</f>
      </c>
      <c r="D246">
        <f>IF(S246=0,0,IF((N246-I246)&gt;2400000,((((((N246-I246-J246)-240000))*0.1+(I246+J246)*0.1)))-7000,((((((N246-I246-J246)-(N246-I246-J246)*S246/100)))*0.1+(I246+J246)*0.1)-7000)))</f>
      </c>
      <c r="E246">
        <f>C246-O246</f>
      </c>
      <c r="F246">
        <f>D246-P246</f>
      </c>
      <c r="G246">
        <f>SUMIF(negtgel!U$2:BL$2,'Tsalin uzuulelt'!B$1,negtgel!U246:BL246) + SUMIF(negtgel!U$2:BL$2,'Tsalin uzuulelt'!B$2,negtgel!U246:BL246)+SUMIF(negtgel!U$2:BL$2,'Tsalin uzuulelt'!B$3,negtgel!U246:BL246)+SUMIF(negtgel!U$2:BL$2,'Tsalin uzuulelt'!B$4,negtgel!U246:BL246)+SUMIF(negtgel!U$2:BL$2,'Tsalin uzuulelt'!B$5,negtgel!U246:BL246)</f>
      </c>
      <c r="H246">
        <f>SUMIF(negtgel!U$2:BL$2,'Tsalin uzuulelt'!F$1,negtgel!U246:BL246) + SUMIF(negtgel!U$2:BL$2,'Tsalin uzuulelt'!F$2,negtgel!U246:BL246)+SUMIF(negtgel!U$2:BL$2,'Tsalin uzuulelt'!F$3,negtgel!U246:BL246)+SUMIF(negtgel!U$2:BL$2,'Tsalin uzuulelt'!F$4,negtgel!U246:BL246)+SUMIF(negtgel!U$2:BL$2,'Tsalin uzuulelt'!F$5,negtgel!U246:BL246)</f>
      </c>
      <c r="I246">
        <f>SUMIF(negtgel!U$2:BL$2,'Tsalin uzuulelt'!H$1,negtgel!U246:BL246) + SUMIF(negtgel!U$2:BL$2,'Tsalin uzuulelt'!H$2,negtgel!U246:BL246)+SUMIF(negtgel!U$2:BL$2,'Tsalin uzuulelt'!H$3,negtgel!U246:BL246)+SUMIF(negtgel!U$2:BL$2,'Tsalin uzuulelt'!H$4,negtgel!U246:BL246)+SUMIF(negtgel!U$2:BL$2,'Tsalin uzuulelt'!H$5,negtgel!U246:BL246)</f>
      </c>
      <c r="J246">
        <f>SUMIF(negtgel!U$2:BL$2,'Tsalin uzuulelt'!J$1,negtgel!U246:BL246) + SUMIF(negtgel!U$2:BL$2,'Tsalin uzuulelt'!J$2,negtgel!U246:BL246)+SUMIF(negtgel!U$2:BL$2,'Tsalin uzuulelt'!J$3,negtgel!U246:BL246)+SUMIF(negtgel!U$2:BL$2,'Tsalin uzuulelt'!J$4,negtgel!U246:BL246)+SUMIF(negtgel!U$2:BL$2,'Tsalin uzuulelt'!J$5,negtgel!U246:BL246)</f>
      </c>
      <c r="K246">
        <f>SUMIF(negtgel!U$2:BL$2,'Tsalin uzuulelt'!L$1,negtgel!U246:BL246) + SUMIF(negtgel!U$2:BL$2,'Tsalin uzuulelt'!L$2,negtgel!U246:BL246)+SUMIF(negtgel!U$2:BL$2,'Tsalin uzuulelt'!L$3,negtgel!U246:BL246)+SUMIF(negtgel!U$2:BL$2,'Tsalin uzuulelt'!L$4,negtgel!U246:BL246)+SUMIF(negtgel!U$2:BL$2,'Tsalin uzuulelt'!L$5,negtgel!U246:BL246)</f>
      </c>
      <c r="L246">
        <f>SUMIF(negtgel!U$2:BL$2,'Tsalin uzuulelt'!N$1,negtgel!U246:BL246) + SUMIF(negtgel!U$2:BL$2,'Tsalin uzuulelt'!N$2,negtgel!U246:BL246)+SUMIF(negtgel!U$2:BL$2,'Tsalin uzuulelt'!N$3,negtgel!U246:BL246)+SUMIF(negtgel!U$2:BL$2,'Tsalin uzuulelt'!N$4,negtgel!U246:BL246)+SUMIF(negtgel!U$2:BL$2,'Tsalin uzuulelt'!N$5,negtgel!U246:BL246)</f>
      </c>
      <c r="M246">
        <f>SUMIF(negtgel!U$2:BL$2,'Tsalin uzuulelt'!P$1,negtgel!U246:BL246) + SUMIF(negtgel!U$2:BL$2,'Tsalin uzuulelt'!P$2,negtgel!U246:BL246)+ SUMIF(negtgel!U$2:BL$2,'Tsalin uzuulelt'!P$3,negtgel!U246:BL246)+ SUMIF(negtgel!U$2:BL$2,'Tsalin uzuulelt'!P$4,negtgel!U246:BL246)+ SUMIF(negtgel!U$2:BL$2,'Tsalin uzuulelt'!P$5,negtgel!U246:BL246)</f>
      </c>
      <c r="N246">
        <f>IF(ISNUMBER(U246*1)=CF246,0,K246-H246-G246)</f>
      </c>
      <c r="O246">
        <f>IF(ISNUMBER(U246*1)=CF246,0,L246)</f>
      </c>
      <c r="P246">
        <f>IF(ISNUMBER(U246*1)=CF246,0,M246)</f>
      </c>
      <c r="Q246">
        <f>IF(N246&gt;2400000,N246,0)</f>
      </c>
      <c r="R246">
        <f>IF(L246/Q246*100&lt;3,2,10)</f>
      </c>
      <c r="S246">
        <f>IF(CH246=0,0,IF(B246&gt;9,10,IF(B246&gt;8,B246,IF(B246&gt;7.7,7.8,IF(B246&gt;3,B246,IF(B246&gt;1.5,2))))))</f>
      </c>
      <c r="T246">
        <f>IF(Q246=0,S246,R246)</f>
      </c>
      <c r="U246" t="n">
        <v>76.0</v>
      </c>
      <c r="V246" t="s">
        <v>3822</v>
      </c>
      <c r="W246" t="s">
        <v>3823</v>
      </c>
      <c r="X246" t="n">
        <v>539547.0</v>
      </c>
      <c r="Y246" t="n">
        <v>269774.0</v>
      </c>
      <c r="Z246" t="n">
        <v>0.0</v>
      </c>
      <c r="AA246" t="n">
        <v>0.0</v>
      </c>
      <c r="AB246" t="n">
        <v>13489.0</v>
      </c>
      <c r="AC246" t="n">
        <v>0.0</v>
      </c>
      <c r="AD246" t="n">
        <v>0.0</v>
      </c>
      <c r="AE246" t="n">
        <v>0.0</v>
      </c>
      <c r="AF246" t="n">
        <v>30000.0</v>
      </c>
      <c r="AG246" t="n">
        <v>0.0</v>
      </c>
      <c r="AH246" t="n">
        <v>0.0</v>
      </c>
      <c r="AI246" t="n">
        <v>0.0</v>
      </c>
      <c r="AJ246" t="n">
        <v>0.0</v>
      </c>
      <c r="AK246" t="n">
        <v>0.0</v>
      </c>
      <c r="AL246" t="n">
        <v>0.0</v>
      </c>
      <c r="AM246" t="n">
        <v>0.0</v>
      </c>
      <c r="AN246" t="n">
        <v>0.0</v>
      </c>
      <c r="AO246" t="n">
        <v>313263.0</v>
      </c>
      <c r="AP246" t="n">
        <v>31326.0</v>
      </c>
      <c r="AQ246" t="n">
        <v>21493.7</v>
      </c>
      <c r="CH246">
        <f>IFERROR(U246*1,0)</f>
      </c>
    </row>
    <row r="247">
      <c r="A247" t="n">
        <v>4.0</v>
      </c>
      <c r="B247">
        <f>IF((K247-G247-H247&gt;2400000),10,(L247/(K247-G247-H247)*100))</f>
      </c>
      <c r="C247">
        <f>IF(N247&gt;2400000,240000,(N247*S247)/100)</f>
      </c>
      <c r="D247">
        <f>IF(S247=0,0,IF((N247-I247)&gt;2400000,((((((N247-I247-J247)-240000))*0.1+(I247+J247)*0.1)))-7000,((((((N247-I247-J247)-(N247-I247-J247)*S247/100)))*0.1+(I247+J247)*0.1)-7000)))</f>
      </c>
      <c r="E247">
        <f>C247-O247</f>
      </c>
      <c r="F247">
        <f>D247-P247</f>
      </c>
      <c r="G247">
        <f>SUMIF(negtgel!U$2:BL$2,'Tsalin uzuulelt'!B$1,negtgel!U247:BL247) + SUMIF(negtgel!U$2:BL$2,'Tsalin uzuulelt'!B$2,negtgel!U247:BL247)+SUMIF(negtgel!U$2:BL$2,'Tsalin uzuulelt'!B$3,negtgel!U247:BL247)+SUMIF(negtgel!U$2:BL$2,'Tsalin uzuulelt'!B$4,negtgel!U247:BL247)+SUMIF(negtgel!U$2:BL$2,'Tsalin uzuulelt'!B$5,negtgel!U247:BL247)</f>
      </c>
      <c r="H247">
        <f>SUMIF(negtgel!U$2:BL$2,'Tsalin uzuulelt'!F$1,negtgel!U247:BL247) + SUMIF(negtgel!U$2:BL$2,'Tsalin uzuulelt'!F$2,negtgel!U247:BL247)+SUMIF(negtgel!U$2:BL$2,'Tsalin uzuulelt'!F$3,negtgel!U247:BL247)+SUMIF(negtgel!U$2:BL$2,'Tsalin uzuulelt'!F$4,negtgel!U247:BL247)+SUMIF(negtgel!U$2:BL$2,'Tsalin uzuulelt'!F$5,negtgel!U247:BL247)</f>
      </c>
      <c r="I247">
        <f>SUMIF(negtgel!U$2:BL$2,'Tsalin uzuulelt'!H$1,negtgel!U247:BL247) + SUMIF(negtgel!U$2:BL$2,'Tsalin uzuulelt'!H$2,negtgel!U247:BL247)+SUMIF(negtgel!U$2:BL$2,'Tsalin uzuulelt'!H$3,negtgel!U247:BL247)+SUMIF(negtgel!U$2:BL$2,'Tsalin uzuulelt'!H$4,negtgel!U247:BL247)+SUMIF(negtgel!U$2:BL$2,'Tsalin uzuulelt'!H$5,negtgel!U247:BL247)</f>
      </c>
      <c r="J247">
        <f>SUMIF(negtgel!U$2:BL$2,'Tsalin uzuulelt'!J$1,negtgel!U247:BL247) + SUMIF(negtgel!U$2:BL$2,'Tsalin uzuulelt'!J$2,negtgel!U247:BL247)+SUMIF(negtgel!U$2:BL$2,'Tsalin uzuulelt'!J$3,negtgel!U247:BL247)+SUMIF(negtgel!U$2:BL$2,'Tsalin uzuulelt'!J$4,negtgel!U247:BL247)+SUMIF(negtgel!U$2:BL$2,'Tsalin uzuulelt'!J$5,negtgel!U247:BL247)</f>
      </c>
      <c r="K247">
        <f>SUMIF(negtgel!U$2:BL$2,'Tsalin uzuulelt'!L$1,negtgel!U247:BL247) + SUMIF(negtgel!U$2:BL$2,'Tsalin uzuulelt'!L$2,negtgel!U247:BL247)+SUMIF(negtgel!U$2:BL$2,'Tsalin uzuulelt'!L$3,negtgel!U247:BL247)+SUMIF(negtgel!U$2:BL$2,'Tsalin uzuulelt'!L$4,negtgel!U247:BL247)+SUMIF(negtgel!U$2:BL$2,'Tsalin uzuulelt'!L$5,negtgel!U247:BL247)</f>
      </c>
      <c r="L247">
        <f>SUMIF(negtgel!U$2:BL$2,'Tsalin uzuulelt'!N$1,negtgel!U247:BL247) + SUMIF(negtgel!U$2:BL$2,'Tsalin uzuulelt'!N$2,negtgel!U247:BL247)+SUMIF(negtgel!U$2:BL$2,'Tsalin uzuulelt'!N$3,negtgel!U247:BL247)+SUMIF(negtgel!U$2:BL$2,'Tsalin uzuulelt'!N$4,negtgel!U247:BL247)+SUMIF(negtgel!U$2:BL$2,'Tsalin uzuulelt'!N$5,negtgel!U247:BL247)</f>
      </c>
      <c r="M247">
        <f>SUMIF(negtgel!U$2:BL$2,'Tsalin uzuulelt'!P$1,negtgel!U247:BL247) + SUMIF(negtgel!U$2:BL$2,'Tsalin uzuulelt'!P$2,negtgel!U247:BL247)+ SUMIF(negtgel!U$2:BL$2,'Tsalin uzuulelt'!P$3,negtgel!U247:BL247)+ SUMIF(negtgel!U$2:BL$2,'Tsalin uzuulelt'!P$4,negtgel!U247:BL247)+ SUMIF(negtgel!U$2:BL$2,'Tsalin uzuulelt'!P$5,negtgel!U247:BL247)</f>
      </c>
      <c r="N247">
        <f>IF(ISNUMBER(U247*1)=CF247,0,K247-H247-G247)</f>
      </c>
      <c r="O247">
        <f>IF(ISNUMBER(U247*1)=CF247,0,L247)</f>
      </c>
      <c r="P247">
        <f>IF(ISNUMBER(U247*1)=CF247,0,M247)</f>
      </c>
      <c r="Q247">
        <f>IF(N247&gt;2400000,N247,0)</f>
      </c>
      <c r="R247">
        <f>IF(L247/Q247*100&lt;3,2,10)</f>
      </c>
      <c r="S247">
        <f>IF(CH247=0,0,IF(B247&gt;9,10,IF(B247&gt;8,B247,IF(B247&gt;7.7,7.8,IF(B247&gt;3,B247,IF(B247&gt;1.5,2))))))</f>
      </c>
      <c r="T247">
        <f>IF(Q247=0,S247,R247)</f>
      </c>
      <c r="U247" t="n">
        <v>77.0</v>
      </c>
      <c r="V247" t="s">
        <v>3824</v>
      </c>
      <c r="W247" t="s">
        <v>3790</v>
      </c>
      <c r="X247" t="n">
        <v>677436.0</v>
      </c>
      <c r="Y247" t="n">
        <v>677436.0</v>
      </c>
      <c r="Z247" t="n">
        <v>135487.0</v>
      </c>
      <c r="AA247" t="n">
        <v>121938.0</v>
      </c>
      <c r="AB247" t="n">
        <v>0.0</v>
      </c>
      <c r="AC247" t="n">
        <v>101615.0</v>
      </c>
      <c r="AD247" t="n">
        <v>0.0</v>
      </c>
      <c r="AE247" t="n">
        <v>267723.0</v>
      </c>
      <c r="AF247" t="n">
        <v>60000.0</v>
      </c>
      <c r="AG247" t="n">
        <v>0.0</v>
      </c>
      <c r="AH247" t="n">
        <v>0.0</v>
      </c>
      <c r="AI247" t="n">
        <v>0.0</v>
      </c>
      <c r="AJ247" t="n">
        <v>0.0</v>
      </c>
      <c r="AK247" t="n">
        <v>0.0</v>
      </c>
      <c r="AL247" t="n">
        <v>0.0</v>
      </c>
      <c r="AM247" t="n">
        <v>0.0</v>
      </c>
      <c r="AN247" t="n">
        <v>0.0</v>
      </c>
      <c r="AO247" t="n">
        <v>1364199.0</v>
      </c>
      <c r="AP247" t="n">
        <v>136420.0</v>
      </c>
      <c r="AQ247" t="n">
        <v>116377.9</v>
      </c>
      <c r="CH247">
        <f>IFERROR(U247*1,0)</f>
      </c>
    </row>
    <row r="248">
      <c r="A248" t="n">
        <v>4.0</v>
      </c>
      <c r="B248">
        <f>IF((K248-G248-H248&gt;2400000),10,(L248/(K248-G248-H248)*100))</f>
      </c>
      <c r="C248">
        <f>IF(N248&gt;2400000,240000,(N248*S248)/100)</f>
      </c>
      <c r="D248">
        <f>IF(S248=0,0,IF((N248-I248)&gt;2400000,((((((N248-I248-J248)-240000))*0.1+(I248+J248)*0.1)))-7000,((((((N248-I248-J248)-(N248-I248-J248)*S248/100)))*0.1+(I248+J248)*0.1)-7000)))</f>
      </c>
      <c r="E248">
        <f>C248-O248</f>
      </c>
      <c r="F248">
        <f>D248-P248</f>
      </c>
      <c r="G248">
        <f>SUMIF(negtgel!U$2:BL$2,'Tsalin uzuulelt'!B$1,negtgel!U248:BL248) + SUMIF(negtgel!U$2:BL$2,'Tsalin uzuulelt'!B$2,negtgel!U248:BL248)+SUMIF(negtgel!U$2:BL$2,'Tsalin uzuulelt'!B$3,negtgel!U248:BL248)+SUMIF(negtgel!U$2:BL$2,'Tsalin uzuulelt'!B$4,negtgel!U248:BL248)+SUMIF(negtgel!U$2:BL$2,'Tsalin uzuulelt'!B$5,negtgel!U248:BL248)</f>
      </c>
      <c r="H248">
        <f>SUMIF(negtgel!U$2:BL$2,'Tsalin uzuulelt'!F$1,negtgel!U248:BL248) + SUMIF(negtgel!U$2:BL$2,'Tsalin uzuulelt'!F$2,negtgel!U248:BL248)+SUMIF(negtgel!U$2:BL$2,'Tsalin uzuulelt'!F$3,negtgel!U248:BL248)+SUMIF(negtgel!U$2:BL$2,'Tsalin uzuulelt'!F$4,negtgel!U248:BL248)+SUMIF(negtgel!U$2:BL$2,'Tsalin uzuulelt'!F$5,negtgel!U248:BL248)</f>
      </c>
      <c r="I248">
        <f>SUMIF(negtgel!U$2:BL$2,'Tsalin uzuulelt'!H$1,negtgel!U248:BL248) + SUMIF(negtgel!U$2:BL$2,'Tsalin uzuulelt'!H$2,negtgel!U248:BL248)+SUMIF(negtgel!U$2:BL$2,'Tsalin uzuulelt'!H$3,negtgel!U248:BL248)+SUMIF(negtgel!U$2:BL$2,'Tsalin uzuulelt'!H$4,negtgel!U248:BL248)+SUMIF(negtgel!U$2:BL$2,'Tsalin uzuulelt'!H$5,negtgel!U248:BL248)</f>
      </c>
      <c r="J248">
        <f>SUMIF(negtgel!U$2:BL$2,'Tsalin uzuulelt'!J$1,negtgel!U248:BL248) + SUMIF(negtgel!U$2:BL$2,'Tsalin uzuulelt'!J$2,negtgel!U248:BL248)+SUMIF(negtgel!U$2:BL$2,'Tsalin uzuulelt'!J$3,negtgel!U248:BL248)+SUMIF(negtgel!U$2:BL$2,'Tsalin uzuulelt'!J$4,negtgel!U248:BL248)+SUMIF(negtgel!U$2:BL$2,'Tsalin uzuulelt'!J$5,negtgel!U248:BL248)</f>
      </c>
      <c r="K248">
        <f>SUMIF(negtgel!U$2:BL$2,'Tsalin uzuulelt'!L$1,negtgel!U248:BL248) + SUMIF(negtgel!U$2:BL$2,'Tsalin uzuulelt'!L$2,negtgel!U248:BL248)+SUMIF(negtgel!U$2:BL$2,'Tsalin uzuulelt'!L$3,negtgel!U248:BL248)+SUMIF(negtgel!U$2:BL$2,'Tsalin uzuulelt'!L$4,negtgel!U248:BL248)+SUMIF(negtgel!U$2:BL$2,'Tsalin uzuulelt'!L$5,negtgel!U248:BL248)</f>
      </c>
      <c r="L248">
        <f>SUMIF(negtgel!U$2:BL$2,'Tsalin uzuulelt'!N$1,negtgel!U248:BL248) + SUMIF(negtgel!U$2:BL$2,'Tsalin uzuulelt'!N$2,negtgel!U248:BL248)+SUMIF(negtgel!U$2:BL$2,'Tsalin uzuulelt'!N$3,negtgel!U248:BL248)+SUMIF(negtgel!U$2:BL$2,'Tsalin uzuulelt'!N$4,negtgel!U248:BL248)+SUMIF(negtgel!U$2:BL$2,'Tsalin uzuulelt'!N$5,negtgel!U248:BL248)</f>
      </c>
      <c r="M248">
        <f>SUMIF(negtgel!U$2:BL$2,'Tsalin uzuulelt'!P$1,negtgel!U248:BL248) + SUMIF(negtgel!U$2:BL$2,'Tsalin uzuulelt'!P$2,negtgel!U248:BL248)+ SUMIF(negtgel!U$2:BL$2,'Tsalin uzuulelt'!P$3,negtgel!U248:BL248)+ SUMIF(negtgel!U$2:BL$2,'Tsalin uzuulelt'!P$4,negtgel!U248:BL248)+ SUMIF(negtgel!U$2:BL$2,'Tsalin uzuulelt'!P$5,negtgel!U248:BL248)</f>
      </c>
      <c r="N248">
        <f>IF(ISNUMBER(U248*1)=CF248,0,K248-H248-G248)</f>
      </c>
      <c r="O248">
        <f>IF(ISNUMBER(U248*1)=CF248,0,L248)</f>
      </c>
      <c r="P248">
        <f>IF(ISNUMBER(U248*1)=CF248,0,M248)</f>
      </c>
      <c r="Q248">
        <f>IF(N248&gt;2400000,N248,0)</f>
      </c>
      <c r="R248">
        <f>IF(L248/Q248*100&lt;3,2,10)</f>
      </c>
      <c r="S248">
        <f>IF(CH248=0,0,IF(B248&gt;9,10,IF(B248&gt;8,B248,IF(B248&gt;7.7,7.8,IF(B248&gt;3,B248,IF(B248&gt;1.5,2))))))</f>
      </c>
      <c r="T248">
        <f>IF(Q248=0,S248,R248)</f>
      </c>
      <c r="U248" t="s">
        <v>3787</v>
      </c>
      <c r="V248"/>
      <c r="W248"/>
      <c r="X248" t="n">
        <v>4484667.0</v>
      </c>
      <c r="Y248" t="n">
        <v>3941015.0</v>
      </c>
      <c r="Z248" t="n">
        <v>534980.0</v>
      </c>
      <c r="AA248" t="n">
        <v>526476.0</v>
      </c>
      <c r="AB248" t="n">
        <v>13489.0</v>
      </c>
      <c r="AC248" t="n">
        <v>101615.0</v>
      </c>
      <c r="AD248" t="n">
        <v>0.0</v>
      </c>
      <c r="AE248" t="n">
        <v>1564175.0</v>
      </c>
      <c r="AF248" t="n">
        <v>360000.0</v>
      </c>
      <c r="AG248" t="n">
        <v>0.0</v>
      </c>
      <c r="AH248" t="n">
        <v>0.0</v>
      </c>
      <c r="AI248" t="n">
        <v>0.0</v>
      </c>
      <c r="AJ248" t="n">
        <v>408746.0</v>
      </c>
      <c r="AK248" t="n">
        <v>0.0</v>
      </c>
      <c r="AL248" t="n">
        <v>0.0</v>
      </c>
      <c r="AM248" t="n">
        <v>0.0</v>
      </c>
      <c r="AN248" t="n">
        <v>0.0</v>
      </c>
      <c r="AO248" t="n">
        <v>7450496.0</v>
      </c>
      <c r="AP248" t="n">
        <v>745050.0</v>
      </c>
      <c r="AQ248" t="n">
        <v>625144.8</v>
      </c>
      <c r="CH248">
        <f>IFERROR(U248*1,0)</f>
      </c>
    </row>
    <row r="249">
      <c r="A249" t="n">
        <v>4.0</v>
      </c>
      <c r="B249">
        <f>IF((K249-G249-H249&gt;2400000),10,(L249/(K249-G249-H249)*100))</f>
      </c>
      <c r="C249">
        <f>IF(N249&gt;2400000,240000,(N249*S249)/100)</f>
      </c>
      <c r="D249">
        <f>IF(S249=0,0,IF((N249-I249)&gt;2400000,((((((N249-I249-J249)-240000))*0.1+(I249+J249)*0.1)))-7000,((((((N249-I249-J249)-(N249-I249-J249)*S249/100)))*0.1+(I249+J249)*0.1)-7000)))</f>
      </c>
      <c r="E249">
        <f>C249-O249</f>
      </c>
      <c r="F249">
        <f>D249-P249</f>
      </c>
      <c r="G249">
        <f>SUMIF(negtgel!U$2:BL$2,'Tsalin uzuulelt'!B$1,negtgel!U249:BL249) + SUMIF(negtgel!U$2:BL$2,'Tsalin uzuulelt'!B$2,negtgel!U249:BL249)+SUMIF(negtgel!U$2:BL$2,'Tsalin uzuulelt'!B$3,negtgel!U249:BL249)+SUMIF(negtgel!U$2:BL$2,'Tsalin uzuulelt'!B$4,negtgel!U249:BL249)+SUMIF(negtgel!U$2:BL$2,'Tsalin uzuulelt'!B$5,negtgel!U249:BL249)</f>
      </c>
      <c r="H249">
        <f>SUMIF(negtgel!U$2:BL$2,'Tsalin uzuulelt'!F$1,negtgel!U249:BL249) + SUMIF(negtgel!U$2:BL$2,'Tsalin uzuulelt'!F$2,negtgel!U249:BL249)+SUMIF(negtgel!U$2:BL$2,'Tsalin uzuulelt'!F$3,negtgel!U249:BL249)+SUMIF(negtgel!U$2:BL$2,'Tsalin uzuulelt'!F$4,negtgel!U249:BL249)+SUMIF(negtgel!U$2:BL$2,'Tsalin uzuulelt'!F$5,negtgel!U249:BL249)</f>
      </c>
      <c r="I249">
        <f>SUMIF(negtgel!U$2:BL$2,'Tsalin uzuulelt'!H$1,negtgel!U249:BL249) + SUMIF(negtgel!U$2:BL$2,'Tsalin uzuulelt'!H$2,negtgel!U249:BL249)+SUMIF(negtgel!U$2:BL$2,'Tsalin uzuulelt'!H$3,negtgel!U249:BL249)+SUMIF(negtgel!U$2:BL$2,'Tsalin uzuulelt'!H$4,negtgel!U249:BL249)+SUMIF(negtgel!U$2:BL$2,'Tsalin uzuulelt'!H$5,negtgel!U249:BL249)</f>
      </c>
      <c r="J249">
        <f>SUMIF(negtgel!U$2:BL$2,'Tsalin uzuulelt'!J$1,negtgel!U249:BL249) + SUMIF(negtgel!U$2:BL$2,'Tsalin uzuulelt'!J$2,negtgel!U249:BL249)+SUMIF(negtgel!U$2:BL$2,'Tsalin uzuulelt'!J$3,negtgel!U249:BL249)+SUMIF(negtgel!U$2:BL$2,'Tsalin uzuulelt'!J$4,negtgel!U249:BL249)+SUMIF(negtgel!U$2:BL$2,'Tsalin uzuulelt'!J$5,negtgel!U249:BL249)</f>
      </c>
      <c r="K249">
        <f>SUMIF(negtgel!U$2:BL$2,'Tsalin uzuulelt'!L$1,negtgel!U249:BL249) + SUMIF(negtgel!U$2:BL$2,'Tsalin uzuulelt'!L$2,negtgel!U249:BL249)+SUMIF(negtgel!U$2:BL$2,'Tsalin uzuulelt'!L$3,negtgel!U249:BL249)+SUMIF(negtgel!U$2:BL$2,'Tsalin uzuulelt'!L$4,negtgel!U249:BL249)+SUMIF(negtgel!U$2:BL$2,'Tsalin uzuulelt'!L$5,negtgel!U249:BL249)</f>
      </c>
      <c r="L249">
        <f>SUMIF(negtgel!U$2:BL$2,'Tsalin uzuulelt'!N$1,negtgel!U249:BL249) + SUMIF(negtgel!U$2:BL$2,'Tsalin uzuulelt'!N$2,negtgel!U249:BL249)+SUMIF(negtgel!U$2:BL$2,'Tsalin uzuulelt'!N$3,negtgel!U249:BL249)+SUMIF(negtgel!U$2:BL$2,'Tsalin uzuulelt'!N$4,negtgel!U249:BL249)+SUMIF(negtgel!U$2:BL$2,'Tsalin uzuulelt'!N$5,negtgel!U249:BL249)</f>
      </c>
      <c r="M249">
        <f>SUMIF(negtgel!U$2:BL$2,'Tsalin uzuulelt'!P$1,negtgel!U249:BL249) + SUMIF(negtgel!U$2:BL$2,'Tsalin uzuulelt'!P$2,negtgel!U249:BL249)+ SUMIF(negtgel!U$2:BL$2,'Tsalin uzuulelt'!P$3,negtgel!U249:BL249)+ SUMIF(negtgel!U$2:BL$2,'Tsalin uzuulelt'!P$4,negtgel!U249:BL249)+ SUMIF(negtgel!U$2:BL$2,'Tsalin uzuulelt'!P$5,negtgel!U249:BL249)</f>
      </c>
      <c r="N249">
        <f>IF(ISNUMBER(U249*1)=CF249,0,K249-H249-G249)</f>
      </c>
      <c r="O249">
        <f>IF(ISNUMBER(U249*1)=CF249,0,L249)</f>
      </c>
      <c r="P249">
        <f>IF(ISNUMBER(U249*1)=CF249,0,M249)</f>
      </c>
      <c r="Q249">
        <f>IF(N249&gt;2400000,N249,0)</f>
      </c>
      <c r="R249">
        <f>IF(L249/Q249*100&lt;3,2,10)</f>
      </c>
      <c r="S249">
        <f>IF(CH249=0,0,IF(B249&gt;9,10,IF(B249&gt;8,B249,IF(B249&gt;7.7,7.8,IF(B249&gt;3,B249,IF(B249&gt;1.5,2))))))</f>
      </c>
      <c r="T249">
        <f>IF(Q249=0,S249,R249)</f>
      </c>
      <c r="U249" t="s">
        <v>3825</v>
      </c>
      <c r="V249"/>
      <c r="W249"/>
      <c r="X249"/>
      <c r="Y249"/>
      <c r="Z249"/>
      <c r="AA249"/>
      <c r="AB249"/>
      <c r="AC249"/>
      <c r="AD249"/>
      <c r="AE249"/>
      <c r="AF249"/>
      <c r="AG249"/>
      <c r="AH249"/>
      <c r="AI249"/>
      <c r="AJ249"/>
      <c r="AK249"/>
      <c r="AL249"/>
      <c r="AM249"/>
      <c r="AN249"/>
      <c r="AO249"/>
      <c r="AP249"/>
      <c r="AQ249"/>
      <c r="CH249">
        <f>IFERROR(U249*1,0)</f>
      </c>
    </row>
    <row r="250">
      <c r="A250" t="n">
        <v>4.0</v>
      </c>
      <c r="B250">
        <f>IF((K250-G250-H250&gt;2400000),10,(L250/(K250-G250-H250)*100))</f>
      </c>
      <c r="C250">
        <f>IF(N250&gt;2400000,240000,(N250*S250)/100)</f>
      </c>
      <c r="D250">
        <f>IF(S250=0,0,IF((N250-I250)&gt;2400000,((((((N250-I250-J250)-240000))*0.1+(I250+J250)*0.1)))-7000,((((((N250-I250-J250)-(N250-I250-J250)*S250/100)))*0.1+(I250+J250)*0.1)-7000)))</f>
      </c>
      <c r="E250">
        <f>C250-O250</f>
      </c>
      <c r="F250">
        <f>D250-P250</f>
      </c>
      <c r="G250">
        <f>SUMIF(negtgel!U$2:BL$2,'Tsalin uzuulelt'!B$1,negtgel!U250:BL250) + SUMIF(negtgel!U$2:BL$2,'Tsalin uzuulelt'!B$2,negtgel!U250:BL250)+SUMIF(negtgel!U$2:BL$2,'Tsalin uzuulelt'!B$3,negtgel!U250:BL250)+SUMIF(negtgel!U$2:BL$2,'Tsalin uzuulelt'!B$4,negtgel!U250:BL250)+SUMIF(negtgel!U$2:BL$2,'Tsalin uzuulelt'!B$5,negtgel!U250:BL250)</f>
      </c>
      <c r="H250">
        <f>SUMIF(negtgel!U$2:BL$2,'Tsalin uzuulelt'!F$1,negtgel!U250:BL250) + SUMIF(negtgel!U$2:BL$2,'Tsalin uzuulelt'!F$2,negtgel!U250:BL250)+SUMIF(negtgel!U$2:BL$2,'Tsalin uzuulelt'!F$3,negtgel!U250:BL250)+SUMIF(negtgel!U$2:BL$2,'Tsalin uzuulelt'!F$4,negtgel!U250:BL250)+SUMIF(negtgel!U$2:BL$2,'Tsalin uzuulelt'!F$5,negtgel!U250:BL250)</f>
      </c>
      <c r="I250">
        <f>SUMIF(negtgel!U$2:BL$2,'Tsalin uzuulelt'!H$1,negtgel!U250:BL250) + SUMIF(negtgel!U$2:BL$2,'Tsalin uzuulelt'!H$2,negtgel!U250:BL250)+SUMIF(negtgel!U$2:BL$2,'Tsalin uzuulelt'!H$3,negtgel!U250:BL250)+SUMIF(negtgel!U$2:BL$2,'Tsalin uzuulelt'!H$4,negtgel!U250:BL250)+SUMIF(negtgel!U$2:BL$2,'Tsalin uzuulelt'!H$5,negtgel!U250:BL250)</f>
      </c>
      <c r="J250">
        <f>SUMIF(negtgel!U$2:BL$2,'Tsalin uzuulelt'!J$1,negtgel!U250:BL250) + SUMIF(negtgel!U$2:BL$2,'Tsalin uzuulelt'!J$2,negtgel!U250:BL250)+SUMIF(negtgel!U$2:BL$2,'Tsalin uzuulelt'!J$3,negtgel!U250:BL250)+SUMIF(negtgel!U$2:BL$2,'Tsalin uzuulelt'!J$4,negtgel!U250:BL250)+SUMIF(negtgel!U$2:BL$2,'Tsalin uzuulelt'!J$5,negtgel!U250:BL250)</f>
      </c>
      <c r="K250">
        <f>SUMIF(negtgel!U$2:BL$2,'Tsalin uzuulelt'!L$1,negtgel!U250:BL250) + SUMIF(negtgel!U$2:BL$2,'Tsalin uzuulelt'!L$2,negtgel!U250:BL250)+SUMIF(negtgel!U$2:BL$2,'Tsalin uzuulelt'!L$3,negtgel!U250:BL250)+SUMIF(negtgel!U$2:BL$2,'Tsalin uzuulelt'!L$4,negtgel!U250:BL250)+SUMIF(negtgel!U$2:BL$2,'Tsalin uzuulelt'!L$5,negtgel!U250:BL250)</f>
      </c>
      <c r="L250">
        <f>SUMIF(negtgel!U$2:BL$2,'Tsalin uzuulelt'!N$1,negtgel!U250:BL250) + SUMIF(negtgel!U$2:BL$2,'Tsalin uzuulelt'!N$2,negtgel!U250:BL250)+SUMIF(negtgel!U$2:BL$2,'Tsalin uzuulelt'!N$3,negtgel!U250:BL250)+SUMIF(negtgel!U$2:BL$2,'Tsalin uzuulelt'!N$4,negtgel!U250:BL250)+SUMIF(negtgel!U$2:BL$2,'Tsalin uzuulelt'!N$5,negtgel!U250:BL250)</f>
      </c>
      <c r="M250">
        <f>SUMIF(negtgel!U$2:BL$2,'Tsalin uzuulelt'!P$1,negtgel!U250:BL250) + SUMIF(negtgel!U$2:BL$2,'Tsalin uzuulelt'!P$2,negtgel!U250:BL250)+ SUMIF(negtgel!U$2:BL$2,'Tsalin uzuulelt'!P$3,negtgel!U250:BL250)+ SUMIF(negtgel!U$2:BL$2,'Tsalin uzuulelt'!P$4,negtgel!U250:BL250)+ SUMIF(negtgel!U$2:BL$2,'Tsalin uzuulelt'!P$5,negtgel!U250:BL250)</f>
      </c>
      <c r="N250">
        <f>IF(ISNUMBER(U250*1)=CF250,0,K250-H250-G250)</f>
      </c>
      <c r="O250">
        <f>IF(ISNUMBER(U250*1)=CF250,0,L250)</f>
      </c>
      <c r="P250">
        <f>IF(ISNUMBER(U250*1)=CF250,0,M250)</f>
      </c>
      <c r="Q250">
        <f>IF(N250&gt;2400000,N250,0)</f>
      </c>
      <c r="R250">
        <f>IF(L250/Q250*100&lt;3,2,10)</f>
      </c>
      <c r="S250">
        <f>IF(CH250=0,0,IF(B250&gt;9,10,IF(B250&gt;8,B250,IF(B250&gt;7.7,7.8,IF(B250&gt;3,B250,IF(B250&gt;1.5,2))))))</f>
      </c>
      <c r="T250">
        <f>IF(Q250=0,S250,R250)</f>
      </c>
      <c r="U250" t="n">
        <v>78.0</v>
      </c>
      <c r="V250" t="s">
        <v>3827</v>
      </c>
      <c r="W250" t="s">
        <v>3790</v>
      </c>
      <c r="X250" t="n">
        <v>547759.0</v>
      </c>
      <c r="Y250" t="n">
        <v>547759.0</v>
      </c>
      <c r="Z250" t="n">
        <v>0.0</v>
      </c>
      <c r="AA250" t="n">
        <v>0.0</v>
      </c>
      <c r="AB250" t="n">
        <v>0.0</v>
      </c>
      <c r="AC250" t="n">
        <v>0.0</v>
      </c>
      <c r="AD250" t="n">
        <v>0.0</v>
      </c>
      <c r="AE250" t="n">
        <v>213626.0</v>
      </c>
      <c r="AF250" t="n">
        <v>60000.0</v>
      </c>
      <c r="AG250" t="n">
        <v>0.0</v>
      </c>
      <c r="AH250" t="n">
        <v>0.0</v>
      </c>
      <c r="AI250" t="n">
        <v>0.0</v>
      </c>
      <c r="AJ250" t="n">
        <v>0.0</v>
      </c>
      <c r="AK250" t="n">
        <v>0.0</v>
      </c>
      <c r="AL250" t="n">
        <v>0.0</v>
      </c>
      <c r="AM250" t="n">
        <v>0.0</v>
      </c>
      <c r="AN250" t="n">
        <v>0.0</v>
      </c>
      <c r="AO250" t="n">
        <v>821385.0</v>
      </c>
      <c r="AP250" t="n">
        <v>82139.0</v>
      </c>
      <c r="AQ250" t="n">
        <v>67524.6</v>
      </c>
      <c r="CH250">
        <f>IFERROR(U250*1,0)</f>
      </c>
    </row>
    <row r="251">
      <c r="A251" t="n">
        <v>4.0</v>
      </c>
      <c r="B251">
        <f>IF((K251-G251-H251&gt;2400000),10,(L251/(K251-G251-H251)*100))</f>
      </c>
      <c r="C251">
        <f>IF(N251&gt;2400000,240000,(N251*S251)/100)</f>
      </c>
      <c r="D251">
        <f>IF(S251=0,0,IF((N251-I251)&gt;2400000,((((((N251-I251-J251)-240000))*0.1+(I251+J251)*0.1)))-7000,((((((N251-I251-J251)-(N251-I251-J251)*S251/100)))*0.1+(I251+J251)*0.1)-7000)))</f>
      </c>
      <c r="E251">
        <f>C251-O251</f>
      </c>
      <c r="F251">
        <f>D251-P251</f>
      </c>
      <c r="G251">
        <f>SUMIF(negtgel!U$2:BL$2,'Tsalin uzuulelt'!B$1,negtgel!U251:BL251) + SUMIF(negtgel!U$2:BL$2,'Tsalin uzuulelt'!B$2,negtgel!U251:BL251)+SUMIF(negtgel!U$2:BL$2,'Tsalin uzuulelt'!B$3,negtgel!U251:BL251)+SUMIF(negtgel!U$2:BL$2,'Tsalin uzuulelt'!B$4,negtgel!U251:BL251)+SUMIF(negtgel!U$2:BL$2,'Tsalin uzuulelt'!B$5,negtgel!U251:BL251)</f>
      </c>
      <c r="H251">
        <f>SUMIF(negtgel!U$2:BL$2,'Tsalin uzuulelt'!F$1,negtgel!U251:BL251) + SUMIF(negtgel!U$2:BL$2,'Tsalin uzuulelt'!F$2,negtgel!U251:BL251)+SUMIF(negtgel!U$2:BL$2,'Tsalin uzuulelt'!F$3,negtgel!U251:BL251)+SUMIF(negtgel!U$2:BL$2,'Tsalin uzuulelt'!F$4,negtgel!U251:BL251)+SUMIF(negtgel!U$2:BL$2,'Tsalin uzuulelt'!F$5,negtgel!U251:BL251)</f>
      </c>
      <c r="I251">
        <f>SUMIF(negtgel!U$2:BL$2,'Tsalin uzuulelt'!H$1,negtgel!U251:BL251) + SUMIF(negtgel!U$2:BL$2,'Tsalin uzuulelt'!H$2,negtgel!U251:BL251)+SUMIF(negtgel!U$2:BL$2,'Tsalin uzuulelt'!H$3,negtgel!U251:BL251)+SUMIF(negtgel!U$2:BL$2,'Tsalin uzuulelt'!H$4,negtgel!U251:BL251)+SUMIF(negtgel!U$2:BL$2,'Tsalin uzuulelt'!H$5,negtgel!U251:BL251)</f>
      </c>
      <c r="J251">
        <f>SUMIF(negtgel!U$2:BL$2,'Tsalin uzuulelt'!J$1,negtgel!U251:BL251) + SUMIF(negtgel!U$2:BL$2,'Tsalin uzuulelt'!J$2,negtgel!U251:BL251)+SUMIF(negtgel!U$2:BL$2,'Tsalin uzuulelt'!J$3,negtgel!U251:BL251)+SUMIF(negtgel!U$2:BL$2,'Tsalin uzuulelt'!J$4,negtgel!U251:BL251)+SUMIF(negtgel!U$2:BL$2,'Tsalin uzuulelt'!J$5,negtgel!U251:BL251)</f>
      </c>
      <c r="K251">
        <f>SUMIF(negtgel!U$2:BL$2,'Tsalin uzuulelt'!L$1,negtgel!U251:BL251) + SUMIF(negtgel!U$2:BL$2,'Tsalin uzuulelt'!L$2,negtgel!U251:BL251)+SUMIF(negtgel!U$2:BL$2,'Tsalin uzuulelt'!L$3,negtgel!U251:BL251)+SUMIF(negtgel!U$2:BL$2,'Tsalin uzuulelt'!L$4,negtgel!U251:BL251)+SUMIF(negtgel!U$2:BL$2,'Tsalin uzuulelt'!L$5,negtgel!U251:BL251)</f>
      </c>
      <c r="L251">
        <f>SUMIF(negtgel!U$2:BL$2,'Tsalin uzuulelt'!N$1,negtgel!U251:BL251) + SUMIF(negtgel!U$2:BL$2,'Tsalin uzuulelt'!N$2,negtgel!U251:BL251)+SUMIF(negtgel!U$2:BL$2,'Tsalin uzuulelt'!N$3,negtgel!U251:BL251)+SUMIF(negtgel!U$2:BL$2,'Tsalin uzuulelt'!N$4,negtgel!U251:BL251)+SUMIF(negtgel!U$2:BL$2,'Tsalin uzuulelt'!N$5,negtgel!U251:BL251)</f>
      </c>
      <c r="M251">
        <f>SUMIF(negtgel!U$2:BL$2,'Tsalin uzuulelt'!P$1,negtgel!U251:BL251) + SUMIF(negtgel!U$2:BL$2,'Tsalin uzuulelt'!P$2,negtgel!U251:BL251)+ SUMIF(negtgel!U$2:BL$2,'Tsalin uzuulelt'!P$3,negtgel!U251:BL251)+ SUMIF(negtgel!U$2:BL$2,'Tsalin uzuulelt'!P$4,negtgel!U251:BL251)+ SUMIF(negtgel!U$2:BL$2,'Tsalin uzuulelt'!P$5,negtgel!U251:BL251)</f>
      </c>
      <c r="N251">
        <f>IF(ISNUMBER(U251*1)=CF251,0,K251-H251-G251)</f>
      </c>
      <c r="O251">
        <f>IF(ISNUMBER(U251*1)=CF251,0,L251)</f>
      </c>
      <c r="P251">
        <f>IF(ISNUMBER(U251*1)=CF251,0,M251)</f>
      </c>
      <c r="Q251">
        <f>IF(N251&gt;2400000,N251,0)</f>
      </c>
      <c r="R251">
        <f>IF(L251/Q251*100&lt;3,2,10)</f>
      </c>
      <c r="S251">
        <f>IF(CH251=0,0,IF(B251&gt;9,10,IF(B251&gt;8,B251,IF(B251&gt;7.7,7.8,IF(B251&gt;3,B251,IF(B251&gt;1.5,2))))))</f>
      </c>
      <c r="T251">
        <f>IF(Q251=0,S251,R251)</f>
      </c>
      <c r="U251" t="n">
        <v>79.0</v>
      </c>
      <c r="V251" t="s">
        <v>3828</v>
      </c>
      <c r="W251" t="s">
        <v>3792</v>
      </c>
      <c r="X251" t="n">
        <v>500784.0</v>
      </c>
      <c r="Y251" t="n">
        <v>250392.0</v>
      </c>
      <c r="Z251" t="n">
        <v>0.0</v>
      </c>
      <c r="AA251" t="n">
        <v>0.0</v>
      </c>
      <c r="AB251" t="n">
        <v>0.0</v>
      </c>
      <c r="AC251" t="n">
        <v>0.0</v>
      </c>
      <c r="AD251" t="n">
        <v>0.0</v>
      </c>
      <c r="AE251" t="n">
        <v>175274.0</v>
      </c>
      <c r="AF251" t="n">
        <v>30000.0</v>
      </c>
      <c r="AG251" t="n">
        <v>0.0</v>
      </c>
      <c r="AH251" t="n">
        <v>0.0</v>
      </c>
      <c r="AI251" t="n">
        <v>0.0</v>
      </c>
      <c r="AJ251" t="n">
        <v>536693.0</v>
      </c>
      <c r="AK251" t="n">
        <v>0.0</v>
      </c>
      <c r="AL251" t="n">
        <v>79474.0</v>
      </c>
      <c r="AM251" t="n">
        <v>0.0</v>
      </c>
      <c r="AN251" t="n">
        <v>0.0</v>
      </c>
      <c r="AO251" t="n">
        <v>1071833.0</v>
      </c>
      <c r="AP251" t="n">
        <v>99236.0</v>
      </c>
      <c r="AQ251" t="n">
        <v>82612.3</v>
      </c>
      <c r="CH251">
        <f>IFERROR(U251*1,0)</f>
      </c>
    </row>
    <row r="252">
      <c r="A252" t="n">
        <v>4.0</v>
      </c>
      <c r="B252">
        <f>IF((K252-G252-H252&gt;2400000),10,(L252/(K252-G252-H252)*100))</f>
      </c>
      <c r="C252">
        <f>IF(N252&gt;2400000,240000,(N252*S252)/100)</f>
      </c>
      <c r="D252">
        <f>IF(S252=0,0,IF((N252-I252)&gt;2400000,((((((N252-I252-J252)-240000))*0.1+(I252+J252)*0.1)))-7000,((((((N252-I252-J252)-(N252-I252-J252)*S252/100)))*0.1+(I252+J252)*0.1)-7000)))</f>
      </c>
      <c r="E252">
        <f>C252-O252</f>
      </c>
      <c r="F252">
        <f>D252-P252</f>
      </c>
      <c r="G252">
        <f>SUMIF(negtgel!U$2:BL$2,'Tsalin uzuulelt'!B$1,negtgel!U252:BL252) + SUMIF(negtgel!U$2:BL$2,'Tsalin uzuulelt'!B$2,negtgel!U252:BL252)+SUMIF(negtgel!U$2:BL$2,'Tsalin uzuulelt'!B$3,negtgel!U252:BL252)+SUMIF(negtgel!U$2:BL$2,'Tsalin uzuulelt'!B$4,negtgel!U252:BL252)+SUMIF(negtgel!U$2:BL$2,'Tsalin uzuulelt'!B$5,negtgel!U252:BL252)</f>
      </c>
      <c r="H252">
        <f>SUMIF(negtgel!U$2:BL$2,'Tsalin uzuulelt'!F$1,negtgel!U252:BL252) + SUMIF(negtgel!U$2:BL$2,'Tsalin uzuulelt'!F$2,negtgel!U252:BL252)+SUMIF(negtgel!U$2:BL$2,'Tsalin uzuulelt'!F$3,negtgel!U252:BL252)+SUMIF(negtgel!U$2:BL$2,'Tsalin uzuulelt'!F$4,negtgel!U252:BL252)+SUMIF(negtgel!U$2:BL$2,'Tsalin uzuulelt'!F$5,negtgel!U252:BL252)</f>
      </c>
      <c r="I252">
        <f>SUMIF(negtgel!U$2:BL$2,'Tsalin uzuulelt'!H$1,negtgel!U252:BL252) + SUMIF(negtgel!U$2:BL$2,'Tsalin uzuulelt'!H$2,negtgel!U252:BL252)+SUMIF(negtgel!U$2:BL$2,'Tsalin uzuulelt'!H$3,negtgel!U252:BL252)+SUMIF(negtgel!U$2:BL$2,'Tsalin uzuulelt'!H$4,negtgel!U252:BL252)+SUMIF(negtgel!U$2:BL$2,'Tsalin uzuulelt'!H$5,negtgel!U252:BL252)</f>
      </c>
      <c r="J252">
        <f>SUMIF(negtgel!U$2:BL$2,'Tsalin uzuulelt'!J$1,negtgel!U252:BL252) + SUMIF(negtgel!U$2:BL$2,'Tsalin uzuulelt'!J$2,negtgel!U252:BL252)+SUMIF(negtgel!U$2:BL$2,'Tsalin uzuulelt'!J$3,negtgel!U252:BL252)+SUMIF(negtgel!U$2:BL$2,'Tsalin uzuulelt'!J$4,negtgel!U252:BL252)+SUMIF(negtgel!U$2:BL$2,'Tsalin uzuulelt'!J$5,negtgel!U252:BL252)</f>
      </c>
      <c r="K252">
        <f>SUMIF(negtgel!U$2:BL$2,'Tsalin uzuulelt'!L$1,negtgel!U252:BL252) + SUMIF(negtgel!U$2:BL$2,'Tsalin uzuulelt'!L$2,negtgel!U252:BL252)+SUMIF(negtgel!U$2:BL$2,'Tsalin uzuulelt'!L$3,negtgel!U252:BL252)+SUMIF(negtgel!U$2:BL$2,'Tsalin uzuulelt'!L$4,negtgel!U252:BL252)+SUMIF(negtgel!U$2:BL$2,'Tsalin uzuulelt'!L$5,negtgel!U252:BL252)</f>
      </c>
      <c r="L252">
        <f>SUMIF(negtgel!U$2:BL$2,'Tsalin uzuulelt'!N$1,negtgel!U252:BL252) + SUMIF(negtgel!U$2:BL$2,'Tsalin uzuulelt'!N$2,negtgel!U252:BL252)+SUMIF(negtgel!U$2:BL$2,'Tsalin uzuulelt'!N$3,negtgel!U252:BL252)+SUMIF(negtgel!U$2:BL$2,'Tsalin uzuulelt'!N$4,negtgel!U252:BL252)+SUMIF(negtgel!U$2:BL$2,'Tsalin uzuulelt'!N$5,negtgel!U252:BL252)</f>
      </c>
      <c r="M252">
        <f>SUMIF(negtgel!U$2:BL$2,'Tsalin uzuulelt'!P$1,negtgel!U252:BL252) + SUMIF(negtgel!U$2:BL$2,'Tsalin uzuulelt'!P$2,negtgel!U252:BL252)+ SUMIF(negtgel!U$2:BL$2,'Tsalin uzuulelt'!P$3,negtgel!U252:BL252)+ SUMIF(negtgel!U$2:BL$2,'Tsalin uzuulelt'!P$4,negtgel!U252:BL252)+ SUMIF(negtgel!U$2:BL$2,'Tsalin uzuulelt'!P$5,negtgel!U252:BL252)</f>
      </c>
      <c r="N252">
        <f>IF(ISNUMBER(U252*1)=CF252,0,K252-H252-G252)</f>
      </c>
      <c r="O252">
        <f>IF(ISNUMBER(U252*1)=CF252,0,L252)</f>
      </c>
      <c r="P252">
        <f>IF(ISNUMBER(U252*1)=CF252,0,M252)</f>
      </c>
      <c r="Q252">
        <f>IF(N252&gt;2400000,N252,0)</f>
      </c>
      <c r="R252">
        <f>IF(L252/Q252*100&lt;3,2,10)</f>
      </c>
      <c r="S252">
        <f>IF(CH252=0,0,IF(B252&gt;9,10,IF(B252&gt;8,B252,IF(B252&gt;7.7,7.8,IF(B252&gt;3,B252,IF(B252&gt;1.5,2))))))</f>
      </c>
      <c r="T252">
        <f>IF(Q252=0,S252,R252)</f>
      </c>
      <c r="U252" t="n">
        <v>80.0</v>
      </c>
      <c r="V252" t="s">
        <v>3829</v>
      </c>
      <c r="W252" t="s">
        <v>3792</v>
      </c>
      <c r="X252" t="n">
        <v>496912.0</v>
      </c>
      <c r="Y252" t="n">
        <v>496912.0</v>
      </c>
      <c r="Z252" t="n">
        <v>0.0</v>
      </c>
      <c r="AA252" t="n">
        <v>0.0</v>
      </c>
      <c r="AB252" t="n">
        <v>0.0</v>
      </c>
      <c r="AC252" t="n">
        <v>0.0</v>
      </c>
      <c r="AD252" t="n">
        <v>0.0</v>
      </c>
      <c r="AE252" t="n">
        <v>183013.0</v>
      </c>
      <c r="AF252" t="n">
        <v>60000.0</v>
      </c>
      <c r="AG252" t="n">
        <v>0.0</v>
      </c>
      <c r="AH252" t="n">
        <v>0.0</v>
      </c>
      <c r="AI252" t="n">
        <v>0.0</v>
      </c>
      <c r="AJ252" t="n">
        <v>0.0</v>
      </c>
      <c r="AK252" t="n">
        <v>0.0</v>
      </c>
      <c r="AL252" t="n">
        <v>0.0</v>
      </c>
      <c r="AM252" t="n">
        <v>0.0</v>
      </c>
      <c r="AN252" t="n">
        <v>0.0</v>
      </c>
      <c r="AO252" t="n">
        <v>739925.0</v>
      </c>
      <c r="AP252" t="n">
        <v>73992.0</v>
      </c>
      <c r="AQ252" t="n">
        <v>60193.2</v>
      </c>
      <c r="CH252">
        <f>IFERROR(U252*1,0)</f>
      </c>
    </row>
    <row r="253">
      <c r="A253" t="n">
        <v>4.0</v>
      </c>
      <c r="B253">
        <f>IF((K253-G253-H253&gt;2400000),10,(L253/(K253-G253-H253)*100))</f>
      </c>
      <c r="C253">
        <f>IF(N253&gt;2400000,240000,(N253*S253)/100)</f>
      </c>
      <c r="D253">
        <f>IF(S253=0,0,IF((N253-I253)&gt;2400000,((((((N253-I253-J253)-240000))*0.1+(I253+J253)*0.1)))-7000,((((((N253-I253-J253)-(N253-I253-J253)*S253/100)))*0.1+(I253+J253)*0.1)-7000)))</f>
      </c>
      <c r="E253">
        <f>C253-O253</f>
      </c>
      <c r="F253">
        <f>D253-P253</f>
      </c>
      <c r="G253">
        <f>SUMIF(negtgel!U$2:BL$2,'Tsalin uzuulelt'!B$1,negtgel!U253:BL253) + SUMIF(negtgel!U$2:BL$2,'Tsalin uzuulelt'!B$2,negtgel!U253:BL253)+SUMIF(negtgel!U$2:BL$2,'Tsalin uzuulelt'!B$3,negtgel!U253:BL253)+SUMIF(negtgel!U$2:BL$2,'Tsalin uzuulelt'!B$4,negtgel!U253:BL253)+SUMIF(negtgel!U$2:BL$2,'Tsalin uzuulelt'!B$5,negtgel!U253:BL253)</f>
      </c>
      <c r="H253">
        <f>SUMIF(negtgel!U$2:BL$2,'Tsalin uzuulelt'!F$1,negtgel!U253:BL253) + SUMIF(negtgel!U$2:BL$2,'Tsalin uzuulelt'!F$2,negtgel!U253:BL253)+SUMIF(negtgel!U$2:BL$2,'Tsalin uzuulelt'!F$3,negtgel!U253:BL253)+SUMIF(negtgel!U$2:BL$2,'Tsalin uzuulelt'!F$4,negtgel!U253:BL253)+SUMIF(negtgel!U$2:BL$2,'Tsalin uzuulelt'!F$5,negtgel!U253:BL253)</f>
      </c>
      <c r="I253">
        <f>SUMIF(negtgel!U$2:BL$2,'Tsalin uzuulelt'!H$1,negtgel!U253:BL253) + SUMIF(negtgel!U$2:BL$2,'Tsalin uzuulelt'!H$2,negtgel!U253:BL253)+SUMIF(negtgel!U$2:BL$2,'Tsalin uzuulelt'!H$3,negtgel!U253:BL253)+SUMIF(negtgel!U$2:BL$2,'Tsalin uzuulelt'!H$4,negtgel!U253:BL253)+SUMIF(negtgel!U$2:BL$2,'Tsalin uzuulelt'!H$5,negtgel!U253:BL253)</f>
      </c>
      <c r="J253">
        <f>SUMIF(negtgel!U$2:BL$2,'Tsalin uzuulelt'!J$1,negtgel!U253:BL253) + SUMIF(negtgel!U$2:BL$2,'Tsalin uzuulelt'!J$2,negtgel!U253:BL253)+SUMIF(negtgel!U$2:BL$2,'Tsalin uzuulelt'!J$3,negtgel!U253:BL253)+SUMIF(negtgel!U$2:BL$2,'Tsalin uzuulelt'!J$4,negtgel!U253:BL253)+SUMIF(negtgel!U$2:BL$2,'Tsalin uzuulelt'!J$5,negtgel!U253:BL253)</f>
      </c>
      <c r="K253">
        <f>SUMIF(negtgel!U$2:BL$2,'Tsalin uzuulelt'!L$1,negtgel!U253:BL253) + SUMIF(negtgel!U$2:BL$2,'Tsalin uzuulelt'!L$2,negtgel!U253:BL253)+SUMIF(negtgel!U$2:BL$2,'Tsalin uzuulelt'!L$3,negtgel!U253:BL253)+SUMIF(negtgel!U$2:BL$2,'Tsalin uzuulelt'!L$4,negtgel!U253:BL253)+SUMIF(negtgel!U$2:BL$2,'Tsalin uzuulelt'!L$5,negtgel!U253:BL253)</f>
      </c>
      <c r="L253">
        <f>SUMIF(negtgel!U$2:BL$2,'Tsalin uzuulelt'!N$1,negtgel!U253:BL253) + SUMIF(negtgel!U$2:BL$2,'Tsalin uzuulelt'!N$2,negtgel!U253:BL253)+SUMIF(negtgel!U$2:BL$2,'Tsalin uzuulelt'!N$3,negtgel!U253:BL253)+SUMIF(negtgel!U$2:BL$2,'Tsalin uzuulelt'!N$4,negtgel!U253:BL253)+SUMIF(negtgel!U$2:BL$2,'Tsalin uzuulelt'!N$5,negtgel!U253:BL253)</f>
      </c>
      <c r="M253">
        <f>SUMIF(negtgel!U$2:BL$2,'Tsalin uzuulelt'!P$1,negtgel!U253:BL253) + SUMIF(negtgel!U$2:BL$2,'Tsalin uzuulelt'!P$2,negtgel!U253:BL253)+ SUMIF(negtgel!U$2:BL$2,'Tsalin uzuulelt'!P$3,negtgel!U253:BL253)+ SUMIF(negtgel!U$2:BL$2,'Tsalin uzuulelt'!P$4,negtgel!U253:BL253)+ SUMIF(negtgel!U$2:BL$2,'Tsalin uzuulelt'!P$5,negtgel!U253:BL253)</f>
      </c>
      <c r="N253">
        <f>IF(ISNUMBER(U253*1)=CF253,0,K253-H253-G253)</f>
      </c>
      <c r="O253">
        <f>IF(ISNUMBER(U253*1)=CF253,0,L253)</f>
      </c>
      <c r="P253">
        <f>IF(ISNUMBER(U253*1)=CF253,0,M253)</f>
      </c>
      <c r="Q253">
        <f>IF(N253&gt;2400000,N253,0)</f>
      </c>
      <c r="R253">
        <f>IF(L253/Q253*100&lt;3,2,10)</f>
      </c>
      <c r="S253">
        <f>IF(CH253=0,0,IF(B253&gt;9,10,IF(B253&gt;8,B253,IF(B253&gt;7.7,7.8,IF(B253&gt;3,B253,IF(B253&gt;1.5,2))))))</f>
      </c>
      <c r="T253">
        <f>IF(Q253=0,S253,R253)</f>
      </c>
      <c r="U253" t="n">
        <v>81.0</v>
      </c>
      <c r="V253" t="s">
        <v>3831</v>
      </c>
      <c r="W253" t="s">
        <v>3820</v>
      </c>
      <c r="X253" t="n">
        <v>627465.0</v>
      </c>
      <c r="Y253" t="n">
        <v>627465.0</v>
      </c>
      <c r="Z253" t="n">
        <v>62746.0</v>
      </c>
      <c r="AA253" t="n">
        <v>94120.0</v>
      </c>
      <c r="AB253" t="n">
        <v>0.0</v>
      </c>
      <c r="AC253" t="n">
        <v>0.0</v>
      </c>
      <c r="AD253" t="n">
        <v>0.0</v>
      </c>
      <c r="AE253" t="n">
        <v>222750.0</v>
      </c>
      <c r="AF253" t="n">
        <v>60000.0</v>
      </c>
      <c r="AG253" t="n">
        <v>0.0</v>
      </c>
      <c r="AH253" t="n">
        <v>0.0</v>
      </c>
      <c r="AI253" t="n">
        <v>0.0</v>
      </c>
      <c r="AJ253" t="n">
        <v>0.0</v>
      </c>
      <c r="AK253" t="n">
        <v>0.0</v>
      </c>
      <c r="AL253" t="n">
        <v>0.0</v>
      </c>
      <c r="AM253" t="n">
        <v>0.0</v>
      </c>
      <c r="AN253" t="n">
        <v>0.0</v>
      </c>
      <c r="AO253" t="n">
        <v>1067081.0</v>
      </c>
      <c r="AP253" t="n">
        <v>106709.0</v>
      </c>
      <c r="AQ253" t="n">
        <v>89637.3</v>
      </c>
      <c r="CH253">
        <f>IFERROR(U253*1,0)</f>
      </c>
    </row>
    <row r="254">
      <c r="A254" t="n">
        <v>4.0</v>
      </c>
      <c r="B254">
        <f>IF((K254-G254-H254&gt;2400000),10,(L254/(K254-G254-H254)*100))</f>
      </c>
      <c r="C254">
        <f>IF(N254&gt;2400000,240000,(N254*S254)/100)</f>
      </c>
      <c r="D254">
        <f>IF(S254=0,0,IF((N254-I254)&gt;2400000,((((((N254-I254-J254)-240000))*0.1+(I254+J254)*0.1)))-7000,((((((N254-I254-J254)-(N254-I254-J254)*S254/100)))*0.1+(I254+J254)*0.1)-7000)))</f>
      </c>
      <c r="E254">
        <f>C254-O254</f>
      </c>
      <c r="F254">
        <f>D254-P254</f>
      </c>
      <c r="G254">
        <f>SUMIF(negtgel!U$2:BL$2,'Tsalin uzuulelt'!B$1,negtgel!U254:BL254) + SUMIF(negtgel!U$2:BL$2,'Tsalin uzuulelt'!B$2,negtgel!U254:BL254)+SUMIF(negtgel!U$2:BL$2,'Tsalin uzuulelt'!B$3,negtgel!U254:BL254)+SUMIF(negtgel!U$2:BL$2,'Tsalin uzuulelt'!B$4,negtgel!U254:BL254)+SUMIF(negtgel!U$2:BL$2,'Tsalin uzuulelt'!B$5,negtgel!U254:BL254)</f>
      </c>
      <c r="H254">
        <f>SUMIF(negtgel!U$2:BL$2,'Tsalin uzuulelt'!F$1,negtgel!U254:BL254) + SUMIF(negtgel!U$2:BL$2,'Tsalin uzuulelt'!F$2,negtgel!U254:BL254)+SUMIF(negtgel!U$2:BL$2,'Tsalin uzuulelt'!F$3,negtgel!U254:BL254)+SUMIF(negtgel!U$2:BL$2,'Tsalin uzuulelt'!F$4,negtgel!U254:BL254)+SUMIF(negtgel!U$2:BL$2,'Tsalin uzuulelt'!F$5,negtgel!U254:BL254)</f>
      </c>
      <c r="I254">
        <f>SUMIF(negtgel!U$2:BL$2,'Tsalin uzuulelt'!H$1,negtgel!U254:BL254) + SUMIF(negtgel!U$2:BL$2,'Tsalin uzuulelt'!H$2,negtgel!U254:BL254)+SUMIF(negtgel!U$2:BL$2,'Tsalin uzuulelt'!H$3,negtgel!U254:BL254)+SUMIF(negtgel!U$2:BL$2,'Tsalin uzuulelt'!H$4,negtgel!U254:BL254)+SUMIF(negtgel!U$2:BL$2,'Tsalin uzuulelt'!H$5,negtgel!U254:BL254)</f>
      </c>
      <c r="J254">
        <f>SUMIF(negtgel!U$2:BL$2,'Tsalin uzuulelt'!J$1,negtgel!U254:BL254) + SUMIF(negtgel!U$2:BL$2,'Tsalin uzuulelt'!J$2,negtgel!U254:BL254)+SUMIF(negtgel!U$2:BL$2,'Tsalin uzuulelt'!J$3,negtgel!U254:BL254)+SUMIF(negtgel!U$2:BL$2,'Tsalin uzuulelt'!J$4,negtgel!U254:BL254)+SUMIF(negtgel!U$2:BL$2,'Tsalin uzuulelt'!J$5,negtgel!U254:BL254)</f>
      </c>
      <c r="K254">
        <f>SUMIF(negtgel!U$2:BL$2,'Tsalin uzuulelt'!L$1,negtgel!U254:BL254) + SUMIF(negtgel!U$2:BL$2,'Tsalin uzuulelt'!L$2,negtgel!U254:BL254)+SUMIF(negtgel!U$2:BL$2,'Tsalin uzuulelt'!L$3,negtgel!U254:BL254)+SUMIF(negtgel!U$2:BL$2,'Tsalin uzuulelt'!L$4,negtgel!U254:BL254)+SUMIF(negtgel!U$2:BL$2,'Tsalin uzuulelt'!L$5,negtgel!U254:BL254)</f>
      </c>
      <c r="L254">
        <f>SUMIF(negtgel!U$2:BL$2,'Tsalin uzuulelt'!N$1,negtgel!U254:BL254) + SUMIF(negtgel!U$2:BL$2,'Tsalin uzuulelt'!N$2,negtgel!U254:BL254)+SUMIF(negtgel!U$2:BL$2,'Tsalin uzuulelt'!N$3,negtgel!U254:BL254)+SUMIF(negtgel!U$2:BL$2,'Tsalin uzuulelt'!N$4,negtgel!U254:BL254)+SUMIF(negtgel!U$2:BL$2,'Tsalin uzuulelt'!N$5,negtgel!U254:BL254)</f>
      </c>
      <c r="M254">
        <f>SUMIF(negtgel!U$2:BL$2,'Tsalin uzuulelt'!P$1,negtgel!U254:BL254) + SUMIF(negtgel!U$2:BL$2,'Tsalin uzuulelt'!P$2,negtgel!U254:BL254)+ SUMIF(negtgel!U$2:BL$2,'Tsalin uzuulelt'!P$3,negtgel!U254:BL254)+ SUMIF(negtgel!U$2:BL$2,'Tsalin uzuulelt'!P$4,negtgel!U254:BL254)+ SUMIF(negtgel!U$2:BL$2,'Tsalin uzuulelt'!P$5,negtgel!U254:BL254)</f>
      </c>
      <c r="N254">
        <f>IF(ISNUMBER(U254*1)=CF254,0,K254-H254-G254)</f>
      </c>
      <c r="O254">
        <f>IF(ISNUMBER(U254*1)=CF254,0,L254)</f>
      </c>
      <c r="P254">
        <f>IF(ISNUMBER(U254*1)=CF254,0,M254)</f>
      </c>
      <c r="Q254">
        <f>IF(N254&gt;2400000,N254,0)</f>
      </c>
      <c r="R254">
        <f>IF(L254/Q254*100&lt;3,2,10)</f>
      </c>
      <c r="S254">
        <f>IF(CH254=0,0,IF(B254&gt;9,10,IF(B254&gt;8,B254,IF(B254&gt;7.7,7.8,IF(B254&gt;3,B254,IF(B254&gt;1.5,2))))))</f>
      </c>
      <c r="T254">
        <f>IF(Q254=0,S254,R254)</f>
      </c>
      <c r="U254" t="n">
        <v>82.0</v>
      </c>
      <c r="V254" t="s">
        <v>3833</v>
      </c>
      <c r="W254" t="s">
        <v>3790</v>
      </c>
      <c r="X254" t="n">
        <v>613669.0</v>
      </c>
      <c r="Y254" t="n">
        <v>613669.0</v>
      </c>
      <c r="Z254" t="n">
        <v>92050.0</v>
      </c>
      <c r="AA254" t="n">
        <v>104324.0</v>
      </c>
      <c r="AB254" t="n">
        <v>0.0</v>
      </c>
      <c r="AC254" t="n">
        <v>0.0</v>
      </c>
      <c r="AD254" t="n">
        <v>0.0</v>
      </c>
      <c r="AE254" t="n">
        <v>214784.0</v>
      </c>
      <c r="AF254" t="n">
        <v>60000.0</v>
      </c>
      <c r="AG254" t="n">
        <v>0.0</v>
      </c>
      <c r="AH254" t="n">
        <v>0.0</v>
      </c>
      <c r="AI254" t="n">
        <v>0.0</v>
      </c>
      <c r="AJ254" t="n">
        <v>0.0</v>
      </c>
      <c r="AK254" t="n">
        <v>0.0</v>
      </c>
      <c r="AL254" t="n">
        <v>0.0</v>
      </c>
      <c r="AM254" t="n">
        <v>0.0</v>
      </c>
      <c r="AN254" t="n">
        <v>0.0</v>
      </c>
      <c r="AO254" t="n">
        <v>1084827.0</v>
      </c>
      <c r="AP254" t="n">
        <v>108484.0</v>
      </c>
      <c r="AQ254" t="n">
        <v>91234.4</v>
      </c>
      <c r="CH254">
        <f>IFERROR(U254*1,0)</f>
      </c>
    </row>
    <row r="255">
      <c r="A255" t="n">
        <v>4.0</v>
      </c>
      <c r="B255">
        <f>IF((K255-G255-H255&gt;2400000),10,(L255/(K255-G255-H255)*100))</f>
      </c>
      <c r="C255">
        <f>IF(N255&gt;2400000,240000,(N255*S255)/100)</f>
      </c>
      <c r="D255">
        <f>IF(S255=0,0,IF((N255-I255)&gt;2400000,((((((N255-I255-J255)-240000))*0.1+(I255+J255)*0.1)))-7000,((((((N255-I255-J255)-(N255-I255-J255)*S255/100)))*0.1+(I255+J255)*0.1)-7000)))</f>
      </c>
      <c r="E255">
        <f>C255-O255</f>
      </c>
      <c r="F255">
        <f>D255-P255</f>
      </c>
      <c r="G255">
        <f>SUMIF(negtgel!U$2:BL$2,'Tsalin uzuulelt'!B$1,negtgel!U255:BL255) + SUMIF(negtgel!U$2:BL$2,'Tsalin uzuulelt'!B$2,negtgel!U255:BL255)+SUMIF(negtgel!U$2:BL$2,'Tsalin uzuulelt'!B$3,negtgel!U255:BL255)+SUMIF(negtgel!U$2:BL$2,'Tsalin uzuulelt'!B$4,negtgel!U255:BL255)+SUMIF(negtgel!U$2:BL$2,'Tsalin uzuulelt'!B$5,negtgel!U255:BL255)</f>
      </c>
      <c r="H255">
        <f>SUMIF(negtgel!U$2:BL$2,'Tsalin uzuulelt'!F$1,negtgel!U255:BL255) + SUMIF(negtgel!U$2:BL$2,'Tsalin uzuulelt'!F$2,negtgel!U255:BL255)+SUMIF(negtgel!U$2:BL$2,'Tsalin uzuulelt'!F$3,negtgel!U255:BL255)+SUMIF(negtgel!U$2:BL$2,'Tsalin uzuulelt'!F$4,negtgel!U255:BL255)+SUMIF(negtgel!U$2:BL$2,'Tsalin uzuulelt'!F$5,negtgel!U255:BL255)</f>
      </c>
      <c r="I255">
        <f>SUMIF(negtgel!U$2:BL$2,'Tsalin uzuulelt'!H$1,negtgel!U255:BL255) + SUMIF(negtgel!U$2:BL$2,'Tsalin uzuulelt'!H$2,negtgel!U255:BL255)+SUMIF(negtgel!U$2:BL$2,'Tsalin uzuulelt'!H$3,negtgel!U255:BL255)+SUMIF(negtgel!U$2:BL$2,'Tsalin uzuulelt'!H$4,negtgel!U255:BL255)+SUMIF(negtgel!U$2:BL$2,'Tsalin uzuulelt'!H$5,negtgel!U255:BL255)</f>
      </c>
      <c r="J255">
        <f>SUMIF(negtgel!U$2:BL$2,'Tsalin uzuulelt'!J$1,negtgel!U255:BL255) + SUMIF(negtgel!U$2:BL$2,'Tsalin uzuulelt'!J$2,negtgel!U255:BL255)+SUMIF(negtgel!U$2:BL$2,'Tsalin uzuulelt'!J$3,negtgel!U255:BL255)+SUMIF(negtgel!U$2:BL$2,'Tsalin uzuulelt'!J$4,negtgel!U255:BL255)+SUMIF(negtgel!U$2:BL$2,'Tsalin uzuulelt'!J$5,negtgel!U255:BL255)</f>
      </c>
      <c r="K255">
        <f>SUMIF(negtgel!U$2:BL$2,'Tsalin uzuulelt'!L$1,negtgel!U255:BL255) + SUMIF(negtgel!U$2:BL$2,'Tsalin uzuulelt'!L$2,negtgel!U255:BL255)+SUMIF(negtgel!U$2:BL$2,'Tsalin uzuulelt'!L$3,negtgel!U255:BL255)+SUMIF(negtgel!U$2:BL$2,'Tsalin uzuulelt'!L$4,negtgel!U255:BL255)+SUMIF(negtgel!U$2:BL$2,'Tsalin uzuulelt'!L$5,negtgel!U255:BL255)</f>
      </c>
      <c r="L255">
        <f>SUMIF(negtgel!U$2:BL$2,'Tsalin uzuulelt'!N$1,negtgel!U255:BL255) + SUMIF(negtgel!U$2:BL$2,'Tsalin uzuulelt'!N$2,negtgel!U255:BL255)+SUMIF(negtgel!U$2:BL$2,'Tsalin uzuulelt'!N$3,negtgel!U255:BL255)+SUMIF(negtgel!U$2:BL$2,'Tsalin uzuulelt'!N$4,negtgel!U255:BL255)+SUMIF(negtgel!U$2:BL$2,'Tsalin uzuulelt'!N$5,negtgel!U255:BL255)</f>
      </c>
      <c r="M255">
        <f>SUMIF(negtgel!U$2:BL$2,'Tsalin uzuulelt'!P$1,negtgel!U255:BL255) + SUMIF(negtgel!U$2:BL$2,'Tsalin uzuulelt'!P$2,negtgel!U255:BL255)+ SUMIF(negtgel!U$2:BL$2,'Tsalin uzuulelt'!P$3,negtgel!U255:BL255)+ SUMIF(negtgel!U$2:BL$2,'Tsalin uzuulelt'!P$4,negtgel!U255:BL255)+ SUMIF(negtgel!U$2:BL$2,'Tsalin uzuulelt'!P$5,negtgel!U255:BL255)</f>
      </c>
      <c r="N255">
        <f>IF(ISNUMBER(U255*1)=CF255,0,K255-H255-G255)</f>
      </c>
      <c r="O255">
        <f>IF(ISNUMBER(U255*1)=CF255,0,L255)</f>
      </c>
      <c r="P255">
        <f>IF(ISNUMBER(U255*1)=CF255,0,M255)</f>
      </c>
      <c r="Q255">
        <f>IF(N255&gt;2400000,N255,0)</f>
      </c>
      <c r="R255">
        <f>IF(L255/Q255*100&lt;3,2,10)</f>
      </c>
      <c r="S255">
        <f>IF(CH255=0,0,IF(B255&gt;9,10,IF(B255&gt;8,B255,IF(B255&gt;7.7,7.8,IF(B255&gt;3,B255,IF(B255&gt;1.5,2))))))</f>
      </c>
      <c r="T255">
        <f>IF(Q255=0,S255,R255)</f>
      </c>
      <c r="U255" t="n">
        <v>83.0</v>
      </c>
      <c r="V255" t="s">
        <v>3834</v>
      </c>
      <c r="W255" t="s">
        <v>3792</v>
      </c>
      <c r="X255" t="n">
        <v>510623.0</v>
      </c>
      <c r="Y255" t="n">
        <v>0.0</v>
      </c>
      <c r="Z255" t="n">
        <v>0.0</v>
      </c>
      <c r="AA255" t="n">
        <v>0.0</v>
      </c>
      <c r="AB255" t="n">
        <v>0.0</v>
      </c>
      <c r="AC255" t="n">
        <v>0.0</v>
      </c>
      <c r="AD255" t="n">
        <v>0.0</v>
      </c>
      <c r="AE255" t="n">
        <v>0.0</v>
      </c>
      <c r="AF255" t="n">
        <v>0.0</v>
      </c>
      <c r="AG255" t="n">
        <v>0.0</v>
      </c>
      <c r="AH255" t="n">
        <v>0.0</v>
      </c>
      <c r="AI255" t="n">
        <v>0.0</v>
      </c>
      <c r="AJ255" t="n">
        <v>0.0</v>
      </c>
      <c r="AK255" t="n">
        <v>0.0</v>
      </c>
      <c r="AL255" t="n">
        <v>0.0</v>
      </c>
      <c r="AM255" t="n">
        <v>0.0</v>
      </c>
      <c r="AN255" t="n">
        <v>0.0</v>
      </c>
      <c r="AO255" t="n">
        <v>0.0</v>
      </c>
      <c r="AP255" t="n">
        <v>0.0</v>
      </c>
      <c r="AQ255" t="n">
        <v>0.0</v>
      </c>
      <c r="CH255">
        <f>IFERROR(U255*1,0)</f>
      </c>
    </row>
    <row r="256">
      <c r="A256" t="n">
        <v>4.0</v>
      </c>
      <c r="B256">
        <f>IF((K256-G256-H256&gt;2400000),10,(L256/(K256-G256-H256)*100))</f>
      </c>
      <c r="C256">
        <f>IF(N256&gt;2400000,240000,(N256*S256)/100)</f>
      </c>
      <c r="D256">
        <f>IF(S256=0,0,IF((N256-I256)&gt;2400000,((((((N256-I256-J256)-240000))*0.1+(I256+J256)*0.1)))-7000,((((((N256-I256-J256)-(N256-I256-J256)*S256/100)))*0.1+(I256+J256)*0.1)-7000)))</f>
      </c>
      <c r="E256">
        <f>C256-O256</f>
      </c>
      <c r="F256">
        <f>D256-P256</f>
      </c>
      <c r="G256">
        <f>SUMIF(negtgel!U$2:BL$2,'Tsalin uzuulelt'!B$1,negtgel!U256:BL256) + SUMIF(negtgel!U$2:BL$2,'Tsalin uzuulelt'!B$2,negtgel!U256:BL256)+SUMIF(negtgel!U$2:BL$2,'Tsalin uzuulelt'!B$3,negtgel!U256:BL256)+SUMIF(negtgel!U$2:BL$2,'Tsalin uzuulelt'!B$4,negtgel!U256:BL256)+SUMIF(negtgel!U$2:BL$2,'Tsalin uzuulelt'!B$5,negtgel!U256:BL256)</f>
      </c>
      <c r="H256">
        <f>SUMIF(negtgel!U$2:BL$2,'Tsalin uzuulelt'!F$1,negtgel!U256:BL256) + SUMIF(negtgel!U$2:BL$2,'Tsalin uzuulelt'!F$2,negtgel!U256:BL256)+SUMIF(negtgel!U$2:BL$2,'Tsalin uzuulelt'!F$3,negtgel!U256:BL256)+SUMIF(negtgel!U$2:BL$2,'Tsalin uzuulelt'!F$4,negtgel!U256:BL256)+SUMIF(negtgel!U$2:BL$2,'Tsalin uzuulelt'!F$5,negtgel!U256:BL256)</f>
      </c>
      <c r="I256">
        <f>SUMIF(negtgel!U$2:BL$2,'Tsalin uzuulelt'!H$1,negtgel!U256:BL256) + SUMIF(negtgel!U$2:BL$2,'Tsalin uzuulelt'!H$2,negtgel!U256:BL256)+SUMIF(negtgel!U$2:BL$2,'Tsalin uzuulelt'!H$3,negtgel!U256:BL256)+SUMIF(negtgel!U$2:BL$2,'Tsalin uzuulelt'!H$4,negtgel!U256:BL256)+SUMIF(negtgel!U$2:BL$2,'Tsalin uzuulelt'!H$5,negtgel!U256:BL256)</f>
      </c>
      <c r="J256">
        <f>SUMIF(negtgel!U$2:BL$2,'Tsalin uzuulelt'!J$1,negtgel!U256:BL256) + SUMIF(negtgel!U$2:BL$2,'Tsalin uzuulelt'!J$2,negtgel!U256:BL256)+SUMIF(negtgel!U$2:BL$2,'Tsalin uzuulelt'!J$3,negtgel!U256:BL256)+SUMIF(negtgel!U$2:BL$2,'Tsalin uzuulelt'!J$4,negtgel!U256:BL256)+SUMIF(negtgel!U$2:BL$2,'Tsalin uzuulelt'!J$5,negtgel!U256:BL256)</f>
      </c>
      <c r="K256">
        <f>SUMIF(negtgel!U$2:BL$2,'Tsalin uzuulelt'!L$1,negtgel!U256:BL256) + SUMIF(negtgel!U$2:BL$2,'Tsalin uzuulelt'!L$2,negtgel!U256:BL256)+SUMIF(negtgel!U$2:BL$2,'Tsalin uzuulelt'!L$3,negtgel!U256:BL256)+SUMIF(negtgel!U$2:BL$2,'Tsalin uzuulelt'!L$4,negtgel!U256:BL256)+SUMIF(negtgel!U$2:BL$2,'Tsalin uzuulelt'!L$5,negtgel!U256:BL256)</f>
      </c>
      <c r="L256">
        <f>SUMIF(negtgel!U$2:BL$2,'Tsalin uzuulelt'!N$1,negtgel!U256:BL256) + SUMIF(negtgel!U$2:BL$2,'Tsalin uzuulelt'!N$2,negtgel!U256:BL256)+SUMIF(negtgel!U$2:BL$2,'Tsalin uzuulelt'!N$3,negtgel!U256:BL256)+SUMIF(negtgel!U$2:BL$2,'Tsalin uzuulelt'!N$4,negtgel!U256:BL256)+SUMIF(negtgel!U$2:BL$2,'Tsalin uzuulelt'!N$5,negtgel!U256:BL256)</f>
      </c>
      <c r="M256">
        <f>SUMIF(negtgel!U$2:BL$2,'Tsalin uzuulelt'!P$1,negtgel!U256:BL256) + SUMIF(negtgel!U$2:BL$2,'Tsalin uzuulelt'!P$2,negtgel!U256:BL256)+ SUMIF(negtgel!U$2:BL$2,'Tsalin uzuulelt'!P$3,negtgel!U256:BL256)+ SUMIF(negtgel!U$2:BL$2,'Tsalin uzuulelt'!P$4,negtgel!U256:BL256)+ SUMIF(negtgel!U$2:BL$2,'Tsalin uzuulelt'!P$5,negtgel!U256:BL256)</f>
      </c>
      <c r="N256">
        <f>IF(ISNUMBER(U256*1)=CF256,0,K256-H256-G256)</f>
      </c>
      <c r="O256">
        <f>IF(ISNUMBER(U256*1)=CF256,0,L256)</f>
      </c>
      <c r="P256">
        <f>IF(ISNUMBER(U256*1)=CF256,0,M256)</f>
      </c>
      <c r="Q256">
        <f>IF(N256&gt;2400000,N256,0)</f>
      </c>
      <c r="R256">
        <f>IF(L256/Q256*100&lt;3,2,10)</f>
      </c>
      <c r="S256">
        <f>IF(CH256=0,0,IF(B256&gt;9,10,IF(B256&gt;8,B256,IF(B256&gt;7.7,7.8,IF(B256&gt;3,B256,IF(B256&gt;1.5,2))))))</f>
      </c>
      <c r="T256">
        <f>IF(Q256=0,S256,R256)</f>
      </c>
      <c r="U256" t="n">
        <v>84.0</v>
      </c>
      <c r="V256" t="s">
        <v>3835</v>
      </c>
      <c r="W256" t="s">
        <v>3790</v>
      </c>
      <c r="X256" t="n">
        <v>580710.0</v>
      </c>
      <c r="Y256" t="n">
        <v>580710.0</v>
      </c>
      <c r="Z256" t="n">
        <v>29036.0</v>
      </c>
      <c r="AA256" t="n">
        <v>0.0</v>
      </c>
      <c r="AB256" t="n">
        <v>0.0</v>
      </c>
      <c r="AC256" t="n">
        <v>0.0</v>
      </c>
      <c r="AD256" t="n">
        <v>0.0</v>
      </c>
      <c r="AE256" t="n">
        <v>166431.0</v>
      </c>
      <c r="AF256" t="n">
        <v>60000.0</v>
      </c>
      <c r="AG256" t="n">
        <v>0.0</v>
      </c>
      <c r="AH256" t="n">
        <v>0.0</v>
      </c>
      <c r="AI256" t="n">
        <v>0.0</v>
      </c>
      <c r="AJ256" t="n">
        <v>0.0</v>
      </c>
      <c r="AK256" t="n">
        <v>0.0</v>
      </c>
      <c r="AL256" t="n">
        <v>0.0</v>
      </c>
      <c r="AM256" t="n">
        <v>0.0</v>
      </c>
      <c r="AN256" t="n">
        <v>0.0</v>
      </c>
      <c r="AO256" t="n">
        <v>836177.0</v>
      </c>
      <c r="AP256" t="n">
        <v>83617.0</v>
      </c>
      <c r="AQ256" t="n">
        <v>68855.9</v>
      </c>
      <c r="CH256">
        <f>IFERROR(U256*1,0)</f>
      </c>
    </row>
    <row r="257">
      <c r="A257" t="n">
        <v>4.0</v>
      </c>
      <c r="B257">
        <f>IF((K257-G257-H257&gt;2400000),10,(L257/(K257-G257-H257)*100))</f>
      </c>
      <c r="C257">
        <f>IF(N257&gt;2400000,240000,(N257*S257)/100)</f>
      </c>
      <c r="D257">
        <f>IF(S257=0,0,IF((N257-I257)&gt;2400000,((((((N257-I257-J257)-240000))*0.1+(I257+J257)*0.1)))-7000,((((((N257-I257-J257)-(N257-I257-J257)*S257/100)))*0.1+(I257+J257)*0.1)-7000)))</f>
      </c>
      <c r="E257">
        <f>C257-O257</f>
      </c>
      <c r="F257">
        <f>D257-P257</f>
      </c>
      <c r="G257">
        <f>SUMIF(negtgel!U$2:BL$2,'Tsalin uzuulelt'!B$1,negtgel!U257:BL257) + SUMIF(negtgel!U$2:BL$2,'Tsalin uzuulelt'!B$2,negtgel!U257:BL257)+SUMIF(negtgel!U$2:BL$2,'Tsalin uzuulelt'!B$3,negtgel!U257:BL257)+SUMIF(negtgel!U$2:BL$2,'Tsalin uzuulelt'!B$4,negtgel!U257:BL257)+SUMIF(negtgel!U$2:BL$2,'Tsalin uzuulelt'!B$5,negtgel!U257:BL257)</f>
      </c>
      <c r="H257">
        <f>SUMIF(negtgel!U$2:BL$2,'Tsalin uzuulelt'!F$1,negtgel!U257:BL257) + SUMIF(negtgel!U$2:BL$2,'Tsalin uzuulelt'!F$2,negtgel!U257:BL257)+SUMIF(negtgel!U$2:BL$2,'Tsalin uzuulelt'!F$3,negtgel!U257:BL257)+SUMIF(negtgel!U$2:BL$2,'Tsalin uzuulelt'!F$4,negtgel!U257:BL257)+SUMIF(negtgel!U$2:BL$2,'Tsalin uzuulelt'!F$5,negtgel!U257:BL257)</f>
      </c>
      <c r="I257">
        <f>SUMIF(negtgel!U$2:BL$2,'Tsalin uzuulelt'!H$1,negtgel!U257:BL257) + SUMIF(negtgel!U$2:BL$2,'Tsalin uzuulelt'!H$2,negtgel!U257:BL257)+SUMIF(negtgel!U$2:BL$2,'Tsalin uzuulelt'!H$3,negtgel!U257:BL257)+SUMIF(negtgel!U$2:BL$2,'Tsalin uzuulelt'!H$4,negtgel!U257:BL257)+SUMIF(negtgel!U$2:BL$2,'Tsalin uzuulelt'!H$5,negtgel!U257:BL257)</f>
      </c>
      <c r="J257">
        <f>SUMIF(negtgel!U$2:BL$2,'Tsalin uzuulelt'!J$1,negtgel!U257:BL257) + SUMIF(negtgel!U$2:BL$2,'Tsalin uzuulelt'!J$2,negtgel!U257:BL257)+SUMIF(negtgel!U$2:BL$2,'Tsalin uzuulelt'!J$3,negtgel!U257:BL257)+SUMIF(negtgel!U$2:BL$2,'Tsalin uzuulelt'!J$4,negtgel!U257:BL257)+SUMIF(negtgel!U$2:BL$2,'Tsalin uzuulelt'!J$5,negtgel!U257:BL257)</f>
      </c>
      <c r="K257">
        <f>SUMIF(negtgel!U$2:BL$2,'Tsalin uzuulelt'!L$1,negtgel!U257:BL257) + SUMIF(negtgel!U$2:BL$2,'Tsalin uzuulelt'!L$2,negtgel!U257:BL257)+SUMIF(negtgel!U$2:BL$2,'Tsalin uzuulelt'!L$3,negtgel!U257:BL257)+SUMIF(negtgel!U$2:BL$2,'Tsalin uzuulelt'!L$4,negtgel!U257:BL257)+SUMIF(negtgel!U$2:BL$2,'Tsalin uzuulelt'!L$5,negtgel!U257:BL257)</f>
      </c>
      <c r="L257">
        <f>SUMIF(negtgel!U$2:BL$2,'Tsalin uzuulelt'!N$1,negtgel!U257:BL257) + SUMIF(negtgel!U$2:BL$2,'Tsalin uzuulelt'!N$2,negtgel!U257:BL257)+SUMIF(negtgel!U$2:BL$2,'Tsalin uzuulelt'!N$3,negtgel!U257:BL257)+SUMIF(negtgel!U$2:BL$2,'Tsalin uzuulelt'!N$4,negtgel!U257:BL257)+SUMIF(negtgel!U$2:BL$2,'Tsalin uzuulelt'!N$5,negtgel!U257:BL257)</f>
      </c>
      <c r="M257">
        <f>SUMIF(negtgel!U$2:BL$2,'Tsalin uzuulelt'!P$1,negtgel!U257:BL257) + SUMIF(negtgel!U$2:BL$2,'Tsalin uzuulelt'!P$2,negtgel!U257:BL257)+ SUMIF(negtgel!U$2:BL$2,'Tsalin uzuulelt'!P$3,negtgel!U257:BL257)+ SUMIF(negtgel!U$2:BL$2,'Tsalin uzuulelt'!P$4,negtgel!U257:BL257)+ SUMIF(negtgel!U$2:BL$2,'Tsalin uzuulelt'!P$5,negtgel!U257:BL257)</f>
      </c>
      <c r="N257">
        <f>IF(ISNUMBER(U257*1)=CF257,0,K257-H257-G257)</f>
      </c>
      <c r="O257">
        <f>IF(ISNUMBER(U257*1)=CF257,0,L257)</f>
      </c>
      <c r="P257">
        <f>IF(ISNUMBER(U257*1)=CF257,0,M257)</f>
      </c>
      <c r="Q257">
        <f>IF(N257&gt;2400000,N257,0)</f>
      </c>
      <c r="R257">
        <f>IF(L257/Q257*100&lt;3,2,10)</f>
      </c>
      <c r="S257">
        <f>IF(CH257=0,0,IF(B257&gt;9,10,IF(B257&gt;8,B257,IF(B257&gt;7.7,7.8,IF(B257&gt;3,B257,IF(B257&gt;1.5,2))))))</f>
      </c>
      <c r="T257">
        <f>IF(Q257=0,S257,R257)</f>
      </c>
      <c r="U257" t="s">
        <v>3787</v>
      </c>
      <c r="V257"/>
      <c r="W257"/>
      <c r="X257" t="n">
        <v>3877922.0</v>
      </c>
      <c r="Y257" t="n">
        <v>3116907.0</v>
      </c>
      <c r="Z257" t="n">
        <v>183832.0</v>
      </c>
      <c r="AA257" t="n">
        <v>198444.0</v>
      </c>
      <c r="AB257" t="n">
        <v>0.0</v>
      </c>
      <c r="AC257" t="n">
        <v>0.0</v>
      </c>
      <c r="AD257" t="n">
        <v>0.0</v>
      </c>
      <c r="AE257" t="n">
        <v>1175878.0</v>
      </c>
      <c r="AF257" t="n">
        <v>330000.0</v>
      </c>
      <c r="AG257" t="n">
        <v>0.0</v>
      </c>
      <c r="AH257" t="n">
        <v>0.0</v>
      </c>
      <c r="AI257" t="n">
        <v>0.0</v>
      </c>
      <c r="AJ257" t="n">
        <v>536693.0</v>
      </c>
      <c r="AK257" t="n">
        <v>0.0</v>
      </c>
      <c r="AL257" t="n">
        <v>79474.0</v>
      </c>
      <c r="AM257" t="n">
        <v>0.0</v>
      </c>
      <c r="AN257" t="n">
        <v>0.0</v>
      </c>
      <c r="AO257" t="n">
        <v>5621228.0</v>
      </c>
      <c r="AP257" t="n">
        <v>554177.0</v>
      </c>
      <c r="AQ257" t="n">
        <v>460057.7</v>
      </c>
      <c r="CH257">
        <f>IFERROR(U257*1,0)</f>
      </c>
    </row>
    <row r="258">
      <c r="A258" t="n">
        <v>4.0</v>
      </c>
      <c r="B258">
        <f>IF((K258-G258-H258&gt;2400000),10,(L258/(K258-G258-H258)*100))</f>
      </c>
      <c r="C258">
        <f>IF(N258&gt;2400000,240000,(N258*S258)/100)</f>
      </c>
      <c r="D258">
        <f>IF(S258=0,0,IF((N258-I258)&gt;2400000,((((((N258-I258-J258)-240000))*0.1+(I258+J258)*0.1)))-7000,((((((N258-I258-J258)-(N258-I258-J258)*S258/100)))*0.1+(I258+J258)*0.1)-7000)))</f>
      </c>
      <c r="E258">
        <f>C258-O258</f>
      </c>
      <c r="F258">
        <f>D258-P258</f>
      </c>
      <c r="G258">
        <f>SUMIF(negtgel!U$2:BL$2,'Tsalin uzuulelt'!B$1,negtgel!U258:BL258) + SUMIF(negtgel!U$2:BL$2,'Tsalin uzuulelt'!B$2,negtgel!U258:BL258)+SUMIF(negtgel!U$2:BL$2,'Tsalin uzuulelt'!B$3,negtgel!U258:BL258)+SUMIF(negtgel!U$2:BL$2,'Tsalin uzuulelt'!B$4,negtgel!U258:BL258)+SUMIF(negtgel!U$2:BL$2,'Tsalin uzuulelt'!B$5,negtgel!U258:BL258)</f>
      </c>
      <c r="H258">
        <f>SUMIF(negtgel!U$2:BL$2,'Tsalin uzuulelt'!F$1,negtgel!U258:BL258) + SUMIF(negtgel!U$2:BL$2,'Tsalin uzuulelt'!F$2,negtgel!U258:BL258)+SUMIF(negtgel!U$2:BL$2,'Tsalin uzuulelt'!F$3,negtgel!U258:BL258)+SUMIF(negtgel!U$2:BL$2,'Tsalin uzuulelt'!F$4,negtgel!U258:BL258)+SUMIF(negtgel!U$2:BL$2,'Tsalin uzuulelt'!F$5,negtgel!U258:BL258)</f>
      </c>
      <c r="I258">
        <f>SUMIF(negtgel!U$2:BL$2,'Tsalin uzuulelt'!H$1,negtgel!U258:BL258) + SUMIF(negtgel!U$2:BL$2,'Tsalin uzuulelt'!H$2,negtgel!U258:BL258)+SUMIF(negtgel!U$2:BL$2,'Tsalin uzuulelt'!H$3,negtgel!U258:BL258)+SUMIF(negtgel!U$2:BL$2,'Tsalin uzuulelt'!H$4,negtgel!U258:BL258)+SUMIF(negtgel!U$2:BL$2,'Tsalin uzuulelt'!H$5,negtgel!U258:BL258)</f>
      </c>
      <c r="J258">
        <f>SUMIF(negtgel!U$2:BL$2,'Tsalin uzuulelt'!J$1,negtgel!U258:BL258) + SUMIF(negtgel!U$2:BL$2,'Tsalin uzuulelt'!J$2,negtgel!U258:BL258)+SUMIF(negtgel!U$2:BL$2,'Tsalin uzuulelt'!J$3,negtgel!U258:BL258)+SUMIF(negtgel!U$2:BL$2,'Tsalin uzuulelt'!J$4,negtgel!U258:BL258)+SUMIF(negtgel!U$2:BL$2,'Tsalin uzuulelt'!J$5,negtgel!U258:BL258)</f>
      </c>
      <c r="K258">
        <f>SUMIF(negtgel!U$2:BL$2,'Tsalin uzuulelt'!L$1,negtgel!U258:BL258) + SUMIF(negtgel!U$2:BL$2,'Tsalin uzuulelt'!L$2,negtgel!U258:BL258)+SUMIF(negtgel!U$2:BL$2,'Tsalin uzuulelt'!L$3,negtgel!U258:BL258)+SUMIF(negtgel!U$2:BL$2,'Tsalin uzuulelt'!L$4,negtgel!U258:BL258)+SUMIF(negtgel!U$2:BL$2,'Tsalin uzuulelt'!L$5,negtgel!U258:BL258)</f>
      </c>
      <c r="L258">
        <f>SUMIF(negtgel!U$2:BL$2,'Tsalin uzuulelt'!N$1,negtgel!U258:BL258) + SUMIF(negtgel!U$2:BL$2,'Tsalin uzuulelt'!N$2,negtgel!U258:BL258)+SUMIF(negtgel!U$2:BL$2,'Tsalin uzuulelt'!N$3,negtgel!U258:BL258)+SUMIF(negtgel!U$2:BL$2,'Tsalin uzuulelt'!N$4,negtgel!U258:BL258)+SUMIF(negtgel!U$2:BL$2,'Tsalin uzuulelt'!N$5,negtgel!U258:BL258)</f>
      </c>
      <c r="M258">
        <f>SUMIF(negtgel!U$2:BL$2,'Tsalin uzuulelt'!P$1,negtgel!U258:BL258) + SUMIF(negtgel!U$2:BL$2,'Tsalin uzuulelt'!P$2,negtgel!U258:BL258)+ SUMIF(negtgel!U$2:BL$2,'Tsalin uzuulelt'!P$3,negtgel!U258:BL258)+ SUMIF(negtgel!U$2:BL$2,'Tsalin uzuulelt'!P$4,negtgel!U258:BL258)+ SUMIF(negtgel!U$2:BL$2,'Tsalin uzuulelt'!P$5,negtgel!U258:BL258)</f>
      </c>
      <c r="N258">
        <f>IF(ISNUMBER(U258*1)=CF258,0,K258-H258-G258)</f>
      </c>
      <c r="O258">
        <f>IF(ISNUMBER(U258*1)=CF258,0,L258)</f>
      </c>
      <c r="P258">
        <f>IF(ISNUMBER(U258*1)=CF258,0,M258)</f>
      </c>
      <c r="Q258">
        <f>IF(N258&gt;2400000,N258,0)</f>
      </c>
      <c r="R258">
        <f>IF(L258/Q258*100&lt;3,2,10)</f>
      </c>
      <c r="S258">
        <f>IF(CH258=0,0,IF(B258&gt;9,10,IF(B258&gt;8,B258,IF(B258&gt;7.7,7.8,IF(B258&gt;3,B258,IF(B258&gt;1.5,2))))))</f>
      </c>
      <c r="T258">
        <f>IF(Q258=0,S258,R258)</f>
      </c>
      <c r="U258" t="s">
        <v>3836</v>
      </c>
      <c r="V258"/>
      <c r="W258"/>
      <c r="X258"/>
      <c r="Y258"/>
      <c r="Z258"/>
      <c r="AA258"/>
      <c r="AB258"/>
      <c r="AC258"/>
      <c r="AD258"/>
      <c r="AE258"/>
      <c r="AF258"/>
      <c r="AG258"/>
      <c r="AH258"/>
      <c r="AI258"/>
      <c r="AJ258"/>
      <c r="AK258"/>
      <c r="AL258"/>
      <c r="AM258"/>
      <c r="AN258"/>
      <c r="AO258"/>
      <c r="AP258"/>
      <c r="AQ258"/>
      <c r="CH258">
        <f>IFERROR(U258*1,0)</f>
      </c>
    </row>
    <row r="259">
      <c r="A259" t="n">
        <v>4.0</v>
      </c>
      <c r="B259">
        <f>IF((K259-G259-H259&gt;2400000),10,(L259/(K259-G259-H259)*100))</f>
      </c>
      <c r="C259">
        <f>IF(N259&gt;2400000,240000,(N259*S259)/100)</f>
      </c>
      <c r="D259">
        <f>IF(S259=0,0,IF((N259-I259)&gt;2400000,((((((N259-I259-J259)-240000))*0.1+(I259+J259)*0.1)))-7000,((((((N259-I259-J259)-(N259-I259-J259)*S259/100)))*0.1+(I259+J259)*0.1)-7000)))</f>
      </c>
      <c r="E259">
        <f>C259-O259</f>
      </c>
      <c r="F259">
        <f>D259-P259</f>
      </c>
      <c r="G259">
        <f>SUMIF(negtgel!U$2:BL$2,'Tsalin uzuulelt'!B$1,negtgel!U259:BL259) + SUMIF(negtgel!U$2:BL$2,'Tsalin uzuulelt'!B$2,negtgel!U259:BL259)+SUMIF(negtgel!U$2:BL$2,'Tsalin uzuulelt'!B$3,negtgel!U259:BL259)+SUMIF(negtgel!U$2:BL$2,'Tsalin uzuulelt'!B$4,negtgel!U259:BL259)+SUMIF(negtgel!U$2:BL$2,'Tsalin uzuulelt'!B$5,negtgel!U259:BL259)</f>
      </c>
      <c r="H259">
        <f>SUMIF(negtgel!U$2:BL$2,'Tsalin uzuulelt'!F$1,negtgel!U259:BL259) + SUMIF(negtgel!U$2:BL$2,'Tsalin uzuulelt'!F$2,negtgel!U259:BL259)+SUMIF(negtgel!U$2:BL$2,'Tsalin uzuulelt'!F$3,negtgel!U259:BL259)+SUMIF(negtgel!U$2:BL$2,'Tsalin uzuulelt'!F$4,negtgel!U259:BL259)+SUMIF(negtgel!U$2:BL$2,'Tsalin uzuulelt'!F$5,negtgel!U259:BL259)</f>
      </c>
      <c r="I259">
        <f>SUMIF(negtgel!U$2:BL$2,'Tsalin uzuulelt'!H$1,negtgel!U259:BL259) + SUMIF(negtgel!U$2:BL$2,'Tsalin uzuulelt'!H$2,negtgel!U259:BL259)+SUMIF(negtgel!U$2:BL$2,'Tsalin uzuulelt'!H$3,negtgel!U259:BL259)+SUMIF(negtgel!U$2:BL$2,'Tsalin uzuulelt'!H$4,negtgel!U259:BL259)+SUMIF(negtgel!U$2:BL$2,'Tsalin uzuulelt'!H$5,negtgel!U259:BL259)</f>
      </c>
      <c r="J259">
        <f>SUMIF(negtgel!U$2:BL$2,'Tsalin uzuulelt'!J$1,negtgel!U259:BL259) + SUMIF(negtgel!U$2:BL$2,'Tsalin uzuulelt'!J$2,negtgel!U259:BL259)+SUMIF(negtgel!U$2:BL$2,'Tsalin uzuulelt'!J$3,negtgel!U259:BL259)+SUMIF(negtgel!U$2:BL$2,'Tsalin uzuulelt'!J$4,negtgel!U259:BL259)+SUMIF(negtgel!U$2:BL$2,'Tsalin uzuulelt'!J$5,negtgel!U259:BL259)</f>
      </c>
      <c r="K259">
        <f>SUMIF(negtgel!U$2:BL$2,'Tsalin uzuulelt'!L$1,negtgel!U259:BL259) + SUMIF(negtgel!U$2:BL$2,'Tsalin uzuulelt'!L$2,negtgel!U259:BL259)+SUMIF(negtgel!U$2:BL$2,'Tsalin uzuulelt'!L$3,negtgel!U259:BL259)+SUMIF(negtgel!U$2:BL$2,'Tsalin uzuulelt'!L$4,negtgel!U259:BL259)+SUMIF(negtgel!U$2:BL$2,'Tsalin uzuulelt'!L$5,negtgel!U259:BL259)</f>
      </c>
      <c r="L259">
        <f>SUMIF(negtgel!U$2:BL$2,'Tsalin uzuulelt'!N$1,negtgel!U259:BL259) + SUMIF(negtgel!U$2:BL$2,'Tsalin uzuulelt'!N$2,negtgel!U259:BL259)+SUMIF(negtgel!U$2:BL$2,'Tsalin uzuulelt'!N$3,negtgel!U259:BL259)+SUMIF(negtgel!U$2:BL$2,'Tsalin uzuulelt'!N$4,negtgel!U259:BL259)+SUMIF(negtgel!U$2:BL$2,'Tsalin uzuulelt'!N$5,negtgel!U259:BL259)</f>
      </c>
      <c r="M259">
        <f>SUMIF(negtgel!U$2:BL$2,'Tsalin uzuulelt'!P$1,negtgel!U259:BL259) + SUMIF(negtgel!U$2:BL$2,'Tsalin uzuulelt'!P$2,negtgel!U259:BL259)+ SUMIF(negtgel!U$2:BL$2,'Tsalin uzuulelt'!P$3,negtgel!U259:BL259)+ SUMIF(negtgel!U$2:BL$2,'Tsalin uzuulelt'!P$4,negtgel!U259:BL259)+ SUMIF(negtgel!U$2:BL$2,'Tsalin uzuulelt'!P$5,negtgel!U259:BL259)</f>
      </c>
      <c r="N259">
        <f>IF(ISNUMBER(U259*1)=CF259,0,K259-H259-G259)</f>
      </c>
      <c r="O259">
        <f>IF(ISNUMBER(U259*1)=CF259,0,L259)</f>
      </c>
      <c r="P259">
        <f>IF(ISNUMBER(U259*1)=CF259,0,M259)</f>
      </c>
      <c r="Q259">
        <f>IF(N259&gt;2400000,N259,0)</f>
      </c>
      <c r="R259">
        <f>IF(L259/Q259*100&lt;3,2,10)</f>
      </c>
      <c r="S259">
        <f>IF(CH259=0,0,IF(B259&gt;9,10,IF(B259&gt;8,B259,IF(B259&gt;7.7,7.8,IF(B259&gt;3,B259,IF(B259&gt;1.5,2))))))</f>
      </c>
      <c r="T259">
        <f>IF(Q259=0,S259,R259)</f>
      </c>
      <c r="U259" t="n">
        <v>85.0</v>
      </c>
      <c r="V259" t="s">
        <v>3837</v>
      </c>
      <c r="W259" t="s">
        <v>3820</v>
      </c>
      <c r="X259" t="n">
        <v>645556.0</v>
      </c>
      <c r="Y259" t="n">
        <v>161389.0</v>
      </c>
      <c r="Z259" t="n">
        <v>24208.0</v>
      </c>
      <c r="AA259" t="n">
        <v>32278.0</v>
      </c>
      <c r="AB259" t="n">
        <v>0.0</v>
      </c>
      <c r="AC259" t="n">
        <v>0.0</v>
      </c>
      <c r="AD259" t="n">
        <v>0.0</v>
      </c>
      <c r="AE259" t="n">
        <v>251896.0</v>
      </c>
      <c r="AF259" t="n">
        <v>15000.0</v>
      </c>
      <c r="AG259" t="n">
        <v>0.0</v>
      </c>
      <c r="AH259" t="n">
        <v>0.0</v>
      </c>
      <c r="AI259" t="n">
        <v>0.0</v>
      </c>
      <c r="AJ259" t="n">
        <v>0.0</v>
      </c>
      <c r="AK259" t="n">
        <v>0.0</v>
      </c>
      <c r="AL259" t="n">
        <v>171978.0</v>
      </c>
      <c r="AM259" t="n">
        <v>0.0</v>
      </c>
      <c r="AN259" t="n">
        <v>0.0</v>
      </c>
      <c r="AO259" t="n">
        <v>656749.0</v>
      </c>
      <c r="AP259" t="n">
        <v>48477.0</v>
      </c>
      <c r="AQ259" t="n">
        <v>36779.4</v>
      </c>
      <c r="CH259">
        <f>IFERROR(U259*1,0)</f>
      </c>
    </row>
    <row r="260">
      <c r="A260" t="n">
        <v>4.0</v>
      </c>
      <c r="B260">
        <f>IF((K260-G260-H260&gt;2400000),10,(L260/(K260-G260-H260)*100))</f>
      </c>
      <c r="C260">
        <f>IF(N260&gt;2400000,240000,(N260*S260)/100)</f>
      </c>
      <c r="D260">
        <f>IF(S260=0,0,IF((N260-I260)&gt;2400000,((((((N260-I260-J260)-240000))*0.1+(I260+J260)*0.1)))-7000,((((((N260-I260-J260)-(N260-I260-J260)*S260/100)))*0.1+(I260+J260)*0.1)-7000)))</f>
      </c>
      <c r="E260">
        <f>C260-O260</f>
      </c>
      <c r="F260">
        <f>D260-P260</f>
      </c>
      <c r="G260">
        <f>SUMIF(negtgel!U$2:BL$2,'Tsalin uzuulelt'!B$1,negtgel!U260:BL260) + SUMIF(negtgel!U$2:BL$2,'Tsalin uzuulelt'!B$2,negtgel!U260:BL260)+SUMIF(negtgel!U$2:BL$2,'Tsalin uzuulelt'!B$3,negtgel!U260:BL260)+SUMIF(negtgel!U$2:BL$2,'Tsalin uzuulelt'!B$4,negtgel!U260:BL260)+SUMIF(negtgel!U$2:BL$2,'Tsalin uzuulelt'!B$5,negtgel!U260:BL260)</f>
      </c>
      <c r="H260">
        <f>SUMIF(negtgel!U$2:BL$2,'Tsalin uzuulelt'!F$1,negtgel!U260:BL260) + SUMIF(negtgel!U$2:BL$2,'Tsalin uzuulelt'!F$2,negtgel!U260:BL260)+SUMIF(negtgel!U$2:BL$2,'Tsalin uzuulelt'!F$3,negtgel!U260:BL260)+SUMIF(negtgel!U$2:BL$2,'Tsalin uzuulelt'!F$4,negtgel!U260:BL260)+SUMIF(negtgel!U$2:BL$2,'Tsalin uzuulelt'!F$5,negtgel!U260:BL260)</f>
      </c>
      <c r="I260">
        <f>SUMIF(negtgel!U$2:BL$2,'Tsalin uzuulelt'!H$1,negtgel!U260:BL260) + SUMIF(negtgel!U$2:BL$2,'Tsalin uzuulelt'!H$2,negtgel!U260:BL260)+SUMIF(negtgel!U$2:BL$2,'Tsalin uzuulelt'!H$3,negtgel!U260:BL260)+SUMIF(negtgel!U$2:BL$2,'Tsalin uzuulelt'!H$4,negtgel!U260:BL260)+SUMIF(negtgel!U$2:BL$2,'Tsalin uzuulelt'!H$5,negtgel!U260:BL260)</f>
      </c>
      <c r="J260">
        <f>SUMIF(negtgel!U$2:BL$2,'Tsalin uzuulelt'!J$1,negtgel!U260:BL260) + SUMIF(negtgel!U$2:BL$2,'Tsalin uzuulelt'!J$2,negtgel!U260:BL260)+SUMIF(negtgel!U$2:BL$2,'Tsalin uzuulelt'!J$3,negtgel!U260:BL260)+SUMIF(negtgel!U$2:BL$2,'Tsalin uzuulelt'!J$4,negtgel!U260:BL260)+SUMIF(negtgel!U$2:BL$2,'Tsalin uzuulelt'!J$5,negtgel!U260:BL260)</f>
      </c>
      <c r="K260">
        <f>SUMIF(negtgel!U$2:BL$2,'Tsalin uzuulelt'!L$1,negtgel!U260:BL260) + SUMIF(negtgel!U$2:BL$2,'Tsalin uzuulelt'!L$2,negtgel!U260:BL260)+SUMIF(negtgel!U$2:BL$2,'Tsalin uzuulelt'!L$3,negtgel!U260:BL260)+SUMIF(negtgel!U$2:BL$2,'Tsalin uzuulelt'!L$4,negtgel!U260:BL260)+SUMIF(negtgel!U$2:BL$2,'Tsalin uzuulelt'!L$5,negtgel!U260:BL260)</f>
      </c>
      <c r="L260">
        <f>SUMIF(negtgel!U$2:BL$2,'Tsalin uzuulelt'!N$1,negtgel!U260:BL260) + SUMIF(negtgel!U$2:BL$2,'Tsalin uzuulelt'!N$2,negtgel!U260:BL260)+SUMIF(negtgel!U$2:BL$2,'Tsalin uzuulelt'!N$3,negtgel!U260:BL260)+SUMIF(negtgel!U$2:BL$2,'Tsalin uzuulelt'!N$4,negtgel!U260:BL260)+SUMIF(negtgel!U$2:BL$2,'Tsalin uzuulelt'!N$5,negtgel!U260:BL260)</f>
      </c>
      <c r="M260">
        <f>SUMIF(negtgel!U$2:BL$2,'Tsalin uzuulelt'!P$1,negtgel!U260:BL260) + SUMIF(negtgel!U$2:BL$2,'Tsalin uzuulelt'!P$2,negtgel!U260:BL260)+ SUMIF(negtgel!U$2:BL$2,'Tsalin uzuulelt'!P$3,negtgel!U260:BL260)+ SUMIF(negtgel!U$2:BL$2,'Tsalin uzuulelt'!P$4,negtgel!U260:BL260)+ SUMIF(negtgel!U$2:BL$2,'Tsalin uzuulelt'!P$5,negtgel!U260:BL260)</f>
      </c>
      <c r="N260">
        <f>IF(ISNUMBER(U260*1)=CF260,0,K260-H260-G260)</f>
      </c>
      <c r="O260">
        <f>IF(ISNUMBER(U260*1)=CF260,0,L260)</f>
      </c>
      <c r="P260">
        <f>IF(ISNUMBER(U260*1)=CF260,0,M260)</f>
      </c>
      <c r="Q260">
        <f>IF(N260&gt;2400000,N260,0)</f>
      </c>
      <c r="R260">
        <f>IF(L260/Q260*100&lt;3,2,10)</f>
      </c>
      <c r="S260">
        <f>IF(CH260=0,0,IF(B260&gt;9,10,IF(B260&gt;8,B260,IF(B260&gt;7.7,7.8,IF(B260&gt;3,B260,IF(B260&gt;1.5,2))))))</f>
      </c>
      <c r="T260">
        <f>IF(Q260=0,S260,R260)</f>
      </c>
      <c r="U260" t="n">
        <v>86.0</v>
      </c>
      <c r="V260" t="s">
        <v>3838</v>
      </c>
      <c r="W260" t="s">
        <v>3790</v>
      </c>
      <c r="X260" t="n">
        <v>677436.0</v>
      </c>
      <c r="Y260" t="n">
        <v>677436.0</v>
      </c>
      <c r="Z260" t="n">
        <v>169359.0</v>
      </c>
      <c r="AA260" t="n">
        <v>135487.0</v>
      </c>
      <c r="AB260" t="n">
        <v>0.0</v>
      </c>
      <c r="AC260" t="n">
        <v>0.0</v>
      </c>
      <c r="AD260" t="n">
        <v>0.0</v>
      </c>
      <c r="AE260" t="n">
        <v>264336.0</v>
      </c>
      <c r="AF260" t="n">
        <v>60000.0</v>
      </c>
      <c r="AG260" t="n">
        <v>0.0</v>
      </c>
      <c r="AH260" t="n">
        <v>0.0</v>
      </c>
      <c r="AI260" t="n">
        <v>0.0</v>
      </c>
      <c r="AJ260" t="n">
        <v>0.0</v>
      </c>
      <c r="AK260" t="n">
        <v>0.0</v>
      </c>
      <c r="AL260" t="n">
        <v>0.0</v>
      </c>
      <c r="AM260" t="n">
        <v>0.0</v>
      </c>
      <c r="AN260" t="n">
        <v>0.0</v>
      </c>
      <c r="AO260" t="n">
        <v>1306618.0</v>
      </c>
      <c r="AP260" t="n">
        <v>130661.0</v>
      </c>
      <c r="AQ260" t="n">
        <v>111195.6</v>
      </c>
      <c r="CH260">
        <f>IFERROR(U260*1,0)</f>
      </c>
    </row>
    <row r="261">
      <c r="A261" t="n">
        <v>4.0</v>
      </c>
      <c r="B261">
        <f>IF((K261-G261-H261&gt;2400000),10,(L261/(K261-G261-H261)*100))</f>
      </c>
      <c r="C261">
        <f>IF(N261&gt;2400000,240000,(N261*S261)/100)</f>
      </c>
      <c r="D261">
        <f>IF(S261=0,0,IF((N261-I261)&gt;2400000,((((((N261-I261-J261)-240000))*0.1+(I261+J261)*0.1)))-7000,((((((N261-I261-J261)-(N261-I261-J261)*S261/100)))*0.1+(I261+J261)*0.1)-7000)))</f>
      </c>
      <c r="E261">
        <f>C261-O261</f>
      </c>
      <c r="F261">
        <f>D261-P261</f>
      </c>
      <c r="G261">
        <f>SUMIF(negtgel!U$2:BL$2,'Tsalin uzuulelt'!B$1,negtgel!U261:BL261) + SUMIF(negtgel!U$2:BL$2,'Tsalin uzuulelt'!B$2,negtgel!U261:BL261)+SUMIF(negtgel!U$2:BL$2,'Tsalin uzuulelt'!B$3,negtgel!U261:BL261)+SUMIF(negtgel!U$2:BL$2,'Tsalin uzuulelt'!B$4,negtgel!U261:BL261)+SUMIF(negtgel!U$2:BL$2,'Tsalin uzuulelt'!B$5,negtgel!U261:BL261)</f>
      </c>
      <c r="H261">
        <f>SUMIF(negtgel!U$2:BL$2,'Tsalin uzuulelt'!F$1,negtgel!U261:BL261) + SUMIF(negtgel!U$2:BL$2,'Tsalin uzuulelt'!F$2,negtgel!U261:BL261)+SUMIF(negtgel!U$2:BL$2,'Tsalin uzuulelt'!F$3,negtgel!U261:BL261)+SUMIF(negtgel!U$2:BL$2,'Tsalin uzuulelt'!F$4,negtgel!U261:BL261)+SUMIF(negtgel!U$2:BL$2,'Tsalin uzuulelt'!F$5,negtgel!U261:BL261)</f>
      </c>
      <c r="I261">
        <f>SUMIF(negtgel!U$2:BL$2,'Tsalin uzuulelt'!H$1,negtgel!U261:BL261) + SUMIF(negtgel!U$2:BL$2,'Tsalin uzuulelt'!H$2,negtgel!U261:BL261)+SUMIF(negtgel!U$2:BL$2,'Tsalin uzuulelt'!H$3,negtgel!U261:BL261)+SUMIF(negtgel!U$2:BL$2,'Tsalin uzuulelt'!H$4,negtgel!U261:BL261)+SUMIF(negtgel!U$2:BL$2,'Tsalin uzuulelt'!H$5,negtgel!U261:BL261)</f>
      </c>
      <c r="J261">
        <f>SUMIF(negtgel!U$2:BL$2,'Tsalin uzuulelt'!J$1,negtgel!U261:BL261) + SUMIF(negtgel!U$2:BL$2,'Tsalin uzuulelt'!J$2,negtgel!U261:BL261)+SUMIF(negtgel!U$2:BL$2,'Tsalin uzuulelt'!J$3,negtgel!U261:BL261)+SUMIF(negtgel!U$2:BL$2,'Tsalin uzuulelt'!J$4,negtgel!U261:BL261)+SUMIF(negtgel!U$2:BL$2,'Tsalin uzuulelt'!J$5,negtgel!U261:BL261)</f>
      </c>
      <c r="K261">
        <f>SUMIF(negtgel!U$2:BL$2,'Tsalin uzuulelt'!L$1,negtgel!U261:BL261) + SUMIF(negtgel!U$2:BL$2,'Tsalin uzuulelt'!L$2,negtgel!U261:BL261)+SUMIF(negtgel!U$2:BL$2,'Tsalin uzuulelt'!L$3,negtgel!U261:BL261)+SUMIF(negtgel!U$2:BL$2,'Tsalin uzuulelt'!L$4,negtgel!U261:BL261)+SUMIF(negtgel!U$2:BL$2,'Tsalin uzuulelt'!L$5,negtgel!U261:BL261)</f>
      </c>
      <c r="L261">
        <f>SUMIF(negtgel!U$2:BL$2,'Tsalin uzuulelt'!N$1,negtgel!U261:BL261) + SUMIF(negtgel!U$2:BL$2,'Tsalin uzuulelt'!N$2,negtgel!U261:BL261)+SUMIF(negtgel!U$2:BL$2,'Tsalin uzuulelt'!N$3,negtgel!U261:BL261)+SUMIF(negtgel!U$2:BL$2,'Tsalin uzuulelt'!N$4,negtgel!U261:BL261)+SUMIF(negtgel!U$2:BL$2,'Tsalin uzuulelt'!N$5,negtgel!U261:BL261)</f>
      </c>
      <c r="M261">
        <f>SUMIF(negtgel!U$2:BL$2,'Tsalin uzuulelt'!P$1,negtgel!U261:BL261) + SUMIF(negtgel!U$2:BL$2,'Tsalin uzuulelt'!P$2,negtgel!U261:BL261)+ SUMIF(negtgel!U$2:BL$2,'Tsalin uzuulelt'!P$3,negtgel!U261:BL261)+ SUMIF(negtgel!U$2:BL$2,'Tsalin uzuulelt'!P$4,negtgel!U261:BL261)+ SUMIF(negtgel!U$2:BL$2,'Tsalin uzuulelt'!P$5,negtgel!U261:BL261)</f>
      </c>
      <c r="N261">
        <f>IF(ISNUMBER(U261*1)=CF261,0,K261-H261-G261)</f>
      </c>
      <c r="O261">
        <f>IF(ISNUMBER(U261*1)=CF261,0,L261)</f>
      </c>
      <c r="P261">
        <f>IF(ISNUMBER(U261*1)=CF261,0,M261)</f>
      </c>
      <c r="Q261">
        <f>IF(N261&gt;2400000,N261,0)</f>
      </c>
      <c r="R261">
        <f>IF(L261/Q261*100&lt;3,2,10)</f>
      </c>
      <c r="S261">
        <f>IF(CH261=0,0,IF(B261&gt;9,10,IF(B261&gt;8,B261,IF(B261&gt;7.7,7.8,IF(B261&gt;3,B261,IF(B261&gt;1.5,2))))))</f>
      </c>
      <c r="T261">
        <f>IF(Q261=0,S261,R261)</f>
      </c>
      <c r="U261" t="n">
        <v>87.0</v>
      </c>
      <c r="V261" t="s">
        <v>3839</v>
      </c>
      <c r="W261" t="s">
        <v>3790</v>
      </c>
      <c r="X261" t="n">
        <v>677436.0</v>
      </c>
      <c r="Y261" t="n">
        <v>677436.0</v>
      </c>
      <c r="Z261" t="n">
        <v>135487.0</v>
      </c>
      <c r="AA261" t="n">
        <v>149036.0</v>
      </c>
      <c r="AB261" t="n">
        <v>0.0</v>
      </c>
      <c r="AC261" t="n">
        <v>0.0</v>
      </c>
      <c r="AD261" t="n">
        <v>0.0</v>
      </c>
      <c r="AE261" t="n">
        <v>264336.0</v>
      </c>
      <c r="AF261" t="n">
        <v>60000.0</v>
      </c>
      <c r="AG261" t="n">
        <v>0.0</v>
      </c>
      <c r="AH261" t="n">
        <v>0.0</v>
      </c>
      <c r="AI261" t="n">
        <v>0.0</v>
      </c>
      <c r="AJ261" t="n">
        <v>0.0</v>
      </c>
      <c r="AK261" t="n">
        <v>0.0</v>
      </c>
      <c r="AL261" t="n">
        <v>0.0</v>
      </c>
      <c r="AM261" t="n">
        <v>0.0</v>
      </c>
      <c r="AN261" t="n">
        <v>0.0</v>
      </c>
      <c r="AO261" t="n">
        <v>1286295.0</v>
      </c>
      <c r="AP261" t="n">
        <v>128630.0</v>
      </c>
      <c r="AQ261" t="n">
        <v>109366.6</v>
      </c>
      <c r="CH261">
        <f>IFERROR(U261*1,0)</f>
      </c>
    </row>
    <row r="262">
      <c r="A262" t="n">
        <v>4.0</v>
      </c>
      <c r="B262">
        <f>IF((K262-G262-H262&gt;2400000),10,(L262/(K262-G262-H262)*100))</f>
      </c>
      <c r="C262">
        <f>IF(N262&gt;2400000,240000,(N262*S262)/100)</f>
      </c>
      <c r="D262">
        <f>IF(S262=0,0,IF((N262-I262)&gt;2400000,((((((N262-I262-J262)-240000))*0.1+(I262+J262)*0.1)))-7000,((((((N262-I262-J262)-(N262-I262-J262)*S262/100)))*0.1+(I262+J262)*0.1)-7000)))</f>
      </c>
      <c r="E262">
        <f>C262-O262</f>
      </c>
      <c r="F262">
        <f>D262-P262</f>
      </c>
      <c r="G262">
        <f>SUMIF(negtgel!U$2:BL$2,'Tsalin uzuulelt'!B$1,negtgel!U262:BL262) + SUMIF(negtgel!U$2:BL$2,'Tsalin uzuulelt'!B$2,negtgel!U262:BL262)+SUMIF(negtgel!U$2:BL$2,'Tsalin uzuulelt'!B$3,negtgel!U262:BL262)+SUMIF(negtgel!U$2:BL$2,'Tsalin uzuulelt'!B$4,negtgel!U262:BL262)+SUMIF(negtgel!U$2:BL$2,'Tsalin uzuulelt'!B$5,negtgel!U262:BL262)</f>
      </c>
      <c r="H262">
        <f>SUMIF(negtgel!U$2:BL$2,'Tsalin uzuulelt'!F$1,negtgel!U262:BL262) + SUMIF(negtgel!U$2:BL$2,'Tsalin uzuulelt'!F$2,negtgel!U262:BL262)+SUMIF(negtgel!U$2:BL$2,'Tsalin uzuulelt'!F$3,negtgel!U262:BL262)+SUMIF(negtgel!U$2:BL$2,'Tsalin uzuulelt'!F$4,negtgel!U262:BL262)+SUMIF(negtgel!U$2:BL$2,'Tsalin uzuulelt'!F$5,negtgel!U262:BL262)</f>
      </c>
      <c r="I262">
        <f>SUMIF(negtgel!U$2:BL$2,'Tsalin uzuulelt'!H$1,negtgel!U262:BL262) + SUMIF(negtgel!U$2:BL$2,'Tsalin uzuulelt'!H$2,negtgel!U262:BL262)+SUMIF(negtgel!U$2:BL$2,'Tsalin uzuulelt'!H$3,negtgel!U262:BL262)+SUMIF(negtgel!U$2:BL$2,'Tsalin uzuulelt'!H$4,negtgel!U262:BL262)+SUMIF(negtgel!U$2:BL$2,'Tsalin uzuulelt'!H$5,negtgel!U262:BL262)</f>
      </c>
      <c r="J262">
        <f>SUMIF(negtgel!U$2:BL$2,'Tsalin uzuulelt'!J$1,negtgel!U262:BL262) + SUMIF(negtgel!U$2:BL$2,'Tsalin uzuulelt'!J$2,negtgel!U262:BL262)+SUMIF(negtgel!U$2:BL$2,'Tsalin uzuulelt'!J$3,negtgel!U262:BL262)+SUMIF(negtgel!U$2:BL$2,'Tsalin uzuulelt'!J$4,negtgel!U262:BL262)+SUMIF(negtgel!U$2:BL$2,'Tsalin uzuulelt'!J$5,negtgel!U262:BL262)</f>
      </c>
      <c r="K262">
        <f>SUMIF(negtgel!U$2:BL$2,'Tsalin uzuulelt'!L$1,negtgel!U262:BL262) + SUMIF(negtgel!U$2:BL$2,'Tsalin uzuulelt'!L$2,negtgel!U262:BL262)+SUMIF(negtgel!U$2:BL$2,'Tsalin uzuulelt'!L$3,negtgel!U262:BL262)+SUMIF(negtgel!U$2:BL$2,'Tsalin uzuulelt'!L$4,negtgel!U262:BL262)+SUMIF(negtgel!U$2:BL$2,'Tsalin uzuulelt'!L$5,negtgel!U262:BL262)</f>
      </c>
      <c r="L262">
        <f>SUMIF(negtgel!U$2:BL$2,'Tsalin uzuulelt'!N$1,negtgel!U262:BL262) + SUMIF(negtgel!U$2:BL$2,'Tsalin uzuulelt'!N$2,negtgel!U262:BL262)+SUMIF(negtgel!U$2:BL$2,'Tsalin uzuulelt'!N$3,negtgel!U262:BL262)+SUMIF(negtgel!U$2:BL$2,'Tsalin uzuulelt'!N$4,negtgel!U262:BL262)+SUMIF(negtgel!U$2:BL$2,'Tsalin uzuulelt'!N$5,negtgel!U262:BL262)</f>
      </c>
      <c r="M262">
        <f>SUMIF(negtgel!U$2:BL$2,'Tsalin uzuulelt'!P$1,negtgel!U262:BL262) + SUMIF(negtgel!U$2:BL$2,'Tsalin uzuulelt'!P$2,negtgel!U262:BL262)+ SUMIF(negtgel!U$2:BL$2,'Tsalin uzuulelt'!P$3,negtgel!U262:BL262)+ SUMIF(negtgel!U$2:BL$2,'Tsalin uzuulelt'!P$4,negtgel!U262:BL262)+ SUMIF(negtgel!U$2:BL$2,'Tsalin uzuulelt'!P$5,negtgel!U262:BL262)</f>
      </c>
      <c r="N262">
        <f>IF(ISNUMBER(U262*1)=CF262,0,K262-H262-G262)</f>
      </c>
      <c r="O262">
        <f>IF(ISNUMBER(U262*1)=CF262,0,L262)</f>
      </c>
      <c r="P262">
        <f>IF(ISNUMBER(U262*1)=CF262,0,M262)</f>
      </c>
      <c r="Q262">
        <f>IF(N262&gt;2400000,N262,0)</f>
      </c>
      <c r="R262">
        <f>IF(L262/Q262*100&lt;3,2,10)</f>
      </c>
      <c r="S262">
        <f>IF(CH262=0,0,IF(B262&gt;9,10,IF(B262&gt;8,B262,IF(B262&gt;7.7,7.8,IF(B262&gt;3,B262,IF(B262&gt;1.5,2))))))</f>
      </c>
      <c r="T262">
        <f>IF(Q262=0,S262,R262)</f>
      </c>
      <c r="U262" t="n">
        <v>88.0</v>
      </c>
      <c r="V262" t="s">
        <v>3840</v>
      </c>
      <c r="W262" t="s">
        <v>3820</v>
      </c>
      <c r="X262" t="n">
        <v>677436.0</v>
      </c>
      <c r="Y262" t="n">
        <v>677436.0</v>
      </c>
      <c r="Z262" t="n">
        <v>135487.0</v>
      </c>
      <c r="AA262" t="n">
        <v>135487.0</v>
      </c>
      <c r="AB262" t="n">
        <v>33872.0</v>
      </c>
      <c r="AC262" t="n">
        <v>0.0</v>
      </c>
      <c r="AD262" t="n">
        <v>0.0</v>
      </c>
      <c r="AE262" t="n">
        <v>267587.0</v>
      </c>
      <c r="AF262" t="n">
        <v>60000.0</v>
      </c>
      <c r="AG262" t="n">
        <v>0.0</v>
      </c>
      <c r="AH262" t="n">
        <v>0.0</v>
      </c>
      <c r="AI262" t="n">
        <v>0.0</v>
      </c>
      <c r="AJ262" t="n">
        <v>0.0</v>
      </c>
      <c r="AK262" t="n">
        <v>0.0</v>
      </c>
      <c r="AL262" t="n">
        <v>0.0</v>
      </c>
      <c r="AM262" t="n">
        <v>0.0</v>
      </c>
      <c r="AN262" t="n">
        <v>0.0</v>
      </c>
      <c r="AO262" t="n">
        <v>1309869.0</v>
      </c>
      <c r="AP262" t="n">
        <v>130987.0</v>
      </c>
      <c r="AQ262" t="n">
        <v>111488.2</v>
      </c>
      <c r="CH262">
        <f>IFERROR(U262*1,0)</f>
      </c>
    </row>
    <row r="263">
      <c r="A263" t="n">
        <v>4.0</v>
      </c>
      <c r="B263">
        <f>IF((K263-G263-H263&gt;2400000),10,(L263/(K263-G263-H263)*100))</f>
      </c>
      <c r="C263">
        <f>IF(N263&gt;2400000,240000,(N263*S263)/100)</f>
      </c>
      <c r="D263">
        <f>IF(S263=0,0,IF((N263-I263)&gt;2400000,((((((N263-I263-J263)-240000))*0.1+(I263+J263)*0.1)))-7000,((((((N263-I263-J263)-(N263-I263-J263)*S263/100)))*0.1+(I263+J263)*0.1)-7000)))</f>
      </c>
      <c r="E263">
        <f>C263-O263</f>
      </c>
      <c r="F263">
        <f>D263-P263</f>
      </c>
      <c r="G263">
        <f>SUMIF(negtgel!U$2:BL$2,'Tsalin uzuulelt'!B$1,negtgel!U263:BL263) + SUMIF(negtgel!U$2:BL$2,'Tsalin uzuulelt'!B$2,negtgel!U263:BL263)+SUMIF(negtgel!U$2:BL$2,'Tsalin uzuulelt'!B$3,negtgel!U263:BL263)+SUMIF(negtgel!U$2:BL$2,'Tsalin uzuulelt'!B$4,negtgel!U263:BL263)+SUMIF(negtgel!U$2:BL$2,'Tsalin uzuulelt'!B$5,negtgel!U263:BL263)</f>
      </c>
      <c r="H263">
        <f>SUMIF(negtgel!U$2:BL$2,'Tsalin uzuulelt'!F$1,negtgel!U263:BL263) + SUMIF(negtgel!U$2:BL$2,'Tsalin uzuulelt'!F$2,negtgel!U263:BL263)+SUMIF(negtgel!U$2:BL$2,'Tsalin uzuulelt'!F$3,negtgel!U263:BL263)+SUMIF(negtgel!U$2:BL$2,'Tsalin uzuulelt'!F$4,negtgel!U263:BL263)+SUMIF(negtgel!U$2:BL$2,'Tsalin uzuulelt'!F$5,negtgel!U263:BL263)</f>
      </c>
      <c r="I263">
        <f>SUMIF(negtgel!U$2:BL$2,'Tsalin uzuulelt'!H$1,negtgel!U263:BL263) + SUMIF(negtgel!U$2:BL$2,'Tsalin uzuulelt'!H$2,negtgel!U263:BL263)+SUMIF(negtgel!U$2:BL$2,'Tsalin uzuulelt'!H$3,negtgel!U263:BL263)+SUMIF(negtgel!U$2:BL$2,'Tsalin uzuulelt'!H$4,negtgel!U263:BL263)+SUMIF(negtgel!U$2:BL$2,'Tsalin uzuulelt'!H$5,negtgel!U263:BL263)</f>
      </c>
      <c r="J263">
        <f>SUMIF(negtgel!U$2:BL$2,'Tsalin uzuulelt'!J$1,negtgel!U263:BL263) + SUMIF(negtgel!U$2:BL$2,'Tsalin uzuulelt'!J$2,negtgel!U263:BL263)+SUMIF(negtgel!U$2:BL$2,'Tsalin uzuulelt'!J$3,negtgel!U263:BL263)+SUMIF(negtgel!U$2:BL$2,'Tsalin uzuulelt'!J$4,negtgel!U263:BL263)+SUMIF(negtgel!U$2:BL$2,'Tsalin uzuulelt'!J$5,negtgel!U263:BL263)</f>
      </c>
      <c r="K263">
        <f>SUMIF(negtgel!U$2:BL$2,'Tsalin uzuulelt'!L$1,negtgel!U263:BL263) + SUMIF(negtgel!U$2:BL$2,'Tsalin uzuulelt'!L$2,negtgel!U263:BL263)+SUMIF(negtgel!U$2:BL$2,'Tsalin uzuulelt'!L$3,negtgel!U263:BL263)+SUMIF(negtgel!U$2:BL$2,'Tsalin uzuulelt'!L$4,negtgel!U263:BL263)+SUMIF(negtgel!U$2:BL$2,'Tsalin uzuulelt'!L$5,negtgel!U263:BL263)</f>
      </c>
      <c r="L263">
        <f>SUMIF(negtgel!U$2:BL$2,'Tsalin uzuulelt'!N$1,negtgel!U263:BL263) + SUMIF(negtgel!U$2:BL$2,'Tsalin uzuulelt'!N$2,negtgel!U263:BL263)+SUMIF(negtgel!U$2:BL$2,'Tsalin uzuulelt'!N$3,negtgel!U263:BL263)+SUMIF(negtgel!U$2:BL$2,'Tsalin uzuulelt'!N$4,negtgel!U263:BL263)+SUMIF(negtgel!U$2:BL$2,'Tsalin uzuulelt'!N$5,negtgel!U263:BL263)</f>
      </c>
      <c r="M263">
        <f>SUMIF(negtgel!U$2:BL$2,'Tsalin uzuulelt'!P$1,negtgel!U263:BL263) + SUMIF(negtgel!U$2:BL$2,'Tsalin uzuulelt'!P$2,negtgel!U263:BL263)+ SUMIF(negtgel!U$2:BL$2,'Tsalin uzuulelt'!P$3,negtgel!U263:BL263)+ SUMIF(negtgel!U$2:BL$2,'Tsalin uzuulelt'!P$4,negtgel!U263:BL263)+ SUMIF(negtgel!U$2:BL$2,'Tsalin uzuulelt'!P$5,negtgel!U263:BL263)</f>
      </c>
      <c r="N263">
        <f>IF(ISNUMBER(U263*1)=CF263,0,K263-H263-G263)</f>
      </c>
      <c r="O263">
        <f>IF(ISNUMBER(U263*1)=CF263,0,L263)</f>
      </c>
      <c r="P263">
        <f>IF(ISNUMBER(U263*1)=CF263,0,M263)</f>
      </c>
      <c r="Q263">
        <f>IF(N263&gt;2400000,N263,0)</f>
      </c>
      <c r="R263">
        <f>IF(L263/Q263*100&lt;3,2,10)</f>
      </c>
      <c r="S263">
        <f>IF(CH263=0,0,IF(B263&gt;9,10,IF(B263&gt;8,B263,IF(B263&gt;7.7,7.8,IF(B263&gt;3,B263,IF(B263&gt;1.5,2))))))</f>
      </c>
      <c r="T263">
        <f>IF(Q263=0,S263,R263)</f>
      </c>
      <c r="U263" t="n">
        <v>89.0</v>
      </c>
      <c r="V263" t="s">
        <v>3841</v>
      </c>
      <c r="W263" t="s">
        <v>3790</v>
      </c>
      <c r="X263" t="n">
        <v>613669.0</v>
      </c>
      <c r="Y263" t="n">
        <v>613669.0</v>
      </c>
      <c r="Z263" t="n">
        <v>30683.0</v>
      </c>
      <c r="AA263" t="n">
        <v>110460.0</v>
      </c>
      <c r="AB263" t="n">
        <v>0.0</v>
      </c>
      <c r="AC263" t="n">
        <v>0.0</v>
      </c>
      <c r="AD263" t="n">
        <v>0.0</v>
      </c>
      <c r="AE263" t="n">
        <v>242399.0</v>
      </c>
      <c r="AF263" t="n">
        <v>60000.0</v>
      </c>
      <c r="AG263" t="n">
        <v>0.0</v>
      </c>
      <c r="AH263" t="n">
        <v>0.0</v>
      </c>
      <c r="AI263" t="n">
        <v>0.0</v>
      </c>
      <c r="AJ263" t="n">
        <v>0.0</v>
      </c>
      <c r="AK263" t="n">
        <v>0.0</v>
      </c>
      <c r="AL263" t="n">
        <v>0.0</v>
      </c>
      <c r="AM263" t="n">
        <v>0.0</v>
      </c>
      <c r="AN263" t="n">
        <v>0.0</v>
      </c>
      <c r="AO263" t="n">
        <v>1057211.0</v>
      </c>
      <c r="AP263" t="n">
        <v>105721.0</v>
      </c>
      <c r="AQ263" t="n">
        <v>88749.0</v>
      </c>
      <c r="CH263">
        <f>IFERROR(U263*1,0)</f>
      </c>
    </row>
    <row r="264">
      <c r="A264" t="n">
        <v>4.0</v>
      </c>
      <c r="B264">
        <f>IF((K264-G264-H264&gt;2400000),10,(L264/(K264-G264-H264)*100))</f>
      </c>
      <c r="C264">
        <f>IF(N264&gt;2400000,240000,(N264*S264)/100)</f>
      </c>
      <c r="D264">
        <f>IF(S264=0,0,IF((N264-I264)&gt;2400000,((((((N264-I264-J264)-240000))*0.1+(I264+J264)*0.1)))-7000,((((((N264-I264-J264)-(N264-I264-J264)*S264/100)))*0.1+(I264+J264)*0.1)-7000)))</f>
      </c>
      <c r="E264">
        <f>C264-O264</f>
      </c>
      <c r="F264">
        <f>D264-P264</f>
      </c>
      <c r="G264">
        <f>SUMIF(negtgel!U$2:BL$2,'Tsalin uzuulelt'!B$1,negtgel!U264:BL264) + SUMIF(negtgel!U$2:BL$2,'Tsalin uzuulelt'!B$2,negtgel!U264:BL264)+SUMIF(negtgel!U$2:BL$2,'Tsalin uzuulelt'!B$3,negtgel!U264:BL264)+SUMIF(negtgel!U$2:BL$2,'Tsalin uzuulelt'!B$4,negtgel!U264:BL264)+SUMIF(negtgel!U$2:BL$2,'Tsalin uzuulelt'!B$5,negtgel!U264:BL264)</f>
      </c>
      <c r="H264">
        <f>SUMIF(negtgel!U$2:BL$2,'Tsalin uzuulelt'!F$1,negtgel!U264:BL264) + SUMIF(negtgel!U$2:BL$2,'Tsalin uzuulelt'!F$2,negtgel!U264:BL264)+SUMIF(negtgel!U$2:BL$2,'Tsalin uzuulelt'!F$3,negtgel!U264:BL264)+SUMIF(negtgel!U$2:BL$2,'Tsalin uzuulelt'!F$4,negtgel!U264:BL264)+SUMIF(negtgel!U$2:BL$2,'Tsalin uzuulelt'!F$5,negtgel!U264:BL264)</f>
      </c>
      <c r="I264">
        <f>SUMIF(negtgel!U$2:BL$2,'Tsalin uzuulelt'!H$1,negtgel!U264:BL264) + SUMIF(negtgel!U$2:BL$2,'Tsalin uzuulelt'!H$2,negtgel!U264:BL264)+SUMIF(negtgel!U$2:BL$2,'Tsalin uzuulelt'!H$3,negtgel!U264:BL264)+SUMIF(negtgel!U$2:BL$2,'Tsalin uzuulelt'!H$4,negtgel!U264:BL264)+SUMIF(negtgel!U$2:BL$2,'Tsalin uzuulelt'!H$5,negtgel!U264:BL264)</f>
      </c>
      <c r="J264">
        <f>SUMIF(negtgel!U$2:BL$2,'Tsalin uzuulelt'!J$1,negtgel!U264:BL264) + SUMIF(negtgel!U$2:BL$2,'Tsalin uzuulelt'!J$2,negtgel!U264:BL264)+SUMIF(negtgel!U$2:BL$2,'Tsalin uzuulelt'!J$3,negtgel!U264:BL264)+SUMIF(negtgel!U$2:BL$2,'Tsalin uzuulelt'!J$4,negtgel!U264:BL264)+SUMIF(negtgel!U$2:BL$2,'Tsalin uzuulelt'!J$5,negtgel!U264:BL264)</f>
      </c>
      <c r="K264">
        <f>SUMIF(negtgel!U$2:BL$2,'Tsalin uzuulelt'!L$1,negtgel!U264:BL264) + SUMIF(negtgel!U$2:BL$2,'Tsalin uzuulelt'!L$2,negtgel!U264:BL264)+SUMIF(negtgel!U$2:BL$2,'Tsalin uzuulelt'!L$3,negtgel!U264:BL264)+SUMIF(negtgel!U$2:BL$2,'Tsalin uzuulelt'!L$4,negtgel!U264:BL264)+SUMIF(negtgel!U$2:BL$2,'Tsalin uzuulelt'!L$5,negtgel!U264:BL264)</f>
      </c>
      <c r="L264">
        <f>SUMIF(negtgel!U$2:BL$2,'Tsalin uzuulelt'!N$1,negtgel!U264:BL264) + SUMIF(negtgel!U$2:BL$2,'Tsalin uzuulelt'!N$2,negtgel!U264:BL264)+SUMIF(negtgel!U$2:BL$2,'Tsalin uzuulelt'!N$3,negtgel!U264:BL264)+SUMIF(negtgel!U$2:BL$2,'Tsalin uzuulelt'!N$4,negtgel!U264:BL264)+SUMIF(negtgel!U$2:BL$2,'Tsalin uzuulelt'!N$5,negtgel!U264:BL264)</f>
      </c>
      <c r="M264">
        <f>SUMIF(negtgel!U$2:BL$2,'Tsalin uzuulelt'!P$1,negtgel!U264:BL264) + SUMIF(negtgel!U$2:BL$2,'Tsalin uzuulelt'!P$2,negtgel!U264:BL264)+ SUMIF(negtgel!U$2:BL$2,'Tsalin uzuulelt'!P$3,negtgel!U264:BL264)+ SUMIF(negtgel!U$2:BL$2,'Tsalin uzuulelt'!P$4,negtgel!U264:BL264)+ SUMIF(negtgel!U$2:BL$2,'Tsalin uzuulelt'!P$5,negtgel!U264:BL264)</f>
      </c>
      <c r="N264">
        <f>IF(ISNUMBER(U264*1)=CF264,0,K264-H264-G264)</f>
      </c>
      <c r="O264">
        <f>IF(ISNUMBER(U264*1)=CF264,0,L264)</f>
      </c>
      <c r="P264">
        <f>IF(ISNUMBER(U264*1)=CF264,0,M264)</f>
      </c>
      <c r="Q264">
        <f>IF(N264&gt;2400000,N264,0)</f>
      </c>
      <c r="R264">
        <f>IF(L264/Q264*100&lt;3,2,10)</f>
      </c>
      <c r="S264">
        <f>IF(CH264=0,0,IF(B264&gt;9,10,IF(B264&gt;8,B264,IF(B264&gt;7.7,7.8,IF(B264&gt;3,B264,IF(B264&gt;1.5,2))))))</f>
      </c>
      <c r="T264">
        <f>IF(Q264=0,S264,R264)</f>
      </c>
      <c r="U264" t="n">
        <v>90.0</v>
      </c>
      <c r="V264" t="s">
        <v>3842</v>
      </c>
      <c r="W264" t="s">
        <v>3790</v>
      </c>
      <c r="X264" t="n">
        <v>645556.0</v>
      </c>
      <c r="Y264" t="n">
        <v>645556.0</v>
      </c>
      <c r="Z264" t="n">
        <v>109745.0</v>
      </c>
      <c r="AA264" t="n">
        <v>64556.0</v>
      </c>
      <c r="AB264" t="n">
        <v>0.0</v>
      </c>
      <c r="AC264" t="n">
        <v>0.0</v>
      </c>
      <c r="AD264" t="n">
        <v>0.0</v>
      </c>
      <c r="AE264" t="n">
        <v>251767.0</v>
      </c>
      <c r="AF264" t="n">
        <v>60000.0</v>
      </c>
      <c r="AG264" t="n">
        <v>0.0</v>
      </c>
      <c r="AH264" t="n">
        <v>0.0</v>
      </c>
      <c r="AI264" t="n">
        <v>0.0</v>
      </c>
      <c r="AJ264" t="n">
        <v>0.0</v>
      </c>
      <c r="AK264" t="n">
        <v>0.0</v>
      </c>
      <c r="AL264" t="n">
        <v>0.0</v>
      </c>
      <c r="AM264" t="n">
        <v>0.0</v>
      </c>
      <c r="AN264" t="n">
        <v>0.0</v>
      </c>
      <c r="AO264" t="n">
        <v>1131624.0</v>
      </c>
      <c r="AP264" t="n">
        <v>113162.0</v>
      </c>
      <c r="AQ264" t="n">
        <v>95446.2</v>
      </c>
      <c r="CH264">
        <f>IFERROR(U264*1,0)</f>
      </c>
    </row>
    <row r="265">
      <c r="A265" t="n">
        <v>4.0</v>
      </c>
      <c r="B265">
        <f>IF((K265-G265-H265&gt;2400000),10,(L265/(K265-G265-H265)*100))</f>
      </c>
      <c r="C265">
        <f>IF(N265&gt;2400000,240000,(N265*S265)/100)</f>
      </c>
      <c r="D265">
        <f>IF(S265=0,0,IF((N265-I265)&gt;2400000,((((((N265-I265-J265)-240000))*0.1+(I265+J265)*0.1)))-7000,((((((N265-I265-J265)-(N265-I265-J265)*S265/100)))*0.1+(I265+J265)*0.1)-7000)))</f>
      </c>
      <c r="E265">
        <f>C265-O265</f>
      </c>
      <c r="F265">
        <f>D265-P265</f>
      </c>
      <c r="G265">
        <f>SUMIF(negtgel!U$2:BL$2,'Tsalin uzuulelt'!B$1,negtgel!U265:BL265) + SUMIF(negtgel!U$2:BL$2,'Tsalin uzuulelt'!B$2,negtgel!U265:BL265)+SUMIF(negtgel!U$2:BL$2,'Tsalin uzuulelt'!B$3,negtgel!U265:BL265)+SUMIF(negtgel!U$2:BL$2,'Tsalin uzuulelt'!B$4,negtgel!U265:BL265)+SUMIF(negtgel!U$2:BL$2,'Tsalin uzuulelt'!B$5,negtgel!U265:BL265)</f>
      </c>
      <c r="H265">
        <f>SUMIF(negtgel!U$2:BL$2,'Tsalin uzuulelt'!F$1,negtgel!U265:BL265) + SUMIF(negtgel!U$2:BL$2,'Tsalin uzuulelt'!F$2,negtgel!U265:BL265)+SUMIF(negtgel!U$2:BL$2,'Tsalin uzuulelt'!F$3,negtgel!U265:BL265)+SUMIF(negtgel!U$2:BL$2,'Tsalin uzuulelt'!F$4,negtgel!U265:BL265)+SUMIF(negtgel!U$2:BL$2,'Tsalin uzuulelt'!F$5,negtgel!U265:BL265)</f>
      </c>
      <c r="I265">
        <f>SUMIF(negtgel!U$2:BL$2,'Tsalin uzuulelt'!H$1,negtgel!U265:BL265) + SUMIF(negtgel!U$2:BL$2,'Tsalin uzuulelt'!H$2,negtgel!U265:BL265)+SUMIF(negtgel!U$2:BL$2,'Tsalin uzuulelt'!H$3,negtgel!U265:BL265)+SUMIF(negtgel!U$2:BL$2,'Tsalin uzuulelt'!H$4,negtgel!U265:BL265)+SUMIF(negtgel!U$2:BL$2,'Tsalin uzuulelt'!H$5,negtgel!U265:BL265)</f>
      </c>
      <c r="J265">
        <f>SUMIF(negtgel!U$2:BL$2,'Tsalin uzuulelt'!J$1,negtgel!U265:BL265) + SUMIF(negtgel!U$2:BL$2,'Tsalin uzuulelt'!J$2,negtgel!U265:BL265)+SUMIF(negtgel!U$2:BL$2,'Tsalin uzuulelt'!J$3,negtgel!U265:BL265)+SUMIF(negtgel!U$2:BL$2,'Tsalin uzuulelt'!J$4,negtgel!U265:BL265)+SUMIF(negtgel!U$2:BL$2,'Tsalin uzuulelt'!J$5,negtgel!U265:BL265)</f>
      </c>
      <c r="K265">
        <f>SUMIF(negtgel!U$2:BL$2,'Tsalin uzuulelt'!L$1,negtgel!U265:BL265) + SUMIF(negtgel!U$2:BL$2,'Tsalin uzuulelt'!L$2,negtgel!U265:BL265)+SUMIF(negtgel!U$2:BL$2,'Tsalin uzuulelt'!L$3,negtgel!U265:BL265)+SUMIF(negtgel!U$2:BL$2,'Tsalin uzuulelt'!L$4,negtgel!U265:BL265)+SUMIF(negtgel!U$2:BL$2,'Tsalin uzuulelt'!L$5,negtgel!U265:BL265)</f>
      </c>
      <c r="L265">
        <f>SUMIF(negtgel!U$2:BL$2,'Tsalin uzuulelt'!N$1,negtgel!U265:BL265) + SUMIF(negtgel!U$2:BL$2,'Tsalin uzuulelt'!N$2,negtgel!U265:BL265)+SUMIF(negtgel!U$2:BL$2,'Tsalin uzuulelt'!N$3,negtgel!U265:BL265)+SUMIF(negtgel!U$2:BL$2,'Tsalin uzuulelt'!N$4,negtgel!U265:BL265)+SUMIF(negtgel!U$2:BL$2,'Tsalin uzuulelt'!N$5,negtgel!U265:BL265)</f>
      </c>
      <c r="M265">
        <f>SUMIF(negtgel!U$2:BL$2,'Tsalin uzuulelt'!P$1,negtgel!U265:BL265) + SUMIF(negtgel!U$2:BL$2,'Tsalin uzuulelt'!P$2,negtgel!U265:BL265)+ SUMIF(negtgel!U$2:BL$2,'Tsalin uzuulelt'!P$3,negtgel!U265:BL265)+ SUMIF(negtgel!U$2:BL$2,'Tsalin uzuulelt'!P$4,negtgel!U265:BL265)+ SUMIF(negtgel!U$2:BL$2,'Tsalin uzuulelt'!P$5,negtgel!U265:BL265)</f>
      </c>
      <c r="N265">
        <f>IF(ISNUMBER(U265*1)=CF265,0,K265-H265-G265)</f>
      </c>
      <c r="O265">
        <f>IF(ISNUMBER(U265*1)=CF265,0,L265)</f>
      </c>
      <c r="P265">
        <f>IF(ISNUMBER(U265*1)=CF265,0,M265)</f>
      </c>
      <c r="Q265">
        <f>IF(N265&gt;2400000,N265,0)</f>
      </c>
      <c r="R265">
        <f>IF(L265/Q265*100&lt;3,2,10)</f>
      </c>
      <c r="S265">
        <f>IF(CH265=0,0,IF(B265&gt;9,10,IF(B265&gt;8,B265,IF(B265&gt;7.7,7.8,IF(B265&gt;3,B265,IF(B265&gt;1.5,2))))))</f>
      </c>
      <c r="T265">
        <f>IF(Q265=0,S265,R265)</f>
      </c>
      <c r="U265" t="n">
        <v>91.0</v>
      </c>
      <c r="V265" t="s">
        <v>3843</v>
      </c>
      <c r="W265" t="s">
        <v>3820</v>
      </c>
      <c r="X265" t="n">
        <v>698795.0</v>
      </c>
      <c r="Y265" t="n">
        <v>384337.0</v>
      </c>
      <c r="Z265" t="n">
        <v>76867.0</v>
      </c>
      <c r="AA265" t="n">
        <v>69181.0</v>
      </c>
      <c r="AB265" t="n">
        <v>0.0</v>
      </c>
      <c r="AC265" t="n">
        <v>0.0</v>
      </c>
      <c r="AD265" t="n">
        <v>0.0</v>
      </c>
      <c r="AE265" t="n">
        <v>269316.0</v>
      </c>
      <c r="AF265" t="n">
        <v>33000.0</v>
      </c>
      <c r="AG265" t="n">
        <v>0.0</v>
      </c>
      <c r="AH265" t="n">
        <v>0.0</v>
      </c>
      <c r="AI265" t="n">
        <v>0.0</v>
      </c>
      <c r="AJ265" t="n">
        <v>0.0</v>
      </c>
      <c r="AK265" t="n">
        <v>0.0</v>
      </c>
      <c r="AL265" t="n">
        <v>189099.0</v>
      </c>
      <c r="AM265" t="n">
        <v>0.0</v>
      </c>
      <c r="AN265" t="n">
        <v>0.0</v>
      </c>
      <c r="AO265" t="n">
        <v>1021800.0</v>
      </c>
      <c r="AP265" t="n">
        <v>83270.0</v>
      </c>
      <c r="AQ265" t="n">
        <v>68273.1</v>
      </c>
      <c r="CH265">
        <f>IFERROR(U265*1,0)</f>
      </c>
    </row>
    <row r="266">
      <c r="A266" t="n">
        <v>4.0</v>
      </c>
      <c r="B266">
        <f>IF((K266-G266-H266&gt;2400000),10,(L266/(K266-G266-H266)*100))</f>
      </c>
      <c r="C266">
        <f>IF(N266&gt;2400000,240000,(N266*S266)/100)</f>
      </c>
      <c r="D266">
        <f>IF(S266=0,0,IF((N266-I266)&gt;2400000,((((((N266-I266-J266)-240000))*0.1+(I266+J266)*0.1)))-7000,((((((N266-I266-J266)-(N266-I266-J266)*S266/100)))*0.1+(I266+J266)*0.1)-7000)))</f>
      </c>
      <c r="E266">
        <f>C266-O266</f>
      </c>
      <c r="F266">
        <f>D266-P266</f>
      </c>
      <c r="G266">
        <f>SUMIF(negtgel!U$2:BL$2,'Tsalin uzuulelt'!B$1,negtgel!U266:BL266) + SUMIF(negtgel!U$2:BL$2,'Tsalin uzuulelt'!B$2,negtgel!U266:BL266)+SUMIF(negtgel!U$2:BL$2,'Tsalin uzuulelt'!B$3,negtgel!U266:BL266)+SUMIF(negtgel!U$2:BL$2,'Tsalin uzuulelt'!B$4,negtgel!U266:BL266)+SUMIF(negtgel!U$2:BL$2,'Tsalin uzuulelt'!B$5,negtgel!U266:BL266)</f>
      </c>
      <c r="H266">
        <f>SUMIF(negtgel!U$2:BL$2,'Tsalin uzuulelt'!F$1,negtgel!U266:BL266) + SUMIF(negtgel!U$2:BL$2,'Tsalin uzuulelt'!F$2,negtgel!U266:BL266)+SUMIF(negtgel!U$2:BL$2,'Tsalin uzuulelt'!F$3,negtgel!U266:BL266)+SUMIF(negtgel!U$2:BL$2,'Tsalin uzuulelt'!F$4,negtgel!U266:BL266)+SUMIF(negtgel!U$2:BL$2,'Tsalin uzuulelt'!F$5,negtgel!U266:BL266)</f>
      </c>
      <c r="I266">
        <f>SUMIF(negtgel!U$2:BL$2,'Tsalin uzuulelt'!H$1,negtgel!U266:BL266) + SUMIF(negtgel!U$2:BL$2,'Tsalin uzuulelt'!H$2,negtgel!U266:BL266)+SUMIF(negtgel!U$2:BL$2,'Tsalin uzuulelt'!H$3,negtgel!U266:BL266)+SUMIF(negtgel!U$2:BL$2,'Tsalin uzuulelt'!H$4,negtgel!U266:BL266)+SUMIF(negtgel!U$2:BL$2,'Tsalin uzuulelt'!H$5,negtgel!U266:BL266)</f>
      </c>
      <c r="J266">
        <f>SUMIF(negtgel!U$2:BL$2,'Tsalin uzuulelt'!J$1,negtgel!U266:BL266) + SUMIF(negtgel!U$2:BL$2,'Tsalin uzuulelt'!J$2,negtgel!U266:BL266)+SUMIF(negtgel!U$2:BL$2,'Tsalin uzuulelt'!J$3,negtgel!U266:BL266)+SUMIF(negtgel!U$2:BL$2,'Tsalin uzuulelt'!J$4,negtgel!U266:BL266)+SUMIF(negtgel!U$2:BL$2,'Tsalin uzuulelt'!J$5,negtgel!U266:BL266)</f>
      </c>
      <c r="K266">
        <f>SUMIF(negtgel!U$2:BL$2,'Tsalin uzuulelt'!L$1,negtgel!U266:BL266) + SUMIF(negtgel!U$2:BL$2,'Tsalin uzuulelt'!L$2,negtgel!U266:BL266)+SUMIF(negtgel!U$2:BL$2,'Tsalin uzuulelt'!L$3,negtgel!U266:BL266)+SUMIF(negtgel!U$2:BL$2,'Tsalin uzuulelt'!L$4,negtgel!U266:BL266)+SUMIF(negtgel!U$2:BL$2,'Tsalin uzuulelt'!L$5,negtgel!U266:BL266)</f>
      </c>
      <c r="L266">
        <f>SUMIF(negtgel!U$2:BL$2,'Tsalin uzuulelt'!N$1,negtgel!U266:BL266) + SUMIF(negtgel!U$2:BL$2,'Tsalin uzuulelt'!N$2,negtgel!U266:BL266)+SUMIF(negtgel!U$2:BL$2,'Tsalin uzuulelt'!N$3,negtgel!U266:BL266)+SUMIF(negtgel!U$2:BL$2,'Tsalin uzuulelt'!N$4,negtgel!U266:BL266)+SUMIF(negtgel!U$2:BL$2,'Tsalin uzuulelt'!N$5,negtgel!U266:BL266)</f>
      </c>
      <c r="M266">
        <f>SUMIF(negtgel!U$2:BL$2,'Tsalin uzuulelt'!P$1,negtgel!U266:BL266) + SUMIF(negtgel!U$2:BL$2,'Tsalin uzuulelt'!P$2,negtgel!U266:BL266)+ SUMIF(negtgel!U$2:BL$2,'Tsalin uzuulelt'!P$3,negtgel!U266:BL266)+ SUMIF(negtgel!U$2:BL$2,'Tsalin uzuulelt'!P$4,negtgel!U266:BL266)+ SUMIF(negtgel!U$2:BL$2,'Tsalin uzuulelt'!P$5,negtgel!U266:BL266)</f>
      </c>
      <c r="N266">
        <f>IF(ISNUMBER(U266*1)=CF266,0,K266-H266-G266)</f>
      </c>
      <c r="O266">
        <f>IF(ISNUMBER(U266*1)=CF266,0,L266)</f>
      </c>
      <c r="P266">
        <f>IF(ISNUMBER(U266*1)=CF266,0,M266)</f>
      </c>
      <c r="Q266">
        <f>IF(N266&gt;2400000,N266,0)</f>
      </c>
      <c r="R266">
        <f>IF(L266/Q266*100&lt;3,2,10)</f>
      </c>
      <c r="S266">
        <f>IF(CH266=0,0,IF(B266&gt;9,10,IF(B266&gt;8,B266,IF(B266&gt;7.7,7.8,IF(B266&gt;3,B266,IF(B266&gt;1.5,2))))))</f>
      </c>
      <c r="T266">
        <f>IF(Q266=0,S266,R266)</f>
      </c>
      <c r="U266" t="n">
        <v>92.0</v>
      </c>
      <c r="V266" t="s">
        <v>3853</v>
      </c>
      <c r="W266" t="s">
        <v>3790</v>
      </c>
      <c r="X266" t="n">
        <v>613669.0</v>
      </c>
      <c r="Y266" t="n">
        <v>613669.0</v>
      </c>
      <c r="Z266" t="n">
        <v>30683.0</v>
      </c>
      <c r="AA266" t="n">
        <v>92050.0</v>
      </c>
      <c r="AB266" t="n">
        <v>0.0</v>
      </c>
      <c r="AC266" t="n">
        <v>0.0</v>
      </c>
      <c r="AD266" t="n">
        <v>0.0</v>
      </c>
      <c r="AE266" t="n">
        <v>242399.0</v>
      </c>
      <c r="AF266" t="n">
        <v>60000.0</v>
      </c>
      <c r="AG266" t="n">
        <v>0.0</v>
      </c>
      <c r="AH266" t="n">
        <v>0.0</v>
      </c>
      <c r="AI266" t="n">
        <v>0.0</v>
      </c>
      <c r="AJ266" t="n">
        <v>0.0</v>
      </c>
      <c r="AK266" t="n">
        <v>0.0</v>
      </c>
      <c r="AL266" t="n">
        <v>0.0</v>
      </c>
      <c r="AM266" t="n">
        <v>0.0</v>
      </c>
      <c r="AN266" t="n">
        <v>0.0</v>
      </c>
      <c r="AO266" t="n">
        <v>1038801.0</v>
      </c>
      <c r="AP266" t="n">
        <v>103880.0</v>
      </c>
      <c r="AQ266" t="n">
        <v>87092.1</v>
      </c>
      <c r="CH266">
        <f>IFERROR(U266*1,0)</f>
      </c>
    </row>
    <row r="267">
      <c r="A267" t="n">
        <v>4.0</v>
      </c>
      <c r="B267">
        <f>IF((K267-G267-H267&gt;2400000),10,(L267/(K267-G267-H267)*100))</f>
      </c>
      <c r="C267">
        <f>IF(N267&gt;2400000,240000,(N267*S267)/100)</f>
      </c>
      <c r="D267">
        <f>IF(S267=0,0,IF((N267-I267)&gt;2400000,((((((N267-I267-J267)-240000))*0.1+(I267+J267)*0.1)))-7000,((((((N267-I267-J267)-(N267-I267-J267)*S267/100)))*0.1+(I267+J267)*0.1)-7000)))</f>
      </c>
      <c r="E267">
        <f>C267-O267</f>
      </c>
      <c r="F267">
        <f>D267-P267</f>
      </c>
      <c r="G267">
        <f>SUMIF(negtgel!U$2:BL$2,'Tsalin uzuulelt'!B$1,negtgel!U267:BL267) + SUMIF(negtgel!U$2:BL$2,'Tsalin uzuulelt'!B$2,negtgel!U267:BL267)+SUMIF(negtgel!U$2:BL$2,'Tsalin uzuulelt'!B$3,negtgel!U267:BL267)+SUMIF(negtgel!U$2:BL$2,'Tsalin uzuulelt'!B$4,negtgel!U267:BL267)+SUMIF(negtgel!U$2:BL$2,'Tsalin uzuulelt'!B$5,negtgel!U267:BL267)</f>
      </c>
      <c r="H267">
        <f>SUMIF(negtgel!U$2:BL$2,'Tsalin uzuulelt'!F$1,negtgel!U267:BL267) + SUMIF(negtgel!U$2:BL$2,'Tsalin uzuulelt'!F$2,negtgel!U267:BL267)+SUMIF(negtgel!U$2:BL$2,'Tsalin uzuulelt'!F$3,negtgel!U267:BL267)+SUMIF(negtgel!U$2:BL$2,'Tsalin uzuulelt'!F$4,negtgel!U267:BL267)+SUMIF(negtgel!U$2:BL$2,'Tsalin uzuulelt'!F$5,negtgel!U267:BL267)</f>
      </c>
      <c r="I267">
        <f>SUMIF(negtgel!U$2:BL$2,'Tsalin uzuulelt'!H$1,negtgel!U267:BL267) + SUMIF(negtgel!U$2:BL$2,'Tsalin uzuulelt'!H$2,negtgel!U267:BL267)+SUMIF(negtgel!U$2:BL$2,'Tsalin uzuulelt'!H$3,negtgel!U267:BL267)+SUMIF(negtgel!U$2:BL$2,'Tsalin uzuulelt'!H$4,negtgel!U267:BL267)+SUMIF(negtgel!U$2:BL$2,'Tsalin uzuulelt'!H$5,negtgel!U267:BL267)</f>
      </c>
      <c r="J267">
        <f>SUMIF(negtgel!U$2:BL$2,'Tsalin uzuulelt'!J$1,negtgel!U267:BL267) + SUMIF(negtgel!U$2:BL$2,'Tsalin uzuulelt'!J$2,negtgel!U267:BL267)+SUMIF(negtgel!U$2:BL$2,'Tsalin uzuulelt'!J$3,negtgel!U267:BL267)+SUMIF(negtgel!U$2:BL$2,'Tsalin uzuulelt'!J$4,negtgel!U267:BL267)+SUMIF(negtgel!U$2:BL$2,'Tsalin uzuulelt'!J$5,negtgel!U267:BL267)</f>
      </c>
      <c r="K267">
        <f>SUMIF(negtgel!U$2:BL$2,'Tsalin uzuulelt'!L$1,negtgel!U267:BL267) + SUMIF(negtgel!U$2:BL$2,'Tsalin uzuulelt'!L$2,negtgel!U267:BL267)+SUMIF(negtgel!U$2:BL$2,'Tsalin uzuulelt'!L$3,negtgel!U267:BL267)+SUMIF(negtgel!U$2:BL$2,'Tsalin uzuulelt'!L$4,negtgel!U267:BL267)+SUMIF(negtgel!U$2:BL$2,'Tsalin uzuulelt'!L$5,negtgel!U267:BL267)</f>
      </c>
      <c r="L267">
        <f>SUMIF(negtgel!U$2:BL$2,'Tsalin uzuulelt'!N$1,negtgel!U267:BL267) + SUMIF(negtgel!U$2:BL$2,'Tsalin uzuulelt'!N$2,negtgel!U267:BL267)+SUMIF(negtgel!U$2:BL$2,'Tsalin uzuulelt'!N$3,negtgel!U267:BL267)+SUMIF(negtgel!U$2:BL$2,'Tsalin uzuulelt'!N$4,negtgel!U267:BL267)+SUMIF(negtgel!U$2:BL$2,'Tsalin uzuulelt'!N$5,negtgel!U267:BL267)</f>
      </c>
      <c r="M267">
        <f>SUMIF(negtgel!U$2:BL$2,'Tsalin uzuulelt'!P$1,negtgel!U267:BL267) + SUMIF(negtgel!U$2:BL$2,'Tsalin uzuulelt'!P$2,negtgel!U267:BL267)+ SUMIF(negtgel!U$2:BL$2,'Tsalin uzuulelt'!P$3,negtgel!U267:BL267)+ SUMIF(negtgel!U$2:BL$2,'Tsalin uzuulelt'!P$4,negtgel!U267:BL267)+ SUMIF(negtgel!U$2:BL$2,'Tsalin uzuulelt'!P$5,negtgel!U267:BL267)</f>
      </c>
      <c r="N267">
        <f>IF(ISNUMBER(U267*1)=CF267,0,K267-H267-G267)</f>
      </c>
      <c r="O267">
        <f>IF(ISNUMBER(U267*1)=CF267,0,L267)</f>
      </c>
      <c r="P267">
        <f>IF(ISNUMBER(U267*1)=CF267,0,M267)</f>
      </c>
      <c r="Q267">
        <f>IF(N267&gt;2400000,N267,0)</f>
      </c>
      <c r="R267">
        <f>IF(L267/Q267*100&lt;3,2,10)</f>
      </c>
      <c r="S267">
        <f>IF(CH267=0,0,IF(B267&gt;9,10,IF(B267&gt;8,B267,IF(B267&gt;7.7,7.8,IF(B267&gt;3,B267,IF(B267&gt;1.5,2))))))</f>
      </c>
      <c r="T267">
        <f>IF(Q267=0,S267,R267)</f>
      </c>
      <c r="U267" t="n">
        <v>93.0</v>
      </c>
      <c r="V267" t="s">
        <v>3854</v>
      </c>
      <c r="W267" t="s">
        <v>3785</v>
      </c>
      <c r="X267" t="n">
        <v>795935.0</v>
      </c>
      <c r="Y267" t="n">
        <v>795935.0</v>
      </c>
      <c r="Z267" t="n">
        <v>159187.0</v>
      </c>
      <c r="AA267" t="n">
        <v>175106.0</v>
      </c>
      <c r="AB267" t="n">
        <v>0.0</v>
      </c>
      <c r="AC267" t="n">
        <v>0.0</v>
      </c>
      <c r="AD267" t="n">
        <v>0.0</v>
      </c>
      <c r="AE267" t="n">
        <v>314394.0</v>
      </c>
      <c r="AF267" t="n">
        <v>60000.0</v>
      </c>
      <c r="AG267" t="n">
        <v>0.0</v>
      </c>
      <c r="AH267" t="n">
        <v>0.0</v>
      </c>
      <c r="AI267" t="n">
        <v>0.0</v>
      </c>
      <c r="AJ267" t="n">
        <v>0.0</v>
      </c>
      <c r="AK267" t="n">
        <v>0.0</v>
      </c>
      <c r="AL267" t="n">
        <v>0.0</v>
      </c>
      <c r="AM267" t="n">
        <v>0.0</v>
      </c>
      <c r="AN267" t="n">
        <v>0.0</v>
      </c>
      <c r="AO267" t="n">
        <v>1504622.0</v>
      </c>
      <c r="AP267" t="n">
        <v>150462.0</v>
      </c>
      <c r="AQ267" t="n">
        <v>129016.0</v>
      </c>
      <c r="CH267">
        <f>IFERROR(U267*1,0)</f>
      </c>
    </row>
    <row r="268">
      <c r="A268" t="n">
        <v>4.0</v>
      </c>
      <c r="B268">
        <f>IF((K268-G268-H268&gt;2400000),10,(L268/(K268-G268-H268)*100))</f>
      </c>
      <c r="C268">
        <f>IF(N268&gt;2400000,240000,(N268*S268)/100)</f>
      </c>
      <c r="D268">
        <f>IF(S268=0,0,IF((N268-I268)&gt;2400000,((((((N268-I268-J268)-240000))*0.1+(I268+J268)*0.1)))-7000,((((((N268-I268-J268)-(N268-I268-J268)*S268/100)))*0.1+(I268+J268)*0.1)-7000)))</f>
      </c>
      <c r="E268">
        <f>C268-O268</f>
      </c>
      <c r="F268">
        <f>D268-P268</f>
      </c>
      <c r="G268">
        <f>SUMIF(negtgel!U$2:BL$2,'Tsalin uzuulelt'!B$1,negtgel!U268:BL268) + SUMIF(negtgel!U$2:BL$2,'Tsalin uzuulelt'!B$2,negtgel!U268:BL268)+SUMIF(negtgel!U$2:BL$2,'Tsalin uzuulelt'!B$3,negtgel!U268:BL268)+SUMIF(negtgel!U$2:BL$2,'Tsalin uzuulelt'!B$4,negtgel!U268:BL268)+SUMIF(negtgel!U$2:BL$2,'Tsalin uzuulelt'!B$5,negtgel!U268:BL268)</f>
      </c>
      <c r="H268">
        <f>SUMIF(negtgel!U$2:BL$2,'Tsalin uzuulelt'!F$1,negtgel!U268:BL268) + SUMIF(negtgel!U$2:BL$2,'Tsalin uzuulelt'!F$2,negtgel!U268:BL268)+SUMIF(negtgel!U$2:BL$2,'Tsalin uzuulelt'!F$3,negtgel!U268:BL268)+SUMIF(negtgel!U$2:BL$2,'Tsalin uzuulelt'!F$4,negtgel!U268:BL268)+SUMIF(negtgel!U$2:BL$2,'Tsalin uzuulelt'!F$5,negtgel!U268:BL268)</f>
      </c>
      <c r="I268">
        <f>SUMIF(negtgel!U$2:BL$2,'Tsalin uzuulelt'!H$1,negtgel!U268:BL268) + SUMIF(negtgel!U$2:BL$2,'Tsalin uzuulelt'!H$2,negtgel!U268:BL268)+SUMIF(negtgel!U$2:BL$2,'Tsalin uzuulelt'!H$3,negtgel!U268:BL268)+SUMIF(negtgel!U$2:BL$2,'Tsalin uzuulelt'!H$4,negtgel!U268:BL268)+SUMIF(negtgel!U$2:BL$2,'Tsalin uzuulelt'!H$5,negtgel!U268:BL268)</f>
      </c>
      <c r="J268">
        <f>SUMIF(negtgel!U$2:BL$2,'Tsalin uzuulelt'!J$1,negtgel!U268:BL268) + SUMIF(negtgel!U$2:BL$2,'Tsalin uzuulelt'!J$2,negtgel!U268:BL268)+SUMIF(negtgel!U$2:BL$2,'Tsalin uzuulelt'!J$3,negtgel!U268:BL268)+SUMIF(negtgel!U$2:BL$2,'Tsalin uzuulelt'!J$4,negtgel!U268:BL268)+SUMIF(negtgel!U$2:BL$2,'Tsalin uzuulelt'!J$5,negtgel!U268:BL268)</f>
      </c>
      <c r="K268">
        <f>SUMIF(negtgel!U$2:BL$2,'Tsalin uzuulelt'!L$1,negtgel!U268:BL268) + SUMIF(negtgel!U$2:BL$2,'Tsalin uzuulelt'!L$2,negtgel!U268:BL268)+SUMIF(negtgel!U$2:BL$2,'Tsalin uzuulelt'!L$3,negtgel!U268:BL268)+SUMIF(negtgel!U$2:BL$2,'Tsalin uzuulelt'!L$4,negtgel!U268:BL268)+SUMIF(negtgel!U$2:BL$2,'Tsalin uzuulelt'!L$5,negtgel!U268:BL268)</f>
      </c>
      <c r="L268">
        <f>SUMIF(negtgel!U$2:BL$2,'Tsalin uzuulelt'!N$1,negtgel!U268:BL268) + SUMIF(negtgel!U$2:BL$2,'Tsalin uzuulelt'!N$2,negtgel!U268:BL268)+SUMIF(negtgel!U$2:BL$2,'Tsalin uzuulelt'!N$3,negtgel!U268:BL268)+SUMIF(negtgel!U$2:BL$2,'Tsalin uzuulelt'!N$4,negtgel!U268:BL268)+SUMIF(negtgel!U$2:BL$2,'Tsalin uzuulelt'!N$5,negtgel!U268:BL268)</f>
      </c>
      <c r="M268">
        <f>SUMIF(negtgel!U$2:BL$2,'Tsalin uzuulelt'!P$1,negtgel!U268:BL268) + SUMIF(negtgel!U$2:BL$2,'Tsalin uzuulelt'!P$2,negtgel!U268:BL268)+ SUMIF(negtgel!U$2:BL$2,'Tsalin uzuulelt'!P$3,negtgel!U268:BL268)+ SUMIF(negtgel!U$2:BL$2,'Tsalin uzuulelt'!P$4,negtgel!U268:BL268)+ SUMIF(negtgel!U$2:BL$2,'Tsalin uzuulelt'!P$5,negtgel!U268:BL268)</f>
      </c>
      <c r="N268">
        <f>IF(ISNUMBER(U268*1)=CF268,0,K268-H268-G268)</f>
      </c>
      <c r="O268">
        <f>IF(ISNUMBER(U268*1)=CF268,0,L268)</f>
      </c>
      <c r="P268">
        <f>IF(ISNUMBER(U268*1)=CF268,0,M268)</f>
      </c>
      <c r="Q268">
        <f>IF(N268&gt;2400000,N268,0)</f>
      </c>
      <c r="R268">
        <f>IF(L268/Q268*100&lt;3,2,10)</f>
      </c>
      <c r="S268">
        <f>IF(CH268=0,0,IF(B268&gt;9,10,IF(B268&gt;8,B268,IF(B268&gt;7.7,7.8,IF(B268&gt;3,B268,IF(B268&gt;1.5,2))))))</f>
      </c>
      <c r="T268">
        <f>IF(Q268=0,S268,R268)</f>
      </c>
      <c r="U268" t="n">
        <v>94.0</v>
      </c>
      <c r="V268" t="s">
        <v>3855</v>
      </c>
      <c r="W268" t="s">
        <v>3790</v>
      </c>
      <c r="X268" t="n">
        <v>580710.0</v>
      </c>
      <c r="Y268" t="n">
        <v>580710.0</v>
      </c>
      <c r="Z268" t="n">
        <v>0.0</v>
      </c>
      <c r="AA268" t="n">
        <v>0.0</v>
      </c>
      <c r="AB268" t="n">
        <v>0.0</v>
      </c>
      <c r="AC268" t="n">
        <v>0.0</v>
      </c>
      <c r="AD268" t="n">
        <v>0.0</v>
      </c>
      <c r="AE268" t="n">
        <v>223689.0</v>
      </c>
      <c r="AF268" t="n">
        <v>60000.0</v>
      </c>
      <c r="AG268" t="n">
        <v>0.0</v>
      </c>
      <c r="AH268" t="n">
        <v>0.0</v>
      </c>
      <c r="AI268" t="n">
        <v>0.0</v>
      </c>
      <c r="AJ268" t="n">
        <v>0.0</v>
      </c>
      <c r="AK268" t="n">
        <v>0.0</v>
      </c>
      <c r="AL268" t="n">
        <v>0.0</v>
      </c>
      <c r="AM268" t="n">
        <v>0.0</v>
      </c>
      <c r="AN268" t="n">
        <v>0.0</v>
      </c>
      <c r="AO268" t="n">
        <v>864399.0</v>
      </c>
      <c r="AP268" t="n">
        <v>86440.0</v>
      </c>
      <c r="AQ268" t="n">
        <v>71395.9</v>
      </c>
      <c r="CH268">
        <f>IFERROR(U268*1,0)</f>
      </c>
    </row>
    <row r="269">
      <c r="A269" t="n">
        <v>4.0</v>
      </c>
      <c r="B269">
        <f>IF((K269-G269-H269&gt;2400000),10,(L269/(K269-G269-H269)*100))</f>
      </c>
      <c r="C269">
        <f>IF(N269&gt;2400000,240000,(N269*S269)/100)</f>
      </c>
      <c r="D269">
        <f>IF(S269=0,0,IF((N269-I269)&gt;2400000,((((((N269-I269-J269)-240000))*0.1+(I269+J269)*0.1)))-7000,((((((N269-I269-J269)-(N269-I269-J269)*S269/100)))*0.1+(I269+J269)*0.1)-7000)))</f>
      </c>
      <c r="E269">
        <f>C269-O269</f>
      </c>
      <c r="F269">
        <f>D269-P269</f>
      </c>
      <c r="G269">
        <f>SUMIF(negtgel!U$2:BL$2,'Tsalin uzuulelt'!B$1,negtgel!U269:BL269) + SUMIF(negtgel!U$2:BL$2,'Tsalin uzuulelt'!B$2,negtgel!U269:BL269)+SUMIF(negtgel!U$2:BL$2,'Tsalin uzuulelt'!B$3,negtgel!U269:BL269)+SUMIF(negtgel!U$2:BL$2,'Tsalin uzuulelt'!B$4,negtgel!U269:BL269)+SUMIF(negtgel!U$2:BL$2,'Tsalin uzuulelt'!B$5,negtgel!U269:BL269)</f>
      </c>
      <c r="H269">
        <f>SUMIF(negtgel!U$2:BL$2,'Tsalin uzuulelt'!F$1,negtgel!U269:BL269) + SUMIF(negtgel!U$2:BL$2,'Tsalin uzuulelt'!F$2,negtgel!U269:BL269)+SUMIF(negtgel!U$2:BL$2,'Tsalin uzuulelt'!F$3,negtgel!U269:BL269)+SUMIF(negtgel!U$2:BL$2,'Tsalin uzuulelt'!F$4,negtgel!U269:BL269)+SUMIF(negtgel!U$2:BL$2,'Tsalin uzuulelt'!F$5,negtgel!U269:BL269)</f>
      </c>
      <c r="I269">
        <f>SUMIF(negtgel!U$2:BL$2,'Tsalin uzuulelt'!H$1,negtgel!U269:BL269) + SUMIF(negtgel!U$2:BL$2,'Tsalin uzuulelt'!H$2,negtgel!U269:BL269)+SUMIF(negtgel!U$2:BL$2,'Tsalin uzuulelt'!H$3,negtgel!U269:BL269)+SUMIF(negtgel!U$2:BL$2,'Tsalin uzuulelt'!H$4,negtgel!U269:BL269)+SUMIF(negtgel!U$2:BL$2,'Tsalin uzuulelt'!H$5,negtgel!U269:BL269)</f>
      </c>
      <c r="J269">
        <f>SUMIF(negtgel!U$2:BL$2,'Tsalin uzuulelt'!J$1,negtgel!U269:BL269) + SUMIF(negtgel!U$2:BL$2,'Tsalin uzuulelt'!J$2,negtgel!U269:BL269)+SUMIF(negtgel!U$2:BL$2,'Tsalin uzuulelt'!J$3,negtgel!U269:BL269)+SUMIF(negtgel!U$2:BL$2,'Tsalin uzuulelt'!J$4,negtgel!U269:BL269)+SUMIF(negtgel!U$2:BL$2,'Tsalin uzuulelt'!J$5,negtgel!U269:BL269)</f>
      </c>
      <c r="K269">
        <f>SUMIF(negtgel!U$2:BL$2,'Tsalin uzuulelt'!L$1,negtgel!U269:BL269) + SUMIF(negtgel!U$2:BL$2,'Tsalin uzuulelt'!L$2,negtgel!U269:BL269)+SUMIF(negtgel!U$2:BL$2,'Tsalin uzuulelt'!L$3,negtgel!U269:BL269)+SUMIF(negtgel!U$2:BL$2,'Tsalin uzuulelt'!L$4,negtgel!U269:BL269)+SUMIF(negtgel!U$2:BL$2,'Tsalin uzuulelt'!L$5,negtgel!U269:BL269)</f>
      </c>
      <c r="L269">
        <f>SUMIF(negtgel!U$2:BL$2,'Tsalin uzuulelt'!N$1,negtgel!U269:BL269) + SUMIF(negtgel!U$2:BL$2,'Tsalin uzuulelt'!N$2,negtgel!U269:BL269)+SUMIF(negtgel!U$2:BL$2,'Tsalin uzuulelt'!N$3,negtgel!U269:BL269)+SUMIF(negtgel!U$2:BL$2,'Tsalin uzuulelt'!N$4,negtgel!U269:BL269)+SUMIF(negtgel!U$2:BL$2,'Tsalin uzuulelt'!N$5,negtgel!U269:BL269)</f>
      </c>
      <c r="M269">
        <f>SUMIF(negtgel!U$2:BL$2,'Tsalin uzuulelt'!P$1,negtgel!U269:BL269) + SUMIF(negtgel!U$2:BL$2,'Tsalin uzuulelt'!P$2,negtgel!U269:BL269)+ SUMIF(negtgel!U$2:BL$2,'Tsalin uzuulelt'!P$3,negtgel!U269:BL269)+ SUMIF(negtgel!U$2:BL$2,'Tsalin uzuulelt'!P$4,negtgel!U269:BL269)+ SUMIF(negtgel!U$2:BL$2,'Tsalin uzuulelt'!P$5,negtgel!U269:BL269)</f>
      </c>
      <c r="N269">
        <f>IF(ISNUMBER(U269*1)=CF269,0,K269-H269-G269)</f>
      </c>
      <c r="O269">
        <f>IF(ISNUMBER(U269*1)=CF269,0,L269)</f>
      </c>
      <c r="P269">
        <f>IF(ISNUMBER(U269*1)=CF269,0,M269)</f>
      </c>
      <c r="Q269">
        <f>IF(N269&gt;2400000,N269,0)</f>
      </c>
      <c r="R269">
        <f>IF(L269/Q269*100&lt;3,2,10)</f>
      </c>
      <c r="S269">
        <f>IF(CH269=0,0,IF(B269&gt;9,10,IF(B269&gt;8,B269,IF(B269&gt;7.7,7.8,IF(B269&gt;3,B269,IF(B269&gt;1.5,2))))))</f>
      </c>
      <c r="T269">
        <f>IF(Q269=0,S269,R269)</f>
      </c>
      <c r="U269" t="n">
        <v>95.0</v>
      </c>
      <c r="V269" t="s">
        <v>3856</v>
      </c>
      <c r="W269" t="s">
        <v>3820</v>
      </c>
      <c r="X269" t="n">
        <v>613669.0</v>
      </c>
      <c r="Y269" t="n">
        <v>613669.0</v>
      </c>
      <c r="Z269" t="n">
        <v>61367.0</v>
      </c>
      <c r="AA269" t="n">
        <v>104324.0</v>
      </c>
      <c r="AB269" t="n">
        <v>0.0</v>
      </c>
      <c r="AC269" t="n">
        <v>0.0</v>
      </c>
      <c r="AD269" t="n">
        <v>0.0</v>
      </c>
      <c r="AE269" t="n">
        <v>242399.0</v>
      </c>
      <c r="AF269" t="n">
        <v>60000.0</v>
      </c>
      <c r="AG269" t="n">
        <v>0.0</v>
      </c>
      <c r="AH269" t="n">
        <v>0.0</v>
      </c>
      <c r="AI269" t="n">
        <v>0.0</v>
      </c>
      <c r="AJ269" t="n">
        <v>0.0</v>
      </c>
      <c r="AK269" t="n">
        <v>0.0</v>
      </c>
      <c r="AL269" t="n">
        <v>0.0</v>
      </c>
      <c r="AM269" t="n">
        <v>0.0</v>
      </c>
      <c r="AN269" t="n">
        <v>0.0</v>
      </c>
      <c r="AO269" t="n">
        <v>1081759.0</v>
      </c>
      <c r="AP269" t="n">
        <v>108176.0</v>
      </c>
      <c r="AQ269" t="n">
        <v>90958.3</v>
      </c>
      <c r="CH269">
        <f>IFERROR(U269*1,0)</f>
      </c>
    </row>
    <row r="270">
      <c r="A270" t="n">
        <v>4.0</v>
      </c>
      <c r="B270">
        <f>IF((K270-G270-H270&gt;2400000),10,(L270/(K270-G270-H270)*100))</f>
      </c>
      <c r="C270">
        <f>IF(N270&gt;2400000,240000,(N270*S270)/100)</f>
      </c>
      <c r="D270">
        <f>IF(S270=0,0,IF((N270-I270)&gt;2400000,((((((N270-I270-J270)-240000))*0.1+(I270+J270)*0.1)))-7000,((((((N270-I270-J270)-(N270-I270-J270)*S270/100)))*0.1+(I270+J270)*0.1)-7000)))</f>
      </c>
      <c r="E270">
        <f>C270-O270</f>
      </c>
      <c r="F270">
        <f>D270-P270</f>
      </c>
      <c r="G270">
        <f>SUMIF(negtgel!U$2:BL$2,'Tsalin uzuulelt'!B$1,negtgel!U270:BL270) + SUMIF(negtgel!U$2:BL$2,'Tsalin uzuulelt'!B$2,negtgel!U270:BL270)+SUMIF(negtgel!U$2:BL$2,'Tsalin uzuulelt'!B$3,negtgel!U270:BL270)+SUMIF(negtgel!U$2:BL$2,'Tsalin uzuulelt'!B$4,negtgel!U270:BL270)+SUMIF(negtgel!U$2:BL$2,'Tsalin uzuulelt'!B$5,negtgel!U270:BL270)</f>
      </c>
      <c r="H270">
        <f>SUMIF(negtgel!U$2:BL$2,'Tsalin uzuulelt'!F$1,negtgel!U270:BL270) + SUMIF(negtgel!U$2:BL$2,'Tsalin uzuulelt'!F$2,negtgel!U270:BL270)+SUMIF(negtgel!U$2:BL$2,'Tsalin uzuulelt'!F$3,negtgel!U270:BL270)+SUMIF(negtgel!U$2:BL$2,'Tsalin uzuulelt'!F$4,negtgel!U270:BL270)+SUMIF(negtgel!U$2:BL$2,'Tsalin uzuulelt'!F$5,negtgel!U270:BL270)</f>
      </c>
      <c r="I270">
        <f>SUMIF(negtgel!U$2:BL$2,'Tsalin uzuulelt'!H$1,negtgel!U270:BL270) + SUMIF(negtgel!U$2:BL$2,'Tsalin uzuulelt'!H$2,negtgel!U270:BL270)+SUMIF(negtgel!U$2:BL$2,'Tsalin uzuulelt'!H$3,negtgel!U270:BL270)+SUMIF(negtgel!U$2:BL$2,'Tsalin uzuulelt'!H$4,negtgel!U270:BL270)+SUMIF(negtgel!U$2:BL$2,'Tsalin uzuulelt'!H$5,negtgel!U270:BL270)</f>
      </c>
      <c r="J270">
        <f>SUMIF(negtgel!U$2:BL$2,'Tsalin uzuulelt'!J$1,negtgel!U270:BL270) + SUMIF(negtgel!U$2:BL$2,'Tsalin uzuulelt'!J$2,negtgel!U270:BL270)+SUMIF(negtgel!U$2:BL$2,'Tsalin uzuulelt'!J$3,negtgel!U270:BL270)+SUMIF(negtgel!U$2:BL$2,'Tsalin uzuulelt'!J$4,negtgel!U270:BL270)+SUMIF(negtgel!U$2:BL$2,'Tsalin uzuulelt'!J$5,negtgel!U270:BL270)</f>
      </c>
      <c r="K270">
        <f>SUMIF(negtgel!U$2:BL$2,'Tsalin uzuulelt'!L$1,negtgel!U270:BL270) + SUMIF(negtgel!U$2:BL$2,'Tsalin uzuulelt'!L$2,negtgel!U270:BL270)+SUMIF(negtgel!U$2:BL$2,'Tsalin uzuulelt'!L$3,negtgel!U270:BL270)+SUMIF(negtgel!U$2:BL$2,'Tsalin uzuulelt'!L$4,negtgel!U270:BL270)+SUMIF(negtgel!U$2:BL$2,'Tsalin uzuulelt'!L$5,negtgel!U270:BL270)</f>
      </c>
      <c r="L270">
        <f>SUMIF(negtgel!U$2:BL$2,'Tsalin uzuulelt'!N$1,negtgel!U270:BL270) + SUMIF(negtgel!U$2:BL$2,'Tsalin uzuulelt'!N$2,negtgel!U270:BL270)+SUMIF(negtgel!U$2:BL$2,'Tsalin uzuulelt'!N$3,negtgel!U270:BL270)+SUMIF(negtgel!U$2:BL$2,'Tsalin uzuulelt'!N$4,negtgel!U270:BL270)+SUMIF(negtgel!U$2:BL$2,'Tsalin uzuulelt'!N$5,negtgel!U270:BL270)</f>
      </c>
      <c r="M270">
        <f>SUMIF(negtgel!U$2:BL$2,'Tsalin uzuulelt'!P$1,negtgel!U270:BL270) + SUMIF(negtgel!U$2:BL$2,'Tsalin uzuulelt'!P$2,negtgel!U270:BL270)+ SUMIF(negtgel!U$2:BL$2,'Tsalin uzuulelt'!P$3,negtgel!U270:BL270)+ SUMIF(negtgel!U$2:BL$2,'Tsalin uzuulelt'!P$4,negtgel!U270:BL270)+ SUMIF(negtgel!U$2:BL$2,'Tsalin uzuulelt'!P$5,negtgel!U270:BL270)</f>
      </c>
      <c r="N270">
        <f>IF(ISNUMBER(U270*1)=CF270,0,K270-H270-G270)</f>
      </c>
      <c r="O270">
        <f>IF(ISNUMBER(U270*1)=CF270,0,L270)</f>
      </c>
      <c r="P270">
        <f>IF(ISNUMBER(U270*1)=CF270,0,M270)</f>
      </c>
      <c r="Q270">
        <f>IF(N270&gt;2400000,N270,0)</f>
      </c>
      <c r="R270">
        <f>IF(L270/Q270*100&lt;3,2,10)</f>
      </c>
      <c r="S270">
        <f>IF(CH270=0,0,IF(B270&gt;9,10,IF(B270&gt;8,B270,IF(B270&gt;7.7,7.8,IF(B270&gt;3,B270,IF(B270&gt;1.5,2))))))</f>
      </c>
      <c r="T270">
        <f>IF(Q270=0,S270,R270)</f>
      </c>
      <c r="U270" t="n">
        <v>96.0</v>
      </c>
      <c r="V270" t="s">
        <v>3857</v>
      </c>
      <c r="W270" t="s">
        <v>3790</v>
      </c>
      <c r="X270" t="n">
        <v>613669.0</v>
      </c>
      <c r="Y270" t="n">
        <v>613669.0</v>
      </c>
      <c r="Z270" t="n">
        <v>61367.0</v>
      </c>
      <c r="AA270" t="n">
        <v>104324.0</v>
      </c>
      <c r="AB270" t="n">
        <v>0.0</v>
      </c>
      <c r="AC270" t="n">
        <v>0.0</v>
      </c>
      <c r="AD270" t="n">
        <v>0.0</v>
      </c>
      <c r="AE270" t="n">
        <v>119665.0</v>
      </c>
      <c r="AF270" t="n">
        <v>60000.0</v>
      </c>
      <c r="AG270" t="n">
        <v>0.0</v>
      </c>
      <c r="AH270" t="n">
        <v>0.0</v>
      </c>
      <c r="AI270" t="n">
        <v>0.0</v>
      </c>
      <c r="AJ270" t="n">
        <v>0.0</v>
      </c>
      <c r="AK270" t="n">
        <v>0.0</v>
      </c>
      <c r="AL270" t="n">
        <v>0.0</v>
      </c>
      <c r="AM270" t="n">
        <v>0.0</v>
      </c>
      <c r="AN270" t="n">
        <v>0.0</v>
      </c>
      <c r="AO270" t="n">
        <v>959025.0</v>
      </c>
      <c r="AP270" t="n">
        <v>95902.0</v>
      </c>
      <c r="AQ270" t="n">
        <v>79912.2</v>
      </c>
      <c r="CH270">
        <f>IFERROR(U270*1,0)</f>
      </c>
    </row>
    <row r="271">
      <c r="A271" t="n">
        <v>4.0</v>
      </c>
      <c r="B271">
        <f>IF((K271-G271-H271&gt;2400000),10,(L271/(K271-G271-H271)*100))</f>
      </c>
      <c r="C271">
        <f>IF(N271&gt;2400000,240000,(N271*S271)/100)</f>
      </c>
      <c r="D271">
        <f>IF(S271=0,0,IF((N271-I271)&gt;2400000,((((((N271-I271-J271)-240000))*0.1+(I271+J271)*0.1)))-7000,((((((N271-I271-J271)-(N271-I271-J271)*S271/100)))*0.1+(I271+J271)*0.1)-7000)))</f>
      </c>
      <c r="E271">
        <f>C271-O271</f>
      </c>
      <c r="F271">
        <f>D271-P271</f>
      </c>
      <c r="G271">
        <f>SUMIF(negtgel!U$2:BL$2,'Tsalin uzuulelt'!B$1,negtgel!U271:BL271) + SUMIF(negtgel!U$2:BL$2,'Tsalin uzuulelt'!B$2,negtgel!U271:BL271)+SUMIF(negtgel!U$2:BL$2,'Tsalin uzuulelt'!B$3,negtgel!U271:BL271)+SUMIF(negtgel!U$2:BL$2,'Tsalin uzuulelt'!B$4,negtgel!U271:BL271)+SUMIF(negtgel!U$2:BL$2,'Tsalin uzuulelt'!B$5,negtgel!U271:BL271)</f>
      </c>
      <c r="H271">
        <f>SUMIF(negtgel!U$2:BL$2,'Tsalin uzuulelt'!F$1,negtgel!U271:BL271) + SUMIF(negtgel!U$2:BL$2,'Tsalin uzuulelt'!F$2,negtgel!U271:BL271)+SUMIF(negtgel!U$2:BL$2,'Tsalin uzuulelt'!F$3,negtgel!U271:BL271)+SUMIF(negtgel!U$2:BL$2,'Tsalin uzuulelt'!F$4,negtgel!U271:BL271)+SUMIF(negtgel!U$2:BL$2,'Tsalin uzuulelt'!F$5,negtgel!U271:BL271)</f>
      </c>
      <c r="I271">
        <f>SUMIF(negtgel!U$2:BL$2,'Tsalin uzuulelt'!H$1,negtgel!U271:BL271) + SUMIF(negtgel!U$2:BL$2,'Tsalin uzuulelt'!H$2,negtgel!U271:BL271)+SUMIF(negtgel!U$2:BL$2,'Tsalin uzuulelt'!H$3,negtgel!U271:BL271)+SUMIF(negtgel!U$2:BL$2,'Tsalin uzuulelt'!H$4,negtgel!U271:BL271)+SUMIF(negtgel!U$2:BL$2,'Tsalin uzuulelt'!H$5,negtgel!U271:BL271)</f>
      </c>
      <c r="J271">
        <f>SUMIF(negtgel!U$2:BL$2,'Tsalin uzuulelt'!J$1,negtgel!U271:BL271) + SUMIF(negtgel!U$2:BL$2,'Tsalin uzuulelt'!J$2,negtgel!U271:BL271)+SUMIF(negtgel!U$2:BL$2,'Tsalin uzuulelt'!J$3,negtgel!U271:BL271)+SUMIF(negtgel!U$2:BL$2,'Tsalin uzuulelt'!J$4,negtgel!U271:BL271)+SUMIF(negtgel!U$2:BL$2,'Tsalin uzuulelt'!J$5,negtgel!U271:BL271)</f>
      </c>
      <c r="K271">
        <f>SUMIF(negtgel!U$2:BL$2,'Tsalin uzuulelt'!L$1,negtgel!U271:BL271) + SUMIF(negtgel!U$2:BL$2,'Tsalin uzuulelt'!L$2,negtgel!U271:BL271)+SUMIF(negtgel!U$2:BL$2,'Tsalin uzuulelt'!L$3,negtgel!U271:BL271)+SUMIF(negtgel!U$2:BL$2,'Tsalin uzuulelt'!L$4,negtgel!U271:BL271)+SUMIF(negtgel!U$2:BL$2,'Tsalin uzuulelt'!L$5,negtgel!U271:BL271)</f>
      </c>
      <c r="L271">
        <f>SUMIF(negtgel!U$2:BL$2,'Tsalin uzuulelt'!N$1,negtgel!U271:BL271) + SUMIF(negtgel!U$2:BL$2,'Tsalin uzuulelt'!N$2,negtgel!U271:BL271)+SUMIF(negtgel!U$2:BL$2,'Tsalin uzuulelt'!N$3,negtgel!U271:BL271)+SUMIF(negtgel!U$2:BL$2,'Tsalin uzuulelt'!N$4,negtgel!U271:BL271)+SUMIF(negtgel!U$2:BL$2,'Tsalin uzuulelt'!N$5,negtgel!U271:BL271)</f>
      </c>
      <c r="M271">
        <f>SUMIF(negtgel!U$2:BL$2,'Tsalin uzuulelt'!P$1,negtgel!U271:BL271) + SUMIF(negtgel!U$2:BL$2,'Tsalin uzuulelt'!P$2,negtgel!U271:BL271)+ SUMIF(negtgel!U$2:BL$2,'Tsalin uzuulelt'!P$3,negtgel!U271:BL271)+ SUMIF(negtgel!U$2:BL$2,'Tsalin uzuulelt'!P$4,negtgel!U271:BL271)+ SUMIF(negtgel!U$2:BL$2,'Tsalin uzuulelt'!P$5,negtgel!U271:BL271)</f>
      </c>
      <c r="N271">
        <f>IF(ISNUMBER(U271*1)=CF271,0,K271-H271-G271)</f>
      </c>
      <c r="O271">
        <f>IF(ISNUMBER(U271*1)=CF271,0,L271)</f>
      </c>
      <c r="P271">
        <f>IF(ISNUMBER(U271*1)=CF271,0,M271)</f>
      </c>
      <c r="Q271">
        <f>IF(N271&gt;2400000,N271,0)</f>
      </c>
      <c r="R271">
        <f>IF(L271/Q271*100&lt;3,2,10)</f>
      </c>
      <c r="S271">
        <f>IF(CH271=0,0,IF(B271&gt;9,10,IF(B271&gt;8,B271,IF(B271&gt;7.7,7.8,IF(B271&gt;3,B271,IF(B271&gt;1.5,2))))))</f>
      </c>
      <c r="T271">
        <f>IF(Q271=0,S271,R271)</f>
      </c>
      <c r="U271" t="s">
        <v>3787</v>
      </c>
      <c r="V271"/>
      <c r="W271"/>
      <c r="X271" t="n">
        <v>7853536.0</v>
      </c>
      <c r="Y271" t="n">
        <v>7054911.0</v>
      </c>
      <c r="Z271" t="n">
        <v>994440.0</v>
      </c>
      <c r="AA271" t="n">
        <v>1172289.0</v>
      </c>
      <c r="AB271" t="n">
        <v>33872.0</v>
      </c>
      <c r="AC271" t="n">
        <v>0.0</v>
      </c>
      <c r="AD271" t="n">
        <v>0.0</v>
      </c>
      <c r="AE271" t="n">
        <v>2954183.0</v>
      </c>
      <c r="AF271" t="n">
        <v>648000.0</v>
      </c>
      <c r="AG271" t="n">
        <v>0.0</v>
      </c>
      <c r="AH271" t="n">
        <v>0.0</v>
      </c>
      <c r="AI271" t="n">
        <v>0.0</v>
      </c>
      <c r="AJ271" t="n">
        <v>0.0</v>
      </c>
      <c r="AK271" t="n">
        <v>0.0</v>
      </c>
      <c r="AL271" t="n">
        <v>361077.0</v>
      </c>
      <c r="AM271" t="n">
        <v>0.0</v>
      </c>
      <c r="AN271" t="n">
        <v>0.0</v>
      </c>
      <c r="AO271" t="n">
        <v>1.3218772E7</v>
      </c>
      <c r="AP271" t="n">
        <v>1285768.0</v>
      </c>
      <c r="AQ271" t="n">
        <v>1079672.6</v>
      </c>
      <c r="CH271">
        <f>IFERROR(U271*1,0)</f>
      </c>
    </row>
    <row r="272">
      <c r="A272" t="n">
        <v>4.0</v>
      </c>
      <c r="B272">
        <f>IF((K272-G272-H272&gt;2400000),10,(L272/(K272-G272-H272)*100))</f>
      </c>
      <c r="C272">
        <f>IF(N272&gt;2400000,240000,(N272*S272)/100)</f>
      </c>
      <c r="D272">
        <f>IF(S272=0,0,IF((N272-I272)&gt;2400000,((((((N272-I272-J272)-240000))*0.1+(I272+J272)*0.1)))-7000,((((((N272-I272-J272)-(N272-I272-J272)*S272/100)))*0.1+(I272+J272)*0.1)-7000)))</f>
      </c>
      <c r="E272">
        <f>C272-O272</f>
      </c>
      <c r="F272">
        <f>D272-P272</f>
      </c>
      <c r="G272">
        <f>SUMIF(negtgel!U$2:BL$2,'Tsalin uzuulelt'!B$1,negtgel!U272:BL272) + SUMIF(negtgel!U$2:BL$2,'Tsalin uzuulelt'!B$2,negtgel!U272:BL272)+SUMIF(negtgel!U$2:BL$2,'Tsalin uzuulelt'!B$3,negtgel!U272:BL272)+SUMIF(negtgel!U$2:BL$2,'Tsalin uzuulelt'!B$4,negtgel!U272:BL272)+SUMIF(negtgel!U$2:BL$2,'Tsalin uzuulelt'!B$5,negtgel!U272:BL272)</f>
      </c>
      <c r="H272">
        <f>SUMIF(negtgel!U$2:BL$2,'Tsalin uzuulelt'!F$1,negtgel!U272:BL272) + SUMIF(negtgel!U$2:BL$2,'Tsalin uzuulelt'!F$2,negtgel!U272:BL272)+SUMIF(negtgel!U$2:BL$2,'Tsalin uzuulelt'!F$3,negtgel!U272:BL272)+SUMIF(negtgel!U$2:BL$2,'Tsalin uzuulelt'!F$4,negtgel!U272:BL272)+SUMIF(negtgel!U$2:BL$2,'Tsalin uzuulelt'!F$5,negtgel!U272:BL272)</f>
      </c>
      <c r="I272">
        <f>SUMIF(negtgel!U$2:BL$2,'Tsalin uzuulelt'!H$1,negtgel!U272:BL272) + SUMIF(negtgel!U$2:BL$2,'Tsalin uzuulelt'!H$2,negtgel!U272:BL272)+SUMIF(negtgel!U$2:BL$2,'Tsalin uzuulelt'!H$3,negtgel!U272:BL272)+SUMIF(negtgel!U$2:BL$2,'Tsalin uzuulelt'!H$4,negtgel!U272:BL272)+SUMIF(negtgel!U$2:BL$2,'Tsalin uzuulelt'!H$5,negtgel!U272:BL272)</f>
      </c>
      <c r="J272">
        <f>SUMIF(negtgel!U$2:BL$2,'Tsalin uzuulelt'!J$1,negtgel!U272:BL272) + SUMIF(negtgel!U$2:BL$2,'Tsalin uzuulelt'!J$2,negtgel!U272:BL272)+SUMIF(negtgel!U$2:BL$2,'Tsalin uzuulelt'!J$3,negtgel!U272:BL272)+SUMIF(negtgel!U$2:BL$2,'Tsalin uzuulelt'!J$4,negtgel!U272:BL272)+SUMIF(negtgel!U$2:BL$2,'Tsalin uzuulelt'!J$5,negtgel!U272:BL272)</f>
      </c>
      <c r="K272">
        <f>SUMIF(negtgel!U$2:BL$2,'Tsalin uzuulelt'!L$1,negtgel!U272:BL272) + SUMIF(negtgel!U$2:BL$2,'Tsalin uzuulelt'!L$2,negtgel!U272:BL272)+SUMIF(negtgel!U$2:BL$2,'Tsalin uzuulelt'!L$3,negtgel!U272:BL272)+SUMIF(negtgel!U$2:BL$2,'Tsalin uzuulelt'!L$4,negtgel!U272:BL272)+SUMIF(negtgel!U$2:BL$2,'Tsalin uzuulelt'!L$5,negtgel!U272:BL272)</f>
      </c>
      <c r="L272">
        <f>SUMIF(negtgel!U$2:BL$2,'Tsalin uzuulelt'!N$1,negtgel!U272:BL272) + SUMIF(negtgel!U$2:BL$2,'Tsalin uzuulelt'!N$2,negtgel!U272:BL272)+SUMIF(negtgel!U$2:BL$2,'Tsalin uzuulelt'!N$3,negtgel!U272:BL272)+SUMIF(negtgel!U$2:BL$2,'Tsalin uzuulelt'!N$4,negtgel!U272:BL272)+SUMIF(negtgel!U$2:BL$2,'Tsalin uzuulelt'!N$5,negtgel!U272:BL272)</f>
      </c>
      <c r="M272">
        <f>SUMIF(negtgel!U$2:BL$2,'Tsalin uzuulelt'!P$1,negtgel!U272:BL272) + SUMIF(negtgel!U$2:BL$2,'Tsalin uzuulelt'!P$2,negtgel!U272:BL272)+ SUMIF(negtgel!U$2:BL$2,'Tsalin uzuulelt'!P$3,negtgel!U272:BL272)+ SUMIF(negtgel!U$2:BL$2,'Tsalin uzuulelt'!P$4,negtgel!U272:BL272)+ SUMIF(negtgel!U$2:BL$2,'Tsalin uzuulelt'!P$5,negtgel!U272:BL272)</f>
      </c>
      <c r="N272">
        <f>IF(ISNUMBER(U272*1)=CF272,0,K272-H272-G272)</f>
      </c>
      <c r="O272">
        <f>IF(ISNUMBER(U272*1)=CF272,0,L272)</f>
      </c>
      <c r="P272">
        <f>IF(ISNUMBER(U272*1)=CF272,0,M272)</f>
      </c>
      <c r="Q272">
        <f>IF(N272&gt;2400000,N272,0)</f>
      </c>
      <c r="R272">
        <f>IF(L272/Q272*100&lt;3,2,10)</f>
      </c>
      <c r="S272">
        <f>IF(CH272=0,0,IF(B272&gt;9,10,IF(B272&gt;8,B272,IF(B272&gt;7.7,7.8,IF(B272&gt;3,B272,IF(B272&gt;1.5,2))))))</f>
      </c>
      <c r="T272">
        <f>IF(Q272=0,S272,R272)</f>
      </c>
      <c r="U272" t="s">
        <v>3858</v>
      </c>
      <c r="V272"/>
      <c r="W272"/>
      <c r="X272"/>
      <c r="Y272"/>
      <c r="Z272"/>
      <c r="AA272"/>
      <c r="AB272"/>
      <c r="AC272"/>
      <c r="AD272"/>
      <c r="AE272"/>
      <c r="AF272"/>
      <c r="AG272"/>
      <c r="AH272"/>
      <c r="AI272"/>
      <c r="AJ272"/>
      <c r="AK272"/>
      <c r="AL272"/>
      <c r="AM272"/>
      <c r="AN272"/>
      <c r="AO272"/>
      <c r="AP272"/>
      <c r="AQ272"/>
      <c r="CH272">
        <f>IFERROR(U272*1,0)</f>
      </c>
    </row>
    <row r="273">
      <c r="A273" t="n">
        <v>4.0</v>
      </c>
      <c r="B273">
        <f>IF((K273-G273-H273&gt;2400000),10,(L273/(K273-G273-H273)*100))</f>
      </c>
      <c r="C273">
        <f>IF(N273&gt;2400000,240000,(N273*S273)/100)</f>
      </c>
      <c r="D273">
        <f>IF(S273=0,0,IF((N273-I273)&gt;2400000,((((((N273-I273-J273)-240000))*0.1+(I273+J273)*0.1)))-7000,((((((N273-I273-J273)-(N273-I273-J273)*S273/100)))*0.1+(I273+J273)*0.1)-7000)))</f>
      </c>
      <c r="E273">
        <f>C273-O273</f>
      </c>
      <c r="F273">
        <f>D273-P273</f>
      </c>
      <c r="G273">
        <f>SUMIF(negtgel!U$2:BL$2,'Tsalin uzuulelt'!B$1,negtgel!U273:BL273) + SUMIF(negtgel!U$2:BL$2,'Tsalin uzuulelt'!B$2,negtgel!U273:BL273)+SUMIF(negtgel!U$2:BL$2,'Tsalin uzuulelt'!B$3,negtgel!U273:BL273)+SUMIF(negtgel!U$2:BL$2,'Tsalin uzuulelt'!B$4,negtgel!U273:BL273)+SUMIF(negtgel!U$2:BL$2,'Tsalin uzuulelt'!B$5,negtgel!U273:BL273)</f>
      </c>
      <c r="H273">
        <f>SUMIF(negtgel!U$2:BL$2,'Tsalin uzuulelt'!F$1,negtgel!U273:BL273) + SUMIF(negtgel!U$2:BL$2,'Tsalin uzuulelt'!F$2,negtgel!U273:BL273)+SUMIF(negtgel!U$2:BL$2,'Tsalin uzuulelt'!F$3,negtgel!U273:BL273)+SUMIF(negtgel!U$2:BL$2,'Tsalin uzuulelt'!F$4,negtgel!U273:BL273)+SUMIF(negtgel!U$2:BL$2,'Tsalin uzuulelt'!F$5,negtgel!U273:BL273)</f>
      </c>
      <c r="I273">
        <f>SUMIF(negtgel!U$2:BL$2,'Tsalin uzuulelt'!H$1,negtgel!U273:BL273) + SUMIF(negtgel!U$2:BL$2,'Tsalin uzuulelt'!H$2,negtgel!U273:BL273)+SUMIF(negtgel!U$2:BL$2,'Tsalin uzuulelt'!H$3,negtgel!U273:BL273)+SUMIF(negtgel!U$2:BL$2,'Tsalin uzuulelt'!H$4,negtgel!U273:BL273)+SUMIF(negtgel!U$2:BL$2,'Tsalin uzuulelt'!H$5,negtgel!U273:BL273)</f>
      </c>
      <c r="J273">
        <f>SUMIF(negtgel!U$2:BL$2,'Tsalin uzuulelt'!J$1,negtgel!U273:BL273) + SUMIF(negtgel!U$2:BL$2,'Tsalin uzuulelt'!J$2,negtgel!U273:BL273)+SUMIF(negtgel!U$2:BL$2,'Tsalin uzuulelt'!J$3,negtgel!U273:BL273)+SUMIF(negtgel!U$2:BL$2,'Tsalin uzuulelt'!J$4,negtgel!U273:BL273)+SUMIF(negtgel!U$2:BL$2,'Tsalin uzuulelt'!J$5,negtgel!U273:BL273)</f>
      </c>
      <c r="K273">
        <f>SUMIF(negtgel!U$2:BL$2,'Tsalin uzuulelt'!L$1,negtgel!U273:BL273) + SUMIF(negtgel!U$2:BL$2,'Tsalin uzuulelt'!L$2,negtgel!U273:BL273)+SUMIF(negtgel!U$2:BL$2,'Tsalin uzuulelt'!L$3,negtgel!U273:BL273)+SUMIF(negtgel!U$2:BL$2,'Tsalin uzuulelt'!L$4,negtgel!U273:BL273)+SUMIF(negtgel!U$2:BL$2,'Tsalin uzuulelt'!L$5,negtgel!U273:BL273)</f>
      </c>
      <c r="L273">
        <f>SUMIF(negtgel!U$2:BL$2,'Tsalin uzuulelt'!N$1,negtgel!U273:BL273) + SUMIF(negtgel!U$2:BL$2,'Tsalin uzuulelt'!N$2,negtgel!U273:BL273)+SUMIF(negtgel!U$2:BL$2,'Tsalin uzuulelt'!N$3,negtgel!U273:BL273)+SUMIF(negtgel!U$2:BL$2,'Tsalin uzuulelt'!N$4,negtgel!U273:BL273)+SUMIF(negtgel!U$2:BL$2,'Tsalin uzuulelt'!N$5,negtgel!U273:BL273)</f>
      </c>
      <c r="M273">
        <f>SUMIF(negtgel!U$2:BL$2,'Tsalin uzuulelt'!P$1,negtgel!U273:BL273) + SUMIF(negtgel!U$2:BL$2,'Tsalin uzuulelt'!P$2,negtgel!U273:BL273)+ SUMIF(negtgel!U$2:BL$2,'Tsalin uzuulelt'!P$3,negtgel!U273:BL273)+ SUMIF(negtgel!U$2:BL$2,'Tsalin uzuulelt'!P$4,negtgel!U273:BL273)+ SUMIF(negtgel!U$2:BL$2,'Tsalin uzuulelt'!P$5,negtgel!U273:BL273)</f>
      </c>
      <c r="N273">
        <f>IF(ISNUMBER(U273*1)=CF273,0,K273-H273-G273)</f>
      </c>
      <c r="O273">
        <f>IF(ISNUMBER(U273*1)=CF273,0,L273)</f>
      </c>
      <c r="P273">
        <f>IF(ISNUMBER(U273*1)=CF273,0,M273)</f>
      </c>
      <c r="Q273">
        <f>IF(N273&gt;2400000,N273,0)</f>
      </c>
      <c r="R273">
        <f>IF(L273/Q273*100&lt;3,2,10)</f>
      </c>
      <c r="S273">
        <f>IF(CH273=0,0,IF(B273&gt;9,10,IF(B273&gt;8,B273,IF(B273&gt;7.7,7.8,IF(B273&gt;3,B273,IF(B273&gt;1.5,2))))))</f>
      </c>
      <c r="T273">
        <f>IF(Q273=0,S273,R273)</f>
      </c>
      <c r="U273" t="n">
        <v>97.0</v>
      </c>
      <c r="V273" t="s">
        <v>3859</v>
      </c>
      <c r="W273" t="s">
        <v>3790</v>
      </c>
      <c r="X273" t="n">
        <v>580710.0</v>
      </c>
      <c r="Y273" t="n">
        <v>0.0</v>
      </c>
      <c r="Z273" t="n">
        <v>0.0</v>
      </c>
      <c r="AA273" t="n">
        <v>0.0</v>
      </c>
      <c r="AB273" t="n">
        <v>0.0</v>
      </c>
      <c r="AC273" t="n">
        <v>0.0</v>
      </c>
      <c r="AD273" t="n">
        <v>0.0</v>
      </c>
      <c r="AE273" t="n">
        <v>0.0</v>
      </c>
      <c r="AF273" t="n">
        <v>0.0</v>
      </c>
      <c r="AG273" t="n">
        <v>0.0</v>
      </c>
      <c r="AH273" t="n">
        <v>0.0</v>
      </c>
      <c r="AI273" t="n">
        <v>0.0</v>
      </c>
      <c r="AJ273" t="n">
        <v>0.0</v>
      </c>
      <c r="AK273" t="n">
        <v>0.0</v>
      </c>
      <c r="AL273" t="n">
        <v>0.0</v>
      </c>
      <c r="AM273" t="n">
        <v>0.0</v>
      </c>
      <c r="AN273" t="n">
        <v>0.0</v>
      </c>
      <c r="AO273" t="n">
        <v>0.0</v>
      </c>
      <c r="AP273" t="n">
        <v>0.0</v>
      </c>
      <c r="AQ273" t="n">
        <v>0.0</v>
      </c>
      <c r="CH273">
        <f>IFERROR(U273*1,0)</f>
      </c>
    </row>
    <row r="274">
      <c r="A274" t="n">
        <v>4.0</v>
      </c>
      <c r="B274">
        <f>IF((K274-G274-H274&gt;2400000),10,(L274/(K274-G274-H274)*100))</f>
      </c>
      <c r="C274">
        <f>IF(N274&gt;2400000,240000,(N274*S274)/100)</f>
      </c>
      <c r="D274">
        <f>IF(S274=0,0,IF((N274-I274)&gt;2400000,((((((N274-I274-J274)-240000))*0.1+(I274+J274)*0.1)))-7000,((((((N274-I274-J274)-(N274-I274-J274)*S274/100)))*0.1+(I274+J274)*0.1)-7000)))</f>
      </c>
      <c r="E274">
        <f>C274-O274</f>
      </c>
      <c r="F274">
        <f>D274-P274</f>
      </c>
      <c r="G274">
        <f>SUMIF(negtgel!U$2:BL$2,'Tsalin uzuulelt'!B$1,negtgel!U274:BL274) + SUMIF(negtgel!U$2:BL$2,'Tsalin uzuulelt'!B$2,negtgel!U274:BL274)+SUMIF(negtgel!U$2:BL$2,'Tsalin uzuulelt'!B$3,negtgel!U274:BL274)+SUMIF(negtgel!U$2:BL$2,'Tsalin uzuulelt'!B$4,negtgel!U274:BL274)+SUMIF(negtgel!U$2:BL$2,'Tsalin uzuulelt'!B$5,negtgel!U274:BL274)</f>
      </c>
      <c r="H274">
        <f>SUMIF(negtgel!U$2:BL$2,'Tsalin uzuulelt'!F$1,negtgel!U274:BL274) + SUMIF(negtgel!U$2:BL$2,'Tsalin uzuulelt'!F$2,negtgel!U274:BL274)+SUMIF(negtgel!U$2:BL$2,'Tsalin uzuulelt'!F$3,negtgel!U274:BL274)+SUMIF(negtgel!U$2:BL$2,'Tsalin uzuulelt'!F$4,negtgel!U274:BL274)+SUMIF(negtgel!U$2:BL$2,'Tsalin uzuulelt'!F$5,negtgel!U274:BL274)</f>
      </c>
      <c r="I274">
        <f>SUMIF(negtgel!U$2:BL$2,'Tsalin uzuulelt'!H$1,negtgel!U274:BL274) + SUMIF(negtgel!U$2:BL$2,'Tsalin uzuulelt'!H$2,negtgel!U274:BL274)+SUMIF(negtgel!U$2:BL$2,'Tsalin uzuulelt'!H$3,negtgel!U274:BL274)+SUMIF(negtgel!U$2:BL$2,'Tsalin uzuulelt'!H$4,negtgel!U274:BL274)+SUMIF(negtgel!U$2:BL$2,'Tsalin uzuulelt'!H$5,negtgel!U274:BL274)</f>
      </c>
      <c r="J274">
        <f>SUMIF(negtgel!U$2:BL$2,'Tsalin uzuulelt'!J$1,negtgel!U274:BL274) + SUMIF(negtgel!U$2:BL$2,'Tsalin uzuulelt'!J$2,negtgel!U274:BL274)+SUMIF(negtgel!U$2:BL$2,'Tsalin uzuulelt'!J$3,negtgel!U274:BL274)+SUMIF(negtgel!U$2:BL$2,'Tsalin uzuulelt'!J$4,negtgel!U274:BL274)+SUMIF(negtgel!U$2:BL$2,'Tsalin uzuulelt'!J$5,negtgel!U274:BL274)</f>
      </c>
      <c r="K274">
        <f>SUMIF(negtgel!U$2:BL$2,'Tsalin uzuulelt'!L$1,negtgel!U274:BL274) + SUMIF(negtgel!U$2:BL$2,'Tsalin uzuulelt'!L$2,negtgel!U274:BL274)+SUMIF(negtgel!U$2:BL$2,'Tsalin uzuulelt'!L$3,negtgel!U274:BL274)+SUMIF(negtgel!U$2:BL$2,'Tsalin uzuulelt'!L$4,negtgel!U274:BL274)+SUMIF(negtgel!U$2:BL$2,'Tsalin uzuulelt'!L$5,negtgel!U274:BL274)</f>
      </c>
      <c r="L274">
        <f>SUMIF(negtgel!U$2:BL$2,'Tsalin uzuulelt'!N$1,negtgel!U274:BL274) + SUMIF(negtgel!U$2:BL$2,'Tsalin uzuulelt'!N$2,negtgel!U274:BL274)+SUMIF(negtgel!U$2:BL$2,'Tsalin uzuulelt'!N$3,negtgel!U274:BL274)+SUMIF(negtgel!U$2:BL$2,'Tsalin uzuulelt'!N$4,negtgel!U274:BL274)+SUMIF(negtgel!U$2:BL$2,'Tsalin uzuulelt'!N$5,negtgel!U274:BL274)</f>
      </c>
      <c r="M274">
        <f>SUMIF(negtgel!U$2:BL$2,'Tsalin uzuulelt'!P$1,negtgel!U274:BL274) + SUMIF(negtgel!U$2:BL$2,'Tsalin uzuulelt'!P$2,negtgel!U274:BL274)+ SUMIF(negtgel!U$2:BL$2,'Tsalin uzuulelt'!P$3,negtgel!U274:BL274)+ SUMIF(negtgel!U$2:BL$2,'Tsalin uzuulelt'!P$4,negtgel!U274:BL274)+ SUMIF(negtgel!U$2:BL$2,'Tsalin uzuulelt'!P$5,negtgel!U274:BL274)</f>
      </c>
      <c r="N274">
        <f>IF(ISNUMBER(U274*1)=CF274,0,K274-H274-G274)</f>
      </c>
      <c r="O274">
        <f>IF(ISNUMBER(U274*1)=CF274,0,L274)</f>
      </c>
      <c r="P274">
        <f>IF(ISNUMBER(U274*1)=CF274,0,M274)</f>
      </c>
      <c r="Q274">
        <f>IF(N274&gt;2400000,N274,0)</f>
      </c>
      <c r="R274">
        <f>IF(L274/Q274*100&lt;3,2,10)</f>
      </c>
      <c r="S274">
        <f>IF(CH274=0,0,IF(B274&gt;9,10,IF(B274&gt;8,B274,IF(B274&gt;7.7,7.8,IF(B274&gt;3,B274,IF(B274&gt;1.5,2))))))</f>
      </c>
      <c r="T274">
        <f>IF(Q274=0,S274,R274)</f>
      </c>
      <c r="U274" t="n">
        <v>151.0</v>
      </c>
      <c r="V274" t="s">
        <v>3863</v>
      </c>
      <c r="W274" t="s">
        <v>3790</v>
      </c>
      <c r="X274" t="n">
        <v>577826.0</v>
      </c>
      <c r="Y274" t="n">
        <v>0.0</v>
      </c>
      <c r="Z274" t="n">
        <v>0.0</v>
      </c>
      <c r="AA274" t="n">
        <v>0.0</v>
      </c>
      <c r="AB274" t="n">
        <v>0.0</v>
      </c>
      <c r="AC274" t="n">
        <v>0.0</v>
      </c>
      <c r="AD274" t="n">
        <v>0.0</v>
      </c>
      <c r="AE274" t="n">
        <v>0.0</v>
      </c>
      <c r="AF274" t="n">
        <v>0.0</v>
      </c>
      <c r="AG274" t="n">
        <v>0.0</v>
      </c>
      <c r="AH274" t="n">
        <v>0.0</v>
      </c>
      <c r="AI274" t="n">
        <v>0.0</v>
      </c>
      <c r="AJ274" t="n">
        <v>0.0</v>
      </c>
      <c r="AK274" t="n">
        <v>0.0</v>
      </c>
      <c r="AL274" t="n">
        <v>0.0</v>
      </c>
      <c r="AM274" t="n">
        <v>0.0</v>
      </c>
      <c r="AN274" t="n">
        <v>0.0</v>
      </c>
      <c r="AO274" t="n">
        <v>0.0</v>
      </c>
      <c r="AP274" t="n">
        <v>0.0</v>
      </c>
      <c r="AQ274" t="n">
        <v>0.0</v>
      </c>
      <c r="CH274">
        <f>IFERROR(U274*1,0)</f>
      </c>
    </row>
    <row r="275">
      <c r="A275" t="n">
        <v>4.0</v>
      </c>
      <c r="B275">
        <f>IF((K275-G275-H275&gt;2400000),10,(L275/(K275-G275-H275)*100))</f>
      </c>
      <c r="C275">
        <f>IF(N275&gt;2400000,240000,(N275*S275)/100)</f>
      </c>
      <c r="D275">
        <f>IF(S275=0,0,IF((N275-I275)&gt;2400000,((((((N275-I275-J275)-240000))*0.1+(I275+J275)*0.1)))-7000,((((((N275-I275-J275)-(N275-I275-J275)*S275/100)))*0.1+(I275+J275)*0.1)-7000)))</f>
      </c>
      <c r="E275">
        <f>C275-O275</f>
      </c>
      <c r="F275">
        <f>D275-P275</f>
      </c>
      <c r="G275">
        <f>SUMIF(negtgel!U$2:BL$2,'Tsalin uzuulelt'!B$1,negtgel!U275:BL275) + SUMIF(negtgel!U$2:BL$2,'Tsalin uzuulelt'!B$2,negtgel!U275:BL275)+SUMIF(negtgel!U$2:BL$2,'Tsalin uzuulelt'!B$3,negtgel!U275:BL275)+SUMIF(negtgel!U$2:BL$2,'Tsalin uzuulelt'!B$4,negtgel!U275:BL275)+SUMIF(negtgel!U$2:BL$2,'Tsalin uzuulelt'!B$5,negtgel!U275:BL275)</f>
      </c>
      <c r="H275">
        <f>SUMIF(negtgel!U$2:BL$2,'Tsalin uzuulelt'!F$1,negtgel!U275:BL275) + SUMIF(negtgel!U$2:BL$2,'Tsalin uzuulelt'!F$2,negtgel!U275:BL275)+SUMIF(negtgel!U$2:BL$2,'Tsalin uzuulelt'!F$3,negtgel!U275:BL275)+SUMIF(negtgel!U$2:BL$2,'Tsalin uzuulelt'!F$4,negtgel!U275:BL275)+SUMIF(negtgel!U$2:BL$2,'Tsalin uzuulelt'!F$5,negtgel!U275:BL275)</f>
      </c>
      <c r="I275">
        <f>SUMIF(negtgel!U$2:BL$2,'Tsalin uzuulelt'!H$1,negtgel!U275:BL275) + SUMIF(negtgel!U$2:BL$2,'Tsalin uzuulelt'!H$2,negtgel!U275:BL275)+SUMIF(negtgel!U$2:BL$2,'Tsalin uzuulelt'!H$3,negtgel!U275:BL275)+SUMIF(negtgel!U$2:BL$2,'Tsalin uzuulelt'!H$4,negtgel!U275:BL275)+SUMIF(negtgel!U$2:BL$2,'Tsalin uzuulelt'!H$5,negtgel!U275:BL275)</f>
      </c>
      <c r="J275">
        <f>SUMIF(negtgel!U$2:BL$2,'Tsalin uzuulelt'!J$1,negtgel!U275:BL275) + SUMIF(negtgel!U$2:BL$2,'Tsalin uzuulelt'!J$2,negtgel!U275:BL275)+SUMIF(negtgel!U$2:BL$2,'Tsalin uzuulelt'!J$3,negtgel!U275:BL275)+SUMIF(negtgel!U$2:BL$2,'Tsalin uzuulelt'!J$4,negtgel!U275:BL275)+SUMIF(negtgel!U$2:BL$2,'Tsalin uzuulelt'!J$5,negtgel!U275:BL275)</f>
      </c>
      <c r="K275">
        <f>SUMIF(negtgel!U$2:BL$2,'Tsalin uzuulelt'!L$1,negtgel!U275:BL275) + SUMIF(negtgel!U$2:BL$2,'Tsalin uzuulelt'!L$2,negtgel!U275:BL275)+SUMIF(negtgel!U$2:BL$2,'Tsalin uzuulelt'!L$3,negtgel!U275:BL275)+SUMIF(negtgel!U$2:BL$2,'Tsalin uzuulelt'!L$4,negtgel!U275:BL275)+SUMIF(negtgel!U$2:BL$2,'Tsalin uzuulelt'!L$5,negtgel!U275:BL275)</f>
      </c>
      <c r="L275">
        <f>SUMIF(negtgel!U$2:BL$2,'Tsalin uzuulelt'!N$1,negtgel!U275:BL275) + SUMIF(negtgel!U$2:BL$2,'Tsalin uzuulelt'!N$2,negtgel!U275:BL275)+SUMIF(negtgel!U$2:BL$2,'Tsalin uzuulelt'!N$3,negtgel!U275:BL275)+SUMIF(negtgel!U$2:BL$2,'Tsalin uzuulelt'!N$4,negtgel!U275:BL275)+SUMIF(negtgel!U$2:BL$2,'Tsalin uzuulelt'!N$5,negtgel!U275:BL275)</f>
      </c>
      <c r="M275">
        <f>SUMIF(negtgel!U$2:BL$2,'Tsalin uzuulelt'!P$1,negtgel!U275:BL275) + SUMIF(negtgel!U$2:BL$2,'Tsalin uzuulelt'!P$2,negtgel!U275:BL275)+ SUMIF(negtgel!U$2:BL$2,'Tsalin uzuulelt'!P$3,negtgel!U275:BL275)+ SUMIF(negtgel!U$2:BL$2,'Tsalin uzuulelt'!P$4,negtgel!U275:BL275)+ SUMIF(negtgel!U$2:BL$2,'Tsalin uzuulelt'!P$5,negtgel!U275:BL275)</f>
      </c>
      <c r="N275">
        <f>IF(ISNUMBER(U275*1)=CF275,0,K275-H275-G275)</f>
      </c>
      <c r="O275">
        <f>IF(ISNUMBER(U275*1)=CF275,0,L275)</f>
      </c>
      <c r="P275">
        <f>IF(ISNUMBER(U275*1)=CF275,0,M275)</f>
      </c>
      <c r="Q275">
        <f>IF(N275&gt;2400000,N275,0)</f>
      </c>
      <c r="R275">
        <f>IF(L275/Q275*100&lt;3,2,10)</f>
      </c>
      <c r="S275">
        <f>IF(CH275=0,0,IF(B275&gt;9,10,IF(B275&gt;8,B275,IF(B275&gt;7.7,7.8,IF(B275&gt;3,B275,IF(B275&gt;1.5,2))))))</f>
      </c>
      <c r="T275">
        <f>IF(Q275=0,S275,R275)</f>
      </c>
      <c r="U275" t="n">
        <v>152.0</v>
      </c>
      <c r="V275" t="s">
        <v>3786</v>
      </c>
      <c r="W275" t="s">
        <v>3785</v>
      </c>
      <c r="X275" t="n">
        <v>627465.0</v>
      </c>
      <c r="Y275" t="n">
        <v>0.0</v>
      </c>
      <c r="Z275" t="n">
        <v>0.0</v>
      </c>
      <c r="AA275" t="n">
        <v>0.0</v>
      </c>
      <c r="AB275" t="n">
        <v>0.0</v>
      </c>
      <c r="AC275" t="n">
        <v>0.0</v>
      </c>
      <c r="AD275" t="n">
        <v>0.0</v>
      </c>
      <c r="AE275" t="n">
        <v>0.0</v>
      </c>
      <c r="AF275" t="n">
        <v>0.0</v>
      </c>
      <c r="AG275" t="n">
        <v>0.0</v>
      </c>
      <c r="AH275" t="n">
        <v>0.0</v>
      </c>
      <c r="AI275" t="n">
        <v>0.0</v>
      </c>
      <c r="AJ275" t="n">
        <v>0.0</v>
      </c>
      <c r="AK275" t="n">
        <v>0.0</v>
      </c>
      <c r="AL275" t="n">
        <v>0.0</v>
      </c>
      <c r="AM275" t="n">
        <v>0.0</v>
      </c>
      <c r="AN275" t="n">
        <v>0.0</v>
      </c>
      <c r="AO275" t="n">
        <v>0.0</v>
      </c>
      <c r="AP275" t="n">
        <v>0.0</v>
      </c>
      <c r="AQ275" t="n">
        <v>0.0</v>
      </c>
      <c r="CH275">
        <f>IFERROR(U275*1,0)</f>
      </c>
    </row>
    <row r="276">
      <c r="A276" t="n">
        <v>4.0</v>
      </c>
      <c r="B276">
        <f>IF((K276-G276-H276&gt;2400000),10,(L276/(K276-G276-H276)*100))</f>
      </c>
      <c r="C276">
        <f>IF(N276&gt;2400000,240000,(N276*S276)/100)</f>
      </c>
      <c r="D276">
        <f>IF(S276=0,0,IF((N276-I276)&gt;2400000,((((((N276-I276-J276)-240000))*0.1+(I276+J276)*0.1)))-7000,((((((N276-I276-J276)-(N276-I276-J276)*S276/100)))*0.1+(I276+J276)*0.1)-7000)))</f>
      </c>
      <c r="E276">
        <f>C276-O276</f>
      </c>
      <c r="F276">
        <f>D276-P276</f>
      </c>
      <c r="G276">
        <f>SUMIF(negtgel!U$2:BL$2,'Tsalin uzuulelt'!B$1,negtgel!U276:BL276) + SUMIF(negtgel!U$2:BL$2,'Tsalin uzuulelt'!B$2,negtgel!U276:BL276)+SUMIF(negtgel!U$2:BL$2,'Tsalin uzuulelt'!B$3,negtgel!U276:BL276)+SUMIF(negtgel!U$2:BL$2,'Tsalin uzuulelt'!B$4,negtgel!U276:BL276)+SUMIF(negtgel!U$2:BL$2,'Tsalin uzuulelt'!B$5,negtgel!U276:BL276)</f>
      </c>
      <c r="H276">
        <f>SUMIF(negtgel!U$2:BL$2,'Tsalin uzuulelt'!F$1,negtgel!U276:BL276) + SUMIF(negtgel!U$2:BL$2,'Tsalin uzuulelt'!F$2,negtgel!U276:BL276)+SUMIF(negtgel!U$2:BL$2,'Tsalin uzuulelt'!F$3,negtgel!U276:BL276)+SUMIF(negtgel!U$2:BL$2,'Tsalin uzuulelt'!F$4,negtgel!U276:BL276)+SUMIF(negtgel!U$2:BL$2,'Tsalin uzuulelt'!F$5,negtgel!U276:BL276)</f>
      </c>
      <c r="I276">
        <f>SUMIF(negtgel!U$2:BL$2,'Tsalin uzuulelt'!H$1,negtgel!U276:BL276) + SUMIF(negtgel!U$2:BL$2,'Tsalin uzuulelt'!H$2,negtgel!U276:BL276)+SUMIF(negtgel!U$2:BL$2,'Tsalin uzuulelt'!H$3,negtgel!U276:BL276)+SUMIF(negtgel!U$2:BL$2,'Tsalin uzuulelt'!H$4,negtgel!U276:BL276)+SUMIF(negtgel!U$2:BL$2,'Tsalin uzuulelt'!H$5,negtgel!U276:BL276)</f>
      </c>
      <c r="J276">
        <f>SUMIF(negtgel!U$2:BL$2,'Tsalin uzuulelt'!J$1,negtgel!U276:BL276) + SUMIF(negtgel!U$2:BL$2,'Tsalin uzuulelt'!J$2,negtgel!U276:BL276)+SUMIF(negtgel!U$2:BL$2,'Tsalin uzuulelt'!J$3,negtgel!U276:BL276)+SUMIF(negtgel!U$2:BL$2,'Tsalin uzuulelt'!J$4,negtgel!U276:BL276)+SUMIF(negtgel!U$2:BL$2,'Tsalin uzuulelt'!J$5,negtgel!U276:BL276)</f>
      </c>
      <c r="K276">
        <f>SUMIF(negtgel!U$2:BL$2,'Tsalin uzuulelt'!L$1,negtgel!U276:BL276) + SUMIF(negtgel!U$2:BL$2,'Tsalin uzuulelt'!L$2,negtgel!U276:BL276)+SUMIF(negtgel!U$2:BL$2,'Tsalin uzuulelt'!L$3,negtgel!U276:BL276)+SUMIF(negtgel!U$2:BL$2,'Tsalin uzuulelt'!L$4,negtgel!U276:BL276)+SUMIF(negtgel!U$2:BL$2,'Tsalin uzuulelt'!L$5,negtgel!U276:BL276)</f>
      </c>
      <c r="L276">
        <f>SUMIF(negtgel!U$2:BL$2,'Tsalin uzuulelt'!N$1,negtgel!U276:BL276) + SUMIF(negtgel!U$2:BL$2,'Tsalin uzuulelt'!N$2,negtgel!U276:BL276)+SUMIF(negtgel!U$2:BL$2,'Tsalin uzuulelt'!N$3,negtgel!U276:BL276)+SUMIF(negtgel!U$2:BL$2,'Tsalin uzuulelt'!N$4,negtgel!U276:BL276)+SUMIF(negtgel!U$2:BL$2,'Tsalin uzuulelt'!N$5,negtgel!U276:BL276)</f>
      </c>
      <c r="M276">
        <f>SUMIF(negtgel!U$2:BL$2,'Tsalin uzuulelt'!P$1,negtgel!U276:BL276) + SUMIF(negtgel!U$2:BL$2,'Tsalin uzuulelt'!P$2,negtgel!U276:BL276)+ SUMIF(negtgel!U$2:BL$2,'Tsalin uzuulelt'!P$3,negtgel!U276:BL276)+ SUMIF(negtgel!U$2:BL$2,'Tsalin uzuulelt'!P$4,negtgel!U276:BL276)+ SUMIF(negtgel!U$2:BL$2,'Tsalin uzuulelt'!P$5,negtgel!U276:BL276)</f>
      </c>
      <c r="N276">
        <f>IF(ISNUMBER(U276*1)=CF276,0,K276-H276-G276)</f>
      </c>
      <c r="O276">
        <f>IF(ISNUMBER(U276*1)=CF276,0,L276)</f>
      </c>
      <c r="P276">
        <f>IF(ISNUMBER(U276*1)=CF276,0,M276)</f>
      </c>
      <c r="Q276">
        <f>IF(N276&gt;2400000,N276,0)</f>
      </c>
      <c r="R276">
        <f>IF(L276/Q276*100&lt;3,2,10)</f>
      </c>
      <c r="S276">
        <f>IF(CH276=0,0,IF(B276&gt;9,10,IF(B276&gt;8,B276,IF(B276&gt;7.7,7.8,IF(B276&gt;3,B276,IF(B276&gt;1.5,2))))))</f>
      </c>
      <c r="T276">
        <f>IF(Q276=0,S276,R276)</f>
      </c>
      <c r="U276" t="n">
        <v>153.0</v>
      </c>
      <c r="V276" t="s">
        <v>3860</v>
      </c>
      <c r="W276" t="s">
        <v>3790</v>
      </c>
      <c r="X276" t="n">
        <v>547759.0</v>
      </c>
      <c r="Y276" t="n">
        <v>0.0</v>
      </c>
      <c r="Z276" t="n">
        <v>0.0</v>
      </c>
      <c r="AA276" t="n">
        <v>0.0</v>
      </c>
      <c r="AB276" t="n">
        <v>0.0</v>
      </c>
      <c r="AC276" t="n">
        <v>0.0</v>
      </c>
      <c r="AD276" t="n">
        <v>0.0</v>
      </c>
      <c r="AE276" t="n">
        <v>0.0</v>
      </c>
      <c r="AF276" t="n">
        <v>0.0</v>
      </c>
      <c r="AG276" t="n">
        <v>0.0</v>
      </c>
      <c r="AH276" t="n">
        <v>0.0</v>
      </c>
      <c r="AI276" t="n">
        <v>0.0</v>
      </c>
      <c r="AJ276" t="n">
        <v>0.0</v>
      </c>
      <c r="AK276" t="n">
        <v>0.0</v>
      </c>
      <c r="AL276" t="n">
        <v>0.0</v>
      </c>
      <c r="AM276" t="n">
        <v>0.0</v>
      </c>
      <c r="AN276" t="n">
        <v>0.0</v>
      </c>
      <c r="AO276" t="n">
        <v>0.0</v>
      </c>
      <c r="AP276" t="n">
        <v>0.0</v>
      </c>
      <c r="AQ276" t="n">
        <v>0.0</v>
      </c>
      <c r="CH276">
        <f>IFERROR(U276*1,0)</f>
      </c>
    </row>
    <row r="277">
      <c r="A277" t="n">
        <v>4.0</v>
      </c>
      <c r="B277">
        <f>IF((K277-G277-H277&gt;2400000),10,(L277/(K277-G277-H277)*100))</f>
      </c>
      <c r="C277">
        <f>IF(N277&gt;2400000,240000,(N277*S277)/100)</f>
      </c>
      <c r="D277">
        <f>IF(S277=0,0,IF((N277-I277)&gt;2400000,((((((N277-I277-J277)-240000))*0.1+(I277+J277)*0.1)))-7000,((((((N277-I277-J277)-(N277-I277-J277)*S277/100)))*0.1+(I277+J277)*0.1)-7000)))</f>
      </c>
      <c r="E277">
        <f>C277-O277</f>
      </c>
      <c r="F277">
        <f>D277-P277</f>
      </c>
      <c r="G277">
        <f>SUMIF(negtgel!U$2:BL$2,'Tsalin uzuulelt'!B$1,negtgel!U277:BL277) + SUMIF(negtgel!U$2:BL$2,'Tsalin uzuulelt'!B$2,negtgel!U277:BL277)+SUMIF(negtgel!U$2:BL$2,'Tsalin uzuulelt'!B$3,negtgel!U277:BL277)+SUMIF(negtgel!U$2:BL$2,'Tsalin uzuulelt'!B$4,negtgel!U277:BL277)+SUMIF(negtgel!U$2:BL$2,'Tsalin uzuulelt'!B$5,negtgel!U277:BL277)</f>
      </c>
      <c r="H277">
        <f>SUMIF(negtgel!U$2:BL$2,'Tsalin uzuulelt'!F$1,negtgel!U277:BL277) + SUMIF(negtgel!U$2:BL$2,'Tsalin uzuulelt'!F$2,negtgel!U277:BL277)+SUMIF(negtgel!U$2:BL$2,'Tsalin uzuulelt'!F$3,negtgel!U277:BL277)+SUMIF(negtgel!U$2:BL$2,'Tsalin uzuulelt'!F$4,negtgel!U277:BL277)+SUMIF(negtgel!U$2:BL$2,'Tsalin uzuulelt'!F$5,negtgel!U277:BL277)</f>
      </c>
      <c r="I277">
        <f>SUMIF(negtgel!U$2:BL$2,'Tsalin uzuulelt'!H$1,negtgel!U277:BL277) + SUMIF(negtgel!U$2:BL$2,'Tsalin uzuulelt'!H$2,negtgel!U277:BL277)+SUMIF(negtgel!U$2:BL$2,'Tsalin uzuulelt'!H$3,negtgel!U277:BL277)+SUMIF(negtgel!U$2:BL$2,'Tsalin uzuulelt'!H$4,negtgel!U277:BL277)+SUMIF(negtgel!U$2:BL$2,'Tsalin uzuulelt'!H$5,negtgel!U277:BL277)</f>
      </c>
      <c r="J277">
        <f>SUMIF(negtgel!U$2:BL$2,'Tsalin uzuulelt'!J$1,negtgel!U277:BL277) + SUMIF(negtgel!U$2:BL$2,'Tsalin uzuulelt'!J$2,negtgel!U277:BL277)+SUMIF(negtgel!U$2:BL$2,'Tsalin uzuulelt'!J$3,negtgel!U277:BL277)+SUMIF(negtgel!U$2:BL$2,'Tsalin uzuulelt'!J$4,negtgel!U277:BL277)+SUMIF(negtgel!U$2:BL$2,'Tsalin uzuulelt'!J$5,negtgel!U277:BL277)</f>
      </c>
      <c r="K277">
        <f>SUMIF(negtgel!U$2:BL$2,'Tsalin uzuulelt'!L$1,negtgel!U277:BL277) + SUMIF(negtgel!U$2:BL$2,'Tsalin uzuulelt'!L$2,negtgel!U277:BL277)+SUMIF(negtgel!U$2:BL$2,'Tsalin uzuulelt'!L$3,negtgel!U277:BL277)+SUMIF(negtgel!U$2:BL$2,'Tsalin uzuulelt'!L$4,negtgel!U277:BL277)+SUMIF(negtgel!U$2:BL$2,'Tsalin uzuulelt'!L$5,negtgel!U277:BL277)</f>
      </c>
      <c r="L277">
        <f>SUMIF(negtgel!U$2:BL$2,'Tsalin uzuulelt'!N$1,negtgel!U277:BL277) + SUMIF(negtgel!U$2:BL$2,'Tsalin uzuulelt'!N$2,negtgel!U277:BL277)+SUMIF(negtgel!U$2:BL$2,'Tsalin uzuulelt'!N$3,negtgel!U277:BL277)+SUMIF(negtgel!U$2:BL$2,'Tsalin uzuulelt'!N$4,negtgel!U277:BL277)+SUMIF(negtgel!U$2:BL$2,'Tsalin uzuulelt'!N$5,negtgel!U277:BL277)</f>
      </c>
      <c r="M277">
        <f>SUMIF(negtgel!U$2:BL$2,'Tsalin uzuulelt'!P$1,negtgel!U277:BL277) + SUMIF(negtgel!U$2:BL$2,'Tsalin uzuulelt'!P$2,negtgel!U277:BL277)+ SUMIF(negtgel!U$2:BL$2,'Tsalin uzuulelt'!P$3,negtgel!U277:BL277)+ SUMIF(negtgel!U$2:BL$2,'Tsalin uzuulelt'!P$4,negtgel!U277:BL277)+ SUMIF(negtgel!U$2:BL$2,'Tsalin uzuulelt'!P$5,negtgel!U277:BL277)</f>
      </c>
      <c r="N277">
        <f>IF(ISNUMBER(U277*1)=CF277,0,K277-H277-G277)</f>
      </c>
      <c r="O277">
        <f>IF(ISNUMBER(U277*1)=CF277,0,L277)</f>
      </c>
      <c r="P277">
        <f>IF(ISNUMBER(U277*1)=CF277,0,M277)</f>
      </c>
      <c r="Q277">
        <f>IF(N277&gt;2400000,N277,0)</f>
      </c>
      <c r="R277">
        <f>IF(L277/Q277*100&lt;3,2,10)</f>
      </c>
      <c r="S277">
        <f>IF(CH277=0,0,IF(B277&gt;9,10,IF(B277&gt;8,B277,IF(B277&gt;7.7,7.8,IF(B277&gt;3,B277,IF(B277&gt;1.5,2))))))</f>
      </c>
      <c r="T277">
        <f>IF(Q277=0,S277,R277)</f>
      </c>
      <c r="U277" t="n">
        <v>154.0</v>
      </c>
      <c r="V277" t="s">
        <v>3844</v>
      </c>
      <c r="W277" t="s">
        <v>3790</v>
      </c>
      <c r="X277" t="n">
        <v>677436.0</v>
      </c>
      <c r="Y277" t="n">
        <v>0.0</v>
      </c>
      <c r="Z277" t="n">
        <v>0.0</v>
      </c>
      <c r="AA277" t="n">
        <v>0.0</v>
      </c>
      <c r="AB277" t="n">
        <v>0.0</v>
      </c>
      <c r="AC277" t="n">
        <v>0.0</v>
      </c>
      <c r="AD277" t="n">
        <v>0.0</v>
      </c>
      <c r="AE277" t="n">
        <v>0.0</v>
      </c>
      <c r="AF277" t="n">
        <v>0.0</v>
      </c>
      <c r="AG277" t="n">
        <v>0.0</v>
      </c>
      <c r="AH277" t="n">
        <v>0.0</v>
      </c>
      <c r="AI277" t="n">
        <v>0.0</v>
      </c>
      <c r="AJ277" t="n">
        <v>0.0</v>
      </c>
      <c r="AK277" t="n">
        <v>0.0</v>
      </c>
      <c r="AL277" t="n">
        <v>0.0</v>
      </c>
      <c r="AM277" t="n">
        <v>0.0</v>
      </c>
      <c r="AN277" t="n">
        <v>0.0</v>
      </c>
      <c r="AO277" t="n">
        <v>0.0</v>
      </c>
      <c r="AP277" t="n">
        <v>0.0</v>
      </c>
      <c r="AQ277" t="n">
        <v>0.0</v>
      </c>
      <c r="CH277">
        <f>IFERROR(U277*1,0)</f>
      </c>
    </row>
    <row r="278">
      <c r="A278" t="n">
        <v>4.0</v>
      </c>
      <c r="B278">
        <f>IF((K278-G278-H278&gt;2400000),10,(L278/(K278-G278-H278)*100))</f>
      </c>
      <c r="C278">
        <f>IF(N278&gt;2400000,240000,(N278*S278)/100)</f>
      </c>
      <c r="D278">
        <f>IF(S278=0,0,IF((N278-I278)&gt;2400000,((((((N278-I278-J278)-240000))*0.1+(I278+J278)*0.1)))-7000,((((((N278-I278-J278)-(N278-I278-J278)*S278/100)))*0.1+(I278+J278)*0.1)-7000)))</f>
      </c>
      <c r="E278">
        <f>C278-O278</f>
      </c>
      <c r="F278">
        <f>D278-P278</f>
      </c>
      <c r="G278">
        <f>SUMIF(negtgel!U$2:BL$2,'Tsalin uzuulelt'!B$1,negtgel!U278:BL278) + SUMIF(negtgel!U$2:BL$2,'Tsalin uzuulelt'!B$2,negtgel!U278:BL278)+SUMIF(negtgel!U$2:BL$2,'Tsalin uzuulelt'!B$3,negtgel!U278:BL278)+SUMIF(negtgel!U$2:BL$2,'Tsalin uzuulelt'!B$4,negtgel!U278:BL278)+SUMIF(negtgel!U$2:BL$2,'Tsalin uzuulelt'!B$5,negtgel!U278:BL278)</f>
      </c>
      <c r="H278">
        <f>SUMIF(negtgel!U$2:BL$2,'Tsalin uzuulelt'!F$1,negtgel!U278:BL278) + SUMIF(negtgel!U$2:BL$2,'Tsalin uzuulelt'!F$2,negtgel!U278:BL278)+SUMIF(negtgel!U$2:BL$2,'Tsalin uzuulelt'!F$3,negtgel!U278:BL278)+SUMIF(negtgel!U$2:BL$2,'Tsalin uzuulelt'!F$4,negtgel!U278:BL278)+SUMIF(negtgel!U$2:BL$2,'Tsalin uzuulelt'!F$5,negtgel!U278:BL278)</f>
      </c>
      <c r="I278">
        <f>SUMIF(negtgel!U$2:BL$2,'Tsalin uzuulelt'!H$1,negtgel!U278:BL278) + SUMIF(negtgel!U$2:BL$2,'Tsalin uzuulelt'!H$2,negtgel!U278:BL278)+SUMIF(negtgel!U$2:BL$2,'Tsalin uzuulelt'!H$3,negtgel!U278:BL278)+SUMIF(negtgel!U$2:BL$2,'Tsalin uzuulelt'!H$4,negtgel!U278:BL278)+SUMIF(negtgel!U$2:BL$2,'Tsalin uzuulelt'!H$5,negtgel!U278:BL278)</f>
      </c>
      <c r="J278">
        <f>SUMIF(negtgel!U$2:BL$2,'Tsalin uzuulelt'!J$1,negtgel!U278:BL278) + SUMIF(negtgel!U$2:BL$2,'Tsalin uzuulelt'!J$2,negtgel!U278:BL278)+SUMIF(negtgel!U$2:BL$2,'Tsalin uzuulelt'!J$3,negtgel!U278:BL278)+SUMIF(negtgel!U$2:BL$2,'Tsalin uzuulelt'!J$4,negtgel!U278:BL278)+SUMIF(negtgel!U$2:BL$2,'Tsalin uzuulelt'!J$5,negtgel!U278:BL278)</f>
      </c>
      <c r="K278">
        <f>SUMIF(negtgel!U$2:BL$2,'Tsalin uzuulelt'!L$1,negtgel!U278:BL278) + SUMIF(negtgel!U$2:BL$2,'Tsalin uzuulelt'!L$2,negtgel!U278:BL278)+SUMIF(negtgel!U$2:BL$2,'Tsalin uzuulelt'!L$3,negtgel!U278:BL278)+SUMIF(negtgel!U$2:BL$2,'Tsalin uzuulelt'!L$4,negtgel!U278:BL278)+SUMIF(negtgel!U$2:BL$2,'Tsalin uzuulelt'!L$5,negtgel!U278:BL278)</f>
      </c>
      <c r="L278">
        <f>SUMIF(negtgel!U$2:BL$2,'Tsalin uzuulelt'!N$1,negtgel!U278:BL278) + SUMIF(negtgel!U$2:BL$2,'Tsalin uzuulelt'!N$2,negtgel!U278:BL278)+SUMIF(negtgel!U$2:BL$2,'Tsalin uzuulelt'!N$3,negtgel!U278:BL278)+SUMIF(negtgel!U$2:BL$2,'Tsalin uzuulelt'!N$4,negtgel!U278:BL278)+SUMIF(negtgel!U$2:BL$2,'Tsalin uzuulelt'!N$5,negtgel!U278:BL278)</f>
      </c>
      <c r="M278">
        <f>SUMIF(negtgel!U$2:BL$2,'Tsalin uzuulelt'!P$1,negtgel!U278:BL278) + SUMIF(negtgel!U$2:BL$2,'Tsalin uzuulelt'!P$2,negtgel!U278:BL278)+ SUMIF(negtgel!U$2:BL$2,'Tsalin uzuulelt'!P$3,negtgel!U278:BL278)+ SUMIF(negtgel!U$2:BL$2,'Tsalin uzuulelt'!P$4,negtgel!U278:BL278)+ SUMIF(negtgel!U$2:BL$2,'Tsalin uzuulelt'!P$5,negtgel!U278:BL278)</f>
      </c>
      <c r="N278">
        <f>IF(ISNUMBER(U278*1)=CF278,0,K278-H278-G278)</f>
      </c>
      <c r="O278">
        <f>IF(ISNUMBER(U278*1)=CF278,0,L278)</f>
      </c>
      <c r="P278">
        <f>IF(ISNUMBER(U278*1)=CF278,0,M278)</f>
      </c>
      <c r="Q278">
        <f>IF(N278&gt;2400000,N278,0)</f>
      </c>
      <c r="R278">
        <f>IF(L278/Q278*100&lt;3,2,10)</f>
      </c>
      <c r="S278">
        <f>IF(CH278=0,0,IF(B278&gt;9,10,IF(B278&gt;8,B278,IF(B278&gt;7.7,7.8,IF(B278&gt;3,B278,IF(B278&gt;1.5,2))))))</f>
      </c>
      <c r="T278">
        <f>IF(Q278=0,S278,R278)</f>
      </c>
      <c r="U278" t="n">
        <v>155.0</v>
      </c>
      <c r="V278" t="s">
        <v>3845</v>
      </c>
      <c r="W278" t="s">
        <v>3790</v>
      </c>
      <c r="X278" t="n">
        <v>677436.0</v>
      </c>
      <c r="Y278" t="n">
        <v>0.0</v>
      </c>
      <c r="Z278" t="n">
        <v>0.0</v>
      </c>
      <c r="AA278" t="n">
        <v>0.0</v>
      </c>
      <c r="AB278" t="n">
        <v>0.0</v>
      </c>
      <c r="AC278" t="n">
        <v>0.0</v>
      </c>
      <c r="AD278" t="n">
        <v>0.0</v>
      </c>
      <c r="AE278" t="n">
        <v>0.0</v>
      </c>
      <c r="AF278" t="n">
        <v>0.0</v>
      </c>
      <c r="AG278" t="n">
        <v>0.0</v>
      </c>
      <c r="AH278" t="n">
        <v>0.0</v>
      </c>
      <c r="AI278" t="n">
        <v>0.0</v>
      </c>
      <c r="AJ278" t="n">
        <v>0.0</v>
      </c>
      <c r="AK278" t="n">
        <v>0.0</v>
      </c>
      <c r="AL278" t="n">
        <v>0.0</v>
      </c>
      <c r="AM278" t="n">
        <v>0.0</v>
      </c>
      <c r="AN278" t="n">
        <v>0.0</v>
      </c>
      <c r="AO278" t="n">
        <v>0.0</v>
      </c>
      <c r="AP278" t="n">
        <v>0.0</v>
      </c>
      <c r="AQ278" t="n">
        <v>0.0</v>
      </c>
      <c r="CH278">
        <f>IFERROR(U278*1,0)</f>
      </c>
    </row>
    <row r="279">
      <c r="A279" t="n">
        <v>4.0</v>
      </c>
      <c r="B279">
        <f>IF((K279-G279-H279&gt;2400000),10,(L279/(K279-G279-H279)*100))</f>
      </c>
      <c r="C279">
        <f>IF(N279&gt;2400000,240000,(N279*S279)/100)</f>
      </c>
      <c r="D279">
        <f>IF(S279=0,0,IF((N279-I279)&gt;2400000,((((((N279-I279-J279)-240000))*0.1+(I279+J279)*0.1)))-7000,((((((N279-I279-J279)-(N279-I279-J279)*S279/100)))*0.1+(I279+J279)*0.1)-7000)))</f>
      </c>
      <c r="E279">
        <f>C279-O279</f>
      </c>
      <c r="F279">
        <f>D279-P279</f>
      </c>
      <c r="G279">
        <f>SUMIF(negtgel!U$2:BL$2,'Tsalin uzuulelt'!B$1,negtgel!U279:BL279) + SUMIF(negtgel!U$2:BL$2,'Tsalin uzuulelt'!B$2,negtgel!U279:BL279)+SUMIF(negtgel!U$2:BL$2,'Tsalin uzuulelt'!B$3,negtgel!U279:BL279)+SUMIF(negtgel!U$2:BL$2,'Tsalin uzuulelt'!B$4,negtgel!U279:BL279)+SUMIF(negtgel!U$2:BL$2,'Tsalin uzuulelt'!B$5,negtgel!U279:BL279)</f>
      </c>
      <c r="H279">
        <f>SUMIF(negtgel!U$2:BL$2,'Tsalin uzuulelt'!F$1,negtgel!U279:BL279) + SUMIF(negtgel!U$2:BL$2,'Tsalin uzuulelt'!F$2,negtgel!U279:BL279)+SUMIF(negtgel!U$2:BL$2,'Tsalin uzuulelt'!F$3,negtgel!U279:BL279)+SUMIF(negtgel!U$2:BL$2,'Tsalin uzuulelt'!F$4,negtgel!U279:BL279)+SUMIF(negtgel!U$2:BL$2,'Tsalin uzuulelt'!F$5,negtgel!U279:BL279)</f>
      </c>
      <c r="I279">
        <f>SUMIF(negtgel!U$2:BL$2,'Tsalin uzuulelt'!H$1,negtgel!U279:BL279) + SUMIF(negtgel!U$2:BL$2,'Tsalin uzuulelt'!H$2,negtgel!U279:BL279)+SUMIF(negtgel!U$2:BL$2,'Tsalin uzuulelt'!H$3,negtgel!U279:BL279)+SUMIF(negtgel!U$2:BL$2,'Tsalin uzuulelt'!H$4,negtgel!U279:BL279)+SUMIF(negtgel!U$2:BL$2,'Tsalin uzuulelt'!H$5,negtgel!U279:BL279)</f>
      </c>
      <c r="J279">
        <f>SUMIF(negtgel!U$2:BL$2,'Tsalin uzuulelt'!J$1,negtgel!U279:BL279) + SUMIF(negtgel!U$2:BL$2,'Tsalin uzuulelt'!J$2,negtgel!U279:BL279)+SUMIF(negtgel!U$2:BL$2,'Tsalin uzuulelt'!J$3,negtgel!U279:BL279)+SUMIF(negtgel!U$2:BL$2,'Tsalin uzuulelt'!J$4,negtgel!U279:BL279)+SUMIF(negtgel!U$2:BL$2,'Tsalin uzuulelt'!J$5,negtgel!U279:BL279)</f>
      </c>
      <c r="K279">
        <f>SUMIF(negtgel!U$2:BL$2,'Tsalin uzuulelt'!L$1,negtgel!U279:BL279) + SUMIF(negtgel!U$2:BL$2,'Tsalin uzuulelt'!L$2,negtgel!U279:BL279)+SUMIF(negtgel!U$2:BL$2,'Tsalin uzuulelt'!L$3,negtgel!U279:BL279)+SUMIF(negtgel!U$2:BL$2,'Tsalin uzuulelt'!L$4,negtgel!U279:BL279)+SUMIF(negtgel!U$2:BL$2,'Tsalin uzuulelt'!L$5,negtgel!U279:BL279)</f>
      </c>
      <c r="L279">
        <f>SUMIF(negtgel!U$2:BL$2,'Tsalin uzuulelt'!N$1,negtgel!U279:BL279) + SUMIF(negtgel!U$2:BL$2,'Tsalin uzuulelt'!N$2,negtgel!U279:BL279)+SUMIF(negtgel!U$2:BL$2,'Tsalin uzuulelt'!N$3,negtgel!U279:BL279)+SUMIF(negtgel!U$2:BL$2,'Tsalin uzuulelt'!N$4,negtgel!U279:BL279)+SUMIF(negtgel!U$2:BL$2,'Tsalin uzuulelt'!N$5,negtgel!U279:BL279)</f>
      </c>
      <c r="M279">
        <f>SUMIF(negtgel!U$2:BL$2,'Tsalin uzuulelt'!P$1,negtgel!U279:BL279) + SUMIF(negtgel!U$2:BL$2,'Tsalin uzuulelt'!P$2,negtgel!U279:BL279)+ SUMIF(negtgel!U$2:BL$2,'Tsalin uzuulelt'!P$3,negtgel!U279:BL279)+ SUMIF(negtgel!U$2:BL$2,'Tsalin uzuulelt'!P$4,negtgel!U279:BL279)+ SUMIF(negtgel!U$2:BL$2,'Tsalin uzuulelt'!P$5,negtgel!U279:BL279)</f>
      </c>
      <c r="N279">
        <f>IF(ISNUMBER(U279*1)=CF279,0,K279-H279-G279)</f>
      </c>
      <c r="O279">
        <f>IF(ISNUMBER(U279*1)=CF279,0,L279)</f>
      </c>
      <c r="P279">
        <f>IF(ISNUMBER(U279*1)=CF279,0,M279)</f>
      </c>
      <c r="Q279">
        <f>IF(N279&gt;2400000,N279,0)</f>
      </c>
      <c r="R279">
        <f>IF(L279/Q279*100&lt;3,2,10)</f>
      </c>
      <c r="S279">
        <f>IF(CH279=0,0,IF(B279&gt;9,10,IF(B279&gt;8,B279,IF(B279&gt;7.7,7.8,IF(B279&gt;3,B279,IF(B279&gt;1.5,2))))))</f>
      </c>
      <c r="T279">
        <f>IF(Q279=0,S279,R279)</f>
      </c>
      <c r="U279" t="n">
        <v>156.0</v>
      </c>
      <c r="V279" t="s">
        <v>3846</v>
      </c>
      <c r="W279" t="s">
        <v>3790</v>
      </c>
      <c r="X279" t="n">
        <v>645556.0</v>
      </c>
      <c r="Y279" t="n">
        <v>0.0</v>
      </c>
      <c r="Z279" t="n">
        <v>0.0</v>
      </c>
      <c r="AA279" t="n">
        <v>0.0</v>
      </c>
      <c r="AB279" t="n">
        <v>0.0</v>
      </c>
      <c r="AC279" t="n">
        <v>0.0</v>
      </c>
      <c r="AD279" t="n">
        <v>0.0</v>
      </c>
      <c r="AE279" t="n">
        <v>0.0</v>
      </c>
      <c r="AF279" t="n">
        <v>0.0</v>
      </c>
      <c r="AG279" t="n">
        <v>0.0</v>
      </c>
      <c r="AH279" t="n">
        <v>0.0</v>
      </c>
      <c r="AI279" t="n">
        <v>0.0</v>
      </c>
      <c r="AJ279" t="n">
        <v>0.0</v>
      </c>
      <c r="AK279" t="n">
        <v>0.0</v>
      </c>
      <c r="AL279" t="n">
        <v>0.0</v>
      </c>
      <c r="AM279" t="n">
        <v>0.0</v>
      </c>
      <c r="AN279" t="n">
        <v>0.0</v>
      </c>
      <c r="AO279" t="n">
        <v>0.0</v>
      </c>
      <c r="AP279" t="n">
        <v>0.0</v>
      </c>
      <c r="AQ279" t="n">
        <v>0.0</v>
      </c>
      <c r="CH279">
        <f>IFERROR(U279*1,0)</f>
      </c>
    </row>
    <row r="280">
      <c r="A280" t="n">
        <v>4.0</v>
      </c>
      <c r="B280">
        <f>IF((K280-G280-H280&gt;2400000),10,(L280/(K280-G280-H280)*100))</f>
      </c>
      <c r="C280">
        <f>IF(N280&gt;2400000,240000,(N280*S280)/100)</f>
      </c>
      <c r="D280">
        <f>IF(S280=0,0,IF((N280-I280)&gt;2400000,((((((N280-I280-J280)-240000))*0.1+(I280+J280)*0.1)))-7000,((((((N280-I280-J280)-(N280-I280-J280)*S280/100)))*0.1+(I280+J280)*0.1)-7000)))</f>
      </c>
      <c r="E280">
        <f>C280-O280</f>
      </c>
      <c r="F280">
        <f>D280-P280</f>
      </c>
      <c r="G280">
        <f>SUMIF(negtgel!U$2:BL$2,'Tsalin uzuulelt'!B$1,negtgel!U280:BL280) + SUMIF(negtgel!U$2:BL$2,'Tsalin uzuulelt'!B$2,negtgel!U280:BL280)+SUMIF(negtgel!U$2:BL$2,'Tsalin uzuulelt'!B$3,negtgel!U280:BL280)+SUMIF(negtgel!U$2:BL$2,'Tsalin uzuulelt'!B$4,negtgel!U280:BL280)+SUMIF(negtgel!U$2:BL$2,'Tsalin uzuulelt'!B$5,negtgel!U280:BL280)</f>
      </c>
      <c r="H280">
        <f>SUMIF(negtgel!U$2:BL$2,'Tsalin uzuulelt'!F$1,negtgel!U280:BL280) + SUMIF(negtgel!U$2:BL$2,'Tsalin uzuulelt'!F$2,negtgel!U280:BL280)+SUMIF(negtgel!U$2:BL$2,'Tsalin uzuulelt'!F$3,negtgel!U280:BL280)+SUMIF(negtgel!U$2:BL$2,'Tsalin uzuulelt'!F$4,negtgel!U280:BL280)+SUMIF(negtgel!U$2:BL$2,'Tsalin uzuulelt'!F$5,negtgel!U280:BL280)</f>
      </c>
      <c r="I280">
        <f>SUMIF(negtgel!U$2:BL$2,'Tsalin uzuulelt'!H$1,negtgel!U280:BL280) + SUMIF(negtgel!U$2:BL$2,'Tsalin uzuulelt'!H$2,negtgel!U280:BL280)+SUMIF(negtgel!U$2:BL$2,'Tsalin uzuulelt'!H$3,negtgel!U280:BL280)+SUMIF(negtgel!U$2:BL$2,'Tsalin uzuulelt'!H$4,negtgel!U280:BL280)+SUMIF(negtgel!U$2:BL$2,'Tsalin uzuulelt'!H$5,negtgel!U280:BL280)</f>
      </c>
      <c r="J280">
        <f>SUMIF(negtgel!U$2:BL$2,'Tsalin uzuulelt'!J$1,negtgel!U280:BL280) + SUMIF(negtgel!U$2:BL$2,'Tsalin uzuulelt'!J$2,negtgel!U280:BL280)+SUMIF(negtgel!U$2:BL$2,'Tsalin uzuulelt'!J$3,negtgel!U280:BL280)+SUMIF(negtgel!U$2:BL$2,'Tsalin uzuulelt'!J$4,negtgel!U280:BL280)+SUMIF(negtgel!U$2:BL$2,'Tsalin uzuulelt'!J$5,negtgel!U280:BL280)</f>
      </c>
      <c r="K280">
        <f>SUMIF(negtgel!U$2:BL$2,'Tsalin uzuulelt'!L$1,negtgel!U280:BL280) + SUMIF(negtgel!U$2:BL$2,'Tsalin uzuulelt'!L$2,negtgel!U280:BL280)+SUMIF(negtgel!U$2:BL$2,'Tsalin uzuulelt'!L$3,negtgel!U280:BL280)+SUMIF(negtgel!U$2:BL$2,'Tsalin uzuulelt'!L$4,negtgel!U280:BL280)+SUMIF(negtgel!U$2:BL$2,'Tsalin uzuulelt'!L$5,negtgel!U280:BL280)</f>
      </c>
      <c r="L280">
        <f>SUMIF(negtgel!U$2:BL$2,'Tsalin uzuulelt'!N$1,negtgel!U280:BL280) + SUMIF(negtgel!U$2:BL$2,'Tsalin uzuulelt'!N$2,negtgel!U280:BL280)+SUMIF(negtgel!U$2:BL$2,'Tsalin uzuulelt'!N$3,negtgel!U280:BL280)+SUMIF(negtgel!U$2:BL$2,'Tsalin uzuulelt'!N$4,negtgel!U280:BL280)+SUMIF(negtgel!U$2:BL$2,'Tsalin uzuulelt'!N$5,negtgel!U280:BL280)</f>
      </c>
      <c r="M280">
        <f>SUMIF(negtgel!U$2:BL$2,'Tsalin uzuulelt'!P$1,negtgel!U280:BL280) + SUMIF(negtgel!U$2:BL$2,'Tsalin uzuulelt'!P$2,negtgel!U280:BL280)+ SUMIF(negtgel!U$2:BL$2,'Tsalin uzuulelt'!P$3,negtgel!U280:BL280)+ SUMIF(negtgel!U$2:BL$2,'Tsalin uzuulelt'!P$4,negtgel!U280:BL280)+ SUMIF(negtgel!U$2:BL$2,'Tsalin uzuulelt'!P$5,negtgel!U280:BL280)</f>
      </c>
      <c r="N280">
        <f>IF(ISNUMBER(U280*1)=CF280,0,K280-H280-G280)</f>
      </c>
      <c r="O280">
        <f>IF(ISNUMBER(U280*1)=CF280,0,L280)</f>
      </c>
      <c r="P280">
        <f>IF(ISNUMBER(U280*1)=CF280,0,M280)</f>
      </c>
      <c r="Q280">
        <f>IF(N280&gt;2400000,N280,0)</f>
      </c>
      <c r="R280">
        <f>IF(L280/Q280*100&lt;3,2,10)</f>
      </c>
      <c r="S280">
        <f>IF(CH280=0,0,IF(B280&gt;9,10,IF(B280&gt;8,B280,IF(B280&gt;7.7,7.8,IF(B280&gt;3,B280,IF(B280&gt;1.5,2))))))</f>
      </c>
      <c r="T280">
        <f>IF(Q280=0,S280,R280)</f>
      </c>
      <c r="U280" t="s">
        <v>3787</v>
      </c>
      <c r="V280"/>
      <c r="W280"/>
      <c r="X280" t="n">
        <v>3.831578E7</v>
      </c>
      <c r="Y280" t="n">
        <v>0.0</v>
      </c>
      <c r="Z280" t="n">
        <v>0.0</v>
      </c>
      <c r="AA280" t="n">
        <v>0.0</v>
      </c>
      <c r="AB280" t="n">
        <v>0.0</v>
      </c>
      <c r="AC280" t="n">
        <v>0.0</v>
      </c>
      <c r="AD280" t="n">
        <v>0.0</v>
      </c>
      <c r="AE280" t="n">
        <v>0.0</v>
      </c>
      <c r="AF280" t="n">
        <v>0.0</v>
      </c>
      <c r="AG280" t="n">
        <v>0.0</v>
      </c>
      <c r="AH280" t="n">
        <v>0.0</v>
      </c>
      <c r="AI280" t="n">
        <v>0.0</v>
      </c>
      <c r="AJ280" t="n">
        <v>0.0</v>
      </c>
      <c r="AK280" t="n">
        <v>0.0</v>
      </c>
      <c r="AL280" t="n">
        <v>0.0</v>
      </c>
      <c r="AM280" t="n">
        <v>0.0</v>
      </c>
      <c r="AN280" t="n">
        <v>0.0</v>
      </c>
      <c r="AO280" t="n">
        <v>0.0</v>
      </c>
      <c r="AP280" t="n">
        <v>0.0</v>
      </c>
      <c r="AQ280" t="n">
        <v>0.0</v>
      </c>
      <c r="CH280">
        <f>IFERROR(U280*1,0)</f>
      </c>
    </row>
    <row r="283">
      <c r="A283" t="n">
        <v>5.0</v>
      </c>
      <c r="B283">
        <f>IF((K283-G283-H283&gt;2400000),10,(L283/(K283-G283-H283)*100))</f>
      </c>
      <c r="C283">
        <f>IF(N283&gt;2400000,240000,(N283*S283)/100)</f>
      </c>
      <c r="D283">
        <f>IF(S283=0,0,IF((N283-I283)&gt;2400000,((((((N283-I283-J283)-240000))*0.1+(I283+J283)*0.1)))-7000,((((((N283-I283-J283)-(N283-I283-J283)*S283/100)))*0.1+(I283+J283)*0.1)-7000)))</f>
      </c>
      <c r="E283">
        <f>C283-O283</f>
      </c>
      <c r="F283">
        <f>D283-P283</f>
      </c>
      <c r="G283">
        <f>SUMIF(negtgel!U$2:BL$2,'Tsalin uzuulelt'!B$1,negtgel!U283:BL283) + SUMIF(negtgel!U$2:BL$2,'Tsalin uzuulelt'!B$2,negtgel!U283:BL283)+SUMIF(negtgel!U$2:BL$2,'Tsalin uzuulelt'!B$3,negtgel!U283:BL283)+SUMIF(negtgel!U$2:BL$2,'Tsalin uzuulelt'!B$4,negtgel!U283:BL283)+SUMIF(negtgel!U$2:BL$2,'Tsalin uzuulelt'!B$5,negtgel!U283:BL283)</f>
      </c>
      <c r="H283">
        <f>SUMIF(negtgel!U$2:BL$2,'Tsalin uzuulelt'!F$1,negtgel!U283:BL283) + SUMIF(negtgel!U$2:BL$2,'Tsalin uzuulelt'!F$2,negtgel!U283:BL283)+SUMIF(negtgel!U$2:BL$2,'Tsalin uzuulelt'!F$3,negtgel!U283:BL283)+SUMIF(negtgel!U$2:BL$2,'Tsalin uzuulelt'!F$4,negtgel!U283:BL283)+SUMIF(negtgel!U$2:BL$2,'Tsalin uzuulelt'!F$5,negtgel!U283:BL283)</f>
      </c>
      <c r="I283">
        <f>SUMIF(negtgel!U$2:BL$2,'Tsalin uzuulelt'!H$1,negtgel!U283:BL283) + SUMIF(negtgel!U$2:BL$2,'Tsalin uzuulelt'!H$2,negtgel!U283:BL283)+SUMIF(negtgel!U$2:BL$2,'Tsalin uzuulelt'!H$3,negtgel!U283:BL283)+SUMIF(negtgel!U$2:BL$2,'Tsalin uzuulelt'!H$4,negtgel!U283:BL283)+SUMIF(negtgel!U$2:BL$2,'Tsalin uzuulelt'!H$5,negtgel!U283:BL283)</f>
      </c>
      <c r="J283">
        <f>SUMIF(negtgel!U$2:BL$2,'Tsalin uzuulelt'!J$1,negtgel!U283:BL283) + SUMIF(negtgel!U$2:BL$2,'Tsalin uzuulelt'!J$2,negtgel!U283:BL283)+SUMIF(negtgel!U$2:BL$2,'Tsalin uzuulelt'!J$3,negtgel!U283:BL283)+SUMIF(negtgel!U$2:BL$2,'Tsalin uzuulelt'!J$4,negtgel!U283:BL283)+SUMIF(negtgel!U$2:BL$2,'Tsalin uzuulelt'!J$5,negtgel!U283:BL283)</f>
      </c>
      <c r="K283">
        <f>SUMIF(negtgel!U$2:BL$2,'Tsalin uzuulelt'!L$1,negtgel!U283:BL283) + SUMIF(negtgel!U$2:BL$2,'Tsalin uzuulelt'!L$2,negtgel!U283:BL283)+SUMIF(negtgel!U$2:BL$2,'Tsalin uzuulelt'!L$3,negtgel!U283:BL283)+SUMIF(negtgel!U$2:BL$2,'Tsalin uzuulelt'!L$4,negtgel!U283:BL283)+SUMIF(negtgel!U$2:BL$2,'Tsalin uzuulelt'!L$5,negtgel!U283:BL283)</f>
      </c>
      <c r="L283">
        <f>SUMIF(negtgel!U$2:BL$2,'Tsalin uzuulelt'!N$1,negtgel!U283:BL283) + SUMIF(negtgel!U$2:BL$2,'Tsalin uzuulelt'!N$2,negtgel!U283:BL283)+SUMIF(negtgel!U$2:BL$2,'Tsalin uzuulelt'!N$3,negtgel!U283:BL283)+SUMIF(negtgel!U$2:BL$2,'Tsalin uzuulelt'!N$4,negtgel!U283:BL283)+SUMIF(negtgel!U$2:BL$2,'Tsalin uzuulelt'!N$5,negtgel!U283:BL283)</f>
      </c>
      <c r="M283">
        <f>SUMIF(negtgel!U$2:BL$2,'Tsalin uzuulelt'!P$1,negtgel!U283:BL283) + SUMIF(negtgel!U$2:BL$2,'Tsalin uzuulelt'!P$2,negtgel!U283:BL283)+ SUMIF(negtgel!U$2:BL$2,'Tsalin uzuulelt'!P$3,negtgel!U283:BL283)+ SUMIF(negtgel!U$2:BL$2,'Tsalin uzuulelt'!P$4,negtgel!U283:BL283)+ SUMIF(negtgel!U$2:BL$2,'Tsalin uzuulelt'!P$5,negtgel!U283:BL283)</f>
      </c>
      <c r="N283">
        <f>IF(ISNUMBER(U283*1)=CF283,0,K283-H283-G283)</f>
      </c>
      <c r="O283">
        <f>IF(ISNUMBER(U283*1)=CF283,0,L283)</f>
      </c>
      <c r="P283">
        <f>IF(ISNUMBER(U283*1)=CF283,0,M283)</f>
      </c>
      <c r="Q283">
        <f>IF(N283&gt;2400000,N283,0)</f>
      </c>
      <c r="R283">
        <f>IF(L283/Q283*100&lt;3,2,10)</f>
      </c>
      <c r="S283">
        <f>IF(CH283=0,0,IF(B283&gt;9,10,IF(B283&gt;8,B283,IF(B283&gt;7.7,7.8,IF(B283&gt;3,B283,IF(B283&gt;1.5,2))))))</f>
      </c>
      <c r="T283">
        <f>IF(Q283=0,S283,R283)</f>
      </c>
      <c r="U283" t="s">
        <v>3781</v>
      </c>
      <c r="V283"/>
      <c r="W283"/>
      <c r="X283"/>
      <c r="Y283"/>
      <c r="Z283"/>
      <c r="AA283"/>
      <c r="AB283"/>
      <c r="AC283"/>
      <c r="AD283"/>
      <c r="AE283"/>
      <c r="AF283"/>
      <c r="AG283"/>
      <c r="AH283"/>
      <c r="AI283"/>
      <c r="AJ283"/>
      <c r="AK283"/>
      <c r="AL283"/>
      <c r="AM283"/>
      <c r="AN283"/>
      <c r="AO283"/>
      <c r="AP283"/>
      <c r="AQ283"/>
      <c r="CH283">
        <f>IFERROR(U283*1,0)</f>
      </c>
    </row>
    <row r="284">
      <c r="A284" t="n">
        <v>5.0</v>
      </c>
      <c r="B284">
        <f>IF((K284-G284-H284&gt;2400000),10,(L284/(K284-G284-H284)*100))</f>
      </c>
      <c r="C284">
        <f>IF(N284&gt;2400000,240000,(N284*S284)/100)</f>
      </c>
      <c r="D284">
        <f>IF(S284=0,0,IF((N284-I284)&gt;2400000,((((((N284-I284-J284)-240000))*0.1+(I284+J284)*0.1)))-7000,((((((N284-I284-J284)-(N284-I284-J284)*S284/100)))*0.1+(I284+J284)*0.1)-7000)))</f>
      </c>
      <c r="E284">
        <f>C284-O284</f>
      </c>
      <c r="F284">
        <f>D284-P284</f>
      </c>
      <c r="G284">
        <f>SUMIF(negtgel!U$2:BL$2,'Tsalin uzuulelt'!B$1,negtgel!U284:BL284) + SUMIF(negtgel!U$2:BL$2,'Tsalin uzuulelt'!B$2,negtgel!U284:BL284)+SUMIF(negtgel!U$2:BL$2,'Tsalin uzuulelt'!B$3,negtgel!U284:BL284)+SUMIF(negtgel!U$2:BL$2,'Tsalin uzuulelt'!B$4,negtgel!U284:BL284)+SUMIF(negtgel!U$2:BL$2,'Tsalin uzuulelt'!B$5,negtgel!U284:BL284)</f>
      </c>
      <c r="H284">
        <f>SUMIF(negtgel!U$2:BL$2,'Tsalin uzuulelt'!F$1,negtgel!U284:BL284) + SUMIF(negtgel!U$2:BL$2,'Tsalin uzuulelt'!F$2,negtgel!U284:BL284)+SUMIF(negtgel!U$2:BL$2,'Tsalin uzuulelt'!F$3,negtgel!U284:BL284)+SUMIF(negtgel!U$2:BL$2,'Tsalin uzuulelt'!F$4,negtgel!U284:BL284)+SUMIF(negtgel!U$2:BL$2,'Tsalin uzuulelt'!F$5,negtgel!U284:BL284)</f>
      </c>
      <c r="I284">
        <f>SUMIF(negtgel!U$2:BL$2,'Tsalin uzuulelt'!H$1,negtgel!U284:BL284) + SUMIF(negtgel!U$2:BL$2,'Tsalin uzuulelt'!H$2,negtgel!U284:BL284)+SUMIF(negtgel!U$2:BL$2,'Tsalin uzuulelt'!H$3,negtgel!U284:BL284)+SUMIF(negtgel!U$2:BL$2,'Tsalin uzuulelt'!H$4,negtgel!U284:BL284)+SUMIF(negtgel!U$2:BL$2,'Tsalin uzuulelt'!H$5,negtgel!U284:BL284)</f>
      </c>
      <c r="J284">
        <f>SUMIF(negtgel!U$2:BL$2,'Tsalin uzuulelt'!J$1,negtgel!U284:BL284) + SUMIF(negtgel!U$2:BL$2,'Tsalin uzuulelt'!J$2,negtgel!U284:BL284)+SUMIF(negtgel!U$2:BL$2,'Tsalin uzuulelt'!J$3,negtgel!U284:BL284)+SUMIF(negtgel!U$2:BL$2,'Tsalin uzuulelt'!J$4,negtgel!U284:BL284)+SUMIF(negtgel!U$2:BL$2,'Tsalin uzuulelt'!J$5,negtgel!U284:BL284)</f>
      </c>
      <c r="K284">
        <f>SUMIF(negtgel!U$2:BL$2,'Tsalin uzuulelt'!L$1,negtgel!U284:BL284) + SUMIF(negtgel!U$2:BL$2,'Tsalin uzuulelt'!L$2,negtgel!U284:BL284)+SUMIF(negtgel!U$2:BL$2,'Tsalin uzuulelt'!L$3,negtgel!U284:BL284)+SUMIF(negtgel!U$2:BL$2,'Tsalin uzuulelt'!L$4,negtgel!U284:BL284)+SUMIF(negtgel!U$2:BL$2,'Tsalin uzuulelt'!L$5,negtgel!U284:BL284)</f>
      </c>
      <c r="L284">
        <f>SUMIF(negtgel!U$2:BL$2,'Tsalin uzuulelt'!N$1,negtgel!U284:BL284) + SUMIF(negtgel!U$2:BL$2,'Tsalin uzuulelt'!N$2,negtgel!U284:BL284)+SUMIF(negtgel!U$2:BL$2,'Tsalin uzuulelt'!N$3,negtgel!U284:BL284)+SUMIF(negtgel!U$2:BL$2,'Tsalin uzuulelt'!N$4,negtgel!U284:BL284)+SUMIF(negtgel!U$2:BL$2,'Tsalin uzuulelt'!N$5,negtgel!U284:BL284)</f>
      </c>
      <c r="M284">
        <f>SUMIF(negtgel!U$2:BL$2,'Tsalin uzuulelt'!P$1,negtgel!U284:BL284) + SUMIF(negtgel!U$2:BL$2,'Tsalin uzuulelt'!P$2,negtgel!U284:BL284)+ SUMIF(negtgel!U$2:BL$2,'Tsalin uzuulelt'!P$3,negtgel!U284:BL284)+ SUMIF(negtgel!U$2:BL$2,'Tsalin uzuulelt'!P$4,negtgel!U284:BL284)+ SUMIF(negtgel!U$2:BL$2,'Tsalin uzuulelt'!P$5,negtgel!U284:BL284)</f>
      </c>
      <c r="N284">
        <f>IF(ISNUMBER(U284*1)=CF284,0,K284-H284-G284)</f>
      </c>
      <c r="O284">
        <f>IF(ISNUMBER(U284*1)=CF284,0,L284)</f>
      </c>
      <c r="P284">
        <f>IF(ISNUMBER(U284*1)=CF284,0,M284)</f>
      </c>
      <c r="Q284">
        <f>IF(N284&gt;2400000,N284,0)</f>
      </c>
      <c r="R284">
        <f>IF(L284/Q284*100&lt;3,2,10)</f>
      </c>
      <c r="S284">
        <f>IF(CH284=0,0,IF(B284&gt;9,10,IF(B284&gt;8,B284,IF(B284&gt;7.7,7.8,IF(B284&gt;3,B284,IF(B284&gt;1.5,2))))))</f>
      </c>
      <c r="T284">
        <f>IF(Q284=0,S284,R284)</f>
      </c>
      <c r="U284" t="n">
        <v>20.0</v>
      </c>
      <c r="V284" t="s">
        <v>3782</v>
      </c>
      <c r="W284" t="s">
        <v>3783</v>
      </c>
      <c r="X284" t="n">
        <v>864211.0</v>
      </c>
      <c r="Y284" t="n">
        <v>864211.0</v>
      </c>
      <c r="Z284" t="n">
        <v>216053.0</v>
      </c>
      <c r="AA284" t="n">
        <v>216053.0</v>
      </c>
      <c r="AB284" t="n">
        <v>0.0</v>
      </c>
      <c r="AC284" t="n">
        <v>0.0</v>
      </c>
      <c r="AD284" t="n">
        <v>0.0</v>
      </c>
      <c r="AE284" t="n">
        <v>0.0</v>
      </c>
      <c r="AF284" t="n">
        <v>69000.0</v>
      </c>
      <c r="AG284" t="n">
        <v>0.0</v>
      </c>
      <c r="AH284" t="n">
        <v>0.0</v>
      </c>
      <c r="AI284" t="n">
        <v>0.0</v>
      </c>
      <c r="AJ284" t="n">
        <v>0.0</v>
      </c>
      <c r="AK284" t="n">
        <v>0.0</v>
      </c>
      <c r="AL284" t="n">
        <v>0.0</v>
      </c>
      <c r="AM284" t="n">
        <v>0.0</v>
      </c>
      <c r="AN284" t="n">
        <v>0.0</v>
      </c>
      <c r="AO284" t="n">
        <v>1365317.0</v>
      </c>
      <c r="AP284" t="n">
        <v>136532.0</v>
      </c>
      <c r="AQ284" t="n">
        <v>116568.5</v>
      </c>
      <c r="CH284">
        <f>IFERROR(U284*1,0)</f>
      </c>
    </row>
    <row r="285">
      <c r="A285" t="n">
        <v>5.0</v>
      </c>
      <c r="B285">
        <f>IF((K285-G285-H285&gt;2400000),10,(L285/(K285-G285-H285)*100))</f>
      </c>
      <c r="C285">
        <f>IF(N285&gt;2400000,240000,(N285*S285)/100)</f>
      </c>
      <c r="D285">
        <f>IF(S285=0,0,IF((N285-I285)&gt;2400000,((((((N285-I285-J285)-240000))*0.1+(I285+J285)*0.1)))-7000,((((((N285-I285-J285)-(N285-I285-J285)*S285/100)))*0.1+(I285+J285)*0.1)-7000)))</f>
      </c>
      <c r="E285">
        <f>C285-O285</f>
      </c>
      <c r="F285">
        <f>D285-P285</f>
      </c>
      <c r="G285">
        <f>SUMIF(negtgel!U$2:BL$2,'Tsalin uzuulelt'!B$1,negtgel!U285:BL285) + SUMIF(negtgel!U$2:BL$2,'Tsalin uzuulelt'!B$2,negtgel!U285:BL285)+SUMIF(negtgel!U$2:BL$2,'Tsalin uzuulelt'!B$3,negtgel!U285:BL285)+SUMIF(negtgel!U$2:BL$2,'Tsalin uzuulelt'!B$4,negtgel!U285:BL285)+SUMIF(negtgel!U$2:BL$2,'Tsalin uzuulelt'!B$5,negtgel!U285:BL285)</f>
      </c>
      <c r="H285">
        <f>SUMIF(negtgel!U$2:BL$2,'Tsalin uzuulelt'!F$1,negtgel!U285:BL285) + SUMIF(negtgel!U$2:BL$2,'Tsalin uzuulelt'!F$2,negtgel!U285:BL285)+SUMIF(negtgel!U$2:BL$2,'Tsalin uzuulelt'!F$3,negtgel!U285:BL285)+SUMIF(negtgel!U$2:BL$2,'Tsalin uzuulelt'!F$4,negtgel!U285:BL285)+SUMIF(negtgel!U$2:BL$2,'Tsalin uzuulelt'!F$5,negtgel!U285:BL285)</f>
      </c>
      <c r="I285">
        <f>SUMIF(negtgel!U$2:BL$2,'Tsalin uzuulelt'!H$1,negtgel!U285:BL285) + SUMIF(negtgel!U$2:BL$2,'Tsalin uzuulelt'!H$2,negtgel!U285:BL285)+SUMIF(negtgel!U$2:BL$2,'Tsalin uzuulelt'!H$3,negtgel!U285:BL285)+SUMIF(negtgel!U$2:BL$2,'Tsalin uzuulelt'!H$4,negtgel!U285:BL285)+SUMIF(negtgel!U$2:BL$2,'Tsalin uzuulelt'!H$5,negtgel!U285:BL285)</f>
      </c>
      <c r="J285">
        <f>SUMIF(negtgel!U$2:BL$2,'Tsalin uzuulelt'!J$1,negtgel!U285:BL285) + SUMIF(negtgel!U$2:BL$2,'Tsalin uzuulelt'!J$2,negtgel!U285:BL285)+SUMIF(negtgel!U$2:BL$2,'Tsalin uzuulelt'!J$3,negtgel!U285:BL285)+SUMIF(negtgel!U$2:BL$2,'Tsalin uzuulelt'!J$4,negtgel!U285:BL285)+SUMIF(negtgel!U$2:BL$2,'Tsalin uzuulelt'!J$5,negtgel!U285:BL285)</f>
      </c>
      <c r="K285">
        <f>SUMIF(negtgel!U$2:BL$2,'Tsalin uzuulelt'!L$1,negtgel!U285:BL285) + SUMIF(negtgel!U$2:BL$2,'Tsalin uzuulelt'!L$2,negtgel!U285:BL285)+SUMIF(negtgel!U$2:BL$2,'Tsalin uzuulelt'!L$3,negtgel!U285:BL285)+SUMIF(negtgel!U$2:BL$2,'Tsalin uzuulelt'!L$4,negtgel!U285:BL285)+SUMIF(negtgel!U$2:BL$2,'Tsalin uzuulelt'!L$5,negtgel!U285:BL285)</f>
      </c>
      <c r="L285">
        <f>SUMIF(negtgel!U$2:BL$2,'Tsalin uzuulelt'!N$1,negtgel!U285:BL285) + SUMIF(negtgel!U$2:BL$2,'Tsalin uzuulelt'!N$2,negtgel!U285:BL285)+SUMIF(negtgel!U$2:BL$2,'Tsalin uzuulelt'!N$3,negtgel!U285:BL285)+SUMIF(negtgel!U$2:BL$2,'Tsalin uzuulelt'!N$4,negtgel!U285:BL285)+SUMIF(negtgel!U$2:BL$2,'Tsalin uzuulelt'!N$5,negtgel!U285:BL285)</f>
      </c>
      <c r="M285">
        <f>SUMIF(negtgel!U$2:BL$2,'Tsalin uzuulelt'!P$1,negtgel!U285:BL285) + SUMIF(negtgel!U$2:BL$2,'Tsalin uzuulelt'!P$2,negtgel!U285:BL285)+ SUMIF(negtgel!U$2:BL$2,'Tsalin uzuulelt'!P$3,negtgel!U285:BL285)+ SUMIF(negtgel!U$2:BL$2,'Tsalin uzuulelt'!P$4,negtgel!U285:BL285)+ SUMIF(negtgel!U$2:BL$2,'Tsalin uzuulelt'!P$5,negtgel!U285:BL285)</f>
      </c>
      <c r="N285">
        <f>IF(ISNUMBER(U285*1)=CF285,0,K285-H285-G285)</f>
      </c>
      <c r="O285">
        <f>IF(ISNUMBER(U285*1)=CF285,0,L285)</f>
      </c>
      <c r="P285">
        <f>IF(ISNUMBER(U285*1)=CF285,0,M285)</f>
      </c>
      <c r="Q285">
        <f>IF(N285&gt;2400000,N285,0)</f>
      </c>
      <c r="R285">
        <f>IF(L285/Q285*100&lt;3,2,10)</f>
      </c>
      <c r="S285">
        <f>IF(CH285=0,0,IF(B285&gt;9,10,IF(B285&gt;8,B285,IF(B285&gt;7.7,7.8,IF(B285&gt;3,B285,IF(B285&gt;1.5,2))))))</f>
      </c>
      <c r="T285">
        <f>IF(Q285=0,S285,R285)</f>
      </c>
      <c r="U285" t="n">
        <v>21.0</v>
      </c>
      <c r="V285" t="s">
        <v>3784</v>
      </c>
      <c r="W285" t="s">
        <v>3785</v>
      </c>
      <c r="X285" t="n">
        <v>757359.0</v>
      </c>
      <c r="Y285" t="n">
        <v>757359.0</v>
      </c>
      <c r="Z285" t="n">
        <v>113604.0</v>
      </c>
      <c r="AA285" t="n">
        <v>166619.0</v>
      </c>
      <c r="AB285" t="n">
        <v>0.0</v>
      </c>
      <c r="AC285" t="n">
        <v>113604.0</v>
      </c>
      <c r="AD285" t="n">
        <v>0.0</v>
      </c>
      <c r="AE285" t="n">
        <v>0.0</v>
      </c>
      <c r="AF285" t="n">
        <v>69000.0</v>
      </c>
      <c r="AG285" t="n">
        <v>0.0</v>
      </c>
      <c r="AH285" t="n">
        <v>0.0</v>
      </c>
      <c r="AI285" t="n">
        <v>0.0</v>
      </c>
      <c r="AJ285" t="n">
        <v>0.0</v>
      </c>
      <c r="AK285" t="n">
        <v>0.0</v>
      </c>
      <c r="AL285" t="n">
        <v>0.0</v>
      </c>
      <c r="AM285" t="n">
        <v>0.0</v>
      </c>
      <c r="AN285" t="n">
        <v>0.0</v>
      </c>
      <c r="AO285" t="n">
        <v>1220186.0</v>
      </c>
      <c r="AP285" t="n">
        <v>122018.0</v>
      </c>
      <c r="AQ285" t="n">
        <v>103506.7</v>
      </c>
      <c r="CH285">
        <f>IFERROR(U285*1,0)</f>
      </c>
    </row>
    <row r="286">
      <c r="A286" t="n">
        <v>5.0</v>
      </c>
      <c r="B286">
        <f>IF((K286-G286-H286&gt;2400000),10,(L286/(K286-G286-H286)*100))</f>
      </c>
      <c r="C286">
        <f>IF(N286&gt;2400000,240000,(N286*S286)/100)</f>
      </c>
      <c r="D286">
        <f>IF(S286=0,0,IF((N286-I286)&gt;2400000,((((((N286-I286-J286)-240000))*0.1+(I286+J286)*0.1)))-7000,((((((N286-I286-J286)-(N286-I286-J286)*S286/100)))*0.1+(I286+J286)*0.1)-7000)))</f>
      </c>
      <c r="E286">
        <f>C286-O286</f>
      </c>
      <c r="F286">
        <f>D286-P286</f>
      </c>
      <c r="G286">
        <f>SUMIF(negtgel!U$2:BL$2,'Tsalin uzuulelt'!B$1,negtgel!U286:BL286) + SUMIF(negtgel!U$2:BL$2,'Tsalin uzuulelt'!B$2,negtgel!U286:BL286)+SUMIF(negtgel!U$2:BL$2,'Tsalin uzuulelt'!B$3,negtgel!U286:BL286)+SUMIF(negtgel!U$2:BL$2,'Tsalin uzuulelt'!B$4,negtgel!U286:BL286)+SUMIF(negtgel!U$2:BL$2,'Tsalin uzuulelt'!B$5,negtgel!U286:BL286)</f>
      </c>
      <c r="H286">
        <f>SUMIF(negtgel!U$2:BL$2,'Tsalin uzuulelt'!F$1,negtgel!U286:BL286) + SUMIF(negtgel!U$2:BL$2,'Tsalin uzuulelt'!F$2,negtgel!U286:BL286)+SUMIF(negtgel!U$2:BL$2,'Tsalin uzuulelt'!F$3,negtgel!U286:BL286)+SUMIF(negtgel!U$2:BL$2,'Tsalin uzuulelt'!F$4,negtgel!U286:BL286)+SUMIF(negtgel!U$2:BL$2,'Tsalin uzuulelt'!F$5,negtgel!U286:BL286)</f>
      </c>
      <c r="I286">
        <f>SUMIF(negtgel!U$2:BL$2,'Tsalin uzuulelt'!H$1,negtgel!U286:BL286) + SUMIF(negtgel!U$2:BL$2,'Tsalin uzuulelt'!H$2,negtgel!U286:BL286)+SUMIF(negtgel!U$2:BL$2,'Tsalin uzuulelt'!H$3,negtgel!U286:BL286)+SUMIF(negtgel!U$2:BL$2,'Tsalin uzuulelt'!H$4,negtgel!U286:BL286)+SUMIF(negtgel!U$2:BL$2,'Tsalin uzuulelt'!H$5,negtgel!U286:BL286)</f>
      </c>
      <c r="J286">
        <f>SUMIF(negtgel!U$2:BL$2,'Tsalin uzuulelt'!J$1,negtgel!U286:BL286) + SUMIF(negtgel!U$2:BL$2,'Tsalin uzuulelt'!J$2,negtgel!U286:BL286)+SUMIF(negtgel!U$2:BL$2,'Tsalin uzuulelt'!J$3,negtgel!U286:BL286)+SUMIF(negtgel!U$2:BL$2,'Tsalin uzuulelt'!J$4,negtgel!U286:BL286)+SUMIF(negtgel!U$2:BL$2,'Tsalin uzuulelt'!J$5,negtgel!U286:BL286)</f>
      </c>
      <c r="K286">
        <f>SUMIF(negtgel!U$2:BL$2,'Tsalin uzuulelt'!L$1,negtgel!U286:BL286) + SUMIF(negtgel!U$2:BL$2,'Tsalin uzuulelt'!L$2,negtgel!U286:BL286)+SUMIF(negtgel!U$2:BL$2,'Tsalin uzuulelt'!L$3,negtgel!U286:BL286)+SUMIF(negtgel!U$2:BL$2,'Tsalin uzuulelt'!L$4,negtgel!U286:BL286)+SUMIF(negtgel!U$2:BL$2,'Tsalin uzuulelt'!L$5,negtgel!U286:BL286)</f>
      </c>
      <c r="L286">
        <f>SUMIF(negtgel!U$2:BL$2,'Tsalin uzuulelt'!N$1,negtgel!U286:BL286) + SUMIF(negtgel!U$2:BL$2,'Tsalin uzuulelt'!N$2,negtgel!U286:BL286)+SUMIF(negtgel!U$2:BL$2,'Tsalin uzuulelt'!N$3,negtgel!U286:BL286)+SUMIF(negtgel!U$2:BL$2,'Tsalin uzuulelt'!N$4,negtgel!U286:BL286)+SUMIF(negtgel!U$2:BL$2,'Tsalin uzuulelt'!N$5,negtgel!U286:BL286)</f>
      </c>
      <c r="M286">
        <f>SUMIF(negtgel!U$2:BL$2,'Tsalin uzuulelt'!P$1,negtgel!U286:BL286) + SUMIF(negtgel!U$2:BL$2,'Tsalin uzuulelt'!P$2,negtgel!U286:BL286)+ SUMIF(negtgel!U$2:BL$2,'Tsalin uzuulelt'!P$3,negtgel!U286:BL286)+ SUMIF(negtgel!U$2:BL$2,'Tsalin uzuulelt'!P$4,negtgel!U286:BL286)+ SUMIF(negtgel!U$2:BL$2,'Tsalin uzuulelt'!P$5,negtgel!U286:BL286)</f>
      </c>
      <c r="N286">
        <f>IF(ISNUMBER(U286*1)=CF286,0,K286-H286-G286)</f>
      </c>
      <c r="O286">
        <f>IF(ISNUMBER(U286*1)=CF286,0,L286)</f>
      </c>
      <c r="P286">
        <f>IF(ISNUMBER(U286*1)=CF286,0,M286)</f>
      </c>
      <c r="Q286">
        <f>IF(N286&gt;2400000,N286,0)</f>
      </c>
      <c r="R286">
        <f>IF(L286/Q286*100&lt;3,2,10)</f>
      </c>
      <c r="S286">
        <f>IF(CH286=0,0,IF(B286&gt;9,10,IF(B286&gt;8,B286,IF(B286&gt;7.7,7.8,IF(B286&gt;3,B286,IF(B286&gt;1.5,2))))))</f>
      </c>
      <c r="T286">
        <f>IF(Q286=0,S286,R286)</f>
      </c>
      <c r="U286" t="n">
        <v>22.0</v>
      </c>
      <c r="V286" t="s">
        <v>3864</v>
      </c>
      <c r="W286" t="s">
        <v>3865</v>
      </c>
      <c r="X286" t="n">
        <v>371016.0</v>
      </c>
      <c r="Y286" t="n">
        <v>371016.0</v>
      </c>
      <c r="Z286" t="n">
        <v>0.0</v>
      </c>
      <c r="AA286" t="n">
        <v>0.0</v>
      </c>
      <c r="AB286" t="n">
        <v>0.0</v>
      </c>
      <c r="AC286" t="n">
        <v>0.0</v>
      </c>
      <c r="AD286" t="n">
        <v>0.0</v>
      </c>
      <c r="AE286" t="n">
        <v>0.0</v>
      </c>
      <c r="AF286" t="n">
        <v>69000.0</v>
      </c>
      <c r="AG286" t="n">
        <v>0.0</v>
      </c>
      <c r="AH286" t="n">
        <v>0.0</v>
      </c>
      <c r="AI286" t="n">
        <v>0.0</v>
      </c>
      <c r="AJ286" t="n">
        <v>0.0</v>
      </c>
      <c r="AK286" t="n">
        <v>0.0</v>
      </c>
      <c r="AL286" t="n">
        <v>0.0</v>
      </c>
      <c r="AM286" t="n">
        <v>0.0</v>
      </c>
      <c r="AN286" t="n">
        <v>0.0</v>
      </c>
      <c r="AO286" t="n">
        <v>440016.0</v>
      </c>
      <c r="AP286" t="n">
        <v>44001.0</v>
      </c>
      <c r="AQ286" t="n">
        <v>33291.4</v>
      </c>
      <c r="CH286">
        <f>IFERROR(U286*1,0)</f>
      </c>
    </row>
    <row r="287">
      <c r="A287" t="n">
        <v>5.0</v>
      </c>
      <c r="B287">
        <f>IF((K287-G287-H287&gt;2400000),10,(L287/(K287-G287-H287)*100))</f>
      </c>
      <c r="C287">
        <f>IF(N287&gt;2400000,240000,(N287*S287)/100)</f>
      </c>
      <c r="D287">
        <f>IF(S287=0,0,IF((N287-I287)&gt;2400000,((((((N287-I287-J287)-240000))*0.1+(I287+J287)*0.1)))-7000,((((((N287-I287-J287)-(N287-I287-J287)*S287/100)))*0.1+(I287+J287)*0.1)-7000)))</f>
      </c>
      <c r="E287">
        <f>C287-O287</f>
      </c>
      <c r="F287">
        <f>D287-P287</f>
      </c>
      <c r="G287">
        <f>SUMIF(negtgel!U$2:BL$2,'Tsalin uzuulelt'!B$1,negtgel!U287:BL287) + SUMIF(negtgel!U$2:BL$2,'Tsalin uzuulelt'!B$2,negtgel!U287:BL287)+SUMIF(negtgel!U$2:BL$2,'Tsalin uzuulelt'!B$3,negtgel!U287:BL287)+SUMIF(negtgel!U$2:BL$2,'Tsalin uzuulelt'!B$4,negtgel!U287:BL287)+SUMIF(negtgel!U$2:BL$2,'Tsalin uzuulelt'!B$5,negtgel!U287:BL287)</f>
      </c>
      <c r="H287">
        <f>SUMIF(negtgel!U$2:BL$2,'Tsalin uzuulelt'!F$1,negtgel!U287:BL287) + SUMIF(negtgel!U$2:BL$2,'Tsalin uzuulelt'!F$2,negtgel!U287:BL287)+SUMIF(negtgel!U$2:BL$2,'Tsalin uzuulelt'!F$3,negtgel!U287:BL287)+SUMIF(negtgel!U$2:BL$2,'Tsalin uzuulelt'!F$4,negtgel!U287:BL287)+SUMIF(negtgel!U$2:BL$2,'Tsalin uzuulelt'!F$5,negtgel!U287:BL287)</f>
      </c>
      <c r="I287">
        <f>SUMIF(negtgel!U$2:BL$2,'Tsalin uzuulelt'!H$1,negtgel!U287:BL287) + SUMIF(negtgel!U$2:BL$2,'Tsalin uzuulelt'!H$2,negtgel!U287:BL287)+SUMIF(negtgel!U$2:BL$2,'Tsalin uzuulelt'!H$3,negtgel!U287:BL287)+SUMIF(negtgel!U$2:BL$2,'Tsalin uzuulelt'!H$4,negtgel!U287:BL287)+SUMIF(negtgel!U$2:BL$2,'Tsalin uzuulelt'!H$5,negtgel!U287:BL287)</f>
      </c>
      <c r="J287">
        <f>SUMIF(negtgel!U$2:BL$2,'Tsalin uzuulelt'!J$1,negtgel!U287:BL287) + SUMIF(negtgel!U$2:BL$2,'Tsalin uzuulelt'!J$2,negtgel!U287:BL287)+SUMIF(negtgel!U$2:BL$2,'Tsalin uzuulelt'!J$3,negtgel!U287:BL287)+SUMIF(negtgel!U$2:BL$2,'Tsalin uzuulelt'!J$4,negtgel!U287:BL287)+SUMIF(negtgel!U$2:BL$2,'Tsalin uzuulelt'!J$5,negtgel!U287:BL287)</f>
      </c>
      <c r="K287">
        <f>SUMIF(negtgel!U$2:BL$2,'Tsalin uzuulelt'!L$1,negtgel!U287:BL287) + SUMIF(negtgel!U$2:BL$2,'Tsalin uzuulelt'!L$2,negtgel!U287:BL287)+SUMIF(negtgel!U$2:BL$2,'Tsalin uzuulelt'!L$3,negtgel!U287:BL287)+SUMIF(negtgel!U$2:BL$2,'Tsalin uzuulelt'!L$4,negtgel!U287:BL287)+SUMIF(negtgel!U$2:BL$2,'Tsalin uzuulelt'!L$5,negtgel!U287:BL287)</f>
      </c>
      <c r="L287">
        <f>SUMIF(negtgel!U$2:BL$2,'Tsalin uzuulelt'!N$1,negtgel!U287:BL287) + SUMIF(negtgel!U$2:BL$2,'Tsalin uzuulelt'!N$2,negtgel!U287:BL287)+SUMIF(negtgel!U$2:BL$2,'Tsalin uzuulelt'!N$3,negtgel!U287:BL287)+SUMIF(negtgel!U$2:BL$2,'Tsalin uzuulelt'!N$4,negtgel!U287:BL287)+SUMIF(negtgel!U$2:BL$2,'Tsalin uzuulelt'!N$5,negtgel!U287:BL287)</f>
      </c>
      <c r="M287">
        <f>SUMIF(negtgel!U$2:BL$2,'Tsalin uzuulelt'!P$1,negtgel!U287:BL287) + SUMIF(negtgel!U$2:BL$2,'Tsalin uzuulelt'!P$2,negtgel!U287:BL287)+ SUMIF(negtgel!U$2:BL$2,'Tsalin uzuulelt'!P$3,negtgel!U287:BL287)+ SUMIF(negtgel!U$2:BL$2,'Tsalin uzuulelt'!P$4,negtgel!U287:BL287)+ SUMIF(negtgel!U$2:BL$2,'Tsalin uzuulelt'!P$5,negtgel!U287:BL287)</f>
      </c>
      <c r="N287">
        <f>IF(ISNUMBER(U287*1)=CF287,0,K287-H287-G287)</f>
      </c>
      <c r="O287">
        <f>IF(ISNUMBER(U287*1)=CF287,0,L287)</f>
      </c>
      <c r="P287">
        <f>IF(ISNUMBER(U287*1)=CF287,0,M287)</f>
      </c>
      <c r="Q287">
        <f>IF(N287&gt;2400000,N287,0)</f>
      </c>
      <c r="R287">
        <f>IF(L287/Q287*100&lt;3,2,10)</f>
      </c>
      <c r="S287">
        <f>IF(CH287=0,0,IF(B287&gt;9,10,IF(B287&gt;8,B287,IF(B287&gt;7.7,7.8,IF(B287&gt;3,B287,IF(B287&gt;1.5,2))))))</f>
      </c>
      <c r="T287">
        <f>IF(Q287=0,S287,R287)</f>
      </c>
      <c r="U287" t="n">
        <v>23.0</v>
      </c>
      <c r="V287" t="s">
        <v>3861</v>
      </c>
      <c r="W287" t="s">
        <v>3790</v>
      </c>
      <c r="X287" t="n">
        <v>645556.0</v>
      </c>
      <c r="Y287" t="n">
        <v>645556.0</v>
      </c>
      <c r="Z287" t="n">
        <v>96833.0</v>
      </c>
      <c r="AA287" t="n">
        <v>129111.0</v>
      </c>
      <c r="AB287" t="n">
        <v>0.0</v>
      </c>
      <c r="AC287" t="n">
        <v>96833.0</v>
      </c>
      <c r="AD287" t="n">
        <v>0.0</v>
      </c>
      <c r="AE287" t="n">
        <v>0.0</v>
      </c>
      <c r="AF287" t="n">
        <v>69000.0</v>
      </c>
      <c r="AG287" t="n">
        <v>0.0</v>
      </c>
      <c r="AH287" t="n">
        <v>0.0</v>
      </c>
      <c r="AI287" t="n">
        <v>0.0</v>
      </c>
      <c r="AJ287" t="n">
        <v>0.0</v>
      </c>
      <c r="AK287" t="n">
        <v>0.0</v>
      </c>
      <c r="AL287" t="n">
        <v>0.0</v>
      </c>
      <c r="AM287" t="n">
        <v>0.0</v>
      </c>
      <c r="AN287" t="n">
        <v>0.0</v>
      </c>
      <c r="AO287" t="n">
        <v>1037333.0</v>
      </c>
      <c r="AP287" t="n">
        <v>103734.0</v>
      </c>
      <c r="AQ287" t="n">
        <v>87050.0</v>
      </c>
      <c r="CH287">
        <f>IFERROR(U287*1,0)</f>
      </c>
    </row>
    <row r="288">
      <c r="A288" t="n">
        <v>5.0</v>
      </c>
      <c r="B288">
        <f>IF((K288-G288-H288&gt;2400000),10,(L288/(K288-G288-H288)*100))</f>
      </c>
      <c r="C288">
        <f>IF(N288&gt;2400000,240000,(N288*S288)/100)</f>
      </c>
      <c r="D288">
        <f>IF(S288=0,0,IF((N288-I288)&gt;2400000,((((((N288-I288-J288)-240000))*0.1+(I288+J288)*0.1)))-7000,((((((N288-I288-J288)-(N288-I288-J288)*S288/100)))*0.1+(I288+J288)*0.1)-7000)))</f>
      </c>
      <c r="E288">
        <f>C288-O288</f>
      </c>
      <c r="F288">
        <f>D288-P288</f>
      </c>
      <c r="G288">
        <f>SUMIF(negtgel!U$2:BL$2,'Tsalin uzuulelt'!B$1,negtgel!U288:BL288) + SUMIF(negtgel!U$2:BL$2,'Tsalin uzuulelt'!B$2,negtgel!U288:BL288)+SUMIF(negtgel!U$2:BL$2,'Tsalin uzuulelt'!B$3,negtgel!U288:BL288)+SUMIF(negtgel!U$2:BL$2,'Tsalin uzuulelt'!B$4,negtgel!U288:BL288)+SUMIF(negtgel!U$2:BL$2,'Tsalin uzuulelt'!B$5,negtgel!U288:BL288)</f>
      </c>
      <c r="H288">
        <f>SUMIF(negtgel!U$2:BL$2,'Tsalin uzuulelt'!F$1,negtgel!U288:BL288) + SUMIF(negtgel!U$2:BL$2,'Tsalin uzuulelt'!F$2,negtgel!U288:BL288)+SUMIF(negtgel!U$2:BL$2,'Tsalin uzuulelt'!F$3,negtgel!U288:BL288)+SUMIF(negtgel!U$2:BL$2,'Tsalin uzuulelt'!F$4,negtgel!U288:BL288)+SUMIF(negtgel!U$2:BL$2,'Tsalin uzuulelt'!F$5,negtgel!U288:BL288)</f>
      </c>
      <c r="I288">
        <f>SUMIF(negtgel!U$2:BL$2,'Tsalin uzuulelt'!H$1,negtgel!U288:BL288) + SUMIF(negtgel!U$2:BL$2,'Tsalin uzuulelt'!H$2,negtgel!U288:BL288)+SUMIF(negtgel!U$2:BL$2,'Tsalin uzuulelt'!H$3,negtgel!U288:BL288)+SUMIF(negtgel!U$2:BL$2,'Tsalin uzuulelt'!H$4,negtgel!U288:BL288)+SUMIF(negtgel!U$2:BL$2,'Tsalin uzuulelt'!H$5,negtgel!U288:BL288)</f>
      </c>
      <c r="J288">
        <f>SUMIF(negtgel!U$2:BL$2,'Tsalin uzuulelt'!J$1,negtgel!U288:BL288) + SUMIF(negtgel!U$2:BL$2,'Tsalin uzuulelt'!J$2,negtgel!U288:BL288)+SUMIF(negtgel!U$2:BL$2,'Tsalin uzuulelt'!J$3,negtgel!U288:BL288)+SUMIF(negtgel!U$2:BL$2,'Tsalin uzuulelt'!J$4,negtgel!U288:BL288)+SUMIF(negtgel!U$2:BL$2,'Tsalin uzuulelt'!J$5,negtgel!U288:BL288)</f>
      </c>
      <c r="K288">
        <f>SUMIF(negtgel!U$2:BL$2,'Tsalin uzuulelt'!L$1,negtgel!U288:BL288) + SUMIF(negtgel!U$2:BL$2,'Tsalin uzuulelt'!L$2,negtgel!U288:BL288)+SUMIF(negtgel!U$2:BL$2,'Tsalin uzuulelt'!L$3,negtgel!U288:BL288)+SUMIF(negtgel!U$2:BL$2,'Tsalin uzuulelt'!L$4,negtgel!U288:BL288)+SUMIF(negtgel!U$2:BL$2,'Tsalin uzuulelt'!L$5,negtgel!U288:BL288)</f>
      </c>
      <c r="L288">
        <f>SUMIF(negtgel!U$2:BL$2,'Tsalin uzuulelt'!N$1,negtgel!U288:BL288) + SUMIF(negtgel!U$2:BL$2,'Tsalin uzuulelt'!N$2,negtgel!U288:BL288)+SUMIF(negtgel!U$2:BL$2,'Tsalin uzuulelt'!N$3,negtgel!U288:BL288)+SUMIF(negtgel!U$2:BL$2,'Tsalin uzuulelt'!N$4,negtgel!U288:BL288)+SUMIF(negtgel!U$2:BL$2,'Tsalin uzuulelt'!N$5,negtgel!U288:BL288)</f>
      </c>
      <c r="M288">
        <f>SUMIF(negtgel!U$2:BL$2,'Tsalin uzuulelt'!P$1,negtgel!U288:BL288) + SUMIF(negtgel!U$2:BL$2,'Tsalin uzuulelt'!P$2,negtgel!U288:BL288)+ SUMIF(negtgel!U$2:BL$2,'Tsalin uzuulelt'!P$3,negtgel!U288:BL288)+ SUMIF(negtgel!U$2:BL$2,'Tsalin uzuulelt'!P$4,negtgel!U288:BL288)+ SUMIF(negtgel!U$2:BL$2,'Tsalin uzuulelt'!P$5,negtgel!U288:BL288)</f>
      </c>
      <c r="N288">
        <f>IF(ISNUMBER(U288*1)=CF288,0,K288-H288-G288)</f>
      </c>
      <c r="O288">
        <f>IF(ISNUMBER(U288*1)=CF288,0,L288)</f>
      </c>
      <c r="P288">
        <f>IF(ISNUMBER(U288*1)=CF288,0,M288)</f>
      </c>
      <c r="Q288">
        <f>IF(N288&gt;2400000,N288,0)</f>
      </c>
      <c r="R288">
        <f>IF(L288/Q288*100&lt;3,2,10)</f>
      </c>
      <c r="S288">
        <f>IF(CH288=0,0,IF(B288&gt;9,10,IF(B288&gt;8,B288,IF(B288&gt;7.7,7.8,IF(B288&gt;3,B288,IF(B288&gt;1.5,2))))))</f>
      </c>
      <c r="T288">
        <f>IF(Q288=0,S288,R288)</f>
      </c>
      <c r="U288" t="s">
        <v>3787</v>
      </c>
      <c r="V288"/>
      <c r="W288"/>
      <c r="X288" t="n">
        <v>1.317708E7</v>
      </c>
      <c r="Y288" t="n">
        <v>1.1445743E7</v>
      </c>
      <c r="Z288" t="n">
        <v>1383977.0</v>
      </c>
      <c r="AA288" t="n">
        <v>1502562.0</v>
      </c>
      <c r="AB288" t="n">
        <v>561871.0</v>
      </c>
      <c r="AC288" t="n">
        <v>422131.0</v>
      </c>
      <c r="AD288" t="n">
        <v>599727.0</v>
      </c>
      <c r="AE288" t="n">
        <v>211489.0</v>
      </c>
      <c r="AF288" t="n">
        <v>1314000.0</v>
      </c>
      <c r="AG288" t="n">
        <v>0.0</v>
      </c>
      <c r="AH288" t="n">
        <v>0.0</v>
      </c>
      <c r="AI288" t="n">
        <v>0.0</v>
      </c>
      <c r="AJ288" t="n">
        <v>0.0</v>
      </c>
      <c r="AK288" t="n">
        <v>0.0</v>
      </c>
      <c r="AL288" t="n">
        <v>0.0</v>
      </c>
      <c r="AM288" t="n">
        <v>0.0</v>
      </c>
      <c r="AN288" t="n">
        <v>0.0</v>
      </c>
      <c r="AO288" t="n">
        <v>1.7481551E7</v>
      </c>
      <c r="AP288" t="n">
        <v>1748157.0</v>
      </c>
      <c r="AQ288" t="n">
        <v>1450702.4</v>
      </c>
      <c r="CH288">
        <f>IFERROR(U288*1,0)</f>
      </c>
    </row>
    <row r="289">
      <c r="A289" t="n">
        <v>5.0</v>
      </c>
      <c r="B289">
        <f>IF((K289-G289-H289&gt;2400000),10,(L289/(K289-G289-H289)*100))</f>
      </c>
      <c r="C289">
        <f>IF(N289&gt;2400000,240000,(N289*S289)/100)</f>
      </c>
      <c r="D289">
        <f>IF(S289=0,0,IF((N289-I289)&gt;2400000,((((((N289-I289-J289)-240000))*0.1+(I289+J289)*0.1)))-7000,((((((N289-I289-J289)-(N289-I289-J289)*S289/100)))*0.1+(I289+J289)*0.1)-7000)))</f>
      </c>
      <c r="E289">
        <f>C289-O289</f>
      </c>
      <c r="F289">
        <f>D289-P289</f>
      </c>
      <c r="G289">
        <f>SUMIF(negtgel!U$2:BL$2,'Tsalin uzuulelt'!B$1,negtgel!U289:BL289) + SUMIF(negtgel!U$2:BL$2,'Tsalin uzuulelt'!B$2,negtgel!U289:BL289)+SUMIF(negtgel!U$2:BL$2,'Tsalin uzuulelt'!B$3,negtgel!U289:BL289)+SUMIF(negtgel!U$2:BL$2,'Tsalin uzuulelt'!B$4,negtgel!U289:BL289)+SUMIF(negtgel!U$2:BL$2,'Tsalin uzuulelt'!B$5,negtgel!U289:BL289)</f>
      </c>
      <c r="H289">
        <f>SUMIF(negtgel!U$2:BL$2,'Tsalin uzuulelt'!F$1,negtgel!U289:BL289) + SUMIF(negtgel!U$2:BL$2,'Tsalin uzuulelt'!F$2,negtgel!U289:BL289)+SUMIF(negtgel!U$2:BL$2,'Tsalin uzuulelt'!F$3,negtgel!U289:BL289)+SUMIF(negtgel!U$2:BL$2,'Tsalin uzuulelt'!F$4,negtgel!U289:BL289)+SUMIF(negtgel!U$2:BL$2,'Tsalin uzuulelt'!F$5,negtgel!U289:BL289)</f>
      </c>
      <c r="I289">
        <f>SUMIF(negtgel!U$2:BL$2,'Tsalin uzuulelt'!H$1,negtgel!U289:BL289) + SUMIF(negtgel!U$2:BL$2,'Tsalin uzuulelt'!H$2,negtgel!U289:BL289)+SUMIF(negtgel!U$2:BL$2,'Tsalin uzuulelt'!H$3,negtgel!U289:BL289)+SUMIF(negtgel!U$2:BL$2,'Tsalin uzuulelt'!H$4,negtgel!U289:BL289)+SUMIF(negtgel!U$2:BL$2,'Tsalin uzuulelt'!H$5,negtgel!U289:BL289)</f>
      </c>
      <c r="J289">
        <f>SUMIF(negtgel!U$2:BL$2,'Tsalin uzuulelt'!J$1,negtgel!U289:BL289) + SUMIF(negtgel!U$2:BL$2,'Tsalin uzuulelt'!J$2,negtgel!U289:BL289)+SUMIF(negtgel!U$2:BL$2,'Tsalin uzuulelt'!J$3,negtgel!U289:BL289)+SUMIF(negtgel!U$2:BL$2,'Tsalin uzuulelt'!J$4,negtgel!U289:BL289)+SUMIF(negtgel!U$2:BL$2,'Tsalin uzuulelt'!J$5,negtgel!U289:BL289)</f>
      </c>
      <c r="K289">
        <f>SUMIF(negtgel!U$2:BL$2,'Tsalin uzuulelt'!L$1,negtgel!U289:BL289) + SUMIF(negtgel!U$2:BL$2,'Tsalin uzuulelt'!L$2,negtgel!U289:BL289)+SUMIF(negtgel!U$2:BL$2,'Tsalin uzuulelt'!L$3,negtgel!U289:BL289)+SUMIF(negtgel!U$2:BL$2,'Tsalin uzuulelt'!L$4,negtgel!U289:BL289)+SUMIF(negtgel!U$2:BL$2,'Tsalin uzuulelt'!L$5,negtgel!U289:BL289)</f>
      </c>
      <c r="L289">
        <f>SUMIF(negtgel!U$2:BL$2,'Tsalin uzuulelt'!N$1,negtgel!U289:BL289) + SUMIF(negtgel!U$2:BL$2,'Tsalin uzuulelt'!N$2,negtgel!U289:BL289)+SUMIF(negtgel!U$2:BL$2,'Tsalin uzuulelt'!N$3,negtgel!U289:BL289)+SUMIF(negtgel!U$2:BL$2,'Tsalin uzuulelt'!N$4,negtgel!U289:BL289)+SUMIF(negtgel!U$2:BL$2,'Tsalin uzuulelt'!N$5,negtgel!U289:BL289)</f>
      </c>
      <c r="M289">
        <f>SUMIF(negtgel!U$2:BL$2,'Tsalin uzuulelt'!P$1,negtgel!U289:BL289) + SUMIF(negtgel!U$2:BL$2,'Tsalin uzuulelt'!P$2,negtgel!U289:BL289)+ SUMIF(negtgel!U$2:BL$2,'Tsalin uzuulelt'!P$3,negtgel!U289:BL289)+ SUMIF(negtgel!U$2:BL$2,'Tsalin uzuulelt'!P$4,negtgel!U289:BL289)+ SUMIF(negtgel!U$2:BL$2,'Tsalin uzuulelt'!P$5,negtgel!U289:BL289)</f>
      </c>
      <c r="N289">
        <f>IF(ISNUMBER(U289*1)=CF289,0,K289-H289-G289)</f>
      </c>
      <c r="O289">
        <f>IF(ISNUMBER(U289*1)=CF289,0,L289)</f>
      </c>
      <c r="P289">
        <f>IF(ISNUMBER(U289*1)=CF289,0,M289)</f>
      </c>
      <c r="Q289">
        <f>IF(N289&gt;2400000,N289,0)</f>
      </c>
      <c r="R289">
        <f>IF(L289/Q289*100&lt;3,2,10)</f>
      </c>
      <c r="S289">
        <f>IF(CH289=0,0,IF(B289&gt;9,10,IF(B289&gt;8,B289,IF(B289&gt;7.7,7.8,IF(B289&gt;3,B289,IF(B289&gt;1.5,2))))))</f>
      </c>
      <c r="T289">
        <f>IF(Q289=0,S289,R289)</f>
      </c>
      <c r="U289" t="s">
        <v>3788</v>
      </c>
      <c r="V289"/>
      <c r="W289"/>
      <c r="X289"/>
      <c r="Y289"/>
      <c r="Z289"/>
      <c r="AA289"/>
      <c r="AB289"/>
      <c r="AC289"/>
      <c r="AD289"/>
      <c r="AE289"/>
      <c r="AF289"/>
      <c r="AG289"/>
      <c r="AH289"/>
      <c r="AI289"/>
      <c r="AJ289"/>
      <c r="AK289"/>
      <c r="AL289"/>
      <c r="AM289"/>
      <c r="AN289"/>
      <c r="AO289"/>
      <c r="AP289"/>
      <c r="AQ289"/>
      <c r="CH289">
        <f>IFERROR(U289*1,0)</f>
      </c>
    </row>
    <row r="290">
      <c r="A290" t="n">
        <v>5.0</v>
      </c>
      <c r="B290">
        <f>IF((K290-G290-H290&gt;2400000),10,(L290/(K290-G290-H290)*100))</f>
      </c>
      <c r="C290">
        <f>IF(N290&gt;2400000,240000,(N290*S290)/100)</f>
      </c>
      <c r="D290">
        <f>IF(S290=0,0,IF((N290-I290)&gt;2400000,((((((N290-I290-J290)-240000))*0.1+(I290+J290)*0.1)))-7000,((((((N290-I290-J290)-(N290-I290-J290)*S290/100)))*0.1+(I290+J290)*0.1)-7000)))</f>
      </c>
      <c r="E290">
        <f>C290-O290</f>
      </c>
      <c r="F290">
        <f>D290-P290</f>
      </c>
      <c r="G290">
        <f>SUMIF(negtgel!U$2:BL$2,'Tsalin uzuulelt'!B$1,negtgel!U290:BL290) + SUMIF(negtgel!U$2:BL$2,'Tsalin uzuulelt'!B$2,negtgel!U290:BL290)+SUMIF(negtgel!U$2:BL$2,'Tsalin uzuulelt'!B$3,negtgel!U290:BL290)+SUMIF(negtgel!U$2:BL$2,'Tsalin uzuulelt'!B$4,negtgel!U290:BL290)+SUMIF(negtgel!U$2:BL$2,'Tsalin uzuulelt'!B$5,negtgel!U290:BL290)</f>
      </c>
      <c r="H290">
        <f>SUMIF(negtgel!U$2:BL$2,'Tsalin uzuulelt'!F$1,negtgel!U290:BL290) + SUMIF(negtgel!U$2:BL$2,'Tsalin uzuulelt'!F$2,negtgel!U290:BL290)+SUMIF(negtgel!U$2:BL$2,'Tsalin uzuulelt'!F$3,negtgel!U290:BL290)+SUMIF(negtgel!U$2:BL$2,'Tsalin uzuulelt'!F$4,negtgel!U290:BL290)+SUMIF(negtgel!U$2:BL$2,'Tsalin uzuulelt'!F$5,negtgel!U290:BL290)</f>
      </c>
      <c r="I290">
        <f>SUMIF(negtgel!U$2:BL$2,'Tsalin uzuulelt'!H$1,negtgel!U290:BL290) + SUMIF(negtgel!U$2:BL$2,'Tsalin uzuulelt'!H$2,negtgel!U290:BL290)+SUMIF(negtgel!U$2:BL$2,'Tsalin uzuulelt'!H$3,negtgel!U290:BL290)+SUMIF(negtgel!U$2:BL$2,'Tsalin uzuulelt'!H$4,negtgel!U290:BL290)+SUMIF(negtgel!U$2:BL$2,'Tsalin uzuulelt'!H$5,negtgel!U290:BL290)</f>
      </c>
      <c r="J290">
        <f>SUMIF(negtgel!U$2:BL$2,'Tsalin uzuulelt'!J$1,negtgel!U290:BL290) + SUMIF(negtgel!U$2:BL$2,'Tsalin uzuulelt'!J$2,negtgel!U290:BL290)+SUMIF(negtgel!U$2:BL$2,'Tsalin uzuulelt'!J$3,negtgel!U290:BL290)+SUMIF(negtgel!U$2:BL$2,'Tsalin uzuulelt'!J$4,negtgel!U290:BL290)+SUMIF(negtgel!U$2:BL$2,'Tsalin uzuulelt'!J$5,negtgel!U290:BL290)</f>
      </c>
      <c r="K290">
        <f>SUMIF(negtgel!U$2:BL$2,'Tsalin uzuulelt'!L$1,negtgel!U290:BL290) + SUMIF(negtgel!U$2:BL$2,'Tsalin uzuulelt'!L$2,negtgel!U290:BL290)+SUMIF(negtgel!U$2:BL$2,'Tsalin uzuulelt'!L$3,negtgel!U290:BL290)+SUMIF(negtgel!U$2:BL$2,'Tsalin uzuulelt'!L$4,negtgel!U290:BL290)+SUMIF(negtgel!U$2:BL$2,'Tsalin uzuulelt'!L$5,negtgel!U290:BL290)</f>
      </c>
      <c r="L290">
        <f>SUMIF(negtgel!U$2:BL$2,'Tsalin uzuulelt'!N$1,negtgel!U290:BL290) + SUMIF(negtgel!U$2:BL$2,'Tsalin uzuulelt'!N$2,negtgel!U290:BL290)+SUMIF(negtgel!U$2:BL$2,'Tsalin uzuulelt'!N$3,negtgel!U290:BL290)+SUMIF(negtgel!U$2:BL$2,'Tsalin uzuulelt'!N$4,negtgel!U290:BL290)+SUMIF(negtgel!U$2:BL$2,'Tsalin uzuulelt'!N$5,negtgel!U290:BL290)</f>
      </c>
      <c r="M290">
        <f>SUMIF(negtgel!U$2:BL$2,'Tsalin uzuulelt'!P$1,negtgel!U290:BL290) + SUMIF(negtgel!U$2:BL$2,'Tsalin uzuulelt'!P$2,negtgel!U290:BL290)+ SUMIF(negtgel!U$2:BL$2,'Tsalin uzuulelt'!P$3,negtgel!U290:BL290)+ SUMIF(negtgel!U$2:BL$2,'Tsalin uzuulelt'!P$4,negtgel!U290:BL290)+ SUMIF(negtgel!U$2:BL$2,'Tsalin uzuulelt'!P$5,negtgel!U290:BL290)</f>
      </c>
      <c r="N290">
        <f>IF(ISNUMBER(U290*1)=CF290,0,K290-H290-G290)</f>
      </c>
      <c r="O290">
        <f>IF(ISNUMBER(U290*1)=CF290,0,L290)</f>
      </c>
      <c r="P290">
        <f>IF(ISNUMBER(U290*1)=CF290,0,M290)</f>
      </c>
      <c r="Q290">
        <f>IF(N290&gt;2400000,N290,0)</f>
      </c>
      <c r="R290">
        <f>IF(L290/Q290*100&lt;3,2,10)</f>
      </c>
      <c r="S290">
        <f>IF(CH290=0,0,IF(B290&gt;9,10,IF(B290&gt;8,B290,IF(B290&gt;7.7,7.8,IF(B290&gt;3,B290,IF(B290&gt;1.5,2))))))</f>
      </c>
      <c r="T290">
        <f>IF(Q290=0,S290,R290)</f>
      </c>
      <c r="U290" t="n">
        <v>24.0</v>
      </c>
      <c r="V290" t="s">
        <v>3789</v>
      </c>
      <c r="W290" t="s">
        <v>3790</v>
      </c>
      <c r="X290" t="n">
        <v>613669.0</v>
      </c>
      <c r="Y290" t="n">
        <v>613669.0</v>
      </c>
      <c r="Z290" t="n">
        <v>61367.0</v>
      </c>
      <c r="AA290" t="n">
        <v>92050.0</v>
      </c>
      <c r="AB290" t="n">
        <v>0.0</v>
      </c>
      <c r="AC290" t="n">
        <v>0.0</v>
      </c>
      <c r="AD290" t="n">
        <v>0.0</v>
      </c>
      <c r="AE290" t="n">
        <v>0.0</v>
      </c>
      <c r="AF290" t="n">
        <v>69000.0</v>
      </c>
      <c r="AG290" t="n">
        <v>0.0</v>
      </c>
      <c r="AH290" t="n">
        <v>0.0</v>
      </c>
      <c r="AI290" t="n">
        <v>0.0</v>
      </c>
      <c r="AJ290" t="n">
        <v>0.0</v>
      </c>
      <c r="AK290" t="n">
        <v>0.0</v>
      </c>
      <c r="AL290" t="n">
        <v>0.0</v>
      </c>
      <c r="AM290" t="n">
        <v>0.0</v>
      </c>
      <c r="AN290" t="n">
        <v>0.0</v>
      </c>
      <c r="AO290" t="n">
        <v>836086.0</v>
      </c>
      <c r="AP290" t="n">
        <v>83609.0</v>
      </c>
      <c r="AQ290" t="n">
        <v>68937.7</v>
      </c>
      <c r="CH290">
        <f>IFERROR(U290*1,0)</f>
      </c>
    </row>
    <row r="291">
      <c r="A291" t="n">
        <v>5.0</v>
      </c>
      <c r="B291">
        <f>IF((K291-G291-H291&gt;2400000),10,(L291/(K291-G291-H291)*100))</f>
      </c>
      <c r="C291">
        <f>IF(N291&gt;2400000,240000,(N291*S291)/100)</f>
      </c>
      <c r="D291">
        <f>IF(S291=0,0,IF((N291-I291)&gt;2400000,((((((N291-I291-J291)-240000))*0.1+(I291+J291)*0.1)))-7000,((((((N291-I291-J291)-(N291-I291-J291)*S291/100)))*0.1+(I291+J291)*0.1)-7000)))</f>
      </c>
      <c r="E291">
        <f>C291-O291</f>
      </c>
      <c r="F291">
        <f>D291-P291</f>
      </c>
      <c r="G291">
        <f>SUMIF(negtgel!U$2:BL$2,'Tsalin uzuulelt'!B$1,negtgel!U291:BL291) + SUMIF(negtgel!U$2:BL$2,'Tsalin uzuulelt'!B$2,negtgel!U291:BL291)+SUMIF(negtgel!U$2:BL$2,'Tsalin uzuulelt'!B$3,negtgel!U291:BL291)+SUMIF(negtgel!U$2:BL$2,'Tsalin uzuulelt'!B$4,negtgel!U291:BL291)+SUMIF(negtgel!U$2:BL$2,'Tsalin uzuulelt'!B$5,negtgel!U291:BL291)</f>
      </c>
      <c r="H291">
        <f>SUMIF(negtgel!U$2:BL$2,'Tsalin uzuulelt'!F$1,negtgel!U291:BL291) + SUMIF(negtgel!U$2:BL$2,'Tsalin uzuulelt'!F$2,negtgel!U291:BL291)+SUMIF(negtgel!U$2:BL$2,'Tsalin uzuulelt'!F$3,negtgel!U291:BL291)+SUMIF(negtgel!U$2:BL$2,'Tsalin uzuulelt'!F$4,negtgel!U291:BL291)+SUMIF(negtgel!U$2:BL$2,'Tsalin uzuulelt'!F$5,negtgel!U291:BL291)</f>
      </c>
      <c r="I291">
        <f>SUMIF(negtgel!U$2:BL$2,'Tsalin uzuulelt'!H$1,negtgel!U291:BL291) + SUMIF(negtgel!U$2:BL$2,'Tsalin uzuulelt'!H$2,negtgel!U291:BL291)+SUMIF(negtgel!U$2:BL$2,'Tsalin uzuulelt'!H$3,negtgel!U291:BL291)+SUMIF(negtgel!U$2:BL$2,'Tsalin uzuulelt'!H$4,negtgel!U291:BL291)+SUMIF(negtgel!U$2:BL$2,'Tsalin uzuulelt'!H$5,negtgel!U291:BL291)</f>
      </c>
      <c r="J291">
        <f>SUMIF(negtgel!U$2:BL$2,'Tsalin uzuulelt'!J$1,negtgel!U291:BL291) + SUMIF(negtgel!U$2:BL$2,'Tsalin uzuulelt'!J$2,negtgel!U291:BL291)+SUMIF(negtgel!U$2:BL$2,'Tsalin uzuulelt'!J$3,negtgel!U291:BL291)+SUMIF(negtgel!U$2:BL$2,'Tsalin uzuulelt'!J$4,negtgel!U291:BL291)+SUMIF(negtgel!U$2:BL$2,'Tsalin uzuulelt'!J$5,negtgel!U291:BL291)</f>
      </c>
      <c r="K291">
        <f>SUMIF(negtgel!U$2:BL$2,'Tsalin uzuulelt'!L$1,negtgel!U291:BL291) + SUMIF(negtgel!U$2:BL$2,'Tsalin uzuulelt'!L$2,negtgel!U291:BL291)+SUMIF(negtgel!U$2:BL$2,'Tsalin uzuulelt'!L$3,negtgel!U291:BL291)+SUMIF(negtgel!U$2:BL$2,'Tsalin uzuulelt'!L$4,negtgel!U291:BL291)+SUMIF(negtgel!U$2:BL$2,'Tsalin uzuulelt'!L$5,negtgel!U291:BL291)</f>
      </c>
      <c r="L291">
        <f>SUMIF(negtgel!U$2:BL$2,'Tsalin uzuulelt'!N$1,negtgel!U291:BL291) + SUMIF(negtgel!U$2:BL$2,'Tsalin uzuulelt'!N$2,negtgel!U291:BL291)+SUMIF(negtgel!U$2:BL$2,'Tsalin uzuulelt'!N$3,negtgel!U291:BL291)+SUMIF(negtgel!U$2:BL$2,'Tsalin uzuulelt'!N$4,negtgel!U291:BL291)+SUMIF(negtgel!U$2:BL$2,'Tsalin uzuulelt'!N$5,negtgel!U291:BL291)</f>
      </c>
      <c r="M291">
        <f>SUMIF(negtgel!U$2:BL$2,'Tsalin uzuulelt'!P$1,negtgel!U291:BL291) + SUMIF(negtgel!U$2:BL$2,'Tsalin uzuulelt'!P$2,negtgel!U291:BL291)+ SUMIF(negtgel!U$2:BL$2,'Tsalin uzuulelt'!P$3,negtgel!U291:BL291)+ SUMIF(negtgel!U$2:BL$2,'Tsalin uzuulelt'!P$4,negtgel!U291:BL291)+ SUMIF(negtgel!U$2:BL$2,'Tsalin uzuulelt'!P$5,negtgel!U291:BL291)</f>
      </c>
      <c r="N291">
        <f>IF(ISNUMBER(U291*1)=CF291,0,K291-H291-G291)</f>
      </c>
      <c r="O291">
        <f>IF(ISNUMBER(U291*1)=CF291,0,L291)</f>
      </c>
      <c r="P291">
        <f>IF(ISNUMBER(U291*1)=CF291,0,M291)</f>
      </c>
      <c r="Q291">
        <f>IF(N291&gt;2400000,N291,0)</f>
      </c>
      <c r="R291">
        <f>IF(L291/Q291*100&lt;3,2,10)</f>
      </c>
      <c r="S291">
        <f>IF(CH291=0,0,IF(B291&gt;9,10,IF(B291&gt;8,B291,IF(B291&gt;7.7,7.8,IF(B291&gt;3,B291,IF(B291&gt;1.5,2))))))</f>
      </c>
      <c r="T291">
        <f>IF(Q291=0,S291,R291)</f>
      </c>
      <c r="U291" t="n">
        <v>25.0</v>
      </c>
      <c r="V291" t="s">
        <v>3791</v>
      </c>
      <c r="W291" t="s">
        <v>3792</v>
      </c>
      <c r="X291" t="n">
        <v>535584.0</v>
      </c>
      <c r="Y291" t="n">
        <v>489011.0</v>
      </c>
      <c r="Z291" t="n">
        <v>0.0</v>
      </c>
      <c r="AA291" t="n">
        <v>0.0</v>
      </c>
      <c r="AB291" t="n">
        <v>0.0</v>
      </c>
      <c r="AC291" t="n">
        <v>0.0</v>
      </c>
      <c r="AD291" t="n">
        <v>0.0</v>
      </c>
      <c r="AE291" t="n">
        <v>0.0</v>
      </c>
      <c r="AF291" t="n">
        <v>63000.0</v>
      </c>
      <c r="AG291" t="n">
        <v>0.0</v>
      </c>
      <c r="AH291" t="n">
        <v>0.0</v>
      </c>
      <c r="AI291" t="n">
        <v>0.0</v>
      </c>
      <c r="AJ291" t="n">
        <v>0.0</v>
      </c>
      <c r="AK291" t="n">
        <v>0.0</v>
      </c>
      <c r="AL291" t="n">
        <v>0.0</v>
      </c>
      <c r="AM291" t="n">
        <v>0.0</v>
      </c>
      <c r="AN291" t="n">
        <v>0.0</v>
      </c>
      <c r="AO291" t="n">
        <v>552011.0</v>
      </c>
      <c r="AP291" t="n">
        <v>55201.0</v>
      </c>
      <c r="AQ291" t="n">
        <v>43311.0</v>
      </c>
      <c r="CH291">
        <f>IFERROR(U291*1,0)</f>
      </c>
    </row>
    <row r="292">
      <c r="A292" t="n">
        <v>5.0</v>
      </c>
      <c r="B292">
        <f>IF((K292-G292-H292&gt;2400000),10,(L292/(K292-G292-H292)*100))</f>
      </c>
      <c r="C292">
        <f>IF(N292&gt;2400000,240000,(N292*S292)/100)</f>
      </c>
      <c r="D292">
        <f>IF(S292=0,0,IF((N292-I292)&gt;2400000,((((((N292-I292-J292)-240000))*0.1+(I292+J292)*0.1)))-7000,((((((N292-I292-J292)-(N292-I292-J292)*S292/100)))*0.1+(I292+J292)*0.1)-7000)))</f>
      </c>
      <c r="E292">
        <f>C292-O292</f>
      </c>
      <c r="F292">
        <f>D292-P292</f>
      </c>
      <c r="G292">
        <f>SUMIF(negtgel!U$2:BL$2,'Tsalin uzuulelt'!B$1,negtgel!U292:BL292) + SUMIF(negtgel!U$2:BL$2,'Tsalin uzuulelt'!B$2,negtgel!U292:BL292)+SUMIF(negtgel!U$2:BL$2,'Tsalin uzuulelt'!B$3,negtgel!U292:BL292)+SUMIF(negtgel!U$2:BL$2,'Tsalin uzuulelt'!B$4,negtgel!U292:BL292)+SUMIF(negtgel!U$2:BL$2,'Tsalin uzuulelt'!B$5,negtgel!U292:BL292)</f>
      </c>
      <c r="H292">
        <f>SUMIF(negtgel!U$2:BL$2,'Tsalin uzuulelt'!F$1,negtgel!U292:BL292) + SUMIF(negtgel!U$2:BL$2,'Tsalin uzuulelt'!F$2,negtgel!U292:BL292)+SUMIF(negtgel!U$2:BL$2,'Tsalin uzuulelt'!F$3,negtgel!U292:BL292)+SUMIF(negtgel!U$2:BL$2,'Tsalin uzuulelt'!F$4,negtgel!U292:BL292)+SUMIF(negtgel!U$2:BL$2,'Tsalin uzuulelt'!F$5,negtgel!U292:BL292)</f>
      </c>
      <c r="I292">
        <f>SUMIF(negtgel!U$2:BL$2,'Tsalin uzuulelt'!H$1,negtgel!U292:BL292) + SUMIF(negtgel!U$2:BL$2,'Tsalin uzuulelt'!H$2,negtgel!U292:BL292)+SUMIF(negtgel!U$2:BL$2,'Tsalin uzuulelt'!H$3,negtgel!U292:BL292)+SUMIF(negtgel!U$2:BL$2,'Tsalin uzuulelt'!H$4,negtgel!U292:BL292)+SUMIF(negtgel!U$2:BL$2,'Tsalin uzuulelt'!H$5,negtgel!U292:BL292)</f>
      </c>
      <c r="J292">
        <f>SUMIF(negtgel!U$2:BL$2,'Tsalin uzuulelt'!J$1,negtgel!U292:BL292) + SUMIF(negtgel!U$2:BL$2,'Tsalin uzuulelt'!J$2,negtgel!U292:BL292)+SUMIF(negtgel!U$2:BL$2,'Tsalin uzuulelt'!J$3,negtgel!U292:BL292)+SUMIF(negtgel!U$2:BL$2,'Tsalin uzuulelt'!J$4,negtgel!U292:BL292)+SUMIF(negtgel!U$2:BL$2,'Tsalin uzuulelt'!J$5,negtgel!U292:BL292)</f>
      </c>
      <c r="K292">
        <f>SUMIF(negtgel!U$2:BL$2,'Tsalin uzuulelt'!L$1,negtgel!U292:BL292) + SUMIF(negtgel!U$2:BL$2,'Tsalin uzuulelt'!L$2,negtgel!U292:BL292)+SUMIF(negtgel!U$2:BL$2,'Tsalin uzuulelt'!L$3,negtgel!U292:BL292)+SUMIF(negtgel!U$2:BL$2,'Tsalin uzuulelt'!L$4,negtgel!U292:BL292)+SUMIF(negtgel!U$2:BL$2,'Tsalin uzuulelt'!L$5,negtgel!U292:BL292)</f>
      </c>
      <c r="L292">
        <f>SUMIF(negtgel!U$2:BL$2,'Tsalin uzuulelt'!N$1,negtgel!U292:BL292) + SUMIF(negtgel!U$2:BL$2,'Tsalin uzuulelt'!N$2,negtgel!U292:BL292)+SUMIF(negtgel!U$2:BL$2,'Tsalin uzuulelt'!N$3,negtgel!U292:BL292)+SUMIF(negtgel!U$2:BL$2,'Tsalin uzuulelt'!N$4,negtgel!U292:BL292)+SUMIF(negtgel!U$2:BL$2,'Tsalin uzuulelt'!N$5,negtgel!U292:BL292)</f>
      </c>
      <c r="M292">
        <f>SUMIF(negtgel!U$2:BL$2,'Tsalin uzuulelt'!P$1,negtgel!U292:BL292) + SUMIF(negtgel!U$2:BL$2,'Tsalin uzuulelt'!P$2,negtgel!U292:BL292)+ SUMIF(negtgel!U$2:BL$2,'Tsalin uzuulelt'!P$3,negtgel!U292:BL292)+ SUMIF(negtgel!U$2:BL$2,'Tsalin uzuulelt'!P$4,negtgel!U292:BL292)+ SUMIF(negtgel!U$2:BL$2,'Tsalin uzuulelt'!P$5,negtgel!U292:BL292)</f>
      </c>
      <c r="N292">
        <f>IF(ISNUMBER(U292*1)=CF292,0,K292-H292-G292)</f>
      </c>
      <c r="O292">
        <f>IF(ISNUMBER(U292*1)=CF292,0,L292)</f>
      </c>
      <c r="P292">
        <f>IF(ISNUMBER(U292*1)=CF292,0,M292)</f>
      </c>
      <c r="Q292">
        <f>IF(N292&gt;2400000,N292,0)</f>
      </c>
      <c r="R292">
        <f>IF(L292/Q292*100&lt;3,2,10)</f>
      </c>
      <c r="S292">
        <f>IF(CH292=0,0,IF(B292&gt;9,10,IF(B292&gt;8,B292,IF(B292&gt;7.7,7.8,IF(B292&gt;3,B292,IF(B292&gt;1.5,2))))))</f>
      </c>
      <c r="T292">
        <f>IF(Q292=0,S292,R292)</f>
      </c>
      <c r="U292" t="n">
        <v>26.0</v>
      </c>
      <c r="V292" t="s">
        <v>3793</v>
      </c>
      <c r="W292" t="s">
        <v>3790</v>
      </c>
      <c r="X292" t="n">
        <v>645556.0</v>
      </c>
      <c r="Y292" t="n">
        <v>645556.0</v>
      </c>
      <c r="Z292" t="n">
        <v>96833.0</v>
      </c>
      <c r="AA292" t="n">
        <v>0.0</v>
      </c>
      <c r="AB292" t="n">
        <v>0.0</v>
      </c>
      <c r="AC292" t="n">
        <v>0.0</v>
      </c>
      <c r="AD292" t="n">
        <v>0.0</v>
      </c>
      <c r="AE292" t="n">
        <v>0.0</v>
      </c>
      <c r="AF292" t="n">
        <v>69000.0</v>
      </c>
      <c r="AG292" t="n">
        <v>0.0</v>
      </c>
      <c r="AH292" t="n">
        <v>0.0</v>
      </c>
      <c r="AI292" t="n">
        <v>0.0</v>
      </c>
      <c r="AJ292" t="n">
        <v>0.0</v>
      </c>
      <c r="AK292" t="n">
        <v>0.0</v>
      </c>
      <c r="AL292" t="n">
        <v>0.0</v>
      </c>
      <c r="AM292" t="n">
        <v>0.0</v>
      </c>
      <c r="AN292" t="n">
        <v>0.0</v>
      </c>
      <c r="AO292" t="n">
        <v>811389.0</v>
      </c>
      <c r="AP292" t="n">
        <v>81139.0</v>
      </c>
      <c r="AQ292" t="n">
        <v>66715.0</v>
      </c>
      <c r="CH292">
        <f>IFERROR(U292*1,0)</f>
      </c>
    </row>
    <row r="293">
      <c r="A293" t="n">
        <v>5.0</v>
      </c>
      <c r="B293">
        <f>IF((K293-G293-H293&gt;2400000),10,(L293/(K293-G293-H293)*100))</f>
      </c>
      <c r="C293">
        <f>IF(N293&gt;2400000,240000,(N293*S293)/100)</f>
      </c>
      <c r="D293">
        <f>IF(S293=0,0,IF((N293-I293)&gt;2400000,((((((N293-I293-J293)-240000))*0.1+(I293+J293)*0.1)))-7000,((((((N293-I293-J293)-(N293-I293-J293)*S293/100)))*0.1+(I293+J293)*0.1)-7000)))</f>
      </c>
      <c r="E293">
        <f>C293-O293</f>
      </c>
      <c r="F293">
        <f>D293-P293</f>
      </c>
      <c r="G293">
        <f>SUMIF(negtgel!U$2:BL$2,'Tsalin uzuulelt'!B$1,negtgel!U293:BL293) + SUMIF(negtgel!U$2:BL$2,'Tsalin uzuulelt'!B$2,negtgel!U293:BL293)+SUMIF(negtgel!U$2:BL$2,'Tsalin uzuulelt'!B$3,negtgel!U293:BL293)+SUMIF(negtgel!U$2:BL$2,'Tsalin uzuulelt'!B$4,negtgel!U293:BL293)+SUMIF(negtgel!U$2:BL$2,'Tsalin uzuulelt'!B$5,negtgel!U293:BL293)</f>
      </c>
      <c r="H293">
        <f>SUMIF(negtgel!U$2:BL$2,'Tsalin uzuulelt'!F$1,negtgel!U293:BL293) + SUMIF(negtgel!U$2:BL$2,'Tsalin uzuulelt'!F$2,negtgel!U293:BL293)+SUMIF(negtgel!U$2:BL$2,'Tsalin uzuulelt'!F$3,negtgel!U293:BL293)+SUMIF(negtgel!U$2:BL$2,'Tsalin uzuulelt'!F$4,negtgel!U293:BL293)+SUMIF(negtgel!U$2:BL$2,'Tsalin uzuulelt'!F$5,negtgel!U293:BL293)</f>
      </c>
      <c r="I293">
        <f>SUMIF(negtgel!U$2:BL$2,'Tsalin uzuulelt'!H$1,negtgel!U293:BL293) + SUMIF(negtgel!U$2:BL$2,'Tsalin uzuulelt'!H$2,negtgel!U293:BL293)+SUMIF(negtgel!U$2:BL$2,'Tsalin uzuulelt'!H$3,negtgel!U293:BL293)+SUMIF(negtgel!U$2:BL$2,'Tsalin uzuulelt'!H$4,negtgel!U293:BL293)+SUMIF(negtgel!U$2:BL$2,'Tsalin uzuulelt'!H$5,negtgel!U293:BL293)</f>
      </c>
      <c r="J293">
        <f>SUMIF(negtgel!U$2:BL$2,'Tsalin uzuulelt'!J$1,negtgel!U293:BL293) + SUMIF(negtgel!U$2:BL$2,'Tsalin uzuulelt'!J$2,negtgel!U293:BL293)+SUMIF(negtgel!U$2:BL$2,'Tsalin uzuulelt'!J$3,negtgel!U293:BL293)+SUMIF(negtgel!U$2:BL$2,'Tsalin uzuulelt'!J$4,negtgel!U293:BL293)+SUMIF(negtgel!U$2:BL$2,'Tsalin uzuulelt'!J$5,negtgel!U293:BL293)</f>
      </c>
      <c r="K293">
        <f>SUMIF(negtgel!U$2:BL$2,'Tsalin uzuulelt'!L$1,negtgel!U293:BL293) + SUMIF(negtgel!U$2:BL$2,'Tsalin uzuulelt'!L$2,negtgel!U293:BL293)+SUMIF(negtgel!U$2:BL$2,'Tsalin uzuulelt'!L$3,negtgel!U293:BL293)+SUMIF(negtgel!U$2:BL$2,'Tsalin uzuulelt'!L$4,negtgel!U293:BL293)+SUMIF(negtgel!U$2:BL$2,'Tsalin uzuulelt'!L$5,negtgel!U293:BL293)</f>
      </c>
      <c r="L293">
        <f>SUMIF(negtgel!U$2:BL$2,'Tsalin uzuulelt'!N$1,negtgel!U293:BL293) + SUMIF(negtgel!U$2:BL$2,'Tsalin uzuulelt'!N$2,negtgel!U293:BL293)+SUMIF(negtgel!U$2:BL$2,'Tsalin uzuulelt'!N$3,negtgel!U293:BL293)+SUMIF(negtgel!U$2:BL$2,'Tsalin uzuulelt'!N$4,negtgel!U293:BL293)+SUMIF(negtgel!U$2:BL$2,'Tsalin uzuulelt'!N$5,negtgel!U293:BL293)</f>
      </c>
      <c r="M293">
        <f>SUMIF(negtgel!U$2:BL$2,'Tsalin uzuulelt'!P$1,negtgel!U293:BL293) + SUMIF(negtgel!U$2:BL$2,'Tsalin uzuulelt'!P$2,negtgel!U293:BL293)+ SUMIF(negtgel!U$2:BL$2,'Tsalin uzuulelt'!P$3,negtgel!U293:BL293)+ SUMIF(negtgel!U$2:BL$2,'Tsalin uzuulelt'!P$4,negtgel!U293:BL293)+ SUMIF(negtgel!U$2:BL$2,'Tsalin uzuulelt'!P$5,negtgel!U293:BL293)</f>
      </c>
      <c r="N293">
        <f>IF(ISNUMBER(U293*1)=CF293,0,K293-H293-G293)</f>
      </c>
      <c r="O293">
        <f>IF(ISNUMBER(U293*1)=CF293,0,L293)</f>
      </c>
      <c r="P293">
        <f>IF(ISNUMBER(U293*1)=CF293,0,M293)</f>
      </c>
      <c r="Q293">
        <f>IF(N293&gt;2400000,N293,0)</f>
      </c>
      <c r="R293">
        <f>IF(L293/Q293*100&lt;3,2,10)</f>
      </c>
      <c r="S293">
        <f>IF(CH293=0,0,IF(B293&gt;9,10,IF(B293&gt;8,B293,IF(B293&gt;7.7,7.8,IF(B293&gt;3,B293,IF(B293&gt;1.5,2))))))</f>
      </c>
      <c r="T293">
        <f>IF(Q293=0,S293,R293)</f>
      </c>
      <c r="U293" t="s">
        <v>3867</v>
      </c>
      <c r="V293"/>
      <c r="W293"/>
      <c r="X293"/>
      <c r="Y293"/>
      <c r="Z293"/>
      <c r="AA293"/>
      <c r="AB293"/>
      <c r="AC293"/>
      <c r="AD293"/>
      <c r="AE293"/>
      <c r="AF293"/>
      <c r="AG293"/>
      <c r="AH293"/>
      <c r="AI293"/>
      <c r="AJ293"/>
      <c r="AK293"/>
      <c r="AL293"/>
      <c r="AM293"/>
      <c r="AN293"/>
      <c r="AO293"/>
      <c r="AP293"/>
      <c r="AQ293"/>
      <c r="CH293">
        <f>IFERROR(U293*1,0)</f>
      </c>
    </row>
    <row r="294">
      <c r="A294" t="n">
        <v>5.0</v>
      </c>
      <c r="B294">
        <f>IF((K294-G294-H294&gt;2400000),10,(L294/(K294-G294-H294)*100))</f>
      </c>
      <c r="C294">
        <f>IF(N294&gt;2400000,240000,(N294*S294)/100)</f>
      </c>
      <c r="D294">
        <f>IF(S294=0,0,IF((N294-I294)&gt;2400000,((((((N294-I294-J294)-240000))*0.1+(I294+J294)*0.1)))-7000,((((((N294-I294-J294)-(N294-I294-J294)*S294/100)))*0.1+(I294+J294)*0.1)-7000)))</f>
      </c>
      <c r="E294">
        <f>C294-O294</f>
      </c>
      <c r="F294">
        <f>D294-P294</f>
      </c>
      <c r="G294">
        <f>SUMIF(negtgel!U$2:BL$2,'Tsalin uzuulelt'!B$1,negtgel!U294:BL294) + SUMIF(negtgel!U$2:BL$2,'Tsalin uzuulelt'!B$2,negtgel!U294:BL294)+SUMIF(negtgel!U$2:BL$2,'Tsalin uzuulelt'!B$3,negtgel!U294:BL294)+SUMIF(negtgel!U$2:BL$2,'Tsalin uzuulelt'!B$4,negtgel!U294:BL294)+SUMIF(negtgel!U$2:BL$2,'Tsalin uzuulelt'!B$5,negtgel!U294:BL294)</f>
      </c>
      <c r="H294">
        <f>SUMIF(negtgel!U$2:BL$2,'Tsalin uzuulelt'!F$1,negtgel!U294:BL294) + SUMIF(negtgel!U$2:BL$2,'Tsalin uzuulelt'!F$2,negtgel!U294:BL294)+SUMIF(negtgel!U$2:BL$2,'Tsalin uzuulelt'!F$3,negtgel!U294:BL294)+SUMIF(negtgel!U$2:BL$2,'Tsalin uzuulelt'!F$4,negtgel!U294:BL294)+SUMIF(negtgel!U$2:BL$2,'Tsalin uzuulelt'!F$5,negtgel!U294:BL294)</f>
      </c>
      <c r="I294">
        <f>SUMIF(negtgel!U$2:BL$2,'Tsalin uzuulelt'!H$1,negtgel!U294:BL294) + SUMIF(negtgel!U$2:BL$2,'Tsalin uzuulelt'!H$2,negtgel!U294:BL294)+SUMIF(negtgel!U$2:BL$2,'Tsalin uzuulelt'!H$3,negtgel!U294:BL294)+SUMIF(negtgel!U$2:BL$2,'Tsalin uzuulelt'!H$4,negtgel!U294:BL294)+SUMIF(negtgel!U$2:BL$2,'Tsalin uzuulelt'!H$5,negtgel!U294:BL294)</f>
      </c>
      <c r="J294">
        <f>SUMIF(negtgel!U$2:BL$2,'Tsalin uzuulelt'!J$1,negtgel!U294:BL294) + SUMIF(negtgel!U$2:BL$2,'Tsalin uzuulelt'!J$2,negtgel!U294:BL294)+SUMIF(negtgel!U$2:BL$2,'Tsalin uzuulelt'!J$3,negtgel!U294:BL294)+SUMIF(negtgel!U$2:BL$2,'Tsalin uzuulelt'!J$4,negtgel!U294:BL294)+SUMIF(negtgel!U$2:BL$2,'Tsalin uzuulelt'!J$5,negtgel!U294:BL294)</f>
      </c>
      <c r="K294">
        <f>SUMIF(negtgel!U$2:BL$2,'Tsalin uzuulelt'!L$1,negtgel!U294:BL294) + SUMIF(negtgel!U$2:BL$2,'Tsalin uzuulelt'!L$2,negtgel!U294:BL294)+SUMIF(negtgel!U$2:BL$2,'Tsalin uzuulelt'!L$3,negtgel!U294:BL294)+SUMIF(negtgel!U$2:BL$2,'Tsalin uzuulelt'!L$4,negtgel!U294:BL294)+SUMIF(negtgel!U$2:BL$2,'Tsalin uzuulelt'!L$5,negtgel!U294:BL294)</f>
      </c>
      <c r="L294">
        <f>SUMIF(negtgel!U$2:BL$2,'Tsalin uzuulelt'!N$1,negtgel!U294:BL294) + SUMIF(negtgel!U$2:BL$2,'Tsalin uzuulelt'!N$2,negtgel!U294:BL294)+SUMIF(negtgel!U$2:BL$2,'Tsalin uzuulelt'!N$3,negtgel!U294:BL294)+SUMIF(negtgel!U$2:BL$2,'Tsalin uzuulelt'!N$4,negtgel!U294:BL294)+SUMIF(negtgel!U$2:BL$2,'Tsalin uzuulelt'!N$5,negtgel!U294:BL294)</f>
      </c>
      <c r="M294">
        <f>SUMIF(negtgel!U$2:BL$2,'Tsalin uzuulelt'!P$1,negtgel!U294:BL294) + SUMIF(negtgel!U$2:BL$2,'Tsalin uzuulelt'!P$2,negtgel!U294:BL294)+ SUMIF(negtgel!U$2:BL$2,'Tsalin uzuulelt'!P$3,negtgel!U294:BL294)+ SUMIF(negtgel!U$2:BL$2,'Tsalin uzuulelt'!P$4,negtgel!U294:BL294)+ SUMIF(negtgel!U$2:BL$2,'Tsalin uzuulelt'!P$5,negtgel!U294:BL294)</f>
      </c>
      <c r="N294">
        <f>IF(ISNUMBER(U294*1)=CF294,0,K294-H294-G294)</f>
      </c>
      <c r="O294">
        <f>IF(ISNUMBER(U294*1)=CF294,0,L294)</f>
      </c>
      <c r="P294">
        <f>IF(ISNUMBER(U294*1)=CF294,0,M294)</f>
      </c>
      <c r="Q294">
        <f>IF(N294&gt;2400000,N294,0)</f>
      </c>
      <c r="R294">
        <f>IF(L294/Q294*100&lt;3,2,10)</f>
      </c>
      <c r="S294">
        <f>IF(CH294=0,0,IF(B294&gt;9,10,IF(B294&gt;8,B294,IF(B294&gt;7.7,7.8,IF(B294&gt;3,B294,IF(B294&gt;1.5,2))))))</f>
      </c>
      <c r="T294">
        <f>IF(Q294=0,S294,R294)</f>
      </c>
      <c r="U294" t="n">
        <v>50.0</v>
      </c>
      <c r="V294" t="s">
        <v>3866</v>
      </c>
      <c r="W294" t="s">
        <v>3790</v>
      </c>
      <c r="X294" t="n">
        <v>580710.0</v>
      </c>
      <c r="Y294" t="n">
        <v>580710.0</v>
      </c>
      <c r="Z294" t="n">
        <v>29036.0</v>
      </c>
      <c r="AA294" t="n">
        <v>87106.0</v>
      </c>
      <c r="AB294" t="n">
        <v>0.0</v>
      </c>
      <c r="AC294" t="n">
        <v>0.0</v>
      </c>
      <c r="AD294" t="n">
        <v>0.0</v>
      </c>
      <c r="AE294" t="n">
        <v>0.0</v>
      </c>
      <c r="AF294" t="n">
        <v>69000.0</v>
      </c>
      <c r="AG294" t="n">
        <v>0.0</v>
      </c>
      <c r="AH294" t="n">
        <v>0.0</v>
      </c>
      <c r="AI294" t="n">
        <v>0.0</v>
      </c>
      <c r="AJ294" t="n">
        <v>0.0</v>
      </c>
      <c r="AK294" t="n">
        <v>0.0</v>
      </c>
      <c r="AL294" t="n">
        <v>0.0</v>
      </c>
      <c r="AM294" t="n">
        <v>0.0</v>
      </c>
      <c r="AN294" t="n">
        <v>0.0</v>
      </c>
      <c r="AO294" t="n">
        <v>765852.0</v>
      </c>
      <c r="AP294" t="n">
        <v>76586.0</v>
      </c>
      <c r="AQ294" t="n">
        <v>62616.7</v>
      </c>
      <c r="CH294">
        <f>IFERROR(U294*1,0)</f>
      </c>
    </row>
    <row r="295">
      <c r="A295" t="n">
        <v>5.0</v>
      </c>
      <c r="B295">
        <f>IF((K295-G295-H295&gt;2400000),10,(L295/(K295-G295-H295)*100))</f>
      </c>
      <c r="C295">
        <f>IF(N295&gt;2400000,240000,(N295*S295)/100)</f>
      </c>
      <c r="D295">
        <f>IF(S295=0,0,IF((N295-I295)&gt;2400000,((((((N295-I295-J295)-240000))*0.1+(I295+J295)*0.1)))-7000,((((((N295-I295-J295)-(N295-I295-J295)*S295/100)))*0.1+(I295+J295)*0.1)-7000)))</f>
      </c>
      <c r="E295">
        <f>C295-O295</f>
      </c>
      <c r="F295">
        <f>D295-P295</f>
      </c>
      <c r="G295">
        <f>SUMIF(negtgel!U$2:BL$2,'Tsalin uzuulelt'!B$1,negtgel!U295:BL295) + SUMIF(negtgel!U$2:BL$2,'Tsalin uzuulelt'!B$2,negtgel!U295:BL295)+SUMIF(negtgel!U$2:BL$2,'Tsalin uzuulelt'!B$3,negtgel!U295:BL295)+SUMIF(negtgel!U$2:BL$2,'Tsalin uzuulelt'!B$4,negtgel!U295:BL295)+SUMIF(negtgel!U$2:BL$2,'Tsalin uzuulelt'!B$5,negtgel!U295:BL295)</f>
      </c>
      <c r="H295">
        <f>SUMIF(negtgel!U$2:BL$2,'Tsalin uzuulelt'!F$1,negtgel!U295:BL295) + SUMIF(negtgel!U$2:BL$2,'Tsalin uzuulelt'!F$2,negtgel!U295:BL295)+SUMIF(negtgel!U$2:BL$2,'Tsalin uzuulelt'!F$3,negtgel!U295:BL295)+SUMIF(negtgel!U$2:BL$2,'Tsalin uzuulelt'!F$4,negtgel!U295:BL295)+SUMIF(negtgel!U$2:BL$2,'Tsalin uzuulelt'!F$5,negtgel!U295:BL295)</f>
      </c>
      <c r="I295">
        <f>SUMIF(negtgel!U$2:BL$2,'Tsalin uzuulelt'!H$1,negtgel!U295:BL295) + SUMIF(negtgel!U$2:BL$2,'Tsalin uzuulelt'!H$2,negtgel!U295:BL295)+SUMIF(negtgel!U$2:BL$2,'Tsalin uzuulelt'!H$3,negtgel!U295:BL295)+SUMIF(negtgel!U$2:BL$2,'Tsalin uzuulelt'!H$4,negtgel!U295:BL295)+SUMIF(negtgel!U$2:BL$2,'Tsalin uzuulelt'!H$5,negtgel!U295:BL295)</f>
      </c>
      <c r="J295">
        <f>SUMIF(negtgel!U$2:BL$2,'Tsalin uzuulelt'!J$1,negtgel!U295:BL295) + SUMIF(negtgel!U$2:BL$2,'Tsalin uzuulelt'!J$2,negtgel!U295:BL295)+SUMIF(negtgel!U$2:BL$2,'Tsalin uzuulelt'!J$3,negtgel!U295:BL295)+SUMIF(negtgel!U$2:BL$2,'Tsalin uzuulelt'!J$4,negtgel!U295:BL295)+SUMIF(negtgel!U$2:BL$2,'Tsalin uzuulelt'!J$5,negtgel!U295:BL295)</f>
      </c>
      <c r="K295">
        <f>SUMIF(negtgel!U$2:BL$2,'Tsalin uzuulelt'!L$1,negtgel!U295:BL295) + SUMIF(negtgel!U$2:BL$2,'Tsalin uzuulelt'!L$2,negtgel!U295:BL295)+SUMIF(negtgel!U$2:BL$2,'Tsalin uzuulelt'!L$3,negtgel!U295:BL295)+SUMIF(negtgel!U$2:BL$2,'Tsalin uzuulelt'!L$4,negtgel!U295:BL295)+SUMIF(negtgel!U$2:BL$2,'Tsalin uzuulelt'!L$5,negtgel!U295:BL295)</f>
      </c>
      <c r="L295">
        <f>SUMIF(negtgel!U$2:BL$2,'Tsalin uzuulelt'!N$1,negtgel!U295:BL295) + SUMIF(negtgel!U$2:BL$2,'Tsalin uzuulelt'!N$2,negtgel!U295:BL295)+SUMIF(negtgel!U$2:BL$2,'Tsalin uzuulelt'!N$3,negtgel!U295:BL295)+SUMIF(negtgel!U$2:BL$2,'Tsalin uzuulelt'!N$4,negtgel!U295:BL295)+SUMIF(negtgel!U$2:BL$2,'Tsalin uzuulelt'!N$5,negtgel!U295:BL295)</f>
      </c>
      <c r="M295">
        <f>SUMIF(negtgel!U$2:BL$2,'Tsalin uzuulelt'!P$1,negtgel!U295:BL295) + SUMIF(negtgel!U$2:BL$2,'Tsalin uzuulelt'!P$2,negtgel!U295:BL295)+ SUMIF(negtgel!U$2:BL$2,'Tsalin uzuulelt'!P$3,negtgel!U295:BL295)+ SUMIF(negtgel!U$2:BL$2,'Tsalin uzuulelt'!P$4,negtgel!U295:BL295)+ SUMIF(negtgel!U$2:BL$2,'Tsalin uzuulelt'!P$5,negtgel!U295:BL295)</f>
      </c>
      <c r="N295">
        <f>IF(ISNUMBER(U295*1)=CF295,0,K295-H295-G295)</f>
      </c>
      <c r="O295">
        <f>IF(ISNUMBER(U295*1)=CF295,0,L295)</f>
      </c>
      <c r="P295">
        <f>IF(ISNUMBER(U295*1)=CF295,0,M295)</f>
      </c>
      <c r="Q295">
        <f>IF(N295&gt;2400000,N295,0)</f>
      </c>
      <c r="R295">
        <f>IF(L295/Q295*100&lt;3,2,10)</f>
      </c>
      <c r="S295">
        <f>IF(CH295=0,0,IF(B295&gt;9,10,IF(B295&gt;8,B295,IF(B295&gt;7.7,7.8,IF(B295&gt;3,B295,IF(B295&gt;1.5,2))))))</f>
      </c>
      <c r="T295">
        <f>IF(Q295=0,S295,R295)</f>
      </c>
      <c r="U295" t="n">
        <v>51.0</v>
      </c>
      <c r="V295" t="s">
        <v>3862</v>
      </c>
      <c r="W295" t="s">
        <v>3790</v>
      </c>
      <c r="X295" t="n">
        <v>677436.0</v>
      </c>
      <c r="Y295" t="n">
        <v>677436.0</v>
      </c>
      <c r="Z295" t="n">
        <v>101615.0</v>
      </c>
      <c r="AA295" t="n">
        <v>135487.0</v>
      </c>
      <c r="AB295" t="n">
        <v>0.0</v>
      </c>
      <c r="AC295" t="n">
        <v>101615.0</v>
      </c>
      <c r="AD295" t="n">
        <v>0.0</v>
      </c>
      <c r="AE295" t="n">
        <v>0.0</v>
      </c>
      <c r="AF295" t="n">
        <v>69000.0</v>
      </c>
      <c r="AG295" t="n">
        <v>0.0</v>
      </c>
      <c r="AH295" t="n">
        <v>0.0</v>
      </c>
      <c r="AI295" t="n">
        <v>0.0</v>
      </c>
      <c r="AJ295" t="n">
        <v>0.0</v>
      </c>
      <c r="AK295" t="n">
        <v>0.0</v>
      </c>
      <c r="AL295" t="n">
        <v>0.0</v>
      </c>
      <c r="AM295" t="n">
        <v>0.0</v>
      </c>
      <c r="AN295" t="n">
        <v>0.0</v>
      </c>
      <c r="AO295" t="n">
        <v>1085153.0</v>
      </c>
      <c r="AP295" t="n">
        <v>108515.0</v>
      </c>
      <c r="AQ295" t="n">
        <v>91353.8</v>
      </c>
      <c r="CH295">
        <f>IFERROR(U295*1,0)</f>
      </c>
    </row>
    <row r="296">
      <c r="A296" t="n">
        <v>5.0</v>
      </c>
      <c r="B296">
        <f>IF((K296-G296-H296&gt;2400000),10,(L296/(K296-G296-H296)*100))</f>
      </c>
      <c r="C296">
        <f>IF(N296&gt;2400000,240000,(N296*S296)/100)</f>
      </c>
      <c r="D296">
        <f>IF(S296=0,0,IF((N296-I296)&gt;2400000,((((((N296-I296-J296)-240000))*0.1+(I296+J296)*0.1)))-7000,((((((N296-I296-J296)-(N296-I296-J296)*S296/100)))*0.1+(I296+J296)*0.1)-7000)))</f>
      </c>
      <c r="E296">
        <f>C296-O296</f>
      </c>
      <c r="F296">
        <f>D296-P296</f>
      </c>
      <c r="G296">
        <f>SUMIF(negtgel!U$2:BL$2,'Tsalin uzuulelt'!B$1,negtgel!U296:BL296) + SUMIF(negtgel!U$2:BL$2,'Tsalin uzuulelt'!B$2,negtgel!U296:BL296)+SUMIF(negtgel!U$2:BL$2,'Tsalin uzuulelt'!B$3,negtgel!U296:BL296)+SUMIF(negtgel!U$2:BL$2,'Tsalin uzuulelt'!B$4,negtgel!U296:BL296)+SUMIF(negtgel!U$2:BL$2,'Tsalin uzuulelt'!B$5,negtgel!U296:BL296)</f>
      </c>
      <c r="H296">
        <f>SUMIF(negtgel!U$2:BL$2,'Tsalin uzuulelt'!F$1,negtgel!U296:BL296) + SUMIF(negtgel!U$2:BL$2,'Tsalin uzuulelt'!F$2,negtgel!U296:BL296)+SUMIF(negtgel!U$2:BL$2,'Tsalin uzuulelt'!F$3,negtgel!U296:BL296)+SUMIF(negtgel!U$2:BL$2,'Tsalin uzuulelt'!F$4,negtgel!U296:BL296)+SUMIF(negtgel!U$2:BL$2,'Tsalin uzuulelt'!F$5,negtgel!U296:BL296)</f>
      </c>
      <c r="I296">
        <f>SUMIF(negtgel!U$2:BL$2,'Tsalin uzuulelt'!H$1,negtgel!U296:BL296) + SUMIF(negtgel!U$2:BL$2,'Tsalin uzuulelt'!H$2,negtgel!U296:BL296)+SUMIF(negtgel!U$2:BL$2,'Tsalin uzuulelt'!H$3,negtgel!U296:BL296)+SUMIF(negtgel!U$2:BL$2,'Tsalin uzuulelt'!H$4,negtgel!U296:BL296)+SUMIF(negtgel!U$2:BL$2,'Tsalin uzuulelt'!H$5,negtgel!U296:BL296)</f>
      </c>
      <c r="J296">
        <f>SUMIF(negtgel!U$2:BL$2,'Tsalin uzuulelt'!J$1,negtgel!U296:BL296) + SUMIF(negtgel!U$2:BL$2,'Tsalin uzuulelt'!J$2,negtgel!U296:BL296)+SUMIF(negtgel!U$2:BL$2,'Tsalin uzuulelt'!J$3,negtgel!U296:BL296)+SUMIF(negtgel!U$2:BL$2,'Tsalin uzuulelt'!J$4,negtgel!U296:BL296)+SUMIF(negtgel!U$2:BL$2,'Tsalin uzuulelt'!J$5,negtgel!U296:BL296)</f>
      </c>
      <c r="K296">
        <f>SUMIF(negtgel!U$2:BL$2,'Tsalin uzuulelt'!L$1,negtgel!U296:BL296) + SUMIF(negtgel!U$2:BL$2,'Tsalin uzuulelt'!L$2,negtgel!U296:BL296)+SUMIF(negtgel!U$2:BL$2,'Tsalin uzuulelt'!L$3,negtgel!U296:BL296)+SUMIF(negtgel!U$2:BL$2,'Tsalin uzuulelt'!L$4,negtgel!U296:BL296)+SUMIF(negtgel!U$2:BL$2,'Tsalin uzuulelt'!L$5,negtgel!U296:BL296)</f>
      </c>
      <c r="L296">
        <f>SUMIF(negtgel!U$2:BL$2,'Tsalin uzuulelt'!N$1,negtgel!U296:BL296) + SUMIF(negtgel!U$2:BL$2,'Tsalin uzuulelt'!N$2,negtgel!U296:BL296)+SUMIF(negtgel!U$2:BL$2,'Tsalin uzuulelt'!N$3,negtgel!U296:BL296)+SUMIF(negtgel!U$2:BL$2,'Tsalin uzuulelt'!N$4,negtgel!U296:BL296)+SUMIF(negtgel!U$2:BL$2,'Tsalin uzuulelt'!N$5,negtgel!U296:BL296)</f>
      </c>
      <c r="M296">
        <f>SUMIF(negtgel!U$2:BL$2,'Tsalin uzuulelt'!P$1,negtgel!U296:BL296) + SUMIF(negtgel!U$2:BL$2,'Tsalin uzuulelt'!P$2,negtgel!U296:BL296)+ SUMIF(negtgel!U$2:BL$2,'Tsalin uzuulelt'!P$3,negtgel!U296:BL296)+ SUMIF(negtgel!U$2:BL$2,'Tsalin uzuulelt'!P$4,negtgel!U296:BL296)+ SUMIF(negtgel!U$2:BL$2,'Tsalin uzuulelt'!P$5,negtgel!U296:BL296)</f>
      </c>
      <c r="N296">
        <f>IF(ISNUMBER(U296*1)=CF296,0,K296-H296-G296)</f>
      </c>
      <c r="O296">
        <f>IF(ISNUMBER(U296*1)=CF296,0,L296)</f>
      </c>
      <c r="P296">
        <f>IF(ISNUMBER(U296*1)=CF296,0,M296)</f>
      </c>
      <c r="Q296">
        <f>IF(N296&gt;2400000,N296,0)</f>
      </c>
      <c r="R296">
        <f>IF(L296/Q296*100&lt;3,2,10)</f>
      </c>
      <c r="S296">
        <f>IF(CH296=0,0,IF(B296&gt;9,10,IF(B296&gt;8,B296,IF(B296&gt;7.7,7.8,IF(B296&gt;3,B296,IF(B296&gt;1.5,2))))))</f>
      </c>
      <c r="T296">
        <f>IF(Q296=0,S296,R296)</f>
      </c>
      <c r="U296" t="n">
        <v>52.0</v>
      </c>
      <c r="V296" t="s">
        <v>3797</v>
      </c>
      <c r="W296" t="s">
        <v>3790</v>
      </c>
      <c r="X296" t="n">
        <v>580710.0</v>
      </c>
      <c r="Y296" t="n">
        <v>580710.0</v>
      </c>
      <c r="Z296" t="n">
        <v>29036.0</v>
      </c>
      <c r="AA296" t="n">
        <v>87106.0</v>
      </c>
      <c r="AB296" t="n">
        <v>0.0</v>
      </c>
      <c r="AC296" t="n">
        <v>0.0</v>
      </c>
      <c r="AD296" t="n">
        <v>0.0</v>
      </c>
      <c r="AE296" t="n">
        <v>0.0</v>
      </c>
      <c r="AF296" t="n">
        <v>69000.0</v>
      </c>
      <c r="AG296" t="n">
        <v>0.0</v>
      </c>
      <c r="AH296" t="n">
        <v>0.0</v>
      </c>
      <c r="AI296" t="n">
        <v>0.0</v>
      </c>
      <c r="AJ296" t="n">
        <v>0.0</v>
      </c>
      <c r="AK296" t="n">
        <v>0.0</v>
      </c>
      <c r="AL296" t="n">
        <v>0.0</v>
      </c>
      <c r="AM296" t="n">
        <v>0.0</v>
      </c>
      <c r="AN296" t="n">
        <v>0.0</v>
      </c>
      <c r="AO296" t="n">
        <v>765852.0</v>
      </c>
      <c r="AP296" t="n">
        <v>76586.0</v>
      </c>
      <c r="AQ296" t="n">
        <v>62616.7</v>
      </c>
      <c r="CH296">
        <f>IFERROR(U296*1,0)</f>
      </c>
    </row>
    <row r="297">
      <c r="A297" t="n">
        <v>5.0</v>
      </c>
      <c r="B297">
        <f>IF((K297-G297-H297&gt;2400000),10,(L297/(K297-G297-H297)*100))</f>
      </c>
      <c r="C297">
        <f>IF(N297&gt;2400000,240000,(N297*S297)/100)</f>
      </c>
      <c r="D297">
        <f>IF(S297=0,0,IF((N297-I297)&gt;2400000,((((((N297-I297-J297)-240000))*0.1+(I297+J297)*0.1)))-7000,((((((N297-I297-J297)-(N297-I297-J297)*S297/100)))*0.1+(I297+J297)*0.1)-7000)))</f>
      </c>
      <c r="E297">
        <f>C297-O297</f>
      </c>
      <c r="F297">
        <f>D297-P297</f>
      </c>
      <c r="G297">
        <f>SUMIF(negtgel!U$2:BL$2,'Tsalin uzuulelt'!B$1,negtgel!U297:BL297) + SUMIF(negtgel!U$2:BL$2,'Tsalin uzuulelt'!B$2,negtgel!U297:BL297)+SUMIF(negtgel!U$2:BL$2,'Tsalin uzuulelt'!B$3,negtgel!U297:BL297)+SUMIF(negtgel!U$2:BL$2,'Tsalin uzuulelt'!B$4,negtgel!U297:BL297)+SUMIF(negtgel!U$2:BL$2,'Tsalin uzuulelt'!B$5,negtgel!U297:BL297)</f>
      </c>
      <c r="H297">
        <f>SUMIF(negtgel!U$2:BL$2,'Tsalin uzuulelt'!F$1,negtgel!U297:BL297) + SUMIF(negtgel!U$2:BL$2,'Tsalin uzuulelt'!F$2,negtgel!U297:BL297)+SUMIF(negtgel!U$2:BL$2,'Tsalin uzuulelt'!F$3,negtgel!U297:BL297)+SUMIF(negtgel!U$2:BL$2,'Tsalin uzuulelt'!F$4,negtgel!U297:BL297)+SUMIF(negtgel!U$2:BL$2,'Tsalin uzuulelt'!F$5,negtgel!U297:BL297)</f>
      </c>
      <c r="I297">
        <f>SUMIF(negtgel!U$2:BL$2,'Tsalin uzuulelt'!H$1,negtgel!U297:BL297) + SUMIF(negtgel!U$2:BL$2,'Tsalin uzuulelt'!H$2,negtgel!U297:BL297)+SUMIF(negtgel!U$2:BL$2,'Tsalin uzuulelt'!H$3,negtgel!U297:BL297)+SUMIF(negtgel!U$2:BL$2,'Tsalin uzuulelt'!H$4,negtgel!U297:BL297)+SUMIF(negtgel!U$2:BL$2,'Tsalin uzuulelt'!H$5,negtgel!U297:BL297)</f>
      </c>
      <c r="J297">
        <f>SUMIF(negtgel!U$2:BL$2,'Tsalin uzuulelt'!J$1,negtgel!U297:BL297) + SUMIF(negtgel!U$2:BL$2,'Tsalin uzuulelt'!J$2,negtgel!U297:BL297)+SUMIF(negtgel!U$2:BL$2,'Tsalin uzuulelt'!J$3,negtgel!U297:BL297)+SUMIF(negtgel!U$2:BL$2,'Tsalin uzuulelt'!J$4,negtgel!U297:BL297)+SUMIF(negtgel!U$2:BL$2,'Tsalin uzuulelt'!J$5,negtgel!U297:BL297)</f>
      </c>
      <c r="K297">
        <f>SUMIF(negtgel!U$2:BL$2,'Tsalin uzuulelt'!L$1,negtgel!U297:BL297) + SUMIF(negtgel!U$2:BL$2,'Tsalin uzuulelt'!L$2,negtgel!U297:BL297)+SUMIF(negtgel!U$2:BL$2,'Tsalin uzuulelt'!L$3,negtgel!U297:BL297)+SUMIF(negtgel!U$2:BL$2,'Tsalin uzuulelt'!L$4,negtgel!U297:BL297)+SUMIF(negtgel!U$2:BL$2,'Tsalin uzuulelt'!L$5,negtgel!U297:BL297)</f>
      </c>
      <c r="L297">
        <f>SUMIF(negtgel!U$2:BL$2,'Tsalin uzuulelt'!N$1,negtgel!U297:BL297) + SUMIF(negtgel!U$2:BL$2,'Tsalin uzuulelt'!N$2,negtgel!U297:BL297)+SUMIF(negtgel!U$2:BL$2,'Tsalin uzuulelt'!N$3,negtgel!U297:BL297)+SUMIF(negtgel!U$2:BL$2,'Tsalin uzuulelt'!N$4,negtgel!U297:BL297)+SUMIF(negtgel!U$2:BL$2,'Tsalin uzuulelt'!N$5,negtgel!U297:BL297)</f>
      </c>
      <c r="M297">
        <f>SUMIF(negtgel!U$2:BL$2,'Tsalin uzuulelt'!P$1,negtgel!U297:BL297) + SUMIF(negtgel!U$2:BL$2,'Tsalin uzuulelt'!P$2,negtgel!U297:BL297)+ SUMIF(negtgel!U$2:BL$2,'Tsalin uzuulelt'!P$3,negtgel!U297:BL297)+ SUMIF(negtgel!U$2:BL$2,'Tsalin uzuulelt'!P$4,negtgel!U297:BL297)+ SUMIF(negtgel!U$2:BL$2,'Tsalin uzuulelt'!P$5,negtgel!U297:BL297)</f>
      </c>
      <c r="N297">
        <f>IF(ISNUMBER(U297*1)=CF297,0,K297-H297-G297)</f>
      </c>
      <c r="O297">
        <f>IF(ISNUMBER(U297*1)=CF297,0,L297)</f>
      </c>
      <c r="P297">
        <f>IF(ISNUMBER(U297*1)=CF297,0,M297)</f>
      </c>
      <c r="Q297">
        <f>IF(N297&gt;2400000,N297,0)</f>
      </c>
      <c r="R297">
        <f>IF(L297/Q297*100&lt;3,2,10)</f>
      </c>
      <c r="S297">
        <f>IF(CH297=0,0,IF(B297&gt;9,10,IF(B297&gt;8,B297,IF(B297&gt;7.7,7.8,IF(B297&gt;3,B297,IF(B297&gt;1.5,2))))))</f>
      </c>
      <c r="T297">
        <f>IF(Q297=0,S297,R297)</f>
      </c>
      <c r="U297" t="n">
        <v>53.0</v>
      </c>
      <c r="V297" t="s">
        <v>3798</v>
      </c>
      <c r="W297" t="s">
        <v>3792</v>
      </c>
      <c r="X297" t="n">
        <v>496912.0</v>
      </c>
      <c r="Y297" t="n">
        <v>496912.0</v>
      </c>
      <c r="Z297" t="n">
        <v>0.0</v>
      </c>
      <c r="AA297" t="n">
        <v>0.0</v>
      </c>
      <c r="AB297" t="n">
        <v>0.0</v>
      </c>
      <c r="AC297" t="n">
        <v>0.0</v>
      </c>
      <c r="AD297" t="n">
        <v>0.0</v>
      </c>
      <c r="AE297" t="n">
        <v>0.0</v>
      </c>
      <c r="AF297" t="n">
        <v>69000.0</v>
      </c>
      <c r="AG297" t="n">
        <v>0.0</v>
      </c>
      <c r="AH297" t="n">
        <v>0.0</v>
      </c>
      <c r="AI297" t="n">
        <v>0.0</v>
      </c>
      <c r="AJ297" t="n">
        <v>0.0</v>
      </c>
      <c r="AK297" t="n">
        <v>0.0</v>
      </c>
      <c r="AL297" t="n">
        <v>0.0</v>
      </c>
      <c r="AM297" t="n">
        <v>0.0</v>
      </c>
      <c r="AN297" t="n">
        <v>0.0</v>
      </c>
      <c r="AO297" t="n">
        <v>565912.0</v>
      </c>
      <c r="AP297" t="n">
        <v>56591.0</v>
      </c>
      <c r="AQ297" t="n">
        <v>44622.1</v>
      </c>
      <c r="CH297">
        <f>IFERROR(U297*1,0)</f>
      </c>
    </row>
    <row r="298">
      <c r="A298" t="n">
        <v>5.0</v>
      </c>
      <c r="B298">
        <f>IF((K298-G298-H298&gt;2400000),10,(L298/(K298-G298-H298)*100))</f>
      </c>
      <c r="C298">
        <f>IF(N298&gt;2400000,240000,(N298*S298)/100)</f>
      </c>
      <c r="D298">
        <f>IF(S298=0,0,IF((N298-I298)&gt;2400000,((((((N298-I298-J298)-240000))*0.1+(I298+J298)*0.1)))-7000,((((((N298-I298-J298)-(N298-I298-J298)*S298/100)))*0.1+(I298+J298)*0.1)-7000)))</f>
      </c>
      <c r="E298">
        <f>C298-O298</f>
      </c>
      <c r="F298">
        <f>D298-P298</f>
      </c>
      <c r="G298">
        <f>SUMIF(negtgel!U$2:BL$2,'Tsalin uzuulelt'!B$1,negtgel!U298:BL298) + SUMIF(negtgel!U$2:BL$2,'Tsalin uzuulelt'!B$2,negtgel!U298:BL298)+SUMIF(negtgel!U$2:BL$2,'Tsalin uzuulelt'!B$3,negtgel!U298:BL298)+SUMIF(negtgel!U$2:BL$2,'Tsalin uzuulelt'!B$4,negtgel!U298:BL298)+SUMIF(negtgel!U$2:BL$2,'Tsalin uzuulelt'!B$5,negtgel!U298:BL298)</f>
      </c>
      <c r="H298">
        <f>SUMIF(negtgel!U$2:BL$2,'Tsalin uzuulelt'!F$1,negtgel!U298:BL298) + SUMIF(negtgel!U$2:BL$2,'Tsalin uzuulelt'!F$2,negtgel!U298:BL298)+SUMIF(negtgel!U$2:BL$2,'Tsalin uzuulelt'!F$3,negtgel!U298:BL298)+SUMIF(negtgel!U$2:BL$2,'Tsalin uzuulelt'!F$4,negtgel!U298:BL298)+SUMIF(negtgel!U$2:BL$2,'Tsalin uzuulelt'!F$5,negtgel!U298:BL298)</f>
      </c>
      <c r="I298">
        <f>SUMIF(negtgel!U$2:BL$2,'Tsalin uzuulelt'!H$1,negtgel!U298:BL298) + SUMIF(negtgel!U$2:BL$2,'Tsalin uzuulelt'!H$2,negtgel!U298:BL298)+SUMIF(negtgel!U$2:BL$2,'Tsalin uzuulelt'!H$3,negtgel!U298:BL298)+SUMIF(negtgel!U$2:BL$2,'Tsalin uzuulelt'!H$4,negtgel!U298:BL298)+SUMIF(negtgel!U$2:BL$2,'Tsalin uzuulelt'!H$5,negtgel!U298:BL298)</f>
      </c>
      <c r="J298">
        <f>SUMIF(negtgel!U$2:BL$2,'Tsalin uzuulelt'!J$1,negtgel!U298:BL298) + SUMIF(negtgel!U$2:BL$2,'Tsalin uzuulelt'!J$2,negtgel!U298:BL298)+SUMIF(negtgel!U$2:BL$2,'Tsalin uzuulelt'!J$3,negtgel!U298:BL298)+SUMIF(negtgel!U$2:BL$2,'Tsalin uzuulelt'!J$4,negtgel!U298:BL298)+SUMIF(negtgel!U$2:BL$2,'Tsalin uzuulelt'!J$5,negtgel!U298:BL298)</f>
      </c>
      <c r="K298">
        <f>SUMIF(negtgel!U$2:BL$2,'Tsalin uzuulelt'!L$1,negtgel!U298:BL298) + SUMIF(negtgel!U$2:BL$2,'Tsalin uzuulelt'!L$2,negtgel!U298:BL298)+SUMIF(negtgel!U$2:BL$2,'Tsalin uzuulelt'!L$3,negtgel!U298:BL298)+SUMIF(negtgel!U$2:BL$2,'Tsalin uzuulelt'!L$4,negtgel!U298:BL298)+SUMIF(negtgel!U$2:BL$2,'Tsalin uzuulelt'!L$5,negtgel!U298:BL298)</f>
      </c>
      <c r="L298">
        <f>SUMIF(negtgel!U$2:BL$2,'Tsalin uzuulelt'!N$1,negtgel!U298:BL298) + SUMIF(negtgel!U$2:BL$2,'Tsalin uzuulelt'!N$2,negtgel!U298:BL298)+SUMIF(negtgel!U$2:BL$2,'Tsalin uzuulelt'!N$3,negtgel!U298:BL298)+SUMIF(negtgel!U$2:BL$2,'Tsalin uzuulelt'!N$4,negtgel!U298:BL298)+SUMIF(negtgel!U$2:BL$2,'Tsalin uzuulelt'!N$5,negtgel!U298:BL298)</f>
      </c>
      <c r="M298">
        <f>SUMIF(negtgel!U$2:BL$2,'Tsalin uzuulelt'!P$1,negtgel!U298:BL298) + SUMIF(negtgel!U$2:BL$2,'Tsalin uzuulelt'!P$2,negtgel!U298:BL298)+ SUMIF(negtgel!U$2:BL$2,'Tsalin uzuulelt'!P$3,negtgel!U298:BL298)+ SUMIF(negtgel!U$2:BL$2,'Tsalin uzuulelt'!P$4,negtgel!U298:BL298)+ SUMIF(negtgel!U$2:BL$2,'Tsalin uzuulelt'!P$5,negtgel!U298:BL298)</f>
      </c>
      <c r="N298">
        <f>IF(ISNUMBER(U298*1)=CF298,0,K298-H298-G298)</f>
      </c>
      <c r="O298">
        <f>IF(ISNUMBER(U298*1)=CF298,0,L298)</f>
      </c>
      <c r="P298">
        <f>IF(ISNUMBER(U298*1)=CF298,0,M298)</f>
      </c>
      <c r="Q298">
        <f>IF(N298&gt;2400000,N298,0)</f>
      </c>
      <c r="R298">
        <f>IF(L298/Q298*100&lt;3,2,10)</f>
      </c>
      <c r="S298">
        <f>IF(CH298=0,0,IF(B298&gt;9,10,IF(B298&gt;8,B298,IF(B298&gt;7.7,7.8,IF(B298&gt;3,B298,IF(B298&gt;1.5,2))))))</f>
      </c>
      <c r="T298">
        <f>IF(Q298=0,S298,R298)</f>
      </c>
      <c r="U298" t="n">
        <v>54.0</v>
      </c>
      <c r="V298" t="s">
        <v>3799</v>
      </c>
      <c r="W298" t="s">
        <v>3785</v>
      </c>
      <c r="X298" t="n">
        <v>795935.0</v>
      </c>
      <c r="Y298" t="n">
        <v>795935.0</v>
      </c>
      <c r="Z298" t="n">
        <v>119390.0</v>
      </c>
      <c r="AA298" t="n">
        <v>159187.0</v>
      </c>
      <c r="AB298" t="n">
        <v>0.0</v>
      </c>
      <c r="AC298" t="n">
        <v>0.0</v>
      </c>
      <c r="AD298" t="n">
        <v>0.0</v>
      </c>
      <c r="AE298" t="n">
        <v>0.0</v>
      </c>
      <c r="AF298" t="n">
        <v>69000.0</v>
      </c>
      <c r="AG298" t="n">
        <v>0.0</v>
      </c>
      <c r="AH298" t="n">
        <v>0.0</v>
      </c>
      <c r="AI298" t="n">
        <v>0.0</v>
      </c>
      <c r="AJ298" t="n">
        <v>0.0</v>
      </c>
      <c r="AK298" t="n">
        <v>0.0</v>
      </c>
      <c r="AL298" t="n">
        <v>0.0</v>
      </c>
      <c r="AM298" t="n">
        <v>0.0</v>
      </c>
      <c r="AN298" t="n">
        <v>0.0</v>
      </c>
      <c r="AO298" t="n">
        <v>1143512.0</v>
      </c>
      <c r="AP298" t="n">
        <v>114351.0</v>
      </c>
      <c r="AQ298" t="n">
        <v>96606.1</v>
      </c>
      <c r="CH298">
        <f>IFERROR(U298*1,0)</f>
      </c>
    </row>
    <row r="299">
      <c r="A299" t="n">
        <v>5.0</v>
      </c>
      <c r="B299">
        <f>IF((K299-G299-H299&gt;2400000),10,(L299/(K299-G299-H299)*100))</f>
      </c>
      <c r="C299">
        <f>IF(N299&gt;2400000,240000,(N299*S299)/100)</f>
      </c>
      <c r="D299">
        <f>IF(S299=0,0,IF((N299-I299)&gt;2400000,((((((N299-I299-J299)-240000))*0.1+(I299+J299)*0.1)))-7000,((((((N299-I299-J299)-(N299-I299-J299)*S299/100)))*0.1+(I299+J299)*0.1)-7000)))</f>
      </c>
      <c r="E299">
        <f>C299-O299</f>
      </c>
      <c r="F299">
        <f>D299-P299</f>
      </c>
      <c r="G299">
        <f>SUMIF(negtgel!U$2:BL$2,'Tsalin uzuulelt'!B$1,negtgel!U299:BL299) + SUMIF(negtgel!U$2:BL$2,'Tsalin uzuulelt'!B$2,negtgel!U299:BL299)+SUMIF(negtgel!U$2:BL$2,'Tsalin uzuulelt'!B$3,negtgel!U299:BL299)+SUMIF(negtgel!U$2:BL$2,'Tsalin uzuulelt'!B$4,negtgel!U299:BL299)+SUMIF(negtgel!U$2:BL$2,'Tsalin uzuulelt'!B$5,negtgel!U299:BL299)</f>
      </c>
      <c r="H299">
        <f>SUMIF(negtgel!U$2:BL$2,'Tsalin uzuulelt'!F$1,negtgel!U299:BL299) + SUMIF(negtgel!U$2:BL$2,'Tsalin uzuulelt'!F$2,negtgel!U299:BL299)+SUMIF(negtgel!U$2:BL$2,'Tsalin uzuulelt'!F$3,negtgel!U299:BL299)+SUMIF(negtgel!U$2:BL$2,'Tsalin uzuulelt'!F$4,negtgel!U299:BL299)+SUMIF(negtgel!U$2:BL$2,'Tsalin uzuulelt'!F$5,negtgel!U299:BL299)</f>
      </c>
      <c r="I299">
        <f>SUMIF(negtgel!U$2:BL$2,'Tsalin uzuulelt'!H$1,negtgel!U299:BL299) + SUMIF(negtgel!U$2:BL$2,'Tsalin uzuulelt'!H$2,negtgel!U299:BL299)+SUMIF(negtgel!U$2:BL$2,'Tsalin uzuulelt'!H$3,negtgel!U299:BL299)+SUMIF(negtgel!U$2:BL$2,'Tsalin uzuulelt'!H$4,negtgel!U299:BL299)+SUMIF(negtgel!U$2:BL$2,'Tsalin uzuulelt'!H$5,negtgel!U299:BL299)</f>
      </c>
      <c r="J299">
        <f>SUMIF(negtgel!U$2:BL$2,'Tsalin uzuulelt'!J$1,negtgel!U299:BL299) + SUMIF(negtgel!U$2:BL$2,'Tsalin uzuulelt'!J$2,negtgel!U299:BL299)+SUMIF(negtgel!U$2:BL$2,'Tsalin uzuulelt'!J$3,negtgel!U299:BL299)+SUMIF(negtgel!U$2:BL$2,'Tsalin uzuulelt'!J$4,negtgel!U299:BL299)+SUMIF(negtgel!U$2:BL$2,'Tsalin uzuulelt'!J$5,negtgel!U299:BL299)</f>
      </c>
      <c r="K299">
        <f>SUMIF(negtgel!U$2:BL$2,'Tsalin uzuulelt'!L$1,negtgel!U299:BL299) + SUMIF(negtgel!U$2:BL$2,'Tsalin uzuulelt'!L$2,negtgel!U299:BL299)+SUMIF(negtgel!U$2:BL$2,'Tsalin uzuulelt'!L$3,negtgel!U299:BL299)+SUMIF(negtgel!U$2:BL$2,'Tsalin uzuulelt'!L$4,negtgel!U299:BL299)+SUMIF(negtgel!U$2:BL$2,'Tsalin uzuulelt'!L$5,negtgel!U299:BL299)</f>
      </c>
      <c r="L299">
        <f>SUMIF(negtgel!U$2:BL$2,'Tsalin uzuulelt'!N$1,negtgel!U299:BL299) + SUMIF(negtgel!U$2:BL$2,'Tsalin uzuulelt'!N$2,negtgel!U299:BL299)+SUMIF(negtgel!U$2:BL$2,'Tsalin uzuulelt'!N$3,negtgel!U299:BL299)+SUMIF(negtgel!U$2:BL$2,'Tsalin uzuulelt'!N$4,negtgel!U299:BL299)+SUMIF(negtgel!U$2:BL$2,'Tsalin uzuulelt'!N$5,negtgel!U299:BL299)</f>
      </c>
      <c r="M299">
        <f>SUMIF(negtgel!U$2:BL$2,'Tsalin uzuulelt'!P$1,negtgel!U299:BL299) + SUMIF(negtgel!U$2:BL$2,'Tsalin uzuulelt'!P$2,negtgel!U299:BL299)+ SUMIF(negtgel!U$2:BL$2,'Tsalin uzuulelt'!P$3,negtgel!U299:BL299)+ SUMIF(negtgel!U$2:BL$2,'Tsalin uzuulelt'!P$4,negtgel!U299:BL299)+ SUMIF(negtgel!U$2:BL$2,'Tsalin uzuulelt'!P$5,negtgel!U299:BL299)</f>
      </c>
      <c r="N299">
        <f>IF(ISNUMBER(U299*1)=CF299,0,K299-H299-G299)</f>
      </c>
      <c r="O299">
        <f>IF(ISNUMBER(U299*1)=CF299,0,L299)</f>
      </c>
      <c r="P299">
        <f>IF(ISNUMBER(U299*1)=CF299,0,M299)</f>
      </c>
      <c r="Q299">
        <f>IF(N299&gt;2400000,N299,0)</f>
      </c>
      <c r="R299">
        <f>IF(L299/Q299*100&lt;3,2,10)</f>
      </c>
      <c r="S299">
        <f>IF(CH299=0,0,IF(B299&gt;9,10,IF(B299&gt;8,B299,IF(B299&gt;7.7,7.8,IF(B299&gt;3,B299,IF(B299&gt;1.5,2))))))</f>
      </c>
      <c r="T299">
        <f>IF(Q299=0,S299,R299)</f>
      </c>
      <c r="U299" t="n">
        <v>55.0</v>
      </c>
      <c r="V299" t="s">
        <v>3800</v>
      </c>
      <c r="W299" t="s">
        <v>3790</v>
      </c>
      <c r="X299" t="n">
        <v>613669.0</v>
      </c>
      <c r="Y299" t="n">
        <v>346856.0</v>
      </c>
      <c r="Z299" t="n">
        <v>52028.0</v>
      </c>
      <c r="AA299" t="n">
        <v>69371.0</v>
      </c>
      <c r="AB299" t="n">
        <v>0.0</v>
      </c>
      <c r="AC299" t="n">
        <v>0.0</v>
      </c>
      <c r="AD299" t="n">
        <v>0.0</v>
      </c>
      <c r="AE299" t="n">
        <v>0.0</v>
      </c>
      <c r="AF299" t="n">
        <v>39000.0</v>
      </c>
      <c r="AG299" t="n">
        <v>0.0</v>
      </c>
      <c r="AH299" t="n">
        <v>0.0</v>
      </c>
      <c r="AI299" t="n">
        <v>0.0</v>
      </c>
      <c r="AJ299" t="n">
        <v>0.0</v>
      </c>
      <c r="AK299" t="n">
        <v>0.0</v>
      </c>
      <c r="AL299" t="n">
        <v>0.0</v>
      </c>
      <c r="AM299" t="n">
        <v>0.0</v>
      </c>
      <c r="AN299" t="n">
        <v>0.0</v>
      </c>
      <c r="AO299" t="n">
        <v>507255.0</v>
      </c>
      <c r="AP299" t="n">
        <v>50726.0</v>
      </c>
      <c r="AQ299" t="n">
        <v>39043.0</v>
      </c>
      <c r="CH299">
        <f>IFERROR(U299*1,0)</f>
      </c>
    </row>
    <row r="300">
      <c r="A300" t="n">
        <v>5.0</v>
      </c>
      <c r="B300">
        <f>IF((K300-G300-H300&gt;2400000),10,(L300/(K300-G300-H300)*100))</f>
      </c>
      <c r="C300">
        <f>IF(N300&gt;2400000,240000,(N300*S300)/100)</f>
      </c>
      <c r="D300">
        <f>IF(S300=0,0,IF((N300-I300)&gt;2400000,((((((N300-I300-J300)-240000))*0.1+(I300+J300)*0.1)))-7000,((((((N300-I300-J300)-(N300-I300-J300)*S300/100)))*0.1+(I300+J300)*0.1)-7000)))</f>
      </c>
      <c r="E300">
        <f>C300-O300</f>
      </c>
      <c r="F300">
        <f>D300-P300</f>
      </c>
      <c r="G300">
        <f>SUMIF(negtgel!U$2:BL$2,'Tsalin uzuulelt'!B$1,negtgel!U300:BL300) + SUMIF(negtgel!U$2:BL$2,'Tsalin uzuulelt'!B$2,negtgel!U300:BL300)+SUMIF(negtgel!U$2:BL$2,'Tsalin uzuulelt'!B$3,negtgel!U300:BL300)+SUMIF(negtgel!U$2:BL$2,'Tsalin uzuulelt'!B$4,negtgel!U300:BL300)+SUMIF(negtgel!U$2:BL$2,'Tsalin uzuulelt'!B$5,negtgel!U300:BL300)</f>
      </c>
      <c r="H300">
        <f>SUMIF(negtgel!U$2:BL$2,'Tsalin uzuulelt'!F$1,negtgel!U300:BL300) + SUMIF(negtgel!U$2:BL$2,'Tsalin uzuulelt'!F$2,negtgel!U300:BL300)+SUMIF(negtgel!U$2:BL$2,'Tsalin uzuulelt'!F$3,negtgel!U300:BL300)+SUMIF(negtgel!U$2:BL$2,'Tsalin uzuulelt'!F$4,negtgel!U300:BL300)+SUMIF(negtgel!U$2:BL$2,'Tsalin uzuulelt'!F$5,negtgel!U300:BL300)</f>
      </c>
      <c r="I300">
        <f>SUMIF(negtgel!U$2:BL$2,'Tsalin uzuulelt'!H$1,negtgel!U300:BL300) + SUMIF(negtgel!U$2:BL$2,'Tsalin uzuulelt'!H$2,negtgel!U300:BL300)+SUMIF(negtgel!U$2:BL$2,'Tsalin uzuulelt'!H$3,negtgel!U300:BL300)+SUMIF(negtgel!U$2:BL$2,'Tsalin uzuulelt'!H$4,negtgel!U300:BL300)+SUMIF(negtgel!U$2:BL$2,'Tsalin uzuulelt'!H$5,negtgel!U300:BL300)</f>
      </c>
      <c r="J300">
        <f>SUMIF(negtgel!U$2:BL$2,'Tsalin uzuulelt'!J$1,negtgel!U300:BL300) + SUMIF(negtgel!U$2:BL$2,'Tsalin uzuulelt'!J$2,negtgel!U300:BL300)+SUMIF(negtgel!U$2:BL$2,'Tsalin uzuulelt'!J$3,negtgel!U300:BL300)+SUMIF(negtgel!U$2:BL$2,'Tsalin uzuulelt'!J$4,negtgel!U300:BL300)+SUMIF(negtgel!U$2:BL$2,'Tsalin uzuulelt'!J$5,negtgel!U300:BL300)</f>
      </c>
      <c r="K300">
        <f>SUMIF(negtgel!U$2:BL$2,'Tsalin uzuulelt'!L$1,negtgel!U300:BL300) + SUMIF(negtgel!U$2:BL$2,'Tsalin uzuulelt'!L$2,negtgel!U300:BL300)+SUMIF(negtgel!U$2:BL$2,'Tsalin uzuulelt'!L$3,negtgel!U300:BL300)+SUMIF(negtgel!U$2:BL$2,'Tsalin uzuulelt'!L$4,negtgel!U300:BL300)+SUMIF(negtgel!U$2:BL$2,'Tsalin uzuulelt'!L$5,negtgel!U300:BL300)</f>
      </c>
      <c r="L300">
        <f>SUMIF(negtgel!U$2:BL$2,'Tsalin uzuulelt'!N$1,negtgel!U300:BL300) + SUMIF(negtgel!U$2:BL$2,'Tsalin uzuulelt'!N$2,negtgel!U300:BL300)+SUMIF(negtgel!U$2:BL$2,'Tsalin uzuulelt'!N$3,negtgel!U300:BL300)+SUMIF(negtgel!U$2:BL$2,'Tsalin uzuulelt'!N$4,negtgel!U300:BL300)+SUMIF(negtgel!U$2:BL$2,'Tsalin uzuulelt'!N$5,negtgel!U300:BL300)</f>
      </c>
      <c r="M300">
        <f>SUMIF(negtgel!U$2:BL$2,'Tsalin uzuulelt'!P$1,negtgel!U300:BL300) + SUMIF(negtgel!U$2:BL$2,'Tsalin uzuulelt'!P$2,negtgel!U300:BL300)+ SUMIF(negtgel!U$2:BL$2,'Tsalin uzuulelt'!P$3,negtgel!U300:BL300)+ SUMIF(negtgel!U$2:BL$2,'Tsalin uzuulelt'!P$4,negtgel!U300:BL300)+ SUMIF(negtgel!U$2:BL$2,'Tsalin uzuulelt'!P$5,negtgel!U300:BL300)</f>
      </c>
      <c r="N300">
        <f>IF(ISNUMBER(U300*1)=CF300,0,K300-H300-G300)</f>
      </c>
      <c r="O300">
        <f>IF(ISNUMBER(U300*1)=CF300,0,L300)</f>
      </c>
      <c r="P300">
        <f>IF(ISNUMBER(U300*1)=CF300,0,M300)</f>
      </c>
      <c r="Q300">
        <f>IF(N300&gt;2400000,N300,0)</f>
      </c>
      <c r="R300">
        <f>IF(L300/Q300*100&lt;3,2,10)</f>
      </c>
      <c r="S300">
        <f>IF(CH300=0,0,IF(B300&gt;9,10,IF(B300&gt;8,B300,IF(B300&gt;7.7,7.8,IF(B300&gt;3,B300,IF(B300&gt;1.5,2))))))</f>
      </c>
      <c r="T300">
        <f>IF(Q300=0,S300,R300)</f>
      </c>
      <c r="U300" t="n">
        <v>56.0</v>
      </c>
      <c r="V300" t="s">
        <v>3801</v>
      </c>
      <c r="W300" t="s">
        <v>3790</v>
      </c>
      <c r="X300" t="n">
        <v>580710.0</v>
      </c>
      <c r="Y300" t="n">
        <v>580710.0</v>
      </c>
      <c r="Z300" t="n">
        <v>0.0</v>
      </c>
      <c r="AA300" t="n">
        <v>0.0</v>
      </c>
      <c r="AB300" t="n">
        <v>0.0</v>
      </c>
      <c r="AC300" t="n">
        <v>0.0</v>
      </c>
      <c r="AD300" t="n">
        <v>0.0</v>
      </c>
      <c r="AE300" t="n">
        <v>0.0</v>
      </c>
      <c r="AF300" t="n">
        <v>69000.0</v>
      </c>
      <c r="AG300" t="n">
        <v>0.0</v>
      </c>
      <c r="AH300" t="n">
        <v>0.0</v>
      </c>
      <c r="AI300" t="n">
        <v>0.0</v>
      </c>
      <c r="AJ300" t="n">
        <v>0.0</v>
      </c>
      <c r="AK300" t="n">
        <v>0.0</v>
      </c>
      <c r="AL300" t="n">
        <v>0.0</v>
      </c>
      <c r="AM300" t="n">
        <v>0.0</v>
      </c>
      <c r="AN300" t="n">
        <v>0.0</v>
      </c>
      <c r="AO300" t="n">
        <v>649710.0</v>
      </c>
      <c r="AP300" t="n">
        <v>64971.0</v>
      </c>
      <c r="AQ300" t="n">
        <v>52163.9</v>
      </c>
      <c r="CH300">
        <f>IFERROR(U300*1,0)</f>
      </c>
    </row>
    <row r="301">
      <c r="A301" t="n">
        <v>5.0</v>
      </c>
      <c r="B301">
        <f>IF((K301-G301-H301&gt;2400000),10,(L301/(K301-G301-H301)*100))</f>
      </c>
      <c r="C301">
        <f>IF(N301&gt;2400000,240000,(N301*S301)/100)</f>
      </c>
      <c r="D301">
        <f>IF(S301=0,0,IF((N301-I301)&gt;2400000,((((((N301-I301-J301)-240000))*0.1+(I301+J301)*0.1)))-7000,((((((N301-I301-J301)-(N301-I301-J301)*S301/100)))*0.1+(I301+J301)*0.1)-7000)))</f>
      </c>
      <c r="E301">
        <f>C301-O301</f>
      </c>
      <c r="F301">
        <f>D301-P301</f>
      </c>
      <c r="G301">
        <f>SUMIF(negtgel!U$2:BL$2,'Tsalin uzuulelt'!B$1,negtgel!U301:BL301) + SUMIF(negtgel!U$2:BL$2,'Tsalin uzuulelt'!B$2,negtgel!U301:BL301)+SUMIF(negtgel!U$2:BL$2,'Tsalin uzuulelt'!B$3,negtgel!U301:BL301)+SUMIF(negtgel!U$2:BL$2,'Tsalin uzuulelt'!B$4,negtgel!U301:BL301)+SUMIF(negtgel!U$2:BL$2,'Tsalin uzuulelt'!B$5,negtgel!U301:BL301)</f>
      </c>
      <c r="H301">
        <f>SUMIF(negtgel!U$2:BL$2,'Tsalin uzuulelt'!F$1,negtgel!U301:BL301) + SUMIF(negtgel!U$2:BL$2,'Tsalin uzuulelt'!F$2,negtgel!U301:BL301)+SUMIF(negtgel!U$2:BL$2,'Tsalin uzuulelt'!F$3,negtgel!U301:BL301)+SUMIF(negtgel!U$2:BL$2,'Tsalin uzuulelt'!F$4,negtgel!U301:BL301)+SUMIF(negtgel!U$2:BL$2,'Tsalin uzuulelt'!F$5,negtgel!U301:BL301)</f>
      </c>
      <c r="I301">
        <f>SUMIF(negtgel!U$2:BL$2,'Tsalin uzuulelt'!H$1,negtgel!U301:BL301) + SUMIF(negtgel!U$2:BL$2,'Tsalin uzuulelt'!H$2,negtgel!U301:BL301)+SUMIF(negtgel!U$2:BL$2,'Tsalin uzuulelt'!H$3,negtgel!U301:BL301)+SUMIF(negtgel!U$2:BL$2,'Tsalin uzuulelt'!H$4,negtgel!U301:BL301)+SUMIF(negtgel!U$2:BL$2,'Tsalin uzuulelt'!H$5,negtgel!U301:BL301)</f>
      </c>
      <c r="J301">
        <f>SUMIF(negtgel!U$2:BL$2,'Tsalin uzuulelt'!J$1,negtgel!U301:BL301) + SUMIF(negtgel!U$2:BL$2,'Tsalin uzuulelt'!J$2,negtgel!U301:BL301)+SUMIF(negtgel!U$2:BL$2,'Tsalin uzuulelt'!J$3,negtgel!U301:BL301)+SUMIF(negtgel!U$2:BL$2,'Tsalin uzuulelt'!J$4,negtgel!U301:BL301)+SUMIF(negtgel!U$2:BL$2,'Tsalin uzuulelt'!J$5,negtgel!U301:BL301)</f>
      </c>
      <c r="K301">
        <f>SUMIF(negtgel!U$2:BL$2,'Tsalin uzuulelt'!L$1,negtgel!U301:BL301) + SUMIF(negtgel!U$2:BL$2,'Tsalin uzuulelt'!L$2,negtgel!U301:BL301)+SUMIF(negtgel!U$2:BL$2,'Tsalin uzuulelt'!L$3,negtgel!U301:BL301)+SUMIF(negtgel!U$2:BL$2,'Tsalin uzuulelt'!L$4,negtgel!U301:BL301)+SUMIF(negtgel!U$2:BL$2,'Tsalin uzuulelt'!L$5,negtgel!U301:BL301)</f>
      </c>
      <c r="L301">
        <f>SUMIF(negtgel!U$2:BL$2,'Tsalin uzuulelt'!N$1,negtgel!U301:BL301) + SUMIF(negtgel!U$2:BL$2,'Tsalin uzuulelt'!N$2,negtgel!U301:BL301)+SUMIF(negtgel!U$2:BL$2,'Tsalin uzuulelt'!N$3,negtgel!U301:BL301)+SUMIF(negtgel!U$2:BL$2,'Tsalin uzuulelt'!N$4,negtgel!U301:BL301)+SUMIF(negtgel!U$2:BL$2,'Tsalin uzuulelt'!N$5,negtgel!U301:BL301)</f>
      </c>
      <c r="M301">
        <f>SUMIF(negtgel!U$2:BL$2,'Tsalin uzuulelt'!P$1,negtgel!U301:BL301) + SUMIF(negtgel!U$2:BL$2,'Tsalin uzuulelt'!P$2,negtgel!U301:BL301)+ SUMIF(negtgel!U$2:BL$2,'Tsalin uzuulelt'!P$3,negtgel!U301:BL301)+ SUMIF(negtgel!U$2:BL$2,'Tsalin uzuulelt'!P$4,negtgel!U301:BL301)+ SUMIF(negtgel!U$2:BL$2,'Tsalin uzuulelt'!P$5,negtgel!U301:BL301)</f>
      </c>
      <c r="N301">
        <f>IF(ISNUMBER(U301*1)=CF301,0,K301-H301-G301)</f>
      </c>
      <c r="O301">
        <f>IF(ISNUMBER(U301*1)=CF301,0,L301)</f>
      </c>
      <c r="P301">
        <f>IF(ISNUMBER(U301*1)=CF301,0,M301)</f>
      </c>
      <c r="Q301">
        <f>IF(N301&gt;2400000,N301,0)</f>
      </c>
      <c r="R301">
        <f>IF(L301/Q301*100&lt;3,2,10)</f>
      </c>
      <c r="S301">
        <f>IF(CH301=0,0,IF(B301&gt;9,10,IF(B301&gt;8,B301,IF(B301&gt;7.7,7.8,IF(B301&gt;3,B301,IF(B301&gt;1.5,2))))))</f>
      </c>
      <c r="T301">
        <f>IF(Q301=0,S301,R301)</f>
      </c>
      <c r="U301" t="n">
        <v>57.0</v>
      </c>
      <c r="V301" t="s">
        <v>3802</v>
      </c>
      <c r="W301" t="s">
        <v>3792</v>
      </c>
      <c r="X301" t="n">
        <v>496912.0</v>
      </c>
      <c r="Y301" t="n">
        <v>496912.0</v>
      </c>
      <c r="Z301" t="n">
        <v>0.0</v>
      </c>
      <c r="AA301" t="n">
        <v>0.0</v>
      </c>
      <c r="AB301" t="n">
        <v>0.0</v>
      </c>
      <c r="AC301" t="n">
        <v>0.0</v>
      </c>
      <c r="AD301" t="n">
        <v>0.0</v>
      </c>
      <c r="AE301" t="n">
        <v>0.0</v>
      </c>
      <c r="AF301" t="n">
        <v>69000.0</v>
      </c>
      <c r="AG301" t="n">
        <v>0.0</v>
      </c>
      <c r="AH301" t="n">
        <v>0.0</v>
      </c>
      <c r="AI301" t="n">
        <v>0.0</v>
      </c>
      <c r="AJ301" t="n">
        <v>0.0</v>
      </c>
      <c r="AK301" t="n">
        <v>0.0</v>
      </c>
      <c r="AL301" t="n">
        <v>0.0</v>
      </c>
      <c r="AM301" t="n">
        <v>0.0</v>
      </c>
      <c r="AN301" t="n">
        <v>0.0</v>
      </c>
      <c r="AO301" t="n">
        <v>565912.0</v>
      </c>
      <c r="AP301" t="n">
        <v>56591.0</v>
      </c>
      <c r="AQ301" t="n">
        <v>44622.1</v>
      </c>
      <c r="CH301">
        <f>IFERROR(U301*1,0)</f>
      </c>
    </row>
    <row r="302">
      <c r="A302" t="n">
        <v>5.0</v>
      </c>
      <c r="B302">
        <f>IF((K302-G302-H302&gt;2400000),10,(L302/(K302-G302-H302)*100))</f>
      </c>
      <c r="C302">
        <f>IF(N302&gt;2400000,240000,(N302*S302)/100)</f>
      </c>
      <c r="D302">
        <f>IF(S302=0,0,IF((N302-I302)&gt;2400000,((((((N302-I302-J302)-240000))*0.1+(I302+J302)*0.1)))-7000,((((((N302-I302-J302)-(N302-I302-J302)*S302/100)))*0.1+(I302+J302)*0.1)-7000)))</f>
      </c>
      <c r="E302">
        <f>C302-O302</f>
      </c>
      <c r="F302">
        <f>D302-P302</f>
      </c>
      <c r="G302">
        <f>SUMIF(negtgel!U$2:BL$2,'Tsalin uzuulelt'!B$1,negtgel!U302:BL302) + SUMIF(negtgel!U$2:BL$2,'Tsalin uzuulelt'!B$2,negtgel!U302:BL302)+SUMIF(negtgel!U$2:BL$2,'Tsalin uzuulelt'!B$3,negtgel!U302:BL302)+SUMIF(negtgel!U$2:BL$2,'Tsalin uzuulelt'!B$4,negtgel!U302:BL302)+SUMIF(negtgel!U$2:BL$2,'Tsalin uzuulelt'!B$5,negtgel!U302:BL302)</f>
      </c>
      <c r="H302">
        <f>SUMIF(negtgel!U$2:BL$2,'Tsalin uzuulelt'!F$1,negtgel!U302:BL302) + SUMIF(negtgel!U$2:BL$2,'Tsalin uzuulelt'!F$2,negtgel!U302:BL302)+SUMIF(negtgel!U$2:BL$2,'Tsalin uzuulelt'!F$3,negtgel!U302:BL302)+SUMIF(negtgel!U$2:BL$2,'Tsalin uzuulelt'!F$4,negtgel!U302:BL302)+SUMIF(negtgel!U$2:BL$2,'Tsalin uzuulelt'!F$5,negtgel!U302:BL302)</f>
      </c>
      <c r="I302">
        <f>SUMIF(negtgel!U$2:BL$2,'Tsalin uzuulelt'!H$1,negtgel!U302:BL302) + SUMIF(negtgel!U$2:BL$2,'Tsalin uzuulelt'!H$2,negtgel!U302:BL302)+SUMIF(negtgel!U$2:BL$2,'Tsalin uzuulelt'!H$3,negtgel!U302:BL302)+SUMIF(negtgel!U$2:BL$2,'Tsalin uzuulelt'!H$4,negtgel!U302:BL302)+SUMIF(negtgel!U$2:BL$2,'Tsalin uzuulelt'!H$5,negtgel!U302:BL302)</f>
      </c>
      <c r="J302">
        <f>SUMIF(negtgel!U$2:BL$2,'Tsalin uzuulelt'!J$1,negtgel!U302:BL302) + SUMIF(negtgel!U$2:BL$2,'Tsalin uzuulelt'!J$2,negtgel!U302:BL302)+SUMIF(negtgel!U$2:BL$2,'Tsalin uzuulelt'!J$3,negtgel!U302:BL302)+SUMIF(negtgel!U$2:BL$2,'Tsalin uzuulelt'!J$4,negtgel!U302:BL302)+SUMIF(negtgel!U$2:BL$2,'Tsalin uzuulelt'!J$5,negtgel!U302:BL302)</f>
      </c>
      <c r="K302">
        <f>SUMIF(negtgel!U$2:BL$2,'Tsalin uzuulelt'!L$1,negtgel!U302:BL302) + SUMIF(negtgel!U$2:BL$2,'Tsalin uzuulelt'!L$2,negtgel!U302:BL302)+SUMIF(negtgel!U$2:BL$2,'Tsalin uzuulelt'!L$3,negtgel!U302:BL302)+SUMIF(negtgel!U$2:BL$2,'Tsalin uzuulelt'!L$4,negtgel!U302:BL302)+SUMIF(negtgel!U$2:BL$2,'Tsalin uzuulelt'!L$5,negtgel!U302:BL302)</f>
      </c>
      <c r="L302">
        <f>SUMIF(negtgel!U$2:BL$2,'Tsalin uzuulelt'!N$1,negtgel!U302:BL302) + SUMIF(negtgel!U$2:BL$2,'Tsalin uzuulelt'!N$2,negtgel!U302:BL302)+SUMIF(negtgel!U$2:BL$2,'Tsalin uzuulelt'!N$3,negtgel!U302:BL302)+SUMIF(negtgel!U$2:BL$2,'Tsalin uzuulelt'!N$4,negtgel!U302:BL302)+SUMIF(negtgel!U$2:BL$2,'Tsalin uzuulelt'!N$5,negtgel!U302:BL302)</f>
      </c>
      <c r="M302">
        <f>SUMIF(negtgel!U$2:BL$2,'Tsalin uzuulelt'!P$1,negtgel!U302:BL302) + SUMIF(negtgel!U$2:BL$2,'Tsalin uzuulelt'!P$2,negtgel!U302:BL302)+ SUMIF(negtgel!U$2:BL$2,'Tsalin uzuulelt'!P$3,negtgel!U302:BL302)+ SUMIF(negtgel!U$2:BL$2,'Tsalin uzuulelt'!P$4,negtgel!U302:BL302)+ SUMIF(negtgel!U$2:BL$2,'Tsalin uzuulelt'!P$5,negtgel!U302:BL302)</f>
      </c>
      <c r="N302">
        <f>IF(ISNUMBER(U302*1)=CF302,0,K302-H302-G302)</f>
      </c>
      <c r="O302">
        <f>IF(ISNUMBER(U302*1)=CF302,0,L302)</f>
      </c>
      <c r="P302">
        <f>IF(ISNUMBER(U302*1)=CF302,0,M302)</f>
      </c>
      <c r="Q302">
        <f>IF(N302&gt;2400000,N302,0)</f>
      </c>
      <c r="R302">
        <f>IF(L302/Q302*100&lt;3,2,10)</f>
      </c>
      <c r="S302">
        <f>IF(CH302=0,0,IF(B302&gt;9,10,IF(B302&gt;8,B302,IF(B302&gt;7.7,7.8,IF(B302&gt;3,B302,IF(B302&gt;1.5,2))))))</f>
      </c>
      <c r="T302">
        <f>IF(Q302=0,S302,R302)</f>
      </c>
      <c r="U302" t="n">
        <v>58.0</v>
      </c>
      <c r="V302" t="s">
        <v>3803</v>
      </c>
      <c r="W302" t="s">
        <v>3790</v>
      </c>
      <c r="X302" t="n">
        <v>733863.0</v>
      </c>
      <c r="Y302" t="n">
        <v>733863.0</v>
      </c>
      <c r="Z302" t="n">
        <v>146773.0</v>
      </c>
      <c r="AA302" t="n">
        <v>146773.0</v>
      </c>
      <c r="AB302" t="n">
        <v>0.0</v>
      </c>
      <c r="AC302" t="n">
        <v>110079.0</v>
      </c>
      <c r="AD302" t="n">
        <v>0.0</v>
      </c>
      <c r="AE302" t="n">
        <v>0.0</v>
      </c>
      <c r="AF302" t="n">
        <v>69000.0</v>
      </c>
      <c r="AG302" t="n">
        <v>0.0</v>
      </c>
      <c r="AH302" t="n">
        <v>0.0</v>
      </c>
      <c r="AI302" t="n">
        <v>0.0</v>
      </c>
      <c r="AJ302" t="n">
        <v>0.0</v>
      </c>
      <c r="AK302" t="n">
        <v>0.0</v>
      </c>
      <c r="AL302" t="n">
        <v>0.0</v>
      </c>
      <c r="AM302" t="n">
        <v>0.0</v>
      </c>
      <c r="AN302" t="n">
        <v>0.0</v>
      </c>
      <c r="AO302" t="n">
        <v>1206488.0</v>
      </c>
      <c r="AP302" t="n">
        <v>120649.0</v>
      </c>
      <c r="AQ302" t="n">
        <v>102273.9</v>
      </c>
      <c r="CH302">
        <f>IFERROR(U302*1,0)</f>
      </c>
    </row>
    <row r="303">
      <c r="A303" t="n">
        <v>5.0</v>
      </c>
      <c r="B303">
        <f>IF((K303-G303-H303&gt;2400000),10,(L303/(K303-G303-H303)*100))</f>
      </c>
      <c r="C303">
        <f>IF(N303&gt;2400000,240000,(N303*S303)/100)</f>
      </c>
      <c r="D303">
        <f>IF(S303=0,0,IF((N303-I303)&gt;2400000,((((((N303-I303-J303)-240000))*0.1+(I303+J303)*0.1)))-7000,((((((N303-I303-J303)-(N303-I303-J303)*S303/100)))*0.1+(I303+J303)*0.1)-7000)))</f>
      </c>
      <c r="E303">
        <f>C303-O303</f>
      </c>
      <c r="F303">
        <f>D303-P303</f>
      </c>
      <c r="G303">
        <f>SUMIF(negtgel!U$2:BL$2,'Tsalin uzuulelt'!B$1,negtgel!U303:BL303) + SUMIF(negtgel!U$2:BL$2,'Tsalin uzuulelt'!B$2,negtgel!U303:BL303)+SUMIF(negtgel!U$2:BL$2,'Tsalin uzuulelt'!B$3,negtgel!U303:BL303)+SUMIF(negtgel!U$2:BL$2,'Tsalin uzuulelt'!B$4,negtgel!U303:BL303)+SUMIF(negtgel!U$2:BL$2,'Tsalin uzuulelt'!B$5,negtgel!U303:BL303)</f>
      </c>
      <c r="H303">
        <f>SUMIF(negtgel!U$2:BL$2,'Tsalin uzuulelt'!F$1,negtgel!U303:BL303) + SUMIF(negtgel!U$2:BL$2,'Tsalin uzuulelt'!F$2,negtgel!U303:BL303)+SUMIF(negtgel!U$2:BL$2,'Tsalin uzuulelt'!F$3,negtgel!U303:BL303)+SUMIF(negtgel!U$2:BL$2,'Tsalin uzuulelt'!F$4,negtgel!U303:BL303)+SUMIF(negtgel!U$2:BL$2,'Tsalin uzuulelt'!F$5,negtgel!U303:BL303)</f>
      </c>
      <c r="I303">
        <f>SUMIF(negtgel!U$2:BL$2,'Tsalin uzuulelt'!H$1,negtgel!U303:BL303) + SUMIF(negtgel!U$2:BL$2,'Tsalin uzuulelt'!H$2,negtgel!U303:BL303)+SUMIF(negtgel!U$2:BL$2,'Tsalin uzuulelt'!H$3,negtgel!U303:BL303)+SUMIF(negtgel!U$2:BL$2,'Tsalin uzuulelt'!H$4,negtgel!U303:BL303)+SUMIF(negtgel!U$2:BL$2,'Tsalin uzuulelt'!H$5,negtgel!U303:BL303)</f>
      </c>
      <c r="J303">
        <f>SUMIF(negtgel!U$2:BL$2,'Tsalin uzuulelt'!J$1,negtgel!U303:BL303) + SUMIF(negtgel!U$2:BL$2,'Tsalin uzuulelt'!J$2,negtgel!U303:BL303)+SUMIF(negtgel!U$2:BL$2,'Tsalin uzuulelt'!J$3,negtgel!U303:BL303)+SUMIF(negtgel!U$2:BL$2,'Tsalin uzuulelt'!J$4,negtgel!U303:BL303)+SUMIF(negtgel!U$2:BL$2,'Tsalin uzuulelt'!J$5,negtgel!U303:BL303)</f>
      </c>
      <c r="K303">
        <f>SUMIF(negtgel!U$2:BL$2,'Tsalin uzuulelt'!L$1,negtgel!U303:BL303) + SUMIF(negtgel!U$2:BL$2,'Tsalin uzuulelt'!L$2,negtgel!U303:BL303)+SUMIF(negtgel!U$2:BL$2,'Tsalin uzuulelt'!L$3,negtgel!U303:BL303)+SUMIF(negtgel!U$2:BL$2,'Tsalin uzuulelt'!L$4,negtgel!U303:BL303)+SUMIF(negtgel!U$2:BL$2,'Tsalin uzuulelt'!L$5,negtgel!U303:BL303)</f>
      </c>
      <c r="L303">
        <f>SUMIF(negtgel!U$2:BL$2,'Tsalin uzuulelt'!N$1,negtgel!U303:BL303) + SUMIF(negtgel!U$2:BL$2,'Tsalin uzuulelt'!N$2,negtgel!U303:BL303)+SUMIF(negtgel!U$2:BL$2,'Tsalin uzuulelt'!N$3,negtgel!U303:BL303)+SUMIF(negtgel!U$2:BL$2,'Tsalin uzuulelt'!N$4,negtgel!U303:BL303)+SUMIF(negtgel!U$2:BL$2,'Tsalin uzuulelt'!N$5,negtgel!U303:BL303)</f>
      </c>
      <c r="M303">
        <f>SUMIF(negtgel!U$2:BL$2,'Tsalin uzuulelt'!P$1,negtgel!U303:BL303) + SUMIF(negtgel!U$2:BL$2,'Tsalin uzuulelt'!P$2,negtgel!U303:BL303)+ SUMIF(negtgel!U$2:BL$2,'Tsalin uzuulelt'!P$3,negtgel!U303:BL303)+ SUMIF(negtgel!U$2:BL$2,'Tsalin uzuulelt'!P$4,negtgel!U303:BL303)+ SUMIF(negtgel!U$2:BL$2,'Tsalin uzuulelt'!P$5,negtgel!U303:BL303)</f>
      </c>
      <c r="N303">
        <f>IF(ISNUMBER(U303*1)=CF303,0,K303-H303-G303)</f>
      </c>
      <c r="O303">
        <f>IF(ISNUMBER(U303*1)=CF303,0,L303)</f>
      </c>
      <c r="P303">
        <f>IF(ISNUMBER(U303*1)=CF303,0,M303)</f>
      </c>
      <c r="Q303">
        <f>IF(N303&gt;2400000,N303,0)</f>
      </c>
      <c r="R303">
        <f>IF(L303/Q303*100&lt;3,2,10)</f>
      </c>
      <c r="S303">
        <f>IF(CH303=0,0,IF(B303&gt;9,10,IF(B303&gt;8,B303,IF(B303&gt;7.7,7.8,IF(B303&gt;3,B303,IF(B303&gt;1.5,2))))))</f>
      </c>
      <c r="T303">
        <f>IF(Q303=0,S303,R303)</f>
      </c>
      <c r="U303" t="s">
        <v>3787</v>
      </c>
      <c r="V303"/>
      <c r="W303"/>
      <c r="X303" t="n">
        <v>5556857.0</v>
      </c>
      <c r="Y303" t="n">
        <v>5290044.0</v>
      </c>
      <c r="Z303" t="n">
        <v>477878.0</v>
      </c>
      <c r="AA303" t="n">
        <v>685030.0</v>
      </c>
      <c r="AB303" t="n">
        <v>0.0</v>
      </c>
      <c r="AC303" t="n">
        <v>211694.0</v>
      </c>
      <c r="AD303" t="n">
        <v>0.0</v>
      </c>
      <c r="AE303" t="n">
        <v>0.0</v>
      </c>
      <c r="AF303" t="n">
        <v>591000.0</v>
      </c>
      <c r="AG303" t="n">
        <v>0.0</v>
      </c>
      <c r="AH303" t="n">
        <v>0.0</v>
      </c>
      <c r="AI303" t="n">
        <v>0.0</v>
      </c>
      <c r="AJ303" t="n">
        <v>0.0</v>
      </c>
      <c r="AK303" t="n">
        <v>0.0</v>
      </c>
      <c r="AL303" t="n">
        <v>0.0</v>
      </c>
      <c r="AM303" t="n">
        <v>0.0</v>
      </c>
      <c r="AN303" t="n">
        <v>0.0</v>
      </c>
      <c r="AO303" t="n">
        <v>7255646.0</v>
      </c>
      <c r="AP303" t="n">
        <v>725566.0</v>
      </c>
      <c r="AQ303" t="n">
        <v>595918.3</v>
      </c>
      <c r="CH303">
        <f>IFERROR(U303*1,0)</f>
      </c>
    </row>
    <row r="304">
      <c r="A304" t="n">
        <v>5.0</v>
      </c>
      <c r="B304">
        <f>IF((K304-G304-H304&gt;2400000),10,(L304/(K304-G304-H304)*100))</f>
      </c>
      <c r="C304">
        <f>IF(N304&gt;2400000,240000,(N304*S304)/100)</f>
      </c>
      <c r="D304">
        <f>IF(S304=0,0,IF((N304-I304)&gt;2400000,((((((N304-I304-J304)-240000))*0.1+(I304+J304)*0.1)))-7000,((((((N304-I304-J304)-(N304-I304-J304)*S304/100)))*0.1+(I304+J304)*0.1)-7000)))</f>
      </c>
      <c r="E304">
        <f>C304-O304</f>
      </c>
      <c r="F304">
        <f>D304-P304</f>
      </c>
      <c r="G304">
        <f>SUMIF(negtgel!U$2:BL$2,'Tsalin uzuulelt'!B$1,negtgel!U304:BL304) + SUMIF(negtgel!U$2:BL$2,'Tsalin uzuulelt'!B$2,negtgel!U304:BL304)+SUMIF(negtgel!U$2:BL$2,'Tsalin uzuulelt'!B$3,negtgel!U304:BL304)+SUMIF(negtgel!U$2:BL$2,'Tsalin uzuulelt'!B$4,negtgel!U304:BL304)+SUMIF(negtgel!U$2:BL$2,'Tsalin uzuulelt'!B$5,negtgel!U304:BL304)</f>
      </c>
      <c r="H304">
        <f>SUMIF(negtgel!U$2:BL$2,'Tsalin uzuulelt'!F$1,negtgel!U304:BL304) + SUMIF(negtgel!U$2:BL$2,'Tsalin uzuulelt'!F$2,negtgel!U304:BL304)+SUMIF(negtgel!U$2:BL$2,'Tsalin uzuulelt'!F$3,negtgel!U304:BL304)+SUMIF(negtgel!U$2:BL$2,'Tsalin uzuulelt'!F$4,negtgel!U304:BL304)+SUMIF(negtgel!U$2:BL$2,'Tsalin uzuulelt'!F$5,negtgel!U304:BL304)</f>
      </c>
      <c r="I304">
        <f>SUMIF(negtgel!U$2:BL$2,'Tsalin uzuulelt'!H$1,negtgel!U304:BL304) + SUMIF(negtgel!U$2:BL$2,'Tsalin uzuulelt'!H$2,negtgel!U304:BL304)+SUMIF(negtgel!U$2:BL$2,'Tsalin uzuulelt'!H$3,negtgel!U304:BL304)+SUMIF(negtgel!U$2:BL$2,'Tsalin uzuulelt'!H$4,negtgel!U304:BL304)+SUMIF(negtgel!U$2:BL$2,'Tsalin uzuulelt'!H$5,negtgel!U304:BL304)</f>
      </c>
      <c r="J304">
        <f>SUMIF(negtgel!U$2:BL$2,'Tsalin uzuulelt'!J$1,negtgel!U304:BL304) + SUMIF(negtgel!U$2:BL$2,'Tsalin uzuulelt'!J$2,negtgel!U304:BL304)+SUMIF(negtgel!U$2:BL$2,'Tsalin uzuulelt'!J$3,negtgel!U304:BL304)+SUMIF(negtgel!U$2:BL$2,'Tsalin uzuulelt'!J$4,negtgel!U304:BL304)+SUMIF(negtgel!U$2:BL$2,'Tsalin uzuulelt'!J$5,negtgel!U304:BL304)</f>
      </c>
      <c r="K304">
        <f>SUMIF(negtgel!U$2:BL$2,'Tsalin uzuulelt'!L$1,negtgel!U304:BL304) + SUMIF(negtgel!U$2:BL$2,'Tsalin uzuulelt'!L$2,negtgel!U304:BL304)+SUMIF(negtgel!U$2:BL$2,'Tsalin uzuulelt'!L$3,negtgel!U304:BL304)+SUMIF(negtgel!U$2:BL$2,'Tsalin uzuulelt'!L$4,negtgel!U304:BL304)+SUMIF(negtgel!U$2:BL$2,'Tsalin uzuulelt'!L$5,negtgel!U304:BL304)</f>
      </c>
      <c r="L304">
        <f>SUMIF(negtgel!U$2:BL$2,'Tsalin uzuulelt'!N$1,negtgel!U304:BL304) + SUMIF(negtgel!U$2:BL$2,'Tsalin uzuulelt'!N$2,negtgel!U304:BL304)+SUMIF(negtgel!U$2:BL$2,'Tsalin uzuulelt'!N$3,negtgel!U304:BL304)+SUMIF(negtgel!U$2:BL$2,'Tsalin uzuulelt'!N$4,negtgel!U304:BL304)+SUMIF(negtgel!U$2:BL$2,'Tsalin uzuulelt'!N$5,negtgel!U304:BL304)</f>
      </c>
      <c r="M304">
        <f>SUMIF(negtgel!U$2:BL$2,'Tsalin uzuulelt'!P$1,negtgel!U304:BL304) + SUMIF(negtgel!U$2:BL$2,'Tsalin uzuulelt'!P$2,negtgel!U304:BL304)+ SUMIF(negtgel!U$2:BL$2,'Tsalin uzuulelt'!P$3,negtgel!U304:BL304)+ SUMIF(negtgel!U$2:BL$2,'Tsalin uzuulelt'!P$4,negtgel!U304:BL304)+ SUMIF(negtgel!U$2:BL$2,'Tsalin uzuulelt'!P$5,negtgel!U304:BL304)</f>
      </c>
      <c r="N304">
        <f>IF(ISNUMBER(U304*1)=CF304,0,K304-H304-G304)</f>
      </c>
      <c r="O304">
        <f>IF(ISNUMBER(U304*1)=CF304,0,L304)</f>
      </c>
      <c r="P304">
        <f>IF(ISNUMBER(U304*1)=CF304,0,M304)</f>
      </c>
      <c r="Q304">
        <f>IF(N304&gt;2400000,N304,0)</f>
      </c>
      <c r="R304">
        <f>IF(L304/Q304*100&lt;3,2,10)</f>
      </c>
      <c r="S304">
        <f>IF(CH304=0,0,IF(B304&gt;9,10,IF(B304&gt;8,B304,IF(B304&gt;7.7,7.8,IF(B304&gt;3,B304,IF(B304&gt;1.5,2))))))</f>
      </c>
      <c r="T304">
        <f>IF(Q304=0,S304,R304)</f>
      </c>
      <c r="U304" t="s">
        <v>3804</v>
      </c>
      <c r="V304"/>
      <c r="W304"/>
      <c r="X304"/>
      <c r="Y304"/>
      <c r="Z304"/>
      <c r="AA304"/>
      <c r="AB304"/>
      <c r="AC304"/>
      <c r="AD304"/>
      <c r="AE304"/>
      <c r="AF304"/>
      <c r="AG304"/>
      <c r="AH304"/>
      <c r="AI304"/>
      <c r="AJ304"/>
      <c r="AK304"/>
      <c r="AL304"/>
      <c r="AM304"/>
      <c r="AN304"/>
      <c r="AO304"/>
      <c r="AP304"/>
      <c r="AQ304"/>
      <c r="CH304">
        <f>IFERROR(U304*1,0)</f>
      </c>
    </row>
    <row r="305">
      <c r="A305" t="n">
        <v>5.0</v>
      </c>
      <c r="B305">
        <f>IF((K305-G305-H305&gt;2400000),10,(L305/(K305-G305-H305)*100))</f>
      </c>
      <c r="C305">
        <f>IF(N305&gt;2400000,240000,(N305*S305)/100)</f>
      </c>
      <c r="D305">
        <f>IF(S305=0,0,IF((N305-I305)&gt;2400000,((((((N305-I305-J305)-240000))*0.1+(I305+J305)*0.1)))-7000,((((((N305-I305-J305)-(N305-I305-J305)*S305/100)))*0.1+(I305+J305)*0.1)-7000)))</f>
      </c>
      <c r="E305">
        <f>C305-O305</f>
      </c>
      <c r="F305">
        <f>D305-P305</f>
      </c>
      <c r="G305">
        <f>SUMIF(negtgel!U$2:BL$2,'Tsalin uzuulelt'!B$1,negtgel!U305:BL305) + SUMIF(negtgel!U$2:BL$2,'Tsalin uzuulelt'!B$2,negtgel!U305:BL305)+SUMIF(negtgel!U$2:BL$2,'Tsalin uzuulelt'!B$3,negtgel!U305:BL305)+SUMIF(negtgel!U$2:BL$2,'Tsalin uzuulelt'!B$4,negtgel!U305:BL305)+SUMIF(negtgel!U$2:BL$2,'Tsalin uzuulelt'!B$5,negtgel!U305:BL305)</f>
      </c>
      <c r="H305">
        <f>SUMIF(negtgel!U$2:BL$2,'Tsalin uzuulelt'!F$1,negtgel!U305:BL305) + SUMIF(negtgel!U$2:BL$2,'Tsalin uzuulelt'!F$2,negtgel!U305:BL305)+SUMIF(negtgel!U$2:BL$2,'Tsalin uzuulelt'!F$3,negtgel!U305:BL305)+SUMIF(negtgel!U$2:BL$2,'Tsalin uzuulelt'!F$4,negtgel!U305:BL305)+SUMIF(negtgel!U$2:BL$2,'Tsalin uzuulelt'!F$5,negtgel!U305:BL305)</f>
      </c>
      <c r="I305">
        <f>SUMIF(negtgel!U$2:BL$2,'Tsalin uzuulelt'!H$1,negtgel!U305:BL305) + SUMIF(negtgel!U$2:BL$2,'Tsalin uzuulelt'!H$2,negtgel!U305:BL305)+SUMIF(negtgel!U$2:BL$2,'Tsalin uzuulelt'!H$3,negtgel!U305:BL305)+SUMIF(negtgel!U$2:BL$2,'Tsalin uzuulelt'!H$4,negtgel!U305:BL305)+SUMIF(negtgel!U$2:BL$2,'Tsalin uzuulelt'!H$5,negtgel!U305:BL305)</f>
      </c>
      <c r="J305">
        <f>SUMIF(negtgel!U$2:BL$2,'Tsalin uzuulelt'!J$1,negtgel!U305:BL305) + SUMIF(negtgel!U$2:BL$2,'Tsalin uzuulelt'!J$2,negtgel!U305:BL305)+SUMIF(negtgel!U$2:BL$2,'Tsalin uzuulelt'!J$3,negtgel!U305:BL305)+SUMIF(negtgel!U$2:BL$2,'Tsalin uzuulelt'!J$4,negtgel!U305:BL305)+SUMIF(negtgel!U$2:BL$2,'Tsalin uzuulelt'!J$5,negtgel!U305:BL305)</f>
      </c>
      <c r="K305">
        <f>SUMIF(negtgel!U$2:BL$2,'Tsalin uzuulelt'!L$1,negtgel!U305:BL305) + SUMIF(negtgel!U$2:BL$2,'Tsalin uzuulelt'!L$2,negtgel!U305:BL305)+SUMIF(negtgel!U$2:BL$2,'Tsalin uzuulelt'!L$3,negtgel!U305:BL305)+SUMIF(negtgel!U$2:BL$2,'Tsalin uzuulelt'!L$4,negtgel!U305:BL305)+SUMIF(negtgel!U$2:BL$2,'Tsalin uzuulelt'!L$5,negtgel!U305:BL305)</f>
      </c>
      <c r="L305">
        <f>SUMIF(negtgel!U$2:BL$2,'Tsalin uzuulelt'!N$1,negtgel!U305:BL305) + SUMIF(negtgel!U$2:BL$2,'Tsalin uzuulelt'!N$2,negtgel!U305:BL305)+SUMIF(negtgel!U$2:BL$2,'Tsalin uzuulelt'!N$3,negtgel!U305:BL305)+SUMIF(negtgel!U$2:BL$2,'Tsalin uzuulelt'!N$4,negtgel!U305:BL305)+SUMIF(negtgel!U$2:BL$2,'Tsalin uzuulelt'!N$5,negtgel!U305:BL305)</f>
      </c>
      <c r="M305">
        <f>SUMIF(negtgel!U$2:BL$2,'Tsalin uzuulelt'!P$1,negtgel!U305:BL305) + SUMIF(negtgel!U$2:BL$2,'Tsalin uzuulelt'!P$2,negtgel!U305:BL305)+ SUMIF(negtgel!U$2:BL$2,'Tsalin uzuulelt'!P$3,negtgel!U305:BL305)+ SUMIF(negtgel!U$2:BL$2,'Tsalin uzuulelt'!P$4,negtgel!U305:BL305)+ SUMIF(negtgel!U$2:BL$2,'Tsalin uzuulelt'!P$5,negtgel!U305:BL305)</f>
      </c>
      <c r="N305">
        <f>IF(ISNUMBER(U305*1)=CF305,0,K305-H305-G305)</f>
      </c>
      <c r="O305">
        <f>IF(ISNUMBER(U305*1)=CF305,0,L305)</f>
      </c>
      <c r="P305">
        <f>IF(ISNUMBER(U305*1)=CF305,0,M305)</f>
      </c>
      <c r="Q305">
        <f>IF(N305&gt;2400000,N305,0)</f>
      </c>
      <c r="R305">
        <f>IF(L305/Q305*100&lt;3,2,10)</f>
      </c>
      <c r="S305">
        <f>IF(CH305=0,0,IF(B305&gt;9,10,IF(B305&gt;8,B305,IF(B305&gt;7.7,7.8,IF(B305&gt;3,B305,IF(B305&gt;1.5,2))))))</f>
      </c>
      <c r="T305">
        <f>IF(Q305=0,S305,R305)</f>
      </c>
      <c r="U305" t="n">
        <v>59.0</v>
      </c>
      <c r="V305" t="s">
        <v>3805</v>
      </c>
      <c r="W305" t="s">
        <v>3790</v>
      </c>
      <c r="X305" t="n">
        <v>613669.0</v>
      </c>
      <c r="Y305" t="n">
        <v>586988.0</v>
      </c>
      <c r="Z305" t="n">
        <v>58699.0</v>
      </c>
      <c r="AA305" t="n">
        <v>88048.0</v>
      </c>
      <c r="AB305" t="n">
        <v>0.0</v>
      </c>
      <c r="AC305" t="n">
        <v>0.0</v>
      </c>
      <c r="AD305" t="n">
        <v>0.0</v>
      </c>
      <c r="AE305" t="n">
        <v>0.0</v>
      </c>
      <c r="AF305" t="n">
        <v>66000.0</v>
      </c>
      <c r="AG305" t="n">
        <v>0.0</v>
      </c>
      <c r="AH305" t="n">
        <v>0.0</v>
      </c>
      <c r="AI305" t="n">
        <v>0.0</v>
      </c>
      <c r="AJ305" t="n">
        <v>0.0</v>
      </c>
      <c r="AK305" t="n">
        <v>0.0</v>
      </c>
      <c r="AL305" t="n">
        <v>152721.0</v>
      </c>
      <c r="AM305" t="n">
        <v>0.0</v>
      </c>
      <c r="AN305" t="n">
        <v>0.0</v>
      </c>
      <c r="AO305" t="n">
        <v>952456.0</v>
      </c>
      <c r="AP305" t="n">
        <v>79973.0</v>
      </c>
      <c r="AQ305" t="n">
        <v>65636.2</v>
      </c>
      <c r="CH305">
        <f>IFERROR(U305*1,0)</f>
      </c>
    </row>
    <row r="306">
      <c r="A306" t="n">
        <v>5.0</v>
      </c>
      <c r="B306">
        <f>IF((K306-G306-H306&gt;2400000),10,(L306/(K306-G306-H306)*100))</f>
      </c>
      <c r="C306">
        <f>IF(N306&gt;2400000,240000,(N306*S306)/100)</f>
      </c>
      <c r="D306">
        <f>IF(S306=0,0,IF((N306-I306)&gt;2400000,((((((N306-I306-J306)-240000))*0.1+(I306+J306)*0.1)))-7000,((((((N306-I306-J306)-(N306-I306-J306)*S306/100)))*0.1+(I306+J306)*0.1)-7000)))</f>
      </c>
      <c r="E306">
        <f>C306-O306</f>
      </c>
      <c r="F306">
        <f>D306-P306</f>
      </c>
      <c r="G306">
        <f>SUMIF(negtgel!U$2:BL$2,'Tsalin uzuulelt'!B$1,negtgel!U306:BL306) + SUMIF(negtgel!U$2:BL$2,'Tsalin uzuulelt'!B$2,negtgel!U306:BL306)+SUMIF(negtgel!U$2:BL$2,'Tsalin uzuulelt'!B$3,negtgel!U306:BL306)+SUMIF(negtgel!U$2:BL$2,'Tsalin uzuulelt'!B$4,negtgel!U306:BL306)+SUMIF(negtgel!U$2:BL$2,'Tsalin uzuulelt'!B$5,negtgel!U306:BL306)</f>
      </c>
      <c r="H306">
        <f>SUMIF(negtgel!U$2:BL$2,'Tsalin uzuulelt'!F$1,negtgel!U306:BL306) + SUMIF(negtgel!U$2:BL$2,'Tsalin uzuulelt'!F$2,negtgel!U306:BL306)+SUMIF(negtgel!U$2:BL$2,'Tsalin uzuulelt'!F$3,negtgel!U306:BL306)+SUMIF(negtgel!U$2:BL$2,'Tsalin uzuulelt'!F$4,negtgel!U306:BL306)+SUMIF(negtgel!U$2:BL$2,'Tsalin uzuulelt'!F$5,negtgel!U306:BL306)</f>
      </c>
      <c r="I306">
        <f>SUMIF(negtgel!U$2:BL$2,'Tsalin uzuulelt'!H$1,negtgel!U306:BL306) + SUMIF(negtgel!U$2:BL$2,'Tsalin uzuulelt'!H$2,negtgel!U306:BL306)+SUMIF(negtgel!U$2:BL$2,'Tsalin uzuulelt'!H$3,negtgel!U306:BL306)+SUMIF(negtgel!U$2:BL$2,'Tsalin uzuulelt'!H$4,negtgel!U306:BL306)+SUMIF(negtgel!U$2:BL$2,'Tsalin uzuulelt'!H$5,negtgel!U306:BL306)</f>
      </c>
      <c r="J306">
        <f>SUMIF(negtgel!U$2:BL$2,'Tsalin uzuulelt'!J$1,negtgel!U306:BL306) + SUMIF(negtgel!U$2:BL$2,'Tsalin uzuulelt'!J$2,negtgel!U306:BL306)+SUMIF(negtgel!U$2:BL$2,'Tsalin uzuulelt'!J$3,negtgel!U306:BL306)+SUMIF(negtgel!U$2:BL$2,'Tsalin uzuulelt'!J$4,negtgel!U306:BL306)+SUMIF(negtgel!U$2:BL$2,'Tsalin uzuulelt'!J$5,negtgel!U306:BL306)</f>
      </c>
      <c r="K306">
        <f>SUMIF(negtgel!U$2:BL$2,'Tsalin uzuulelt'!L$1,negtgel!U306:BL306) + SUMIF(negtgel!U$2:BL$2,'Tsalin uzuulelt'!L$2,negtgel!U306:BL306)+SUMIF(negtgel!U$2:BL$2,'Tsalin uzuulelt'!L$3,negtgel!U306:BL306)+SUMIF(negtgel!U$2:BL$2,'Tsalin uzuulelt'!L$4,negtgel!U306:BL306)+SUMIF(negtgel!U$2:BL$2,'Tsalin uzuulelt'!L$5,negtgel!U306:BL306)</f>
      </c>
      <c r="L306">
        <f>SUMIF(negtgel!U$2:BL$2,'Tsalin uzuulelt'!N$1,negtgel!U306:BL306) + SUMIF(negtgel!U$2:BL$2,'Tsalin uzuulelt'!N$2,negtgel!U306:BL306)+SUMIF(negtgel!U$2:BL$2,'Tsalin uzuulelt'!N$3,negtgel!U306:BL306)+SUMIF(negtgel!U$2:BL$2,'Tsalin uzuulelt'!N$4,negtgel!U306:BL306)+SUMIF(negtgel!U$2:BL$2,'Tsalin uzuulelt'!N$5,negtgel!U306:BL306)</f>
      </c>
      <c r="M306">
        <f>SUMIF(negtgel!U$2:BL$2,'Tsalin uzuulelt'!P$1,negtgel!U306:BL306) + SUMIF(negtgel!U$2:BL$2,'Tsalin uzuulelt'!P$2,negtgel!U306:BL306)+ SUMIF(negtgel!U$2:BL$2,'Tsalin uzuulelt'!P$3,negtgel!U306:BL306)+ SUMIF(negtgel!U$2:BL$2,'Tsalin uzuulelt'!P$4,negtgel!U306:BL306)+ SUMIF(negtgel!U$2:BL$2,'Tsalin uzuulelt'!P$5,negtgel!U306:BL306)</f>
      </c>
      <c r="N306">
        <f>IF(ISNUMBER(U306*1)=CF306,0,K306-H306-G306)</f>
      </c>
      <c r="O306">
        <f>IF(ISNUMBER(U306*1)=CF306,0,L306)</f>
      </c>
      <c r="P306">
        <f>IF(ISNUMBER(U306*1)=CF306,0,M306)</f>
      </c>
      <c r="Q306">
        <f>IF(N306&gt;2400000,N306,0)</f>
      </c>
      <c r="R306">
        <f>IF(L306/Q306*100&lt;3,2,10)</f>
      </c>
      <c r="S306">
        <f>IF(CH306=0,0,IF(B306&gt;9,10,IF(B306&gt;8,B306,IF(B306&gt;7.7,7.8,IF(B306&gt;3,B306,IF(B306&gt;1.5,2))))))</f>
      </c>
      <c r="T306">
        <f>IF(Q306=0,S306,R306)</f>
      </c>
      <c r="U306" t="n">
        <v>68.0</v>
      </c>
      <c r="V306" t="s">
        <v>3810</v>
      </c>
      <c r="W306" t="s">
        <v>3792</v>
      </c>
      <c r="X306" t="n">
        <v>496912.0</v>
      </c>
      <c r="Y306" t="n">
        <v>496912.0</v>
      </c>
      <c r="Z306" t="n">
        <v>0.0</v>
      </c>
      <c r="AA306" t="n">
        <v>0.0</v>
      </c>
      <c r="AB306" t="n">
        <v>0.0</v>
      </c>
      <c r="AC306" t="n">
        <v>0.0</v>
      </c>
      <c r="AD306" t="n">
        <v>0.0</v>
      </c>
      <c r="AE306" t="n">
        <v>0.0</v>
      </c>
      <c r="AF306" t="n">
        <v>69000.0</v>
      </c>
      <c r="AG306" t="n">
        <v>0.0</v>
      </c>
      <c r="AH306" t="n">
        <v>0.0</v>
      </c>
      <c r="AI306" t="n">
        <v>0.0</v>
      </c>
      <c r="AJ306" t="n">
        <v>0.0</v>
      </c>
      <c r="AK306" t="n">
        <v>0.0</v>
      </c>
      <c r="AL306" t="n">
        <v>0.0</v>
      </c>
      <c r="AM306" t="n">
        <v>0.0</v>
      </c>
      <c r="AN306" t="n">
        <v>0.0</v>
      </c>
      <c r="AO306" t="n">
        <v>565912.0</v>
      </c>
      <c r="AP306" t="n">
        <v>56591.0</v>
      </c>
      <c r="AQ306" t="n">
        <v>44622.1</v>
      </c>
      <c r="CH306">
        <f>IFERROR(U306*1,0)</f>
      </c>
    </row>
    <row r="307">
      <c r="A307" t="n">
        <v>5.0</v>
      </c>
      <c r="B307">
        <f>IF((K307-G307-H307&gt;2400000),10,(L307/(K307-G307-H307)*100))</f>
      </c>
      <c r="C307">
        <f>IF(N307&gt;2400000,240000,(N307*S307)/100)</f>
      </c>
      <c r="D307">
        <f>IF(S307=0,0,IF((N307-I307)&gt;2400000,((((((N307-I307-J307)-240000))*0.1+(I307+J307)*0.1)))-7000,((((((N307-I307-J307)-(N307-I307-J307)*S307/100)))*0.1+(I307+J307)*0.1)-7000)))</f>
      </c>
      <c r="E307">
        <f>C307-O307</f>
      </c>
      <c r="F307">
        <f>D307-P307</f>
      </c>
      <c r="G307">
        <f>SUMIF(negtgel!U$2:BL$2,'Tsalin uzuulelt'!B$1,negtgel!U307:BL307) + SUMIF(negtgel!U$2:BL$2,'Tsalin uzuulelt'!B$2,negtgel!U307:BL307)+SUMIF(negtgel!U$2:BL$2,'Tsalin uzuulelt'!B$3,negtgel!U307:BL307)+SUMIF(negtgel!U$2:BL$2,'Tsalin uzuulelt'!B$4,negtgel!U307:BL307)+SUMIF(negtgel!U$2:BL$2,'Tsalin uzuulelt'!B$5,negtgel!U307:BL307)</f>
      </c>
      <c r="H307">
        <f>SUMIF(negtgel!U$2:BL$2,'Tsalin uzuulelt'!F$1,negtgel!U307:BL307) + SUMIF(negtgel!U$2:BL$2,'Tsalin uzuulelt'!F$2,negtgel!U307:BL307)+SUMIF(negtgel!U$2:BL$2,'Tsalin uzuulelt'!F$3,negtgel!U307:BL307)+SUMIF(negtgel!U$2:BL$2,'Tsalin uzuulelt'!F$4,negtgel!U307:BL307)+SUMIF(negtgel!U$2:BL$2,'Tsalin uzuulelt'!F$5,negtgel!U307:BL307)</f>
      </c>
      <c r="I307">
        <f>SUMIF(negtgel!U$2:BL$2,'Tsalin uzuulelt'!H$1,negtgel!U307:BL307) + SUMIF(negtgel!U$2:BL$2,'Tsalin uzuulelt'!H$2,negtgel!U307:BL307)+SUMIF(negtgel!U$2:BL$2,'Tsalin uzuulelt'!H$3,negtgel!U307:BL307)+SUMIF(negtgel!U$2:BL$2,'Tsalin uzuulelt'!H$4,negtgel!U307:BL307)+SUMIF(negtgel!U$2:BL$2,'Tsalin uzuulelt'!H$5,negtgel!U307:BL307)</f>
      </c>
      <c r="J307">
        <f>SUMIF(negtgel!U$2:BL$2,'Tsalin uzuulelt'!J$1,negtgel!U307:BL307) + SUMIF(negtgel!U$2:BL$2,'Tsalin uzuulelt'!J$2,negtgel!U307:BL307)+SUMIF(negtgel!U$2:BL$2,'Tsalin uzuulelt'!J$3,negtgel!U307:BL307)+SUMIF(negtgel!U$2:BL$2,'Tsalin uzuulelt'!J$4,negtgel!U307:BL307)+SUMIF(negtgel!U$2:BL$2,'Tsalin uzuulelt'!J$5,negtgel!U307:BL307)</f>
      </c>
      <c r="K307">
        <f>SUMIF(negtgel!U$2:BL$2,'Tsalin uzuulelt'!L$1,negtgel!U307:BL307) + SUMIF(negtgel!U$2:BL$2,'Tsalin uzuulelt'!L$2,negtgel!U307:BL307)+SUMIF(negtgel!U$2:BL$2,'Tsalin uzuulelt'!L$3,negtgel!U307:BL307)+SUMIF(negtgel!U$2:BL$2,'Tsalin uzuulelt'!L$4,negtgel!U307:BL307)+SUMIF(negtgel!U$2:BL$2,'Tsalin uzuulelt'!L$5,negtgel!U307:BL307)</f>
      </c>
      <c r="L307">
        <f>SUMIF(negtgel!U$2:BL$2,'Tsalin uzuulelt'!N$1,negtgel!U307:BL307) + SUMIF(negtgel!U$2:BL$2,'Tsalin uzuulelt'!N$2,negtgel!U307:BL307)+SUMIF(negtgel!U$2:BL$2,'Tsalin uzuulelt'!N$3,negtgel!U307:BL307)+SUMIF(negtgel!U$2:BL$2,'Tsalin uzuulelt'!N$4,negtgel!U307:BL307)+SUMIF(negtgel!U$2:BL$2,'Tsalin uzuulelt'!N$5,negtgel!U307:BL307)</f>
      </c>
      <c r="M307">
        <f>SUMIF(negtgel!U$2:BL$2,'Tsalin uzuulelt'!P$1,negtgel!U307:BL307) + SUMIF(negtgel!U$2:BL$2,'Tsalin uzuulelt'!P$2,negtgel!U307:BL307)+ SUMIF(negtgel!U$2:BL$2,'Tsalin uzuulelt'!P$3,negtgel!U307:BL307)+ SUMIF(negtgel!U$2:BL$2,'Tsalin uzuulelt'!P$4,negtgel!U307:BL307)+ SUMIF(negtgel!U$2:BL$2,'Tsalin uzuulelt'!P$5,negtgel!U307:BL307)</f>
      </c>
      <c r="N307">
        <f>IF(ISNUMBER(U307*1)=CF307,0,K307-H307-G307)</f>
      </c>
      <c r="O307">
        <f>IF(ISNUMBER(U307*1)=CF307,0,L307)</f>
      </c>
      <c r="P307">
        <f>IF(ISNUMBER(U307*1)=CF307,0,M307)</f>
      </c>
      <c r="Q307">
        <f>IF(N307&gt;2400000,N307,0)</f>
      </c>
      <c r="R307">
        <f>IF(L307/Q307*100&lt;3,2,10)</f>
      </c>
      <c r="S307">
        <f>IF(CH307=0,0,IF(B307&gt;9,10,IF(B307&gt;8,B307,IF(B307&gt;7.7,7.8,IF(B307&gt;3,B307,IF(B307&gt;1.5,2))))))</f>
      </c>
      <c r="T307">
        <f>IF(Q307=0,S307,R307)</f>
      </c>
      <c r="U307" t="n">
        <v>69.0</v>
      </c>
      <c r="V307" t="s">
        <v>3812</v>
      </c>
      <c r="W307" t="s">
        <v>3790</v>
      </c>
      <c r="X307" t="n">
        <v>580710.0</v>
      </c>
      <c r="Y307" t="n">
        <v>555462.0</v>
      </c>
      <c r="Z307" t="n">
        <v>27773.0</v>
      </c>
      <c r="AA307" t="n">
        <v>83319.0</v>
      </c>
      <c r="AB307" t="n">
        <v>0.0</v>
      </c>
      <c r="AC307" t="n">
        <v>0.0</v>
      </c>
      <c r="AD307" t="n">
        <v>0.0</v>
      </c>
      <c r="AE307" t="n">
        <v>0.0</v>
      </c>
      <c r="AF307" t="n">
        <v>66000.0</v>
      </c>
      <c r="AG307" t="n">
        <v>0.0</v>
      </c>
      <c r="AH307" t="n">
        <v>0.0</v>
      </c>
      <c r="AI307" t="n">
        <v>0.0</v>
      </c>
      <c r="AJ307" t="n">
        <v>0.0</v>
      </c>
      <c r="AK307" t="n">
        <v>0.0</v>
      </c>
      <c r="AL307" t="n">
        <v>0.0</v>
      </c>
      <c r="AM307" t="n">
        <v>0.0</v>
      </c>
      <c r="AN307" t="n">
        <v>0.0</v>
      </c>
      <c r="AO307" t="n">
        <v>732554.0</v>
      </c>
      <c r="AP307" t="n">
        <v>73255.0</v>
      </c>
      <c r="AQ307" t="n">
        <v>59589.9</v>
      </c>
      <c r="CH307">
        <f>IFERROR(U307*1,0)</f>
      </c>
    </row>
    <row r="308">
      <c r="A308" t="n">
        <v>5.0</v>
      </c>
      <c r="B308">
        <f>IF((K308-G308-H308&gt;2400000),10,(L308/(K308-G308-H308)*100))</f>
      </c>
      <c r="C308">
        <f>IF(N308&gt;2400000,240000,(N308*S308)/100)</f>
      </c>
      <c r="D308">
        <f>IF(S308=0,0,IF((N308-I308)&gt;2400000,((((((N308-I308-J308)-240000))*0.1+(I308+J308)*0.1)))-7000,((((((N308-I308-J308)-(N308-I308-J308)*S308/100)))*0.1+(I308+J308)*0.1)-7000)))</f>
      </c>
      <c r="E308">
        <f>C308-O308</f>
      </c>
      <c r="F308">
        <f>D308-P308</f>
      </c>
      <c r="G308">
        <f>SUMIF(negtgel!U$2:BL$2,'Tsalin uzuulelt'!B$1,negtgel!U308:BL308) + SUMIF(negtgel!U$2:BL$2,'Tsalin uzuulelt'!B$2,negtgel!U308:BL308)+SUMIF(negtgel!U$2:BL$2,'Tsalin uzuulelt'!B$3,negtgel!U308:BL308)+SUMIF(negtgel!U$2:BL$2,'Tsalin uzuulelt'!B$4,negtgel!U308:BL308)+SUMIF(negtgel!U$2:BL$2,'Tsalin uzuulelt'!B$5,negtgel!U308:BL308)</f>
      </c>
      <c r="H308">
        <f>SUMIF(negtgel!U$2:BL$2,'Tsalin uzuulelt'!F$1,negtgel!U308:BL308) + SUMIF(negtgel!U$2:BL$2,'Tsalin uzuulelt'!F$2,negtgel!U308:BL308)+SUMIF(negtgel!U$2:BL$2,'Tsalin uzuulelt'!F$3,negtgel!U308:BL308)+SUMIF(negtgel!U$2:BL$2,'Tsalin uzuulelt'!F$4,negtgel!U308:BL308)+SUMIF(negtgel!U$2:BL$2,'Tsalin uzuulelt'!F$5,negtgel!U308:BL308)</f>
      </c>
      <c r="I308">
        <f>SUMIF(negtgel!U$2:BL$2,'Tsalin uzuulelt'!H$1,negtgel!U308:BL308) + SUMIF(negtgel!U$2:BL$2,'Tsalin uzuulelt'!H$2,negtgel!U308:BL308)+SUMIF(negtgel!U$2:BL$2,'Tsalin uzuulelt'!H$3,negtgel!U308:BL308)+SUMIF(negtgel!U$2:BL$2,'Tsalin uzuulelt'!H$4,negtgel!U308:BL308)+SUMIF(negtgel!U$2:BL$2,'Tsalin uzuulelt'!H$5,negtgel!U308:BL308)</f>
      </c>
      <c r="J308">
        <f>SUMIF(negtgel!U$2:BL$2,'Tsalin uzuulelt'!J$1,negtgel!U308:BL308) + SUMIF(negtgel!U$2:BL$2,'Tsalin uzuulelt'!J$2,negtgel!U308:BL308)+SUMIF(negtgel!U$2:BL$2,'Tsalin uzuulelt'!J$3,negtgel!U308:BL308)+SUMIF(negtgel!U$2:BL$2,'Tsalin uzuulelt'!J$4,negtgel!U308:BL308)+SUMIF(negtgel!U$2:BL$2,'Tsalin uzuulelt'!J$5,negtgel!U308:BL308)</f>
      </c>
      <c r="K308">
        <f>SUMIF(negtgel!U$2:BL$2,'Tsalin uzuulelt'!L$1,negtgel!U308:BL308) + SUMIF(negtgel!U$2:BL$2,'Tsalin uzuulelt'!L$2,negtgel!U308:BL308)+SUMIF(negtgel!U$2:BL$2,'Tsalin uzuulelt'!L$3,negtgel!U308:BL308)+SUMIF(negtgel!U$2:BL$2,'Tsalin uzuulelt'!L$4,negtgel!U308:BL308)+SUMIF(negtgel!U$2:BL$2,'Tsalin uzuulelt'!L$5,negtgel!U308:BL308)</f>
      </c>
      <c r="L308">
        <f>SUMIF(negtgel!U$2:BL$2,'Tsalin uzuulelt'!N$1,negtgel!U308:BL308) + SUMIF(negtgel!U$2:BL$2,'Tsalin uzuulelt'!N$2,negtgel!U308:BL308)+SUMIF(negtgel!U$2:BL$2,'Tsalin uzuulelt'!N$3,negtgel!U308:BL308)+SUMIF(negtgel!U$2:BL$2,'Tsalin uzuulelt'!N$4,negtgel!U308:BL308)+SUMIF(negtgel!U$2:BL$2,'Tsalin uzuulelt'!N$5,negtgel!U308:BL308)</f>
      </c>
      <c r="M308">
        <f>SUMIF(negtgel!U$2:BL$2,'Tsalin uzuulelt'!P$1,negtgel!U308:BL308) + SUMIF(negtgel!U$2:BL$2,'Tsalin uzuulelt'!P$2,negtgel!U308:BL308)+ SUMIF(negtgel!U$2:BL$2,'Tsalin uzuulelt'!P$3,negtgel!U308:BL308)+ SUMIF(negtgel!U$2:BL$2,'Tsalin uzuulelt'!P$4,negtgel!U308:BL308)+ SUMIF(negtgel!U$2:BL$2,'Tsalin uzuulelt'!P$5,negtgel!U308:BL308)</f>
      </c>
      <c r="N308">
        <f>IF(ISNUMBER(U308*1)=CF308,0,K308-H308-G308)</f>
      </c>
      <c r="O308">
        <f>IF(ISNUMBER(U308*1)=CF308,0,L308)</f>
      </c>
      <c r="P308">
        <f>IF(ISNUMBER(U308*1)=CF308,0,M308)</f>
      </c>
      <c r="Q308">
        <f>IF(N308&gt;2400000,N308,0)</f>
      </c>
      <c r="R308">
        <f>IF(L308/Q308*100&lt;3,2,10)</f>
      </c>
      <c r="S308">
        <f>IF(CH308=0,0,IF(B308&gt;9,10,IF(B308&gt;8,B308,IF(B308&gt;7.7,7.8,IF(B308&gt;3,B308,IF(B308&gt;1.5,2))))))</f>
      </c>
      <c r="T308">
        <f>IF(Q308=0,S308,R308)</f>
      </c>
      <c r="U308" t="n">
        <v>70.0</v>
      </c>
      <c r="V308" t="s">
        <v>3813</v>
      </c>
      <c r="W308" t="s">
        <v>3790</v>
      </c>
      <c r="X308" t="n">
        <v>580710.0</v>
      </c>
      <c r="Y308" t="n">
        <v>580710.0</v>
      </c>
      <c r="Z308" t="n">
        <v>29036.0</v>
      </c>
      <c r="AA308" t="n">
        <v>87106.0</v>
      </c>
      <c r="AB308" t="n">
        <v>0.0</v>
      </c>
      <c r="AC308" t="n">
        <v>0.0</v>
      </c>
      <c r="AD308" t="n">
        <v>0.0</v>
      </c>
      <c r="AE308" t="n">
        <v>0.0</v>
      </c>
      <c r="AF308" t="n">
        <v>69000.0</v>
      </c>
      <c r="AG308" t="n">
        <v>0.0</v>
      </c>
      <c r="AH308" t="n">
        <v>0.0</v>
      </c>
      <c r="AI308" t="n">
        <v>0.0</v>
      </c>
      <c r="AJ308" t="n">
        <v>0.0</v>
      </c>
      <c r="AK308" t="n">
        <v>0.0</v>
      </c>
      <c r="AL308" t="n">
        <v>0.0</v>
      </c>
      <c r="AM308" t="n">
        <v>0.0</v>
      </c>
      <c r="AN308" t="n">
        <v>0.0</v>
      </c>
      <c r="AO308" t="n">
        <v>765852.0</v>
      </c>
      <c r="AP308" t="n">
        <v>76586.0</v>
      </c>
      <c r="AQ308" t="n">
        <v>62616.7</v>
      </c>
      <c r="CH308">
        <f>IFERROR(U308*1,0)</f>
      </c>
    </row>
    <row r="309">
      <c r="A309" t="n">
        <v>5.0</v>
      </c>
      <c r="B309">
        <f>IF((K309-G309-H309&gt;2400000),10,(L309/(K309-G309-H309)*100))</f>
      </c>
      <c r="C309">
        <f>IF(N309&gt;2400000,240000,(N309*S309)/100)</f>
      </c>
      <c r="D309">
        <f>IF(S309=0,0,IF((N309-I309)&gt;2400000,((((((N309-I309-J309)-240000))*0.1+(I309+J309)*0.1)))-7000,((((((N309-I309-J309)-(N309-I309-J309)*S309/100)))*0.1+(I309+J309)*0.1)-7000)))</f>
      </c>
      <c r="E309">
        <f>C309-O309</f>
      </c>
      <c r="F309">
        <f>D309-P309</f>
      </c>
      <c r="G309">
        <f>SUMIF(negtgel!U$2:BL$2,'Tsalin uzuulelt'!B$1,negtgel!U309:BL309) + SUMIF(negtgel!U$2:BL$2,'Tsalin uzuulelt'!B$2,negtgel!U309:BL309)+SUMIF(negtgel!U$2:BL$2,'Tsalin uzuulelt'!B$3,negtgel!U309:BL309)+SUMIF(negtgel!U$2:BL$2,'Tsalin uzuulelt'!B$4,negtgel!U309:BL309)+SUMIF(negtgel!U$2:BL$2,'Tsalin uzuulelt'!B$5,negtgel!U309:BL309)</f>
      </c>
      <c r="H309">
        <f>SUMIF(negtgel!U$2:BL$2,'Tsalin uzuulelt'!F$1,negtgel!U309:BL309) + SUMIF(negtgel!U$2:BL$2,'Tsalin uzuulelt'!F$2,negtgel!U309:BL309)+SUMIF(negtgel!U$2:BL$2,'Tsalin uzuulelt'!F$3,negtgel!U309:BL309)+SUMIF(negtgel!U$2:BL$2,'Tsalin uzuulelt'!F$4,negtgel!U309:BL309)+SUMIF(negtgel!U$2:BL$2,'Tsalin uzuulelt'!F$5,negtgel!U309:BL309)</f>
      </c>
      <c r="I309">
        <f>SUMIF(negtgel!U$2:BL$2,'Tsalin uzuulelt'!H$1,negtgel!U309:BL309) + SUMIF(negtgel!U$2:BL$2,'Tsalin uzuulelt'!H$2,negtgel!U309:BL309)+SUMIF(negtgel!U$2:BL$2,'Tsalin uzuulelt'!H$3,negtgel!U309:BL309)+SUMIF(negtgel!U$2:BL$2,'Tsalin uzuulelt'!H$4,negtgel!U309:BL309)+SUMIF(negtgel!U$2:BL$2,'Tsalin uzuulelt'!H$5,negtgel!U309:BL309)</f>
      </c>
      <c r="J309">
        <f>SUMIF(negtgel!U$2:BL$2,'Tsalin uzuulelt'!J$1,negtgel!U309:BL309) + SUMIF(negtgel!U$2:BL$2,'Tsalin uzuulelt'!J$2,negtgel!U309:BL309)+SUMIF(negtgel!U$2:BL$2,'Tsalin uzuulelt'!J$3,negtgel!U309:BL309)+SUMIF(negtgel!U$2:BL$2,'Tsalin uzuulelt'!J$4,negtgel!U309:BL309)+SUMIF(negtgel!U$2:BL$2,'Tsalin uzuulelt'!J$5,negtgel!U309:BL309)</f>
      </c>
      <c r="K309">
        <f>SUMIF(negtgel!U$2:BL$2,'Tsalin uzuulelt'!L$1,negtgel!U309:BL309) + SUMIF(negtgel!U$2:BL$2,'Tsalin uzuulelt'!L$2,negtgel!U309:BL309)+SUMIF(negtgel!U$2:BL$2,'Tsalin uzuulelt'!L$3,negtgel!U309:BL309)+SUMIF(negtgel!U$2:BL$2,'Tsalin uzuulelt'!L$4,negtgel!U309:BL309)+SUMIF(negtgel!U$2:BL$2,'Tsalin uzuulelt'!L$5,negtgel!U309:BL309)</f>
      </c>
      <c r="L309">
        <f>SUMIF(negtgel!U$2:BL$2,'Tsalin uzuulelt'!N$1,negtgel!U309:BL309) + SUMIF(negtgel!U$2:BL$2,'Tsalin uzuulelt'!N$2,negtgel!U309:BL309)+SUMIF(negtgel!U$2:BL$2,'Tsalin uzuulelt'!N$3,negtgel!U309:BL309)+SUMIF(negtgel!U$2:BL$2,'Tsalin uzuulelt'!N$4,negtgel!U309:BL309)+SUMIF(negtgel!U$2:BL$2,'Tsalin uzuulelt'!N$5,negtgel!U309:BL309)</f>
      </c>
      <c r="M309">
        <f>SUMIF(negtgel!U$2:BL$2,'Tsalin uzuulelt'!P$1,negtgel!U309:BL309) + SUMIF(negtgel!U$2:BL$2,'Tsalin uzuulelt'!P$2,negtgel!U309:BL309)+ SUMIF(negtgel!U$2:BL$2,'Tsalin uzuulelt'!P$3,negtgel!U309:BL309)+ SUMIF(negtgel!U$2:BL$2,'Tsalin uzuulelt'!P$4,negtgel!U309:BL309)+ SUMIF(negtgel!U$2:BL$2,'Tsalin uzuulelt'!P$5,negtgel!U309:BL309)</f>
      </c>
      <c r="N309">
        <f>IF(ISNUMBER(U309*1)=CF309,0,K309-H309-G309)</f>
      </c>
      <c r="O309">
        <f>IF(ISNUMBER(U309*1)=CF309,0,L309)</f>
      </c>
      <c r="P309">
        <f>IF(ISNUMBER(U309*1)=CF309,0,M309)</f>
      </c>
      <c r="Q309">
        <f>IF(N309&gt;2400000,N309,0)</f>
      </c>
      <c r="R309">
        <f>IF(L309/Q309*100&lt;3,2,10)</f>
      </c>
      <c r="S309">
        <f>IF(CH309=0,0,IF(B309&gt;9,10,IF(B309&gt;8,B309,IF(B309&gt;7.7,7.8,IF(B309&gt;3,B309,IF(B309&gt;1.5,2))))))</f>
      </c>
      <c r="T309">
        <f>IF(Q309=0,S309,R309)</f>
      </c>
      <c r="U309" t="n">
        <v>71.0</v>
      </c>
      <c r="V309" t="s">
        <v>3814</v>
      </c>
      <c r="W309" t="s">
        <v>3792</v>
      </c>
      <c r="X309" t="n">
        <v>500784.0</v>
      </c>
      <c r="Y309" t="n">
        <v>500784.0</v>
      </c>
      <c r="Z309" t="n">
        <v>0.0</v>
      </c>
      <c r="AA309" t="n">
        <v>0.0</v>
      </c>
      <c r="AB309" t="n">
        <v>0.0</v>
      </c>
      <c r="AC309" t="n">
        <v>0.0</v>
      </c>
      <c r="AD309" t="n">
        <v>0.0</v>
      </c>
      <c r="AE309" t="n">
        <v>0.0</v>
      </c>
      <c r="AF309" t="n">
        <v>69000.0</v>
      </c>
      <c r="AG309" t="n">
        <v>0.0</v>
      </c>
      <c r="AH309" t="n">
        <v>0.0</v>
      </c>
      <c r="AI309" t="n">
        <v>0.0</v>
      </c>
      <c r="AJ309" t="n">
        <v>0.0</v>
      </c>
      <c r="AK309" t="n">
        <v>0.0</v>
      </c>
      <c r="AL309" t="n">
        <v>0.0</v>
      </c>
      <c r="AM309" t="n">
        <v>0.0</v>
      </c>
      <c r="AN309" t="n">
        <v>0.0</v>
      </c>
      <c r="AO309" t="n">
        <v>569784.0</v>
      </c>
      <c r="AP309" t="n">
        <v>56979.0</v>
      </c>
      <c r="AQ309" t="n">
        <v>44970.6</v>
      </c>
      <c r="CH309">
        <f>IFERROR(U309*1,0)</f>
      </c>
    </row>
    <row r="310">
      <c r="A310" t="n">
        <v>5.0</v>
      </c>
      <c r="B310">
        <f>IF((K310-G310-H310&gt;2400000),10,(L310/(K310-G310-H310)*100))</f>
      </c>
      <c r="C310">
        <f>IF(N310&gt;2400000,240000,(N310*S310)/100)</f>
      </c>
      <c r="D310">
        <f>IF(S310=0,0,IF((N310-I310)&gt;2400000,((((((N310-I310-J310)-240000))*0.1+(I310+J310)*0.1)))-7000,((((((N310-I310-J310)-(N310-I310-J310)*S310/100)))*0.1+(I310+J310)*0.1)-7000)))</f>
      </c>
      <c r="E310">
        <f>C310-O310</f>
      </c>
      <c r="F310">
        <f>D310-P310</f>
      </c>
      <c r="G310">
        <f>SUMIF(negtgel!U$2:BL$2,'Tsalin uzuulelt'!B$1,negtgel!U310:BL310) + SUMIF(negtgel!U$2:BL$2,'Tsalin uzuulelt'!B$2,negtgel!U310:BL310)+SUMIF(negtgel!U$2:BL$2,'Tsalin uzuulelt'!B$3,negtgel!U310:BL310)+SUMIF(negtgel!U$2:BL$2,'Tsalin uzuulelt'!B$4,negtgel!U310:BL310)+SUMIF(negtgel!U$2:BL$2,'Tsalin uzuulelt'!B$5,negtgel!U310:BL310)</f>
      </c>
      <c r="H310">
        <f>SUMIF(negtgel!U$2:BL$2,'Tsalin uzuulelt'!F$1,negtgel!U310:BL310) + SUMIF(negtgel!U$2:BL$2,'Tsalin uzuulelt'!F$2,negtgel!U310:BL310)+SUMIF(negtgel!U$2:BL$2,'Tsalin uzuulelt'!F$3,negtgel!U310:BL310)+SUMIF(negtgel!U$2:BL$2,'Tsalin uzuulelt'!F$4,negtgel!U310:BL310)+SUMIF(negtgel!U$2:BL$2,'Tsalin uzuulelt'!F$5,negtgel!U310:BL310)</f>
      </c>
      <c r="I310">
        <f>SUMIF(negtgel!U$2:BL$2,'Tsalin uzuulelt'!H$1,negtgel!U310:BL310) + SUMIF(negtgel!U$2:BL$2,'Tsalin uzuulelt'!H$2,negtgel!U310:BL310)+SUMIF(negtgel!U$2:BL$2,'Tsalin uzuulelt'!H$3,negtgel!U310:BL310)+SUMIF(negtgel!U$2:BL$2,'Tsalin uzuulelt'!H$4,negtgel!U310:BL310)+SUMIF(negtgel!U$2:BL$2,'Tsalin uzuulelt'!H$5,negtgel!U310:BL310)</f>
      </c>
      <c r="J310">
        <f>SUMIF(negtgel!U$2:BL$2,'Tsalin uzuulelt'!J$1,negtgel!U310:BL310) + SUMIF(negtgel!U$2:BL$2,'Tsalin uzuulelt'!J$2,negtgel!U310:BL310)+SUMIF(negtgel!U$2:BL$2,'Tsalin uzuulelt'!J$3,negtgel!U310:BL310)+SUMIF(negtgel!U$2:BL$2,'Tsalin uzuulelt'!J$4,negtgel!U310:BL310)+SUMIF(negtgel!U$2:BL$2,'Tsalin uzuulelt'!J$5,negtgel!U310:BL310)</f>
      </c>
      <c r="K310">
        <f>SUMIF(negtgel!U$2:BL$2,'Tsalin uzuulelt'!L$1,negtgel!U310:BL310) + SUMIF(negtgel!U$2:BL$2,'Tsalin uzuulelt'!L$2,negtgel!U310:BL310)+SUMIF(negtgel!U$2:BL$2,'Tsalin uzuulelt'!L$3,negtgel!U310:BL310)+SUMIF(negtgel!U$2:BL$2,'Tsalin uzuulelt'!L$4,negtgel!U310:BL310)+SUMIF(negtgel!U$2:BL$2,'Tsalin uzuulelt'!L$5,negtgel!U310:BL310)</f>
      </c>
      <c r="L310">
        <f>SUMIF(negtgel!U$2:BL$2,'Tsalin uzuulelt'!N$1,negtgel!U310:BL310) + SUMIF(negtgel!U$2:BL$2,'Tsalin uzuulelt'!N$2,negtgel!U310:BL310)+SUMIF(negtgel!U$2:BL$2,'Tsalin uzuulelt'!N$3,negtgel!U310:BL310)+SUMIF(negtgel!U$2:BL$2,'Tsalin uzuulelt'!N$4,negtgel!U310:BL310)+SUMIF(negtgel!U$2:BL$2,'Tsalin uzuulelt'!N$5,negtgel!U310:BL310)</f>
      </c>
      <c r="M310">
        <f>SUMIF(negtgel!U$2:BL$2,'Tsalin uzuulelt'!P$1,negtgel!U310:BL310) + SUMIF(negtgel!U$2:BL$2,'Tsalin uzuulelt'!P$2,negtgel!U310:BL310)+ SUMIF(negtgel!U$2:BL$2,'Tsalin uzuulelt'!P$3,negtgel!U310:BL310)+ SUMIF(negtgel!U$2:BL$2,'Tsalin uzuulelt'!P$4,negtgel!U310:BL310)+ SUMIF(negtgel!U$2:BL$2,'Tsalin uzuulelt'!P$5,negtgel!U310:BL310)</f>
      </c>
      <c r="N310">
        <f>IF(ISNUMBER(U310*1)=CF310,0,K310-H310-G310)</f>
      </c>
      <c r="O310">
        <f>IF(ISNUMBER(U310*1)=CF310,0,L310)</f>
      </c>
      <c r="P310">
        <f>IF(ISNUMBER(U310*1)=CF310,0,M310)</f>
      </c>
      <c r="Q310">
        <f>IF(N310&gt;2400000,N310,0)</f>
      </c>
      <c r="R310">
        <f>IF(L310/Q310*100&lt;3,2,10)</f>
      </c>
      <c r="S310">
        <f>IF(CH310=0,0,IF(B310&gt;9,10,IF(B310&gt;8,B310,IF(B310&gt;7.7,7.8,IF(B310&gt;3,B310,IF(B310&gt;1.5,2))))))</f>
      </c>
      <c r="T310">
        <f>IF(Q310=0,S310,R310)</f>
      </c>
      <c r="U310" t="s">
        <v>3787</v>
      </c>
      <c r="V310"/>
      <c r="W310"/>
      <c r="X310" t="n">
        <v>7413317.0</v>
      </c>
      <c r="Y310" t="n">
        <v>5565342.0</v>
      </c>
      <c r="Z310" t="n">
        <v>183491.0</v>
      </c>
      <c r="AA310" t="n">
        <v>451061.0</v>
      </c>
      <c r="AB310" t="n">
        <v>0.0</v>
      </c>
      <c r="AC310" t="n">
        <v>0.0</v>
      </c>
      <c r="AD310" t="n">
        <v>0.0</v>
      </c>
      <c r="AE310" t="n">
        <v>0.0</v>
      </c>
      <c r="AF310" t="n">
        <v>684000.0</v>
      </c>
      <c r="AG310" t="n">
        <v>0.0</v>
      </c>
      <c r="AH310" t="n">
        <v>0.0</v>
      </c>
      <c r="AI310" t="n">
        <v>0.0</v>
      </c>
      <c r="AJ310" t="n">
        <v>776017.0</v>
      </c>
      <c r="AK310" t="n">
        <v>0.0</v>
      </c>
      <c r="AL310" t="n">
        <v>152721.0</v>
      </c>
      <c r="AM310" t="n">
        <v>0.0</v>
      </c>
      <c r="AN310" t="n">
        <v>0.0</v>
      </c>
      <c r="AO310" t="n">
        <v>7812632.0</v>
      </c>
      <c r="AP310" t="n">
        <v>765993.0</v>
      </c>
      <c r="AQ310" t="n">
        <v>619232.1</v>
      </c>
      <c r="CH310">
        <f>IFERROR(U310*1,0)</f>
      </c>
    </row>
    <row r="311">
      <c r="A311" t="n">
        <v>5.0</v>
      </c>
      <c r="B311">
        <f>IF((K311-G311-H311&gt;2400000),10,(L311/(K311-G311-H311)*100))</f>
      </c>
      <c r="C311">
        <f>IF(N311&gt;2400000,240000,(N311*S311)/100)</f>
      </c>
      <c r="D311">
        <f>IF(S311=0,0,IF((N311-I311)&gt;2400000,((((((N311-I311-J311)-240000))*0.1+(I311+J311)*0.1)))-7000,((((((N311-I311-J311)-(N311-I311-J311)*S311/100)))*0.1+(I311+J311)*0.1)-7000)))</f>
      </c>
      <c r="E311">
        <f>C311-O311</f>
      </c>
      <c r="F311">
        <f>D311-P311</f>
      </c>
      <c r="G311">
        <f>SUMIF(negtgel!U$2:BL$2,'Tsalin uzuulelt'!B$1,negtgel!U311:BL311) + SUMIF(negtgel!U$2:BL$2,'Tsalin uzuulelt'!B$2,negtgel!U311:BL311)+SUMIF(negtgel!U$2:BL$2,'Tsalin uzuulelt'!B$3,negtgel!U311:BL311)+SUMIF(negtgel!U$2:BL$2,'Tsalin uzuulelt'!B$4,negtgel!U311:BL311)+SUMIF(negtgel!U$2:BL$2,'Tsalin uzuulelt'!B$5,negtgel!U311:BL311)</f>
      </c>
      <c r="H311">
        <f>SUMIF(negtgel!U$2:BL$2,'Tsalin uzuulelt'!F$1,negtgel!U311:BL311) + SUMIF(negtgel!U$2:BL$2,'Tsalin uzuulelt'!F$2,negtgel!U311:BL311)+SUMIF(negtgel!U$2:BL$2,'Tsalin uzuulelt'!F$3,negtgel!U311:BL311)+SUMIF(negtgel!U$2:BL$2,'Tsalin uzuulelt'!F$4,negtgel!U311:BL311)+SUMIF(negtgel!U$2:BL$2,'Tsalin uzuulelt'!F$5,negtgel!U311:BL311)</f>
      </c>
      <c r="I311">
        <f>SUMIF(negtgel!U$2:BL$2,'Tsalin uzuulelt'!H$1,negtgel!U311:BL311) + SUMIF(negtgel!U$2:BL$2,'Tsalin uzuulelt'!H$2,negtgel!U311:BL311)+SUMIF(negtgel!U$2:BL$2,'Tsalin uzuulelt'!H$3,negtgel!U311:BL311)+SUMIF(negtgel!U$2:BL$2,'Tsalin uzuulelt'!H$4,negtgel!U311:BL311)+SUMIF(negtgel!U$2:BL$2,'Tsalin uzuulelt'!H$5,negtgel!U311:BL311)</f>
      </c>
      <c r="J311">
        <f>SUMIF(negtgel!U$2:BL$2,'Tsalin uzuulelt'!J$1,negtgel!U311:BL311) + SUMIF(negtgel!U$2:BL$2,'Tsalin uzuulelt'!J$2,negtgel!U311:BL311)+SUMIF(negtgel!U$2:BL$2,'Tsalin uzuulelt'!J$3,negtgel!U311:BL311)+SUMIF(negtgel!U$2:BL$2,'Tsalin uzuulelt'!J$4,negtgel!U311:BL311)+SUMIF(negtgel!U$2:BL$2,'Tsalin uzuulelt'!J$5,negtgel!U311:BL311)</f>
      </c>
      <c r="K311">
        <f>SUMIF(negtgel!U$2:BL$2,'Tsalin uzuulelt'!L$1,negtgel!U311:BL311) + SUMIF(negtgel!U$2:BL$2,'Tsalin uzuulelt'!L$2,negtgel!U311:BL311)+SUMIF(negtgel!U$2:BL$2,'Tsalin uzuulelt'!L$3,negtgel!U311:BL311)+SUMIF(negtgel!U$2:BL$2,'Tsalin uzuulelt'!L$4,negtgel!U311:BL311)+SUMIF(negtgel!U$2:BL$2,'Tsalin uzuulelt'!L$5,negtgel!U311:BL311)</f>
      </c>
      <c r="L311">
        <f>SUMIF(negtgel!U$2:BL$2,'Tsalin uzuulelt'!N$1,negtgel!U311:BL311) + SUMIF(negtgel!U$2:BL$2,'Tsalin uzuulelt'!N$2,negtgel!U311:BL311)+SUMIF(negtgel!U$2:BL$2,'Tsalin uzuulelt'!N$3,negtgel!U311:BL311)+SUMIF(negtgel!U$2:BL$2,'Tsalin uzuulelt'!N$4,negtgel!U311:BL311)+SUMIF(negtgel!U$2:BL$2,'Tsalin uzuulelt'!N$5,negtgel!U311:BL311)</f>
      </c>
      <c r="M311">
        <f>SUMIF(negtgel!U$2:BL$2,'Tsalin uzuulelt'!P$1,negtgel!U311:BL311) + SUMIF(negtgel!U$2:BL$2,'Tsalin uzuulelt'!P$2,negtgel!U311:BL311)+ SUMIF(negtgel!U$2:BL$2,'Tsalin uzuulelt'!P$3,negtgel!U311:BL311)+ SUMIF(negtgel!U$2:BL$2,'Tsalin uzuulelt'!P$4,negtgel!U311:BL311)+ SUMIF(negtgel!U$2:BL$2,'Tsalin uzuulelt'!P$5,negtgel!U311:BL311)</f>
      </c>
      <c r="N311">
        <f>IF(ISNUMBER(U311*1)=CF311,0,K311-H311-G311)</f>
      </c>
      <c r="O311">
        <f>IF(ISNUMBER(U311*1)=CF311,0,L311)</f>
      </c>
      <c r="P311">
        <f>IF(ISNUMBER(U311*1)=CF311,0,M311)</f>
      </c>
      <c r="Q311">
        <f>IF(N311&gt;2400000,N311,0)</f>
      </c>
      <c r="R311">
        <f>IF(L311/Q311*100&lt;3,2,10)</f>
      </c>
      <c r="S311">
        <f>IF(CH311=0,0,IF(B311&gt;9,10,IF(B311&gt;8,B311,IF(B311&gt;7.7,7.8,IF(B311&gt;3,B311,IF(B311&gt;1.5,2))))))</f>
      </c>
      <c r="T311">
        <f>IF(Q311=0,S311,R311)</f>
      </c>
      <c r="U311" t="s">
        <v>3815</v>
      </c>
      <c r="V311"/>
      <c r="W311"/>
      <c r="X311"/>
      <c r="Y311"/>
      <c r="Z311"/>
      <c r="AA311"/>
      <c r="AB311"/>
      <c r="AC311"/>
      <c r="AD311"/>
      <c r="AE311"/>
      <c r="AF311"/>
      <c r="AG311"/>
      <c r="AH311"/>
      <c r="AI311"/>
      <c r="AJ311"/>
      <c r="AK311"/>
      <c r="AL311"/>
      <c r="AM311"/>
      <c r="AN311"/>
      <c r="AO311"/>
      <c r="AP311"/>
      <c r="AQ311"/>
      <c r="CH311">
        <f>IFERROR(U311*1,0)</f>
      </c>
    </row>
    <row r="312">
      <c r="A312" t="n">
        <v>5.0</v>
      </c>
      <c r="B312">
        <f>IF((K312-G312-H312&gt;2400000),10,(L312/(K312-G312-H312)*100))</f>
      </c>
      <c r="C312">
        <f>IF(N312&gt;2400000,240000,(N312*S312)/100)</f>
      </c>
      <c r="D312">
        <f>IF(S312=0,0,IF((N312-I312)&gt;2400000,((((((N312-I312-J312)-240000))*0.1+(I312+J312)*0.1)))-7000,((((((N312-I312-J312)-(N312-I312-J312)*S312/100)))*0.1+(I312+J312)*0.1)-7000)))</f>
      </c>
      <c r="E312">
        <f>C312-O312</f>
      </c>
      <c r="F312">
        <f>D312-P312</f>
      </c>
      <c r="G312">
        <f>SUMIF(negtgel!U$2:BL$2,'Tsalin uzuulelt'!B$1,negtgel!U312:BL312) + SUMIF(negtgel!U$2:BL$2,'Tsalin uzuulelt'!B$2,negtgel!U312:BL312)+SUMIF(negtgel!U$2:BL$2,'Tsalin uzuulelt'!B$3,negtgel!U312:BL312)+SUMIF(negtgel!U$2:BL$2,'Tsalin uzuulelt'!B$4,negtgel!U312:BL312)+SUMIF(negtgel!U$2:BL$2,'Tsalin uzuulelt'!B$5,negtgel!U312:BL312)</f>
      </c>
      <c r="H312">
        <f>SUMIF(negtgel!U$2:BL$2,'Tsalin uzuulelt'!F$1,negtgel!U312:BL312) + SUMIF(negtgel!U$2:BL$2,'Tsalin uzuulelt'!F$2,negtgel!U312:BL312)+SUMIF(negtgel!U$2:BL$2,'Tsalin uzuulelt'!F$3,negtgel!U312:BL312)+SUMIF(negtgel!U$2:BL$2,'Tsalin uzuulelt'!F$4,negtgel!U312:BL312)+SUMIF(negtgel!U$2:BL$2,'Tsalin uzuulelt'!F$5,negtgel!U312:BL312)</f>
      </c>
      <c r="I312">
        <f>SUMIF(negtgel!U$2:BL$2,'Tsalin uzuulelt'!H$1,negtgel!U312:BL312) + SUMIF(negtgel!U$2:BL$2,'Tsalin uzuulelt'!H$2,negtgel!U312:BL312)+SUMIF(negtgel!U$2:BL$2,'Tsalin uzuulelt'!H$3,negtgel!U312:BL312)+SUMIF(negtgel!U$2:BL$2,'Tsalin uzuulelt'!H$4,negtgel!U312:BL312)+SUMIF(negtgel!U$2:BL$2,'Tsalin uzuulelt'!H$5,negtgel!U312:BL312)</f>
      </c>
      <c r="J312">
        <f>SUMIF(negtgel!U$2:BL$2,'Tsalin uzuulelt'!J$1,negtgel!U312:BL312) + SUMIF(negtgel!U$2:BL$2,'Tsalin uzuulelt'!J$2,negtgel!U312:BL312)+SUMIF(negtgel!U$2:BL$2,'Tsalin uzuulelt'!J$3,negtgel!U312:BL312)+SUMIF(negtgel!U$2:BL$2,'Tsalin uzuulelt'!J$4,negtgel!U312:BL312)+SUMIF(negtgel!U$2:BL$2,'Tsalin uzuulelt'!J$5,negtgel!U312:BL312)</f>
      </c>
      <c r="K312">
        <f>SUMIF(negtgel!U$2:BL$2,'Tsalin uzuulelt'!L$1,negtgel!U312:BL312) + SUMIF(negtgel!U$2:BL$2,'Tsalin uzuulelt'!L$2,negtgel!U312:BL312)+SUMIF(negtgel!U$2:BL$2,'Tsalin uzuulelt'!L$3,negtgel!U312:BL312)+SUMIF(negtgel!U$2:BL$2,'Tsalin uzuulelt'!L$4,negtgel!U312:BL312)+SUMIF(negtgel!U$2:BL$2,'Tsalin uzuulelt'!L$5,negtgel!U312:BL312)</f>
      </c>
      <c r="L312">
        <f>SUMIF(negtgel!U$2:BL$2,'Tsalin uzuulelt'!N$1,negtgel!U312:BL312) + SUMIF(negtgel!U$2:BL$2,'Tsalin uzuulelt'!N$2,negtgel!U312:BL312)+SUMIF(negtgel!U$2:BL$2,'Tsalin uzuulelt'!N$3,negtgel!U312:BL312)+SUMIF(negtgel!U$2:BL$2,'Tsalin uzuulelt'!N$4,negtgel!U312:BL312)+SUMIF(negtgel!U$2:BL$2,'Tsalin uzuulelt'!N$5,negtgel!U312:BL312)</f>
      </c>
      <c r="M312">
        <f>SUMIF(negtgel!U$2:BL$2,'Tsalin uzuulelt'!P$1,negtgel!U312:BL312) + SUMIF(negtgel!U$2:BL$2,'Tsalin uzuulelt'!P$2,negtgel!U312:BL312)+ SUMIF(negtgel!U$2:BL$2,'Tsalin uzuulelt'!P$3,negtgel!U312:BL312)+ SUMIF(negtgel!U$2:BL$2,'Tsalin uzuulelt'!P$4,negtgel!U312:BL312)+ SUMIF(negtgel!U$2:BL$2,'Tsalin uzuulelt'!P$5,negtgel!U312:BL312)</f>
      </c>
      <c r="N312">
        <f>IF(ISNUMBER(U312*1)=CF312,0,K312-H312-G312)</f>
      </c>
      <c r="O312">
        <f>IF(ISNUMBER(U312*1)=CF312,0,L312)</f>
      </c>
      <c r="P312">
        <f>IF(ISNUMBER(U312*1)=CF312,0,M312)</f>
      </c>
      <c r="Q312">
        <f>IF(N312&gt;2400000,N312,0)</f>
      </c>
      <c r="R312">
        <f>IF(L312/Q312*100&lt;3,2,10)</f>
      </c>
      <c r="S312">
        <f>IF(CH312=0,0,IF(B312&gt;9,10,IF(B312&gt;8,B312,IF(B312&gt;7.7,7.8,IF(B312&gt;3,B312,IF(B312&gt;1.5,2))))))</f>
      </c>
      <c r="T312">
        <f>IF(Q312=0,S312,R312)</f>
      </c>
      <c r="U312" t="n">
        <v>72.0</v>
      </c>
      <c r="V312" t="s">
        <v>3816</v>
      </c>
      <c r="W312" t="s">
        <v>3790</v>
      </c>
      <c r="X312" t="n">
        <v>547759.0</v>
      </c>
      <c r="Y312" t="n">
        <v>428681.0</v>
      </c>
      <c r="Z312" t="n">
        <v>0.0</v>
      </c>
      <c r="AA312" t="n">
        <v>0.0</v>
      </c>
      <c r="AB312" t="n">
        <v>0.0</v>
      </c>
      <c r="AC312" t="n">
        <v>0.0</v>
      </c>
      <c r="AD312" t="n">
        <v>0.0</v>
      </c>
      <c r="AE312" t="n">
        <v>0.0</v>
      </c>
      <c r="AF312" t="n">
        <v>54000.0</v>
      </c>
      <c r="AG312" t="n">
        <v>0.0</v>
      </c>
      <c r="AH312" t="n">
        <v>0.0</v>
      </c>
      <c r="AI312" t="n">
        <v>0.0</v>
      </c>
      <c r="AJ312" t="n">
        <v>0.0</v>
      </c>
      <c r="AK312" t="n">
        <v>0.0</v>
      </c>
      <c r="AL312" t="n">
        <v>0.0</v>
      </c>
      <c r="AM312" t="n">
        <v>0.0</v>
      </c>
      <c r="AN312" t="n">
        <v>0.0</v>
      </c>
      <c r="AO312" t="n">
        <v>482681.0</v>
      </c>
      <c r="AP312" t="n">
        <v>48268.0</v>
      </c>
      <c r="AQ312" t="n">
        <v>36981.3</v>
      </c>
      <c r="CH312">
        <f>IFERROR(U312*1,0)</f>
      </c>
    </row>
    <row r="313">
      <c r="A313" t="n">
        <v>5.0</v>
      </c>
      <c r="B313">
        <f>IF((K313-G313-H313&gt;2400000),10,(L313/(K313-G313-H313)*100))</f>
      </c>
      <c r="C313">
        <f>IF(N313&gt;2400000,240000,(N313*S313)/100)</f>
      </c>
      <c r="D313">
        <f>IF(S313=0,0,IF((N313-I313)&gt;2400000,((((((N313-I313-J313)-240000))*0.1+(I313+J313)*0.1)))-7000,((((((N313-I313-J313)-(N313-I313-J313)*S313/100)))*0.1+(I313+J313)*0.1)-7000)))</f>
      </c>
      <c r="E313">
        <f>C313-O313</f>
      </c>
      <c r="F313">
        <f>D313-P313</f>
      </c>
      <c r="G313">
        <f>SUMIF(negtgel!U$2:BL$2,'Tsalin uzuulelt'!B$1,negtgel!U313:BL313) + SUMIF(negtgel!U$2:BL$2,'Tsalin uzuulelt'!B$2,negtgel!U313:BL313)+SUMIF(negtgel!U$2:BL$2,'Tsalin uzuulelt'!B$3,negtgel!U313:BL313)+SUMIF(negtgel!U$2:BL$2,'Tsalin uzuulelt'!B$4,negtgel!U313:BL313)+SUMIF(negtgel!U$2:BL$2,'Tsalin uzuulelt'!B$5,negtgel!U313:BL313)</f>
      </c>
      <c r="H313">
        <f>SUMIF(negtgel!U$2:BL$2,'Tsalin uzuulelt'!F$1,negtgel!U313:BL313) + SUMIF(negtgel!U$2:BL$2,'Tsalin uzuulelt'!F$2,negtgel!U313:BL313)+SUMIF(negtgel!U$2:BL$2,'Tsalin uzuulelt'!F$3,negtgel!U313:BL313)+SUMIF(negtgel!U$2:BL$2,'Tsalin uzuulelt'!F$4,negtgel!U313:BL313)+SUMIF(negtgel!U$2:BL$2,'Tsalin uzuulelt'!F$5,negtgel!U313:BL313)</f>
      </c>
      <c r="I313">
        <f>SUMIF(negtgel!U$2:BL$2,'Tsalin uzuulelt'!H$1,negtgel!U313:BL313) + SUMIF(negtgel!U$2:BL$2,'Tsalin uzuulelt'!H$2,negtgel!U313:BL313)+SUMIF(negtgel!U$2:BL$2,'Tsalin uzuulelt'!H$3,negtgel!U313:BL313)+SUMIF(negtgel!U$2:BL$2,'Tsalin uzuulelt'!H$4,negtgel!U313:BL313)+SUMIF(negtgel!U$2:BL$2,'Tsalin uzuulelt'!H$5,negtgel!U313:BL313)</f>
      </c>
      <c r="J313">
        <f>SUMIF(negtgel!U$2:BL$2,'Tsalin uzuulelt'!J$1,negtgel!U313:BL313) + SUMIF(negtgel!U$2:BL$2,'Tsalin uzuulelt'!J$2,negtgel!U313:BL313)+SUMIF(negtgel!U$2:BL$2,'Tsalin uzuulelt'!J$3,negtgel!U313:BL313)+SUMIF(negtgel!U$2:BL$2,'Tsalin uzuulelt'!J$4,negtgel!U313:BL313)+SUMIF(negtgel!U$2:BL$2,'Tsalin uzuulelt'!J$5,negtgel!U313:BL313)</f>
      </c>
      <c r="K313">
        <f>SUMIF(negtgel!U$2:BL$2,'Tsalin uzuulelt'!L$1,negtgel!U313:BL313) + SUMIF(negtgel!U$2:BL$2,'Tsalin uzuulelt'!L$2,negtgel!U313:BL313)+SUMIF(negtgel!U$2:BL$2,'Tsalin uzuulelt'!L$3,negtgel!U313:BL313)+SUMIF(negtgel!U$2:BL$2,'Tsalin uzuulelt'!L$4,negtgel!U313:BL313)+SUMIF(negtgel!U$2:BL$2,'Tsalin uzuulelt'!L$5,negtgel!U313:BL313)</f>
      </c>
      <c r="L313">
        <f>SUMIF(negtgel!U$2:BL$2,'Tsalin uzuulelt'!N$1,negtgel!U313:BL313) + SUMIF(negtgel!U$2:BL$2,'Tsalin uzuulelt'!N$2,negtgel!U313:BL313)+SUMIF(negtgel!U$2:BL$2,'Tsalin uzuulelt'!N$3,negtgel!U313:BL313)+SUMIF(negtgel!U$2:BL$2,'Tsalin uzuulelt'!N$4,negtgel!U313:BL313)+SUMIF(negtgel!U$2:BL$2,'Tsalin uzuulelt'!N$5,negtgel!U313:BL313)</f>
      </c>
      <c r="M313">
        <f>SUMIF(negtgel!U$2:BL$2,'Tsalin uzuulelt'!P$1,negtgel!U313:BL313) + SUMIF(negtgel!U$2:BL$2,'Tsalin uzuulelt'!P$2,negtgel!U313:BL313)+ SUMIF(negtgel!U$2:BL$2,'Tsalin uzuulelt'!P$3,negtgel!U313:BL313)+ SUMIF(negtgel!U$2:BL$2,'Tsalin uzuulelt'!P$4,negtgel!U313:BL313)+ SUMIF(negtgel!U$2:BL$2,'Tsalin uzuulelt'!P$5,negtgel!U313:BL313)</f>
      </c>
      <c r="N313">
        <f>IF(ISNUMBER(U313*1)=CF313,0,K313-H313-G313)</f>
      </c>
      <c r="O313">
        <f>IF(ISNUMBER(U313*1)=CF313,0,L313)</f>
      </c>
      <c r="P313">
        <f>IF(ISNUMBER(U313*1)=CF313,0,M313)</f>
      </c>
      <c r="Q313">
        <f>IF(N313&gt;2400000,N313,0)</f>
      </c>
      <c r="R313">
        <f>IF(L313/Q313*100&lt;3,2,10)</f>
      </c>
      <c r="S313">
        <f>IF(CH313=0,0,IF(B313&gt;9,10,IF(B313&gt;8,B313,IF(B313&gt;7.7,7.8,IF(B313&gt;3,B313,IF(B313&gt;1.5,2))))))</f>
      </c>
      <c r="T313">
        <f>IF(Q313=0,S313,R313)</f>
      </c>
      <c r="U313" t="n">
        <v>73.0</v>
      </c>
      <c r="V313" t="s">
        <v>3817</v>
      </c>
      <c r="W313" t="s">
        <v>3790</v>
      </c>
      <c r="X313" t="n">
        <v>677436.0</v>
      </c>
      <c r="Y313" t="n">
        <v>677436.0</v>
      </c>
      <c r="Z313" t="n">
        <v>135487.0</v>
      </c>
      <c r="AA313" t="n">
        <v>135487.0</v>
      </c>
      <c r="AB313" t="n">
        <v>0.0</v>
      </c>
      <c r="AC313" t="n">
        <v>0.0</v>
      </c>
      <c r="AD313" t="n">
        <v>0.0</v>
      </c>
      <c r="AE313" t="n">
        <v>0.0</v>
      </c>
      <c r="AF313" t="n">
        <v>69000.0</v>
      </c>
      <c r="AG313" t="n">
        <v>0.0</v>
      </c>
      <c r="AH313" t="n">
        <v>0.0</v>
      </c>
      <c r="AI313" t="n">
        <v>0.0</v>
      </c>
      <c r="AJ313" t="n">
        <v>0.0</v>
      </c>
      <c r="AK313" t="n">
        <v>0.0</v>
      </c>
      <c r="AL313" t="n">
        <v>0.0</v>
      </c>
      <c r="AM313" t="n">
        <v>0.0</v>
      </c>
      <c r="AN313" t="n">
        <v>0.0</v>
      </c>
      <c r="AO313" t="n">
        <v>1017410.0</v>
      </c>
      <c r="AP313" t="n">
        <v>101741.0</v>
      </c>
      <c r="AQ313" t="n">
        <v>85256.9</v>
      </c>
      <c r="CH313">
        <f>IFERROR(U313*1,0)</f>
      </c>
    </row>
    <row r="314">
      <c r="A314" t="n">
        <v>5.0</v>
      </c>
      <c r="B314">
        <f>IF((K314-G314-H314&gt;2400000),10,(L314/(K314-G314-H314)*100))</f>
      </c>
      <c r="C314">
        <f>IF(N314&gt;2400000,240000,(N314*S314)/100)</f>
      </c>
      <c r="D314">
        <f>IF(S314=0,0,IF((N314-I314)&gt;2400000,((((((N314-I314-J314)-240000))*0.1+(I314+J314)*0.1)))-7000,((((((N314-I314-J314)-(N314-I314-J314)*S314/100)))*0.1+(I314+J314)*0.1)-7000)))</f>
      </c>
      <c r="E314">
        <f>C314-O314</f>
      </c>
      <c r="F314">
        <f>D314-P314</f>
      </c>
      <c r="G314">
        <f>SUMIF(negtgel!U$2:BL$2,'Tsalin uzuulelt'!B$1,negtgel!U314:BL314) + SUMIF(negtgel!U$2:BL$2,'Tsalin uzuulelt'!B$2,negtgel!U314:BL314)+SUMIF(negtgel!U$2:BL$2,'Tsalin uzuulelt'!B$3,negtgel!U314:BL314)+SUMIF(negtgel!U$2:BL$2,'Tsalin uzuulelt'!B$4,negtgel!U314:BL314)+SUMIF(negtgel!U$2:BL$2,'Tsalin uzuulelt'!B$5,negtgel!U314:BL314)</f>
      </c>
      <c r="H314">
        <f>SUMIF(negtgel!U$2:BL$2,'Tsalin uzuulelt'!F$1,negtgel!U314:BL314) + SUMIF(negtgel!U$2:BL$2,'Tsalin uzuulelt'!F$2,negtgel!U314:BL314)+SUMIF(negtgel!U$2:BL$2,'Tsalin uzuulelt'!F$3,negtgel!U314:BL314)+SUMIF(negtgel!U$2:BL$2,'Tsalin uzuulelt'!F$4,negtgel!U314:BL314)+SUMIF(negtgel!U$2:BL$2,'Tsalin uzuulelt'!F$5,negtgel!U314:BL314)</f>
      </c>
      <c r="I314">
        <f>SUMIF(negtgel!U$2:BL$2,'Tsalin uzuulelt'!H$1,negtgel!U314:BL314) + SUMIF(negtgel!U$2:BL$2,'Tsalin uzuulelt'!H$2,negtgel!U314:BL314)+SUMIF(negtgel!U$2:BL$2,'Tsalin uzuulelt'!H$3,negtgel!U314:BL314)+SUMIF(negtgel!U$2:BL$2,'Tsalin uzuulelt'!H$4,negtgel!U314:BL314)+SUMIF(negtgel!U$2:BL$2,'Tsalin uzuulelt'!H$5,negtgel!U314:BL314)</f>
      </c>
      <c r="J314">
        <f>SUMIF(negtgel!U$2:BL$2,'Tsalin uzuulelt'!J$1,negtgel!U314:BL314) + SUMIF(negtgel!U$2:BL$2,'Tsalin uzuulelt'!J$2,negtgel!U314:BL314)+SUMIF(negtgel!U$2:BL$2,'Tsalin uzuulelt'!J$3,negtgel!U314:BL314)+SUMIF(negtgel!U$2:BL$2,'Tsalin uzuulelt'!J$4,negtgel!U314:BL314)+SUMIF(negtgel!U$2:BL$2,'Tsalin uzuulelt'!J$5,negtgel!U314:BL314)</f>
      </c>
      <c r="K314">
        <f>SUMIF(negtgel!U$2:BL$2,'Tsalin uzuulelt'!L$1,negtgel!U314:BL314) + SUMIF(negtgel!U$2:BL$2,'Tsalin uzuulelt'!L$2,negtgel!U314:BL314)+SUMIF(negtgel!U$2:BL$2,'Tsalin uzuulelt'!L$3,negtgel!U314:BL314)+SUMIF(negtgel!U$2:BL$2,'Tsalin uzuulelt'!L$4,negtgel!U314:BL314)+SUMIF(negtgel!U$2:BL$2,'Tsalin uzuulelt'!L$5,negtgel!U314:BL314)</f>
      </c>
      <c r="L314">
        <f>SUMIF(negtgel!U$2:BL$2,'Tsalin uzuulelt'!N$1,negtgel!U314:BL314) + SUMIF(negtgel!U$2:BL$2,'Tsalin uzuulelt'!N$2,negtgel!U314:BL314)+SUMIF(negtgel!U$2:BL$2,'Tsalin uzuulelt'!N$3,negtgel!U314:BL314)+SUMIF(negtgel!U$2:BL$2,'Tsalin uzuulelt'!N$4,negtgel!U314:BL314)+SUMIF(negtgel!U$2:BL$2,'Tsalin uzuulelt'!N$5,negtgel!U314:BL314)</f>
      </c>
      <c r="M314">
        <f>SUMIF(negtgel!U$2:BL$2,'Tsalin uzuulelt'!P$1,negtgel!U314:BL314) + SUMIF(negtgel!U$2:BL$2,'Tsalin uzuulelt'!P$2,negtgel!U314:BL314)+ SUMIF(negtgel!U$2:BL$2,'Tsalin uzuulelt'!P$3,negtgel!U314:BL314)+ SUMIF(negtgel!U$2:BL$2,'Tsalin uzuulelt'!P$4,negtgel!U314:BL314)+ SUMIF(negtgel!U$2:BL$2,'Tsalin uzuulelt'!P$5,negtgel!U314:BL314)</f>
      </c>
      <c r="N314">
        <f>IF(ISNUMBER(U314*1)=CF314,0,K314-H314-G314)</f>
      </c>
      <c r="O314">
        <f>IF(ISNUMBER(U314*1)=CF314,0,L314)</f>
      </c>
      <c r="P314">
        <f>IF(ISNUMBER(U314*1)=CF314,0,M314)</f>
      </c>
      <c r="Q314">
        <f>IF(N314&gt;2400000,N314,0)</f>
      </c>
      <c r="R314">
        <f>IF(L314/Q314*100&lt;3,2,10)</f>
      </c>
      <c r="S314">
        <f>IF(CH314=0,0,IF(B314&gt;9,10,IF(B314&gt;8,B314,IF(B314&gt;7.7,7.8,IF(B314&gt;3,B314,IF(B314&gt;1.5,2))))))</f>
      </c>
      <c r="T314">
        <f>IF(Q314=0,S314,R314)</f>
      </c>
      <c r="U314" t="n">
        <v>74.0</v>
      </c>
      <c r="V314" t="s">
        <v>3818</v>
      </c>
      <c r="W314" t="s">
        <v>3785</v>
      </c>
      <c r="X314" t="n">
        <v>795935.0</v>
      </c>
      <c r="Y314" t="n">
        <v>795935.0</v>
      </c>
      <c r="Z314" t="n">
        <v>159187.0</v>
      </c>
      <c r="AA314" t="n">
        <v>143268.0</v>
      </c>
      <c r="AB314" t="n">
        <v>0.0</v>
      </c>
      <c r="AC314" t="n">
        <v>0.0</v>
      </c>
      <c r="AD314" t="n">
        <v>0.0</v>
      </c>
      <c r="AE314" t="n">
        <v>0.0</v>
      </c>
      <c r="AF314" t="n">
        <v>69000.0</v>
      </c>
      <c r="AG314" t="n">
        <v>0.0</v>
      </c>
      <c r="AH314" t="n">
        <v>0.0</v>
      </c>
      <c r="AI314" t="n">
        <v>0.0</v>
      </c>
      <c r="AJ314" t="n">
        <v>0.0</v>
      </c>
      <c r="AK314" t="n">
        <v>0.0</v>
      </c>
      <c r="AL314" t="n">
        <v>0.0</v>
      </c>
      <c r="AM314" t="n">
        <v>0.0</v>
      </c>
      <c r="AN314" t="n">
        <v>0.0</v>
      </c>
      <c r="AO314" t="n">
        <v>1167390.0</v>
      </c>
      <c r="AP314" t="n">
        <v>116739.0</v>
      </c>
      <c r="AQ314" t="n">
        <v>98755.1</v>
      </c>
      <c r="CH314">
        <f>IFERROR(U314*1,0)</f>
      </c>
    </row>
    <row r="315">
      <c r="A315" t="n">
        <v>5.0</v>
      </c>
      <c r="B315">
        <f>IF((K315-G315-H315&gt;2400000),10,(L315/(K315-G315-H315)*100))</f>
      </c>
      <c r="C315">
        <f>IF(N315&gt;2400000,240000,(N315*S315)/100)</f>
      </c>
      <c r="D315">
        <f>IF(S315=0,0,IF((N315-I315)&gt;2400000,((((((N315-I315-J315)-240000))*0.1+(I315+J315)*0.1)))-7000,((((((N315-I315-J315)-(N315-I315-J315)*S315/100)))*0.1+(I315+J315)*0.1)-7000)))</f>
      </c>
      <c r="E315">
        <f>C315-O315</f>
      </c>
      <c r="F315">
        <f>D315-P315</f>
      </c>
      <c r="G315">
        <f>SUMIF(negtgel!U$2:BL$2,'Tsalin uzuulelt'!B$1,negtgel!U315:BL315) + SUMIF(negtgel!U$2:BL$2,'Tsalin uzuulelt'!B$2,negtgel!U315:BL315)+SUMIF(negtgel!U$2:BL$2,'Tsalin uzuulelt'!B$3,negtgel!U315:BL315)+SUMIF(negtgel!U$2:BL$2,'Tsalin uzuulelt'!B$4,negtgel!U315:BL315)+SUMIF(negtgel!U$2:BL$2,'Tsalin uzuulelt'!B$5,negtgel!U315:BL315)</f>
      </c>
      <c r="H315">
        <f>SUMIF(negtgel!U$2:BL$2,'Tsalin uzuulelt'!F$1,negtgel!U315:BL315) + SUMIF(negtgel!U$2:BL$2,'Tsalin uzuulelt'!F$2,negtgel!U315:BL315)+SUMIF(negtgel!U$2:BL$2,'Tsalin uzuulelt'!F$3,negtgel!U315:BL315)+SUMIF(negtgel!U$2:BL$2,'Tsalin uzuulelt'!F$4,negtgel!U315:BL315)+SUMIF(negtgel!U$2:BL$2,'Tsalin uzuulelt'!F$5,negtgel!U315:BL315)</f>
      </c>
      <c r="I315">
        <f>SUMIF(negtgel!U$2:BL$2,'Tsalin uzuulelt'!H$1,negtgel!U315:BL315) + SUMIF(negtgel!U$2:BL$2,'Tsalin uzuulelt'!H$2,negtgel!U315:BL315)+SUMIF(negtgel!U$2:BL$2,'Tsalin uzuulelt'!H$3,negtgel!U315:BL315)+SUMIF(negtgel!U$2:BL$2,'Tsalin uzuulelt'!H$4,negtgel!U315:BL315)+SUMIF(negtgel!U$2:BL$2,'Tsalin uzuulelt'!H$5,negtgel!U315:BL315)</f>
      </c>
      <c r="J315">
        <f>SUMIF(negtgel!U$2:BL$2,'Tsalin uzuulelt'!J$1,negtgel!U315:BL315) + SUMIF(negtgel!U$2:BL$2,'Tsalin uzuulelt'!J$2,negtgel!U315:BL315)+SUMIF(negtgel!U$2:BL$2,'Tsalin uzuulelt'!J$3,negtgel!U315:BL315)+SUMIF(negtgel!U$2:BL$2,'Tsalin uzuulelt'!J$4,negtgel!U315:BL315)+SUMIF(negtgel!U$2:BL$2,'Tsalin uzuulelt'!J$5,negtgel!U315:BL315)</f>
      </c>
      <c r="K315">
        <f>SUMIF(negtgel!U$2:BL$2,'Tsalin uzuulelt'!L$1,negtgel!U315:BL315) + SUMIF(negtgel!U$2:BL$2,'Tsalin uzuulelt'!L$2,negtgel!U315:BL315)+SUMIF(negtgel!U$2:BL$2,'Tsalin uzuulelt'!L$3,negtgel!U315:BL315)+SUMIF(negtgel!U$2:BL$2,'Tsalin uzuulelt'!L$4,negtgel!U315:BL315)+SUMIF(negtgel!U$2:BL$2,'Tsalin uzuulelt'!L$5,negtgel!U315:BL315)</f>
      </c>
      <c r="L315">
        <f>SUMIF(negtgel!U$2:BL$2,'Tsalin uzuulelt'!N$1,negtgel!U315:BL315) + SUMIF(negtgel!U$2:BL$2,'Tsalin uzuulelt'!N$2,negtgel!U315:BL315)+SUMIF(negtgel!U$2:BL$2,'Tsalin uzuulelt'!N$3,negtgel!U315:BL315)+SUMIF(negtgel!U$2:BL$2,'Tsalin uzuulelt'!N$4,negtgel!U315:BL315)+SUMIF(negtgel!U$2:BL$2,'Tsalin uzuulelt'!N$5,negtgel!U315:BL315)</f>
      </c>
      <c r="M315">
        <f>SUMIF(negtgel!U$2:BL$2,'Tsalin uzuulelt'!P$1,negtgel!U315:BL315) + SUMIF(negtgel!U$2:BL$2,'Tsalin uzuulelt'!P$2,negtgel!U315:BL315)+ SUMIF(negtgel!U$2:BL$2,'Tsalin uzuulelt'!P$3,negtgel!U315:BL315)+ SUMIF(negtgel!U$2:BL$2,'Tsalin uzuulelt'!P$4,negtgel!U315:BL315)+ SUMIF(negtgel!U$2:BL$2,'Tsalin uzuulelt'!P$5,negtgel!U315:BL315)</f>
      </c>
      <c r="N315">
        <f>IF(ISNUMBER(U315*1)=CF315,0,K315-H315-G315)</f>
      </c>
      <c r="O315">
        <f>IF(ISNUMBER(U315*1)=CF315,0,L315)</f>
      </c>
      <c r="P315">
        <f>IF(ISNUMBER(U315*1)=CF315,0,M315)</f>
      </c>
      <c r="Q315">
        <f>IF(N315&gt;2400000,N315,0)</f>
      </c>
      <c r="R315">
        <f>IF(L315/Q315*100&lt;3,2,10)</f>
      </c>
      <c r="S315">
        <f>IF(CH315=0,0,IF(B315&gt;9,10,IF(B315&gt;8,B315,IF(B315&gt;7.7,7.8,IF(B315&gt;3,B315,IF(B315&gt;1.5,2))))))</f>
      </c>
      <c r="T315">
        <f>IF(Q315=0,S315,R315)</f>
      </c>
      <c r="U315" t="n">
        <v>75.0</v>
      </c>
      <c r="V315" t="s">
        <v>3819</v>
      </c>
      <c r="W315" t="s">
        <v>3820</v>
      </c>
      <c r="X315" t="n">
        <v>698795.0</v>
      </c>
      <c r="Y315" t="n">
        <v>698795.0</v>
      </c>
      <c r="Z315" t="n">
        <v>104819.0</v>
      </c>
      <c r="AA315" t="n">
        <v>125783.0</v>
      </c>
      <c r="AB315" t="n">
        <v>0.0</v>
      </c>
      <c r="AC315" t="n">
        <v>0.0</v>
      </c>
      <c r="AD315" t="n">
        <v>0.0</v>
      </c>
      <c r="AE315" t="n">
        <v>0.0</v>
      </c>
      <c r="AF315" t="n">
        <v>69000.0</v>
      </c>
      <c r="AG315" t="n">
        <v>0.0</v>
      </c>
      <c r="AH315" t="n">
        <v>0.0</v>
      </c>
      <c r="AI315" t="n">
        <v>0.0</v>
      </c>
      <c r="AJ315" t="n">
        <v>0.0</v>
      </c>
      <c r="AK315" t="n">
        <v>0.0</v>
      </c>
      <c r="AL315" t="n">
        <v>0.0</v>
      </c>
      <c r="AM315" t="n">
        <v>0.0</v>
      </c>
      <c r="AN315" t="n">
        <v>0.0</v>
      </c>
      <c r="AO315" t="n">
        <v>998397.0</v>
      </c>
      <c r="AP315" t="n">
        <v>99840.0</v>
      </c>
      <c r="AQ315" t="n">
        <v>83545.7</v>
      </c>
      <c r="CH315">
        <f>IFERROR(U315*1,0)</f>
      </c>
    </row>
    <row r="316">
      <c r="A316" t="n">
        <v>5.0</v>
      </c>
      <c r="B316">
        <f>IF((K316-G316-H316&gt;2400000),10,(L316/(K316-G316-H316)*100))</f>
      </c>
      <c r="C316">
        <f>IF(N316&gt;2400000,240000,(N316*S316)/100)</f>
      </c>
      <c r="D316">
        <f>IF(S316=0,0,IF((N316-I316)&gt;2400000,((((((N316-I316-J316)-240000))*0.1+(I316+J316)*0.1)))-7000,((((((N316-I316-J316)-(N316-I316-J316)*S316/100)))*0.1+(I316+J316)*0.1)-7000)))</f>
      </c>
      <c r="E316">
        <f>C316-O316</f>
      </c>
      <c r="F316">
        <f>D316-P316</f>
      </c>
      <c r="G316">
        <f>SUMIF(negtgel!U$2:BL$2,'Tsalin uzuulelt'!B$1,negtgel!U316:BL316) + SUMIF(negtgel!U$2:BL$2,'Tsalin uzuulelt'!B$2,negtgel!U316:BL316)+SUMIF(negtgel!U$2:BL$2,'Tsalin uzuulelt'!B$3,negtgel!U316:BL316)+SUMIF(negtgel!U$2:BL$2,'Tsalin uzuulelt'!B$4,negtgel!U316:BL316)+SUMIF(negtgel!U$2:BL$2,'Tsalin uzuulelt'!B$5,negtgel!U316:BL316)</f>
      </c>
      <c r="H316">
        <f>SUMIF(negtgel!U$2:BL$2,'Tsalin uzuulelt'!F$1,negtgel!U316:BL316) + SUMIF(negtgel!U$2:BL$2,'Tsalin uzuulelt'!F$2,negtgel!U316:BL316)+SUMIF(negtgel!U$2:BL$2,'Tsalin uzuulelt'!F$3,negtgel!U316:BL316)+SUMIF(negtgel!U$2:BL$2,'Tsalin uzuulelt'!F$4,negtgel!U316:BL316)+SUMIF(negtgel!U$2:BL$2,'Tsalin uzuulelt'!F$5,negtgel!U316:BL316)</f>
      </c>
      <c r="I316">
        <f>SUMIF(negtgel!U$2:BL$2,'Tsalin uzuulelt'!H$1,negtgel!U316:BL316) + SUMIF(negtgel!U$2:BL$2,'Tsalin uzuulelt'!H$2,negtgel!U316:BL316)+SUMIF(negtgel!U$2:BL$2,'Tsalin uzuulelt'!H$3,negtgel!U316:BL316)+SUMIF(negtgel!U$2:BL$2,'Tsalin uzuulelt'!H$4,negtgel!U316:BL316)+SUMIF(negtgel!U$2:BL$2,'Tsalin uzuulelt'!H$5,negtgel!U316:BL316)</f>
      </c>
      <c r="J316">
        <f>SUMIF(negtgel!U$2:BL$2,'Tsalin uzuulelt'!J$1,negtgel!U316:BL316) + SUMIF(negtgel!U$2:BL$2,'Tsalin uzuulelt'!J$2,negtgel!U316:BL316)+SUMIF(negtgel!U$2:BL$2,'Tsalin uzuulelt'!J$3,negtgel!U316:BL316)+SUMIF(negtgel!U$2:BL$2,'Tsalin uzuulelt'!J$4,negtgel!U316:BL316)+SUMIF(negtgel!U$2:BL$2,'Tsalin uzuulelt'!J$5,negtgel!U316:BL316)</f>
      </c>
      <c r="K316">
        <f>SUMIF(negtgel!U$2:BL$2,'Tsalin uzuulelt'!L$1,negtgel!U316:BL316) + SUMIF(negtgel!U$2:BL$2,'Tsalin uzuulelt'!L$2,negtgel!U316:BL316)+SUMIF(negtgel!U$2:BL$2,'Tsalin uzuulelt'!L$3,negtgel!U316:BL316)+SUMIF(negtgel!U$2:BL$2,'Tsalin uzuulelt'!L$4,negtgel!U316:BL316)+SUMIF(negtgel!U$2:BL$2,'Tsalin uzuulelt'!L$5,negtgel!U316:BL316)</f>
      </c>
      <c r="L316">
        <f>SUMIF(negtgel!U$2:BL$2,'Tsalin uzuulelt'!N$1,negtgel!U316:BL316) + SUMIF(negtgel!U$2:BL$2,'Tsalin uzuulelt'!N$2,negtgel!U316:BL316)+SUMIF(negtgel!U$2:BL$2,'Tsalin uzuulelt'!N$3,negtgel!U316:BL316)+SUMIF(negtgel!U$2:BL$2,'Tsalin uzuulelt'!N$4,negtgel!U316:BL316)+SUMIF(negtgel!U$2:BL$2,'Tsalin uzuulelt'!N$5,negtgel!U316:BL316)</f>
      </c>
      <c r="M316">
        <f>SUMIF(negtgel!U$2:BL$2,'Tsalin uzuulelt'!P$1,negtgel!U316:BL316) + SUMIF(negtgel!U$2:BL$2,'Tsalin uzuulelt'!P$2,negtgel!U316:BL316)+ SUMIF(negtgel!U$2:BL$2,'Tsalin uzuulelt'!P$3,negtgel!U316:BL316)+ SUMIF(negtgel!U$2:BL$2,'Tsalin uzuulelt'!P$4,negtgel!U316:BL316)+ SUMIF(negtgel!U$2:BL$2,'Tsalin uzuulelt'!P$5,negtgel!U316:BL316)</f>
      </c>
      <c r="N316">
        <f>IF(ISNUMBER(U316*1)=CF316,0,K316-H316-G316)</f>
      </c>
      <c r="O316">
        <f>IF(ISNUMBER(U316*1)=CF316,0,L316)</f>
      </c>
      <c r="P316">
        <f>IF(ISNUMBER(U316*1)=CF316,0,M316)</f>
      </c>
      <c r="Q316">
        <f>IF(N316&gt;2400000,N316,0)</f>
      </c>
      <c r="R316">
        <f>IF(L316/Q316*100&lt;3,2,10)</f>
      </c>
      <c r="S316">
        <f>IF(CH316=0,0,IF(B316&gt;9,10,IF(B316&gt;8,B316,IF(B316&gt;7.7,7.8,IF(B316&gt;3,B316,IF(B316&gt;1.5,2))))))</f>
      </c>
      <c r="T316">
        <f>IF(Q316=0,S316,R316)</f>
      </c>
      <c r="U316" t="n">
        <v>76.0</v>
      </c>
      <c r="V316" t="s">
        <v>3821</v>
      </c>
      <c r="W316" t="s">
        <v>3790</v>
      </c>
      <c r="X316" t="n">
        <v>547759.0</v>
      </c>
      <c r="Y316" t="n">
        <v>547759.0</v>
      </c>
      <c r="Z316" t="n">
        <v>0.0</v>
      </c>
      <c r="AA316" t="n">
        <v>0.0</v>
      </c>
      <c r="AB316" t="n">
        <v>0.0</v>
      </c>
      <c r="AC316" t="n">
        <v>0.0</v>
      </c>
      <c r="AD316" t="n">
        <v>0.0</v>
      </c>
      <c r="AE316" t="n">
        <v>0.0</v>
      </c>
      <c r="AF316" t="n">
        <v>69000.0</v>
      </c>
      <c r="AG316" t="n">
        <v>0.0</v>
      </c>
      <c r="AH316" t="n">
        <v>0.0</v>
      </c>
      <c r="AI316" t="n">
        <v>0.0</v>
      </c>
      <c r="AJ316" t="n">
        <v>0.0</v>
      </c>
      <c r="AK316" t="n">
        <v>0.0</v>
      </c>
      <c r="AL316" t="n">
        <v>0.0</v>
      </c>
      <c r="AM316" t="n">
        <v>0.0</v>
      </c>
      <c r="AN316" t="n">
        <v>0.0</v>
      </c>
      <c r="AO316" t="n">
        <v>616759.0</v>
      </c>
      <c r="AP316" t="n">
        <v>61676.0</v>
      </c>
      <c r="AQ316" t="n">
        <v>49198.3</v>
      </c>
      <c r="CH316">
        <f>IFERROR(U316*1,0)</f>
      </c>
    </row>
    <row r="317">
      <c r="A317" t="n">
        <v>5.0</v>
      </c>
      <c r="B317">
        <f>IF((K317-G317-H317&gt;2400000),10,(L317/(K317-G317-H317)*100))</f>
      </c>
      <c r="C317">
        <f>IF(N317&gt;2400000,240000,(N317*S317)/100)</f>
      </c>
      <c r="D317">
        <f>IF(S317=0,0,IF((N317-I317)&gt;2400000,((((((N317-I317-J317)-240000))*0.1+(I317+J317)*0.1)))-7000,((((((N317-I317-J317)-(N317-I317-J317)*S317/100)))*0.1+(I317+J317)*0.1)-7000)))</f>
      </c>
      <c r="E317">
        <f>C317-O317</f>
      </c>
      <c r="F317">
        <f>D317-P317</f>
      </c>
      <c r="G317">
        <f>SUMIF(negtgel!U$2:BL$2,'Tsalin uzuulelt'!B$1,negtgel!U317:BL317) + SUMIF(negtgel!U$2:BL$2,'Tsalin uzuulelt'!B$2,negtgel!U317:BL317)+SUMIF(negtgel!U$2:BL$2,'Tsalin uzuulelt'!B$3,negtgel!U317:BL317)+SUMIF(negtgel!U$2:BL$2,'Tsalin uzuulelt'!B$4,negtgel!U317:BL317)+SUMIF(negtgel!U$2:BL$2,'Tsalin uzuulelt'!B$5,negtgel!U317:BL317)</f>
      </c>
      <c r="H317">
        <f>SUMIF(negtgel!U$2:BL$2,'Tsalin uzuulelt'!F$1,negtgel!U317:BL317) + SUMIF(negtgel!U$2:BL$2,'Tsalin uzuulelt'!F$2,negtgel!U317:BL317)+SUMIF(negtgel!U$2:BL$2,'Tsalin uzuulelt'!F$3,negtgel!U317:BL317)+SUMIF(negtgel!U$2:BL$2,'Tsalin uzuulelt'!F$4,negtgel!U317:BL317)+SUMIF(negtgel!U$2:BL$2,'Tsalin uzuulelt'!F$5,negtgel!U317:BL317)</f>
      </c>
      <c r="I317">
        <f>SUMIF(negtgel!U$2:BL$2,'Tsalin uzuulelt'!H$1,negtgel!U317:BL317) + SUMIF(negtgel!U$2:BL$2,'Tsalin uzuulelt'!H$2,negtgel!U317:BL317)+SUMIF(negtgel!U$2:BL$2,'Tsalin uzuulelt'!H$3,negtgel!U317:BL317)+SUMIF(negtgel!U$2:BL$2,'Tsalin uzuulelt'!H$4,negtgel!U317:BL317)+SUMIF(negtgel!U$2:BL$2,'Tsalin uzuulelt'!H$5,negtgel!U317:BL317)</f>
      </c>
      <c r="J317">
        <f>SUMIF(negtgel!U$2:BL$2,'Tsalin uzuulelt'!J$1,negtgel!U317:BL317) + SUMIF(negtgel!U$2:BL$2,'Tsalin uzuulelt'!J$2,negtgel!U317:BL317)+SUMIF(negtgel!U$2:BL$2,'Tsalin uzuulelt'!J$3,negtgel!U317:BL317)+SUMIF(negtgel!U$2:BL$2,'Tsalin uzuulelt'!J$4,negtgel!U317:BL317)+SUMIF(negtgel!U$2:BL$2,'Tsalin uzuulelt'!J$5,negtgel!U317:BL317)</f>
      </c>
      <c r="K317">
        <f>SUMIF(negtgel!U$2:BL$2,'Tsalin uzuulelt'!L$1,negtgel!U317:BL317) + SUMIF(negtgel!U$2:BL$2,'Tsalin uzuulelt'!L$2,negtgel!U317:BL317)+SUMIF(negtgel!U$2:BL$2,'Tsalin uzuulelt'!L$3,negtgel!U317:BL317)+SUMIF(negtgel!U$2:BL$2,'Tsalin uzuulelt'!L$4,negtgel!U317:BL317)+SUMIF(negtgel!U$2:BL$2,'Tsalin uzuulelt'!L$5,negtgel!U317:BL317)</f>
      </c>
      <c r="L317">
        <f>SUMIF(negtgel!U$2:BL$2,'Tsalin uzuulelt'!N$1,negtgel!U317:BL317) + SUMIF(negtgel!U$2:BL$2,'Tsalin uzuulelt'!N$2,negtgel!U317:BL317)+SUMIF(negtgel!U$2:BL$2,'Tsalin uzuulelt'!N$3,negtgel!U317:BL317)+SUMIF(negtgel!U$2:BL$2,'Tsalin uzuulelt'!N$4,negtgel!U317:BL317)+SUMIF(negtgel!U$2:BL$2,'Tsalin uzuulelt'!N$5,negtgel!U317:BL317)</f>
      </c>
      <c r="M317">
        <f>SUMIF(negtgel!U$2:BL$2,'Tsalin uzuulelt'!P$1,negtgel!U317:BL317) + SUMIF(negtgel!U$2:BL$2,'Tsalin uzuulelt'!P$2,negtgel!U317:BL317)+ SUMIF(negtgel!U$2:BL$2,'Tsalin uzuulelt'!P$3,negtgel!U317:BL317)+ SUMIF(negtgel!U$2:BL$2,'Tsalin uzuulelt'!P$4,negtgel!U317:BL317)+ SUMIF(negtgel!U$2:BL$2,'Tsalin uzuulelt'!P$5,negtgel!U317:BL317)</f>
      </c>
      <c r="N317">
        <f>IF(ISNUMBER(U317*1)=CF317,0,K317-H317-G317)</f>
      </c>
      <c r="O317">
        <f>IF(ISNUMBER(U317*1)=CF317,0,L317)</f>
      </c>
      <c r="P317">
        <f>IF(ISNUMBER(U317*1)=CF317,0,M317)</f>
      </c>
      <c r="Q317">
        <f>IF(N317&gt;2400000,N317,0)</f>
      </c>
      <c r="R317">
        <f>IF(L317/Q317*100&lt;3,2,10)</f>
      </c>
      <c r="S317">
        <f>IF(CH317=0,0,IF(B317&gt;9,10,IF(B317&gt;8,B317,IF(B317&gt;7.7,7.8,IF(B317&gt;3,B317,IF(B317&gt;1.5,2))))))</f>
      </c>
      <c r="T317">
        <f>IF(Q317=0,S317,R317)</f>
      </c>
      <c r="U317" t="n">
        <v>77.0</v>
      </c>
      <c r="V317" t="s">
        <v>3822</v>
      </c>
      <c r="W317" t="s">
        <v>3823</v>
      </c>
      <c r="X317" t="n">
        <v>539547.0</v>
      </c>
      <c r="Y317" t="n">
        <v>539547.0</v>
      </c>
      <c r="Z317" t="n">
        <v>0.0</v>
      </c>
      <c r="AA317" t="n">
        <v>0.0</v>
      </c>
      <c r="AB317" t="n">
        <v>26977.0</v>
      </c>
      <c r="AC317" t="n">
        <v>0.0</v>
      </c>
      <c r="AD317" t="n">
        <v>0.0</v>
      </c>
      <c r="AE317" t="n">
        <v>0.0</v>
      </c>
      <c r="AF317" t="n">
        <v>69000.0</v>
      </c>
      <c r="AG317" t="n">
        <v>0.0</v>
      </c>
      <c r="AH317" t="n">
        <v>0.0</v>
      </c>
      <c r="AI317" t="n">
        <v>0.0</v>
      </c>
      <c r="AJ317" t="n">
        <v>0.0</v>
      </c>
      <c r="AK317" t="n">
        <v>0.0</v>
      </c>
      <c r="AL317" t="n">
        <v>83519.0</v>
      </c>
      <c r="AM317" t="n">
        <v>0.0</v>
      </c>
      <c r="AN317" t="n">
        <v>0.0</v>
      </c>
      <c r="AO317" t="n">
        <v>719043.0</v>
      </c>
      <c r="AP317" t="n">
        <v>63552.0</v>
      </c>
      <c r="AQ317" t="n">
        <v>50887.2</v>
      </c>
      <c r="CH317">
        <f>IFERROR(U317*1,0)</f>
      </c>
    </row>
    <row r="318">
      <c r="A318" t="n">
        <v>5.0</v>
      </c>
      <c r="B318">
        <f>IF((K318-G318-H318&gt;2400000),10,(L318/(K318-G318-H318)*100))</f>
      </c>
      <c r="C318">
        <f>IF(N318&gt;2400000,240000,(N318*S318)/100)</f>
      </c>
      <c r="D318">
        <f>IF(S318=0,0,IF((N318-I318)&gt;2400000,((((((N318-I318-J318)-240000))*0.1+(I318+J318)*0.1)))-7000,((((((N318-I318-J318)-(N318-I318-J318)*S318/100)))*0.1+(I318+J318)*0.1)-7000)))</f>
      </c>
      <c r="E318">
        <f>C318-O318</f>
      </c>
      <c r="F318">
        <f>D318-P318</f>
      </c>
      <c r="G318">
        <f>SUMIF(negtgel!U$2:BL$2,'Tsalin uzuulelt'!B$1,negtgel!U318:BL318) + SUMIF(negtgel!U$2:BL$2,'Tsalin uzuulelt'!B$2,negtgel!U318:BL318)+SUMIF(negtgel!U$2:BL$2,'Tsalin uzuulelt'!B$3,negtgel!U318:BL318)+SUMIF(negtgel!U$2:BL$2,'Tsalin uzuulelt'!B$4,negtgel!U318:BL318)+SUMIF(negtgel!U$2:BL$2,'Tsalin uzuulelt'!B$5,negtgel!U318:BL318)</f>
      </c>
      <c r="H318">
        <f>SUMIF(negtgel!U$2:BL$2,'Tsalin uzuulelt'!F$1,negtgel!U318:BL318) + SUMIF(negtgel!U$2:BL$2,'Tsalin uzuulelt'!F$2,negtgel!U318:BL318)+SUMIF(negtgel!U$2:BL$2,'Tsalin uzuulelt'!F$3,negtgel!U318:BL318)+SUMIF(negtgel!U$2:BL$2,'Tsalin uzuulelt'!F$4,negtgel!U318:BL318)+SUMIF(negtgel!U$2:BL$2,'Tsalin uzuulelt'!F$5,negtgel!U318:BL318)</f>
      </c>
      <c r="I318">
        <f>SUMIF(negtgel!U$2:BL$2,'Tsalin uzuulelt'!H$1,negtgel!U318:BL318) + SUMIF(negtgel!U$2:BL$2,'Tsalin uzuulelt'!H$2,negtgel!U318:BL318)+SUMIF(negtgel!U$2:BL$2,'Tsalin uzuulelt'!H$3,negtgel!U318:BL318)+SUMIF(negtgel!U$2:BL$2,'Tsalin uzuulelt'!H$4,negtgel!U318:BL318)+SUMIF(negtgel!U$2:BL$2,'Tsalin uzuulelt'!H$5,negtgel!U318:BL318)</f>
      </c>
      <c r="J318">
        <f>SUMIF(negtgel!U$2:BL$2,'Tsalin uzuulelt'!J$1,negtgel!U318:BL318) + SUMIF(negtgel!U$2:BL$2,'Tsalin uzuulelt'!J$2,negtgel!U318:BL318)+SUMIF(negtgel!U$2:BL$2,'Tsalin uzuulelt'!J$3,negtgel!U318:BL318)+SUMIF(negtgel!U$2:BL$2,'Tsalin uzuulelt'!J$4,negtgel!U318:BL318)+SUMIF(negtgel!U$2:BL$2,'Tsalin uzuulelt'!J$5,negtgel!U318:BL318)</f>
      </c>
      <c r="K318">
        <f>SUMIF(negtgel!U$2:BL$2,'Tsalin uzuulelt'!L$1,negtgel!U318:BL318) + SUMIF(negtgel!U$2:BL$2,'Tsalin uzuulelt'!L$2,negtgel!U318:BL318)+SUMIF(negtgel!U$2:BL$2,'Tsalin uzuulelt'!L$3,negtgel!U318:BL318)+SUMIF(negtgel!U$2:BL$2,'Tsalin uzuulelt'!L$4,negtgel!U318:BL318)+SUMIF(negtgel!U$2:BL$2,'Tsalin uzuulelt'!L$5,negtgel!U318:BL318)</f>
      </c>
      <c r="L318">
        <f>SUMIF(negtgel!U$2:BL$2,'Tsalin uzuulelt'!N$1,negtgel!U318:BL318) + SUMIF(negtgel!U$2:BL$2,'Tsalin uzuulelt'!N$2,negtgel!U318:BL318)+SUMIF(negtgel!U$2:BL$2,'Tsalin uzuulelt'!N$3,negtgel!U318:BL318)+SUMIF(negtgel!U$2:BL$2,'Tsalin uzuulelt'!N$4,negtgel!U318:BL318)+SUMIF(negtgel!U$2:BL$2,'Tsalin uzuulelt'!N$5,negtgel!U318:BL318)</f>
      </c>
      <c r="M318">
        <f>SUMIF(negtgel!U$2:BL$2,'Tsalin uzuulelt'!P$1,negtgel!U318:BL318) + SUMIF(negtgel!U$2:BL$2,'Tsalin uzuulelt'!P$2,negtgel!U318:BL318)+ SUMIF(negtgel!U$2:BL$2,'Tsalin uzuulelt'!P$3,negtgel!U318:BL318)+ SUMIF(negtgel!U$2:BL$2,'Tsalin uzuulelt'!P$4,negtgel!U318:BL318)+ SUMIF(negtgel!U$2:BL$2,'Tsalin uzuulelt'!P$5,negtgel!U318:BL318)</f>
      </c>
      <c r="N318">
        <f>IF(ISNUMBER(U318*1)=CF318,0,K318-H318-G318)</f>
      </c>
      <c r="O318">
        <f>IF(ISNUMBER(U318*1)=CF318,0,L318)</f>
      </c>
      <c r="P318">
        <f>IF(ISNUMBER(U318*1)=CF318,0,M318)</f>
      </c>
      <c r="Q318">
        <f>IF(N318&gt;2400000,N318,0)</f>
      </c>
      <c r="R318">
        <f>IF(L318/Q318*100&lt;3,2,10)</f>
      </c>
      <c r="S318">
        <f>IF(CH318=0,0,IF(B318&gt;9,10,IF(B318&gt;8,B318,IF(B318&gt;7.7,7.8,IF(B318&gt;3,B318,IF(B318&gt;1.5,2))))))</f>
      </c>
      <c r="T318">
        <f>IF(Q318=0,S318,R318)</f>
      </c>
      <c r="U318" t="n">
        <v>78.0</v>
      </c>
      <c r="V318" t="s">
        <v>3824</v>
      </c>
      <c r="W318" t="s">
        <v>3790</v>
      </c>
      <c r="X318" t="n">
        <v>677436.0</v>
      </c>
      <c r="Y318" t="n">
        <v>677436.0</v>
      </c>
      <c r="Z318" t="n">
        <v>135487.0</v>
      </c>
      <c r="AA318" t="n">
        <v>121938.0</v>
      </c>
      <c r="AB318" t="n">
        <v>0.0</v>
      </c>
      <c r="AC318" t="n">
        <v>101615.0</v>
      </c>
      <c r="AD318" t="n">
        <v>0.0</v>
      </c>
      <c r="AE318" t="n">
        <v>0.0</v>
      </c>
      <c r="AF318" t="n">
        <v>69000.0</v>
      </c>
      <c r="AG318" t="n">
        <v>0.0</v>
      </c>
      <c r="AH318" t="n">
        <v>0.0</v>
      </c>
      <c r="AI318" t="n">
        <v>0.0</v>
      </c>
      <c r="AJ318" t="n">
        <v>0.0</v>
      </c>
      <c r="AK318" t="n">
        <v>0.0</v>
      </c>
      <c r="AL318" t="n">
        <v>0.0</v>
      </c>
      <c r="AM318" t="n">
        <v>0.0</v>
      </c>
      <c r="AN318" t="n">
        <v>0.0</v>
      </c>
      <c r="AO318" t="n">
        <v>1105476.0</v>
      </c>
      <c r="AP318" t="n">
        <v>110548.0</v>
      </c>
      <c r="AQ318" t="n">
        <v>93182.8</v>
      </c>
      <c r="CH318">
        <f>IFERROR(U318*1,0)</f>
      </c>
    </row>
    <row r="319">
      <c r="A319" t="n">
        <v>5.0</v>
      </c>
      <c r="B319">
        <f>IF((K319-G319-H319&gt;2400000),10,(L319/(K319-G319-H319)*100))</f>
      </c>
      <c r="C319">
        <f>IF(N319&gt;2400000,240000,(N319*S319)/100)</f>
      </c>
      <c r="D319">
        <f>IF(S319=0,0,IF((N319-I319)&gt;2400000,((((((N319-I319-J319)-240000))*0.1+(I319+J319)*0.1)))-7000,((((((N319-I319-J319)-(N319-I319-J319)*S319/100)))*0.1+(I319+J319)*0.1)-7000)))</f>
      </c>
      <c r="E319">
        <f>C319-O319</f>
      </c>
      <c r="F319">
        <f>D319-P319</f>
      </c>
      <c r="G319">
        <f>SUMIF(negtgel!U$2:BL$2,'Tsalin uzuulelt'!B$1,negtgel!U319:BL319) + SUMIF(negtgel!U$2:BL$2,'Tsalin uzuulelt'!B$2,negtgel!U319:BL319)+SUMIF(negtgel!U$2:BL$2,'Tsalin uzuulelt'!B$3,negtgel!U319:BL319)+SUMIF(negtgel!U$2:BL$2,'Tsalin uzuulelt'!B$4,negtgel!U319:BL319)+SUMIF(negtgel!U$2:BL$2,'Tsalin uzuulelt'!B$5,negtgel!U319:BL319)</f>
      </c>
      <c r="H319">
        <f>SUMIF(negtgel!U$2:BL$2,'Tsalin uzuulelt'!F$1,negtgel!U319:BL319) + SUMIF(negtgel!U$2:BL$2,'Tsalin uzuulelt'!F$2,negtgel!U319:BL319)+SUMIF(negtgel!U$2:BL$2,'Tsalin uzuulelt'!F$3,negtgel!U319:BL319)+SUMIF(negtgel!U$2:BL$2,'Tsalin uzuulelt'!F$4,negtgel!U319:BL319)+SUMIF(negtgel!U$2:BL$2,'Tsalin uzuulelt'!F$5,negtgel!U319:BL319)</f>
      </c>
      <c r="I319">
        <f>SUMIF(negtgel!U$2:BL$2,'Tsalin uzuulelt'!H$1,negtgel!U319:BL319) + SUMIF(negtgel!U$2:BL$2,'Tsalin uzuulelt'!H$2,negtgel!U319:BL319)+SUMIF(negtgel!U$2:BL$2,'Tsalin uzuulelt'!H$3,negtgel!U319:BL319)+SUMIF(negtgel!U$2:BL$2,'Tsalin uzuulelt'!H$4,negtgel!U319:BL319)+SUMIF(negtgel!U$2:BL$2,'Tsalin uzuulelt'!H$5,negtgel!U319:BL319)</f>
      </c>
      <c r="J319">
        <f>SUMIF(negtgel!U$2:BL$2,'Tsalin uzuulelt'!J$1,negtgel!U319:BL319) + SUMIF(negtgel!U$2:BL$2,'Tsalin uzuulelt'!J$2,negtgel!U319:BL319)+SUMIF(negtgel!U$2:BL$2,'Tsalin uzuulelt'!J$3,negtgel!U319:BL319)+SUMIF(negtgel!U$2:BL$2,'Tsalin uzuulelt'!J$4,negtgel!U319:BL319)+SUMIF(negtgel!U$2:BL$2,'Tsalin uzuulelt'!J$5,negtgel!U319:BL319)</f>
      </c>
      <c r="K319">
        <f>SUMIF(negtgel!U$2:BL$2,'Tsalin uzuulelt'!L$1,negtgel!U319:BL319) + SUMIF(negtgel!U$2:BL$2,'Tsalin uzuulelt'!L$2,negtgel!U319:BL319)+SUMIF(negtgel!U$2:BL$2,'Tsalin uzuulelt'!L$3,negtgel!U319:BL319)+SUMIF(negtgel!U$2:BL$2,'Tsalin uzuulelt'!L$4,negtgel!U319:BL319)+SUMIF(negtgel!U$2:BL$2,'Tsalin uzuulelt'!L$5,negtgel!U319:BL319)</f>
      </c>
      <c r="L319">
        <f>SUMIF(negtgel!U$2:BL$2,'Tsalin uzuulelt'!N$1,negtgel!U319:BL319) + SUMIF(negtgel!U$2:BL$2,'Tsalin uzuulelt'!N$2,negtgel!U319:BL319)+SUMIF(negtgel!U$2:BL$2,'Tsalin uzuulelt'!N$3,negtgel!U319:BL319)+SUMIF(negtgel!U$2:BL$2,'Tsalin uzuulelt'!N$4,negtgel!U319:BL319)+SUMIF(negtgel!U$2:BL$2,'Tsalin uzuulelt'!N$5,negtgel!U319:BL319)</f>
      </c>
      <c r="M319">
        <f>SUMIF(negtgel!U$2:BL$2,'Tsalin uzuulelt'!P$1,negtgel!U319:BL319) + SUMIF(negtgel!U$2:BL$2,'Tsalin uzuulelt'!P$2,negtgel!U319:BL319)+ SUMIF(negtgel!U$2:BL$2,'Tsalin uzuulelt'!P$3,negtgel!U319:BL319)+ SUMIF(negtgel!U$2:BL$2,'Tsalin uzuulelt'!P$4,negtgel!U319:BL319)+ SUMIF(negtgel!U$2:BL$2,'Tsalin uzuulelt'!P$5,negtgel!U319:BL319)</f>
      </c>
      <c r="N319">
        <f>IF(ISNUMBER(U319*1)=CF319,0,K319-H319-G319)</f>
      </c>
      <c r="O319">
        <f>IF(ISNUMBER(U319*1)=CF319,0,L319)</f>
      </c>
      <c r="P319">
        <f>IF(ISNUMBER(U319*1)=CF319,0,M319)</f>
      </c>
      <c r="Q319">
        <f>IF(N319&gt;2400000,N319,0)</f>
      </c>
      <c r="R319">
        <f>IF(L319/Q319*100&lt;3,2,10)</f>
      </c>
      <c r="S319">
        <f>IF(CH319=0,0,IF(B319&gt;9,10,IF(B319&gt;8,B319,IF(B319&gt;7.7,7.8,IF(B319&gt;3,B319,IF(B319&gt;1.5,2))))))</f>
      </c>
      <c r="T319">
        <f>IF(Q319=0,S319,R319)</f>
      </c>
      <c r="U319" t="s">
        <v>3787</v>
      </c>
      <c r="V319"/>
      <c r="W319"/>
      <c r="X319" t="n">
        <v>4484667.0</v>
      </c>
      <c r="Y319" t="n">
        <v>4365589.0</v>
      </c>
      <c r="Z319" t="n">
        <v>534980.0</v>
      </c>
      <c r="AA319" t="n">
        <v>526476.0</v>
      </c>
      <c r="AB319" t="n">
        <v>26977.0</v>
      </c>
      <c r="AC319" t="n">
        <v>101615.0</v>
      </c>
      <c r="AD319" t="n">
        <v>0.0</v>
      </c>
      <c r="AE319" t="n">
        <v>0.0</v>
      </c>
      <c r="AF319" t="n">
        <v>468000.0</v>
      </c>
      <c r="AG319" t="n">
        <v>0.0</v>
      </c>
      <c r="AH319" t="n">
        <v>0.0</v>
      </c>
      <c r="AI319" t="n">
        <v>0.0</v>
      </c>
      <c r="AJ319" t="n">
        <v>0.0</v>
      </c>
      <c r="AK319" t="n">
        <v>0.0</v>
      </c>
      <c r="AL319" t="n">
        <v>83519.0</v>
      </c>
      <c r="AM319" t="n">
        <v>0.0</v>
      </c>
      <c r="AN319" t="n">
        <v>0.0</v>
      </c>
      <c r="AO319" t="n">
        <v>6107156.0</v>
      </c>
      <c r="AP319" t="n">
        <v>602364.0</v>
      </c>
      <c r="AQ319" t="n">
        <v>497807.3</v>
      </c>
      <c r="CH319">
        <f>IFERROR(U319*1,0)</f>
      </c>
    </row>
    <row r="320">
      <c r="A320" t="n">
        <v>5.0</v>
      </c>
      <c r="B320">
        <f>IF((K320-G320-H320&gt;2400000),10,(L320/(K320-G320-H320)*100))</f>
      </c>
      <c r="C320">
        <f>IF(N320&gt;2400000,240000,(N320*S320)/100)</f>
      </c>
      <c r="D320">
        <f>IF(S320=0,0,IF((N320-I320)&gt;2400000,((((((N320-I320-J320)-240000))*0.1+(I320+J320)*0.1)))-7000,((((((N320-I320-J320)-(N320-I320-J320)*S320/100)))*0.1+(I320+J320)*0.1)-7000)))</f>
      </c>
      <c r="E320">
        <f>C320-O320</f>
      </c>
      <c r="F320">
        <f>D320-P320</f>
      </c>
      <c r="G320">
        <f>SUMIF(negtgel!U$2:BL$2,'Tsalin uzuulelt'!B$1,negtgel!U320:BL320) + SUMIF(negtgel!U$2:BL$2,'Tsalin uzuulelt'!B$2,negtgel!U320:BL320)+SUMIF(negtgel!U$2:BL$2,'Tsalin uzuulelt'!B$3,negtgel!U320:BL320)+SUMIF(negtgel!U$2:BL$2,'Tsalin uzuulelt'!B$4,negtgel!U320:BL320)+SUMIF(negtgel!U$2:BL$2,'Tsalin uzuulelt'!B$5,negtgel!U320:BL320)</f>
      </c>
      <c r="H320">
        <f>SUMIF(negtgel!U$2:BL$2,'Tsalin uzuulelt'!F$1,negtgel!U320:BL320) + SUMIF(negtgel!U$2:BL$2,'Tsalin uzuulelt'!F$2,negtgel!U320:BL320)+SUMIF(negtgel!U$2:BL$2,'Tsalin uzuulelt'!F$3,negtgel!U320:BL320)+SUMIF(negtgel!U$2:BL$2,'Tsalin uzuulelt'!F$4,negtgel!U320:BL320)+SUMIF(negtgel!U$2:BL$2,'Tsalin uzuulelt'!F$5,negtgel!U320:BL320)</f>
      </c>
      <c r="I320">
        <f>SUMIF(negtgel!U$2:BL$2,'Tsalin uzuulelt'!H$1,negtgel!U320:BL320) + SUMIF(negtgel!U$2:BL$2,'Tsalin uzuulelt'!H$2,negtgel!U320:BL320)+SUMIF(negtgel!U$2:BL$2,'Tsalin uzuulelt'!H$3,negtgel!U320:BL320)+SUMIF(negtgel!U$2:BL$2,'Tsalin uzuulelt'!H$4,negtgel!U320:BL320)+SUMIF(negtgel!U$2:BL$2,'Tsalin uzuulelt'!H$5,negtgel!U320:BL320)</f>
      </c>
      <c r="J320">
        <f>SUMIF(negtgel!U$2:BL$2,'Tsalin uzuulelt'!J$1,negtgel!U320:BL320) + SUMIF(negtgel!U$2:BL$2,'Tsalin uzuulelt'!J$2,negtgel!U320:BL320)+SUMIF(negtgel!U$2:BL$2,'Tsalin uzuulelt'!J$3,negtgel!U320:BL320)+SUMIF(negtgel!U$2:BL$2,'Tsalin uzuulelt'!J$4,negtgel!U320:BL320)+SUMIF(negtgel!U$2:BL$2,'Tsalin uzuulelt'!J$5,negtgel!U320:BL320)</f>
      </c>
      <c r="K320">
        <f>SUMIF(negtgel!U$2:BL$2,'Tsalin uzuulelt'!L$1,negtgel!U320:BL320) + SUMIF(negtgel!U$2:BL$2,'Tsalin uzuulelt'!L$2,negtgel!U320:BL320)+SUMIF(negtgel!U$2:BL$2,'Tsalin uzuulelt'!L$3,negtgel!U320:BL320)+SUMIF(negtgel!U$2:BL$2,'Tsalin uzuulelt'!L$4,negtgel!U320:BL320)+SUMIF(negtgel!U$2:BL$2,'Tsalin uzuulelt'!L$5,negtgel!U320:BL320)</f>
      </c>
      <c r="L320">
        <f>SUMIF(negtgel!U$2:BL$2,'Tsalin uzuulelt'!N$1,negtgel!U320:BL320) + SUMIF(negtgel!U$2:BL$2,'Tsalin uzuulelt'!N$2,negtgel!U320:BL320)+SUMIF(negtgel!U$2:BL$2,'Tsalin uzuulelt'!N$3,negtgel!U320:BL320)+SUMIF(negtgel!U$2:BL$2,'Tsalin uzuulelt'!N$4,negtgel!U320:BL320)+SUMIF(negtgel!U$2:BL$2,'Tsalin uzuulelt'!N$5,negtgel!U320:BL320)</f>
      </c>
      <c r="M320">
        <f>SUMIF(negtgel!U$2:BL$2,'Tsalin uzuulelt'!P$1,negtgel!U320:BL320) + SUMIF(negtgel!U$2:BL$2,'Tsalin uzuulelt'!P$2,negtgel!U320:BL320)+ SUMIF(negtgel!U$2:BL$2,'Tsalin uzuulelt'!P$3,negtgel!U320:BL320)+ SUMIF(negtgel!U$2:BL$2,'Tsalin uzuulelt'!P$4,negtgel!U320:BL320)+ SUMIF(negtgel!U$2:BL$2,'Tsalin uzuulelt'!P$5,negtgel!U320:BL320)</f>
      </c>
      <c r="N320">
        <f>IF(ISNUMBER(U320*1)=CF320,0,K320-H320-G320)</f>
      </c>
      <c r="O320">
        <f>IF(ISNUMBER(U320*1)=CF320,0,L320)</f>
      </c>
      <c r="P320">
        <f>IF(ISNUMBER(U320*1)=CF320,0,M320)</f>
      </c>
      <c r="Q320">
        <f>IF(N320&gt;2400000,N320,0)</f>
      </c>
      <c r="R320">
        <f>IF(L320/Q320*100&lt;3,2,10)</f>
      </c>
      <c r="S320">
        <f>IF(CH320=0,0,IF(B320&gt;9,10,IF(B320&gt;8,B320,IF(B320&gt;7.7,7.8,IF(B320&gt;3,B320,IF(B320&gt;1.5,2))))))</f>
      </c>
      <c r="T320">
        <f>IF(Q320=0,S320,R320)</f>
      </c>
      <c r="U320" t="s">
        <v>3825</v>
      </c>
      <c r="V320"/>
      <c r="W320"/>
      <c r="X320"/>
      <c r="Y320"/>
      <c r="Z320"/>
      <c r="AA320"/>
      <c r="AB320"/>
      <c r="AC320"/>
      <c r="AD320"/>
      <c r="AE320"/>
      <c r="AF320"/>
      <c r="AG320"/>
      <c r="AH320"/>
      <c r="AI320"/>
      <c r="AJ320"/>
      <c r="AK320"/>
      <c r="AL320"/>
      <c r="AM320"/>
      <c r="AN320"/>
      <c r="AO320"/>
      <c r="AP320"/>
      <c r="AQ320"/>
      <c r="CH320">
        <f>IFERROR(U320*1,0)</f>
      </c>
    </row>
    <row r="321">
      <c r="A321" t="n">
        <v>5.0</v>
      </c>
      <c r="B321">
        <f>IF((K321-G321-H321&gt;2400000),10,(L321/(K321-G321-H321)*100))</f>
      </c>
      <c r="C321">
        <f>IF(N321&gt;2400000,240000,(N321*S321)/100)</f>
      </c>
      <c r="D321">
        <f>IF(S321=0,0,IF((N321-I321)&gt;2400000,((((((N321-I321-J321)-240000))*0.1+(I321+J321)*0.1)))-7000,((((((N321-I321-J321)-(N321-I321-J321)*S321/100)))*0.1+(I321+J321)*0.1)-7000)))</f>
      </c>
      <c r="E321">
        <f>C321-O321</f>
      </c>
      <c r="F321">
        <f>D321-P321</f>
      </c>
      <c r="G321">
        <f>SUMIF(negtgel!U$2:BL$2,'Tsalin uzuulelt'!B$1,negtgel!U321:BL321) + SUMIF(negtgel!U$2:BL$2,'Tsalin uzuulelt'!B$2,negtgel!U321:BL321)+SUMIF(negtgel!U$2:BL$2,'Tsalin uzuulelt'!B$3,negtgel!U321:BL321)+SUMIF(negtgel!U$2:BL$2,'Tsalin uzuulelt'!B$4,negtgel!U321:BL321)+SUMIF(negtgel!U$2:BL$2,'Tsalin uzuulelt'!B$5,negtgel!U321:BL321)</f>
      </c>
      <c r="H321">
        <f>SUMIF(negtgel!U$2:BL$2,'Tsalin uzuulelt'!F$1,negtgel!U321:BL321) + SUMIF(negtgel!U$2:BL$2,'Tsalin uzuulelt'!F$2,negtgel!U321:BL321)+SUMIF(negtgel!U$2:BL$2,'Tsalin uzuulelt'!F$3,negtgel!U321:BL321)+SUMIF(negtgel!U$2:BL$2,'Tsalin uzuulelt'!F$4,negtgel!U321:BL321)+SUMIF(negtgel!U$2:BL$2,'Tsalin uzuulelt'!F$5,negtgel!U321:BL321)</f>
      </c>
      <c r="I321">
        <f>SUMIF(negtgel!U$2:BL$2,'Tsalin uzuulelt'!H$1,negtgel!U321:BL321) + SUMIF(negtgel!U$2:BL$2,'Tsalin uzuulelt'!H$2,negtgel!U321:BL321)+SUMIF(negtgel!U$2:BL$2,'Tsalin uzuulelt'!H$3,negtgel!U321:BL321)+SUMIF(negtgel!U$2:BL$2,'Tsalin uzuulelt'!H$4,negtgel!U321:BL321)+SUMIF(negtgel!U$2:BL$2,'Tsalin uzuulelt'!H$5,negtgel!U321:BL321)</f>
      </c>
      <c r="J321">
        <f>SUMIF(negtgel!U$2:BL$2,'Tsalin uzuulelt'!J$1,negtgel!U321:BL321) + SUMIF(negtgel!U$2:BL$2,'Tsalin uzuulelt'!J$2,negtgel!U321:BL321)+SUMIF(negtgel!U$2:BL$2,'Tsalin uzuulelt'!J$3,negtgel!U321:BL321)+SUMIF(negtgel!U$2:BL$2,'Tsalin uzuulelt'!J$4,negtgel!U321:BL321)+SUMIF(negtgel!U$2:BL$2,'Tsalin uzuulelt'!J$5,negtgel!U321:BL321)</f>
      </c>
      <c r="K321">
        <f>SUMIF(negtgel!U$2:BL$2,'Tsalin uzuulelt'!L$1,negtgel!U321:BL321) + SUMIF(negtgel!U$2:BL$2,'Tsalin uzuulelt'!L$2,negtgel!U321:BL321)+SUMIF(negtgel!U$2:BL$2,'Tsalin uzuulelt'!L$3,negtgel!U321:BL321)+SUMIF(negtgel!U$2:BL$2,'Tsalin uzuulelt'!L$4,negtgel!U321:BL321)+SUMIF(negtgel!U$2:BL$2,'Tsalin uzuulelt'!L$5,negtgel!U321:BL321)</f>
      </c>
      <c r="L321">
        <f>SUMIF(negtgel!U$2:BL$2,'Tsalin uzuulelt'!N$1,negtgel!U321:BL321) + SUMIF(negtgel!U$2:BL$2,'Tsalin uzuulelt'!N$2,negtgel!U321:BL321)+SUMIF(negtgel!U$2:BL$2,'Tsalin uzuulelt'!N$3,negtgel!U321:BL321)+SUMIF(negtgel!U$2:BL$2,'Tsalin uzuulelt'!N$4,negtgel!U321:BL321)+SUMIF(negtgel!U$2:BL$2,'Tsalin uzuulelt'!N$5,negtgel!U321:BL321)</f>
      </c>
      <c r="M321">
        <f>SUMIF(negtgel!U$2:BL$2,'Tsalin uzuulelt'!P$1,negtgel!U321:BL321) + SUMIF(negtgel!U$2:BL$2,'Tsalin uzuulelt'!P$2,negtgel!U321:BL321)+ SUMIF(negtgel!U$2:BL$2,'Tsalin uzuulelt'!P$3,negtgel!U321:BL321)+ SUMIF(negtgel!U$2:BL$2,'Tsalin uzuulelt'!P$4,negtgel!U321:BL321)+ SUMIF(negtgel!U$2:BL$2,'Tsalin uzuulelt'!P$5,negtgel!U321:BL321)</f>
      </c>
      <c r="N321">
        <f>IF(ISNUMBER(U321*1)=CF321,0,K321-H321-G321)</f>
      </c>
      <c r="O321">
        <f>IF(ISNUMBER(U321*1)=CF321,0,L321)</f>
      </c>
      <c r="P321">
        <f>IF(ISNUMBER(U321*1)=CF321,0,M321)</f>
      </c>
      <c r="Q321">
        <f>IF(N321&gt;2400000,N321,0)</f>
      </c>
      <c r="R321">
        <f>IF(L321/Q321*100&lt;3,2,10)</f>
      </c>
      <c r="S321">
        <f>IF(CH321=0,0,IF(B321&gt;9,10,IF(B321&gt;8,B321,IF(B321&gt;7.7,7.8,IF(B321&gt;3,B321,IF(B321&gt;1.5,2))))))</f>
      </c>
      <c r="T321">
        <f>IF(Q321=0,S321,R321)</f>
      </c>
      <c r="U321" t="n">
        <v>79.0</v>
      </c>
      <c r="V321" t="s">
        <v>3827</v>
      </c>
      <c r="W321" t="s">
        <v>3790</v>
      </c>
      <c r="X321" t="n">
        <v>547759.0</v>
      </c>
      <c r="Y321" t="n">
        <v>547759.0</v>
      </c>
      <c r="Z321" t="n">
        <v>0.0</v>
      </c>
      <c r="AA321" t="n">
        <v>0.0</v>
      </c>
      <c r="AB321" t="n">
        <v>0.0</v>
      </c>
      <c r="AC321" t="n">
        <v>0.0</v>
      </c>
      <c r="AD321" t="n">
        <v>0.0</v>
      </c>
      <c r="AE321" t="n">
        <v>0.0</v>
      </c>
      <c r="AF321" t="n">
        <v>69000.0</v>
      </c>
      <c r="AG321" t="n">
        <v>0.0</v>
      </c>
      <c r="AH321" t="n">
        <v>0.0</v>
      </c>
      <c r="AI321" t="n">
        <v>0.0</v>
      </c>
      <c r="AJ321" t="n">
        <v>0.0</v>
      </c>
      <c r="AK321" t="n">
        <v>0.0</v>
      </c>
      <c r="AL321" t="n">
        <v>0.0</v>
      </c>
      <c r="AM321" t="n">
        <v>0.0</v>
      </c>
      <c r="AN321" t="n">
        <v>0.0</v>
      </c>
      <c r="AO321" t="n">
        <v>616759.0</v>
      </c>
      <c r="AP321" t="n">
        <v>61676.0</v>
      </c>
      <c r="AQ321" t="n">
        <v>49198.3</v>
      </c>
      <c r="CH321">
        <f>IFERROR(U321*1,0)</f>
      </c>
    </row>
    <row r="322">
      <c r="A322" t="n">
        <v>5.0</v>
      </c>
      <c r="B322">
        <f>IF((K322-G322-H322&gt;2400000),10,(L322/(K322-G322-H322)*100))</f>
      </c>
      <c r="C322">
        <f>IF(N322&gt;2400000,240000,(N322*S322)/100)</f>
      </c>
      <c r="D322">
        <f>IF(S322=0,0,IF((N322-I322)&gt;2400000,((((((N322-I322-J322)-240000))*0.1+(I322+J322)*0.1)))-7000,((((((N322-I322-J322)-(N322-I322-J322)*S322/100)))*0.1+(I322+J322)*0.1)-7000)))</f>
      </c>
      <c r="E322">
        <f>C322-O322</f>
      </c>
      <c r="F322">
        <f>D322-P322</f>
      </c>
      <c r="G322">
        <f>SUMIF(negtgel!U$2:BL$2,'Tsalin uzuulelt'!B$1,negtgel!U322:BL322) + SUMIF(negtgel!U$2:BL$2,'Tsalin uzuulelt'!B$2,negtgel!U322:BL322)+SUMIF(negtgel!U$2:BL$2,'Tsalin uzuulelt'!B$3,negtgel!U322:BL322)+SUMIF(negtgel!U$2:BL$2,'Tsalin uzuulelt'!B$4,negtgel!U322:BL322)+SUMIF(negtgel!U$2:BL$2,'Tsalin uzuulelt'!B$5,negtgel!U322:BL322)</f>
      </c>
      <c r="H322">
        <f>SUMIF(negtgel!U$2:BL$2,'Tsalin uzuulelt'!F$1,negtgel!U322:BL322) + SUMIF(negtgel!U$2:BL$2,'Tsalin uzuulelt'!F$2,negtgel!U322:BL322)+SUMIF(negtgel!U$2:BL$2,'Tsalin uzuulelt'!F$3,negtgel!U322:BL322)+SUMIF(negtgel!U$2:BL$2,'Tsalin uzuulelt'!F$4,negtgel!U322:BL322)+SUMIF(negtgel!U$2:BL$2,'Tsalin uzuulelt'!F$5,negtgel!U322:BL322)</f>
      </c>
      <c r="I322">
        <f>SUMIF(negtgel!U$2:BL$2,'Tsalin uzuulelt'!H$1,negtgel!U322:BL322) + SUMIF(negtgel!U$2:BL$2,'Tsalin uzuulelt'!H$2,negtgel!U322:BL322)+SUMIF(negtgel!U$2:BL$2,'Tsalin uzuulelt'!H$3,negtgel!U322:BL322)+SUMIF(negtgel!U$2:BL$2,'Tsalin uzuulelt'!H$4,negtgel!U322:BL322)+SUMIF(negtgel!U$2:BL$2,'Tsalin uzuulelt'!H$5,negtgel!U322:BL322)</f>
      </c>
      <c r="J322">
        <f>SUMIF(negtgel!U$2:BL$2,'Tsalin uzuulelt'!J$1,negtgel!U322:BL322) + SUMIF(negtgel!U$2:BL$2,'Tsalin uzuulelt'!J$2,negtgel!U322:BL322)+SUMIF(negtgel!U$2:BL$2,'Tsalin uzuulelt'!J$3,negtgel!U322:BL322)+SUMIF(negtgel!U$2:BL$2,'Tsalin uzuulelt'!J$4,negtgel!U322:BL322)+SUMIF(negtgel!U$2:BL$2,'Tsalin uzuulelt'!J$5,negtgel!U322:BL322)</f>
      </c>
      <c r="K322">
        <f>SUMIF(negtgel!U$2:BL$2,'Tsalin uzuulelt'!L$1,negtgel!U322:BL322) + SUMIF(negtgel!U$2:BL$2,'Tsalin uzuulelt'!L$2,negtgel!U322:BL322)+SUMIF(negtgel!U$2:BL$2,'Tsalin uzuulelt'!L$3,negtgel!U322:BL322)+SUMIF(negtgel!U$2:BL$2,'Tsalin uzuulelt'!L$4,negtgel!U322:BL322)+SUMIF(negtgel!U$2:BL$2,'Tsalin uzuulelt'!L$5,negtgel!U322:BL322)</f>
      </c>
      <c r="L322">
        <f>SUMIF(negtgel!U$2:BL$2,'Tsalin uzuulelt'!N$1,negtgel!U322:BL322) + SUMIF(negtgel!U$2:BL$2,'Tsalin uzuulelt'!N$2,negtgel!U322:BL322)+SUMIF(negtgel!U$2:BL$2,'Tsalin uzuulelt'!N$3,negtgel!U322:BL322)+SUMIF(negtgel!U$2:BL$2,'Tsalin uzuulelt'!N$4,negtgel!U322:BL322)+SUMIF(negtgel!U$2:BL$2,'Tsalin uzuulelt'!N$5,negtgel!U322:BL322)</f>
      </c>
      <c r="M322">
        <f>SUMIF(negtgel!U$2:BL$2,'Tsalin uzuulelt'!P$1,negtgel!U322:BL322) + SUMIF(negtgel!U$2:BL$2,'Tsalin uzuulelt'!P$2,negtgel!U322:BL322)+ SUMIF(negtgel!U$2:BL$2,'Tsalin uzuulelt'!P$3,negtgel!U322:BL322)+ SUMIF(negtgel!U$2:BL$2,'Tsalin uzuulelt'!P$4,negtgel!U322:BL322)+ SUMIF(negtgel!U$2:BL$2,'Tsalin uzuulelt'!P$5,negtgel!U322:BL322)</f>
      </c>
      <c r="N322">
        <f>IF(ISNUMBER(U322*1)=CF322,0,K322-H322-G322)</f>
      </c>
      <c r="O322">
        <f>IF(ISNUMBER(U322*1)=CF322,0,L322)</f>
      </c>
      <c r="P322">
        <f>IF(ISNUMBER(U322*1)=CF322,0,M322)</f>
      </c>
      <c r="Q322">
        <f>IF(N322&gt;2400000,N322,0)</f>
      </c>
      <c r="R322">
        <f>IF(L322/Q322*100&lt;3,2,10)</f>
      </c>
      <c r="S322">
        <f>IF(CH322=0,0,IF(B322&gt;9,10,IF(B322&gt;8,B322,IF(B322&gt;7.7,7.8,IF(B322&gt;3,B322,IF(B322&gt;1.5,2))))))</f>
      </c>
      <c r="T322">
        <f>IF(Q322=0,S322,R322)</f>
      </c>
      <c r="U322" t="n">
        <v>80.0</v>
      </c>
      <c r="V322" t="s">
        <v>3828</v>
      </c>
      <c r="W322" t="s">
        <v>3792</v>
      </c>
      <c r="X322" t="n">
        <v>500784.0</v>
      </c>
      <c r="Y322" t="n">
        <v>0.0</v>
      </c>
      <c r="Z322" t="n">
        <v>0.0</v>
      </c>
      <c r="AA322" t="n">
        <v>0.0</v>
      </c>
      <c r="AB322" t="n">
        <v>0.0</v>
      </c>
      <c r="AC322" t="n">
        <v>0.0</v>
      </c>
      <c r="AD322" t="n">
        <v>0.0</v>
      </c>
      <c r="AE322" t="n">
        <v>0.0</v>
      </c>
      <c r="AF322" t="n">
        <v>0.0</v>
      </c>
      <c r="AG322" t="n">
        <v>0.0</v>
      </c>
      <c r="AH322" t="n">
        <v>0.0</v>
      </c>
      <c r="AI322" t="n">
        <v>0.0</v>
      </c>
      <c r="AJ322" t="n">
        <v>0.0</v>
      </c>
      <c r="AK322" t="n">
        <v>0.0</v>
      </c>
      <c r="AL322" t="n">
        <v>0.0</v>
      </c>
      <c r="AM322" t="n">
        <v>0.0</v>
      </c>
      <c r="AN322" t="n">
        <v>0.0</v>
      </c>
      <c r="AO322" t="n">
        <v>0.0</v>
      </c>
      <c r="AP322" t="n">
        <v>0.0</v>
      </c>
      <c r="AQ322" t="n">
        <v>0.0</v>
      </c>
      <c r="CH322">
        <f>IFERROR(U322*1,0)</f>
      </c>
    </row>
    <row r="323">
      <c r="A323" t="n">
        <v>5.0</v>
      </c>
      <c r="B323">
        <f>IF((K323-G323-H323&gt;2400000),10,(L323/(K323-G323-H323)*100))</f>
      </c>
      <c r="C323">
        <f>IF(N323&gt;2400000,240000,(N323*S323)/100)</f>
      </c>
      <c r="D323">
        <f>IF(S323=0,0,IF((N323-I323)&gt;2400000,((((((N323-I323-J323)-240000))*0.1+(I323+J323)*0.1)))-7000,((((((N323-I323-J323)-(N323-I323-J323)*S323/100)))*0.1+(I323+J323)*0.1)-7000)))</f>
      </c>
      <c r="E323">
        <f>C323-O323</f>
      </c>
      <c r="F323">
        <f>D323-P323</f>
      </c>
      <c r="G323">
        <f>SUMIF(negtgel!U$2:BL$2,'Tsalin uzuulelt'!B$1,negtgel!U323:BL323) + SUMIF(negtgel!U$2:BL$2,'Tsalin uzuulelt'!B$2,negtgel!U323:BL323)+SUMIF(negtgel!U$2:BL$2,'Tsalin uzuulelt'!B$3,negtgel!U323:BL323)+SUMIF(negtgel!U$2:BL$2,'Tsalin uzuulelt'!B$4,negtgel!U323:BL323)+SUMIF(negtgel!U$2:BL$2,'Tsalin uzuulelt'!B$5,negtgel!U323:BL323)</f>
      </c>
      <c r="H323">
        <f>SUMIF(negtgel!U$2:BL$2,'Tsalin uzuulelt'!F$1,negtgel!U323:BL323) + SUMIF(negtgel!U$2:BL$2,'Tsalin uzuulelt'!F$2,negtgel!U323:BL323)+SUMIF(negtgel!U$2:BL$2,'Tsalin uzuulelt'!F$3,negtgel!U323:BL323)+SUMIF(negtgel!U$2:BL$2,'Tsalin uzuulelt'!F$4,negtgel!U323:BL323)+SUMIF(negtgel!U$2:BL$2,'Tsalin uzuulelt'!F$5,negtgel!U323:BL323)</f>
      </c>
      <c r="I323">
        <f>SUMIF(negtgel!U$2:BL$2,'Tsalin uzuulelt'!H$1,negtgel!U323:BL323) + SUMIF(negtgel!U$2:BL$2,'Tsalin uzuulelt'!H$2,negtgel!U323:BL323)+SUMIF(negtgel!U$2:BL$2,'Tsalin uzuulelt'!H$3,negtgel!U323:BL323)+SUMIF(negtgel!U$2:BL$2,'Tsalin uzuulelt'!H$4,negtgel!U323:BL323)+SUMIF(negtgel!U$2:BL$2,'Tsalin uzuulelt'!H$5,negtgel!U323:BL323)</f>
      </c>
      <c r="J323">
        <f>SUMIF(negtgel!U$2:BL$2,'Tsalin uzuulelt'!J$1,negtgel!U323:BL323) + SUMIF(negtgel!U$2:BL$2,'Tsalin uzuulelt'!J$2,negtgel!U323:BL323)+SUMIF(negtgel!U$2:BL$2,'Tsalin uzuulelt'!J$3,negtgel!U323:BL323)+SUMIF(negtgel!U$2:BL$2,'Tsalin uzuulelt'!J$4,negtgel!U323:BL323)+SUMIF(negtgel!U$2:BL$2,'Tsalin uzuulelt'!J$5,negtgel!U323:BL323)</f>
      </c>
      <c r="K323">
        <f>SUMIF(negtgel!U$2:BL$2,'Tsalin uzuulelt'!L$1,negtgel!U323:BL323) + SUMIF(negtgel!U$2:BL$2,'Tsalin uzuulelt'!L$2,negtgel!U323:BL323)+SUMIF(negtgel!U$2:BL$2,'Tsalin uzuulelt'!L$3,negtgel!U323:BL323)+SUMIF(negtgel!U$2:BL$2,'Tsalin uzuulelt'!L$4,negtgel!U323:BL323)+SUMIF(negtgel!U$2:BL$2,'Tsalin uzuulelt'!L$5,negtgel!U323:BL323)</f>
      </c>
      <c r="L323">
        <f>SUMIF(negtgel!U$2:BL$2,'Tsalin uzuulelt'!N$1,negtgel!U323:BL323) + SUMIF(negtgel!U$2:BL$2,'Tsalin uzuulelt'!N$2,negtgel!U323:BL323)+SUMIF(negtgel!U$2:BL$2,'Tsalin uzuulelt'!N$3,negtgel!U323:BL323)+SUMIF(negtgel!U$2:BL$2,'Tsalin uzuulelt'!N$4,negtgel!U323:BL323)+SUMIF(negtgel!U$2:BL$2,'Tsalin uzuulelt'!N$5,negtgel!U323:BL323)</f>
      </c>
      <c r="M323">
        <f>SUMIF(negtgel!U$2:BL$2,'Tsalin uzuulelt'!P$1,negtgel!U323:BL323) + SUMIF(negtgel!U$2:BL$2,'Tsalin uzuulelt'!P$2,negtgel!U323:BL323)+ SUMIF(negtgel!U$2:BL$2,'Tsalin uzuulelt'!P$3,negtgel!U323:BL323)+ SUMIF(negtgel!U$2:BL$2,'Tsalin uzuulelt'!P$4,negtgel!U323:BL323)+ SUMIF(negtgel!U$2:BL$2,'Tsalin uzuulelt'!P$5,negtgel!U323:BL323)</f>
      </c>
      <c r="N323">
        <f>IF(ISNUMBER(U323*1)=CF323,0,K323-H323-G323)</f>
      </c>
      <c r="O323">
        <f>IF(ISNUMBER(U323*1)=CF323,0,L323)</f>
      </c>
      <c r="P323">
        <f>IF(ISNUMBER(U323*1)=CF323,0,M323)</f>
      </c>
      <c r="Q323">
        <f>IF(N323&gt;2400000,N323,0)</f>
      </c>
      <c r="R323">
        <f>IF(L323/Q323*100&lt;3,2,10)</f>
      </c>
      <c r="S323">
        <f>IF(CH323=0,0,IF(B323&gt;9,10,IF(B323&gt;8,B323,IF(B323&gt;7.7,7.8,IF(B323&gt;3,B323,IF(B323&gt;1.5,2))))))</f>
      </c>
      <c r="T323">
        <f>IF(Q323=0,S323,R323)</f>
      </c>
      <c r="U323" t="n">
        <v>81.0</v>
      </c>
      <c r="V323" t="s">
        <v>3829</v>
      </c>
      <c r="W323" t="s">
        <v>3792</v>
      </c>
      <c r="X323" t="n">
        <v>496912.0</v>
      </c>
      <c r="Y323" t="n">
        <v>496912.0</v>
      </c>
      <c r="Z323" t="n">
        <v>0.0</v>
      </c>
      <c r="AA323" t="n">
        <v>0.0</v>
      </c>
      <c r="AB323" t="n">
        <v>0.0</v>
      </c>
      <c r="AC323" t="n">
        <v>0.0</v>
      </c>
      <c r="AD323" t="n">
        <v>0.0</v>
      </c>
      <c r="AE323" t="n">
        <v>0.0</v>
      </c>
      <c r="AF323" t="n">
        <v>69000.0</v>
      </c>
      <c r="AG323" t="n">
        <v>0.0</v>
      </c>
      <c r="AH323" t="n">
        <v>0.0</v>
      </c>
      <c r="AI323" t="n">
        <v>0.0</v>
      </c>
      <c r="AJ323" t="n">
        <v>0.0</v>
      </c>
      <c r="AK323" t="n">
        <v>0.0</v>
      </c>
      <c r="AL323" t="n">
        <v>0.0</v>
      </c>
      <c r="AM323" t="n">
        <v>0.0</v>
      </c>
      <c r="AN323" t="n">
        <v>0.0</v>
      </c>
      <c r="AO323" t="n">
        <v>565912.0</v>
      </c>
      <c r="AP323" t="n">
        <v>56591.0</v>
      </c>
      <c r="AQ323" t="n">
        <v>44622.1</v>
      </c>
      <c r="CH323">
        <f>IFERROR(U323*1,0)</f>
      </c>
    </row>
    <row r="324">
      <c r="A324" t="n">
        <v>5.0</v>
      </c>
      <c r="B324">
        <f>IF((K324-G324-H324&gt;2400000),10,(L324/(K324-G324-H324)*100))</f>
      </c>
      <c r="C324">
        <f>IF(N324&gt;2400000,240000,(N324*S324)/100)</f>
      </c>
      <c r="D324">
        <f>IF(S324=0,0,IF((N324-I324)&gt;2400000,((((((N324-I324-J324)-240000))*0.1+(I324+J324)*0.1)))-7000,((((((N324-I324-J324)-(N324-I324-J324)*S324/100)))*0.1+(I324+J324)*0.1)-7000)))</f>
      </c>
      <c r="E324">
        <f>C324-O324</f>
      </c>
      <c r="F324">
        <f>D324-P324</f>
      </c>
      <c r="G324">
        <f>SUMIF(negtgel!U$2:BL$2,'Tsalin uzuulelt'!B$1,negtgel!U324:BL324) + SUMIF(negtgel!U$2:BL$2,'Tsalin uzuulelt'!B$2,negtgel!U324:BL324)+SUMIF(negtgel!U$2:BL$2,'Tsalin uzuulelt'!B$3,negtgel!U324:BL324)+SUMIF(negtgel!U$2:BL$2,'Tsalin uzuulelt'!B$4,negtgel!U324:BL324)+SUMIF(negtgel!U$2:BL$2,'Tsalin uzuulelt'!B$5,negtgel!U324:BL324)</f>
      </c>
      <c r="H324">
        <f>SUMIF(negtgel!U$2:BL$2,'Tsalin uzuulelt'!F$1,negtgel!U324:BL324) + SUMIF(negtgel!U$2:BL$2,'Tsalin uzuulelt'!F$2,negtgel!U324:BL324)+SUMIF(negtgel!U$2:BL$2,'Tsalin uzuulelt'!F$3,negtgel!U324:BL324)+SUMIF(negtgel!U$2:BL$2,'Tsalin uzuulelt'!F$4,negtgel!U324:BL324)+SUMIF(negtgel!U$2:BL$2,'Tsalin uzuulelt'!F$5,negtgel!U324:BL324)</f>
      </c>
      <c r="I324">
        <f>SUMIF(negtgel!U$2:BL$2,'Tsalin uzuulelt'!H$1,negtgel!U324:BL324) + SUMIF(negtgel!U$2:BL$2,'Tsalin uzuulelt'!H$2,negtgel!U324:BL324)+SUMIF(negtgel!U$2:BL$2,'Tsalin uzuulelt'!H$3,negtgel!U324:BL324)+SUMIF(negtgel!U$2:BL$2,'Tsalin uzuulelt'!H$4,negtgel!U324:BL324)+SUMIF(negtgel!U$2:BL$2,'Tsalin uzuulelt'!H$5,negtgel!U324:BL324)</f>
      </c>
      <c r="J324">
        <f>SUMIF(negtgel!U$2:BL$2,'Tsalin uzuulelt'!J$1,negtgel!U324:BL324) + SUMIF(negtgel!U$2:BL$2,'Tsalin uzuulelt'!J$2,negtgel!U324:BL324)+SUMIF(negtgel!U$2:BL$2,'Tsalin uzuulelt'!J$3,negtgel!U324:BL324)+SUMIF(negtgel!U$2:BL$2,'Tsalin uzuulelt'!J$4,negtgel!U324:BL324)+SUMIF(negtgel!U$2:BL$2,'Tsalin uzuulelt'!J$5,negtgel!U324:BL324)</f>
      </c>
      <c r="K324">
        <f>SUMIF(negtgel!U$2:BL$2,'Tsalin uzuulelt'!L$1,negtgel!U324:BL324) + SUMIF(negtgel!U$2:BL$2,'Tsalin uzuulelt'!L$2,negtgel!U324:BL324)+SUMIF(negtgel!U$2:BL$2,'Tsalin uzuulelt'!L$3,negtgel!U324:BL324)+SUMIF(negtgel!U$2:BL$2,'Tsalin uzuulelt'!L$4,negtgel!U324:BL324)+SUMIF(negtgel!U$2:BL$2,'Tsalin uzuulelt'!L$5,negtgel!U324:BL324)</f>
      </c>
      <c r="L324">
        <f>SUMIF(negtgel!U$2:BL$2,'Tsalin uzuulelt'!N$1,negtgel!U324:BL324) + SUMIF(negtgel!U$2:BL$2,'Tsalin uzuulelt'!N$2,negtgel!U324:BL324)+SUMIF(negtgel!U$2:BL$2,'Tsalin uzuulelt'!N$3,negtgel!U324:BL324)+SUMIF(negtgel!U$2:BL$2,'Tsalin uzuulelt'!N$4,negtgel!U324:BL324)+SUMIF(negtgel!U$2:BL$2,'Tsalin uzuulelt'!N$5,negtgel!U324:BL324)</f>
      </c>
      <c r="M324">
        <f>SUMIF(negtgel!U$2:BL$2,'Tsalin uzuulelt'!P$1,negtgel!U324:BL324) + SUMIF(negtgel!U$2:BL$2,'Tsalin uzuulelt'!P$2,negtgel!U324:BL324)+ SUMIF(negtgel!U$2:BL$2,'Tsalin uzuulelt'!P$3,negtgel!U324:BL324)+ SUMIF(negtgel!U$2:BL$2,'Tsalin uzuulelt'!P$4,negtgel!U324:BL324)+ SUMIF(negtgel!U$2:BL$2,'Tsalin uzuulelt'!P$5,negtgel!U324:BL324)</f>
      </c>
      <c r="N324">
        <f>IF(ISNUMBER(U324*1)=CF324,0,K324-H324-G324)</f>
      </c>
      <c r="O324">
        <f>IF(ISNUMBER(U324*1)=CF324,0,L324)</f>
      </c>
      <c r="P324">
        <f>IF(ISNUMBER(U324*1)=CF324,0,M324)</f>
      </c>
      <c r="Q324">
        <f>IF(N324&gt;2400000,N324,0)</f>
      </c>
      <c r="R324">
        <f>IF(L324/Q324*100&lt;3,2,10)</f>
      </c>
      <c r="S324">
        <f>IF(CH324=0,0,IF(B324&gt;9,10,IF(B324&gt;8,B324,IF(B324&gt;7.7,7.8,IF(B324&gt;3,B324,IF(B324&gt;1.5,2))))))</f>
      </c>
      <c r="T324">
        <f>IF(Q324=0,S324,R324)</f>
      </c>
      <c r="U324" t="n">
        <v>82.0</v>
      </c>
      <c r="V324" t="s">
        <v>3831</v>
      </c>
      <c r="W324" t="s">
        <v>3820</v>
      </c>
      <c r="X324" t="n">
        <v>627465.0</v>
      </c>
      <c r="Y324" t="n">
        <v>627465.0</v>
      </c>
      <c r="Z324" t="n">
        <v>62746.0</v>
      </c>
      <c r="AA324" t="n">
        <v>94120.0</v>
      </c>
      <c r="AB324" t="n">
        <v>0.0</v>
      </c>
      <c r="AC324" t="n">
        <v>0.0</v>
      </c>
      <c r="AD324" t="n">
        <v>0.0</v>
      </c>
      <c r="AE324" t="n">
        <v>0.0</v>
      </c>
      <c r="AF324" t="n">
        <v>69000.0</v>
      </c>
      <c r="AG324" t="n">
        <v>0.0</v>
      </c>
      <c r="AH324" t="n">
        <v>0.0</v>
      </c>
      <c r="AI324" t="n">
        <v>0.0</v>
      </c>
      <c r="AJ324" t="n">
        <v>0.0</v>
      </c>
      <c r="AK324" t="n">
        <v>0.0</v>
      </c>
      <c r="AL324" t="n">
        <v>0.0</v>
      </c>
      <c r="AM324" t="n">
        <v>0.0</v>
      </c>
      <c r="AN324" t="n">
        <v>0.0</v>
      </c>
      <c r="AO324" t="n">
        <v>853331.0</v>
      </c>
      <c r="AP324" t="n">
        <v>85334.0</v>
      </c>
      <c r="AQ324" t="n">
        <v>70489.8</v>
      </c>
      <c r="CH324">
        <f>IFERROR(U324*1,0)</f>
      </c>
    </row>
    <row r="325">
      <c r="A325" t="n">
        <v>5.0</v>
      </c>
      <c r="B325">
        <f>IF((K325-G325-H325&gt;2400000),10,(L325/(K325-G325-H325)*100))</f>
      </c>
      <c r="C325">
        <f>IF(N325&gt;2400000,240000,(N325*S325)/100)</f>
      </c>
      <c r="D325">
        <f>IF(S325=0,0,IF((N325-I325)&gt;2400000,((((((N325-I325-J325)-240000))*0.1+(I325+J325)*0.1)))-7000,((((((N325-I325-J325)-(N325-I325-J325)*S325/100)))*0.1+(I325+J325)*0.1)-7000)))</f>
      </c>
      <c r="E325">
        <f>C325-O325</f>
      </c>
      <c r="F325">
        <f>D325-P325</f>
      </c>
      <c r="G325">
        <f>SUMIF(negtgel!U$2:BL$2,'Tsalin uzuulelt'!B$1,negtgel!U325:BL325) + SUMIF(negtgel!U$2:BL$2,'Tsalin uzuulelt'!B$2,negtgel!U325:BL325)+SUMIF(negtgel!U$2:BL$2,'Tsalin uzuulelt'!B$3,negtgel!U325:BL325)+SUMIF(negtgel!U$2:BL$2,'Tsalin uzuulelt'!B$4,negtgel!U325:BL325)+SUMIF(negtgel!U$2:BL$2,'Tsalin uzuulelt'!B$5,negtgel!U325:BL325)</f>
      </c>
      <c r="H325">
        <f>SUMIF(negtgel!U$2:BL$2,'Tsalin uzuulelt'!F$1,negtgel!U325:BL325) + SUMIF(negtgel!U$2:BL$2,'Tsalin uzuulelt'!F$2,negtgel!U325:BL325)+SUMIF(negtgel!U$2:BL$2,'Tsalin uzuulelt'!F$3,negtgel!U325:BL325)+SUMIF(negtgel!U$2:BL$2,'Tsalin uzuulelt'!F$4,negtgel!U325:BL325)+SUMIF(negtgel!U$2:BL$2,'Tsalin uzuulelt'!F$5,negtgel!U325:BL325)</f>
      </c>
      <c r="I325">
        <f>SUMIF(negtgel!U$2:BL$2,'Tsalin uzuulelt'!H$1,negtgel!U325:BL325) + SUMIF(negtgel!U$2:BL$2,'Tsalin uzuulelt'!H$2,negtgel!U325:BL325)+SUMIF(negtgel!U$2:BL$2,'Tsalin uzuulelt'!H$3,negtgel!U325:BL325)+SUMIF(negtgel!U$2:BL$2,'Tsalin uzuulelt'!H$4,negtgel!U325:BL325)+SUMIF(negtgel!U$2:BL$2,'Tsalin uzuulelt'!H$5,negtgel!U325:BL325)</f>
      </c>
      <c r="J325">
        <f>SUMIF(negtgel!U$2:BL$2,'Tsalin uzuulelt'!J$1,negtgel!U325:BL325) + SUMIF(negtgel!U$2:BL$2,'Tsalin uzuulelt'!J$2,negtgel!U325:BL325)+SUMIF(negtgel!U$2:BL$2,'Tsalin uzuulelt'!J$3,negtgel!U325:BL325)+SUMIF(negtgel!U$2:BL$2,'Tsalin uzuulelt'!J$4,negtgel!U325:BL325)+SUMIF(negtgel!U$2:BL$2,'Tsalin uzuulelt'!J$5,negtgel!U325:BL325)</f>
      </c>
      <c r="K325">
        <f>SUMIF(negtgel!U$2:BL$2,'Tsalin uzuulelt'!L$1,negtgel!U325:BL325) + SUMIF(negtgel!U$2:BL$2,'Tsalin uzuulelt'!L$2,negtgel!U325:BL325)+SUMIF(negtgel!U$2:BL$2,'Tsalin uzuulelt'!L$3,negtgel!U325:BL325)+SUMIF(negtgel!U$2:BL$2,'Tsalin uzuulelt'!L$4,negtgel!U325:BL325)+SUMIF(negtgel!U$2:BL$2,'Tsalin uzuulelt'!L$5,negtgel!U325:BL325)</f>
      </c>
      <c r="L325">
        <f>SUMIF(negtgel!U$2:BL$2,'Tsalin uzuulelt'!N$1,negtgel!U325:BL325) + SUMIF(negtgel!U$2:BL$2,'Tsalin uzuulelt'!N$2,negtgel!U325:BL325)+SUMIF(negtgel!U$2:BL$2,'Tsalin uzuulelt'!N$3,negtgel!U325:BL325)+SUMIF(negtgel!U$2:BL$2,'Tsalin uzuulelt'!N$4,negtgel!U325:BL325)+SUMIF(negtgel!U$2:BL$2,'Tsalin uzuulelt'!N$5,negtgel!U325:BL325)</f>
      </c>
      <c r="M325">
        <f>SUMIF(negtgel!U$2:BL$2,'Tsalin uzuulelt'!P$1,negtgel!U325:BL325) + SUMIF(negtgel!U$2:BL$2,'Tsalin uzuulelt'!P$2,negtgel!U325:BL325)+ SUMIF(negtgel!U$2:BL$2,'Tsalin uzuulelt'!P$3,negtgel!U325:BL325)+ SUMIF(negtgel!U$2:BL$2,'Tsalin uzuulelt'!P$4,negtgel!U325:BL325)+ SUMIF(negtgel!U$2:BL$2,'Tsalin uzuulelt'!P$5,negtgel!U325:BL325)</f>
      </c>
      <c r="N325">
        <f>IF(ISNUMBER(U325*1)=CF325,0,K325-H325-G325)</f>
      </c>
      <c r="O325">
        <f>IF(ISNUMBER(U325*1)=CF325,0,L325)</f>
      </c>
      <c r="P325">
        <f>IF(ISNUMBER(U325*1)=CF325,0,M325)</f>
      </c>
      <c r="Q325">
        <f>IF(N325&gt;2400000,N325,0)</f>
      </c>
      <c r="R325">
        <f>IF(L325/Q325*100&lt;3,2,10)</f>
      </c>
      <c r="S325">
        <f>IF(CH325=0,0,IF(B325&gt;9,10,IF(B325&gt;8,B325,IF(B325&gt;7.7,7.8,IF(B325&gt;3,B325,IF(B325&gt;1.5,2))))))</f>
      </c>
      <c r="T325">
        <f>IF(Q325=0,S325,R325)</f>
      </c>
      <c r="U325" t="n">
        <v>83.0</v>
      </c>
      <c r="V325" t="s">
        <v>3868</v>
      </c>
      <c r="W325" t="s">
        <v>3790</v>
      </c>
      <c r="X325" t="n">
        <v>645556.0</v>
      </c>
      <c r="Y325" t="n">
        <v>645556.0</v>
      </c>
      <c r="Z325" t="n">
        <v>0.0</v>
      </c>
      <c r="AA325" t="n">
        <v>0.0</v>
      </c>
      <c r="AB325" t="n">
        <v>0.0</v>
      </c>
      <c r="AC325" t="n">
        <v>0.0</v>
      </c>
      <c r="AD325" t="n">
        <v>0.0</v>
      </c>
      <c r="AE325" t="n">
        <v>0.0</v>
      </c>
      <c r="AF325" t="n">
        <v>69000.0</v>
      </c>
      <c r="AG325" t="n">
        <v>0.0</v>
      </c>
      <c r="AH325" t="n">
        <v>0.0</v>
      </c>
      <c r="AI325" t="n">
        <v>0.0</v>
      </c>
      <c r="AJ325" t="n">
        <v>0.0</v>
      </c>
      <c r="AK325" t="n">
        <v>0.0</v>
      </c>
      <c r="AL325" t="n">
        <v>0.0</v>
      </c>
      <c r="AM325" t="n">
        <v>0.0</v>
      </c>
      <c r="AN325" t="n">
        <v>0.0</v>
      </c>
      <c r="AO325" t="n">
        <v>714556.0</v>
      </c>
      <c r="AP325" t="n">
        <v>71455.0</v>
      </c>
      <c r="AQ325" t="n">
        <v>58000.0</v>
      </c>
      <c r="CH325">
        <f>IFERROR(U325*1,0)</f>
      </c>
    </row>
    <row r="326">
      <c r="A326" t="n">
        <v>5.0</v>
      </c>
      <c r="B326">
        <f>IF((K326-G326-H326&gt;2400000),10,(L326/(K326-G326-H326)*100))</f>
      </c>
      <c r="C326">
        <f>IF(N326&gt;2400000,240000,(N326*S326)/100)</f>
      </c>
      <c r="D326">
        <f>IF(S326=0,0,IF((N326-I326)&gt;2400000,((((((N326-I326-J326)-240000))*0.1+(I326+J326)*0.1)))-7000,((((((N326-I326-J326)-(N326-I326-J326)*S326/100)))*0.1+(I326+J326)*0.1)-7000)))</f>
      </c>
      <c r="E326">
        <f>C326-O326</f>
      </c>
      <c r="F326">
        <f>D326-P326</f>
      </c>
      <c r="G326">
        <f>SUMIF(negtgel!U$2:BL$2,'Tsalin uzuulelt'!B$1,negtgel!U326:BL326) + SUMIF(negtgel!U$2:BL$2,'Tsalin uzuulelt'!B$2,negtgel!U326:BL326)+SUMIF(negtgel!U$2:BL$2,'Tsalin uzuulelt'!B$3,negtgel!U326:BL326)+SUMIF(negtgel!U$2:BL$2,'Tsalin uzuulelt'!B$4,negtgel!U326:BL326)+SUMIF(negtgel!U$2:BL$2,'Tsalin uzuulelt'!B$5,negtgel!U326:BL326)</f>
      </c>
      <c r="H326">
        <f>SUMIF(negtgel!U$2:BL$2,'Tsalin uzuulelt'!F$1,negtgel!U326:BL326) + SUMIF(negtgel!U$2:BL$2,'Tsalin uzuulelt'!F$2,negtgel!U326:BL326)+SUMIF(negtgel!U$2:BL$2,'Tsalin uzuulelt'!F$3,negtgel!U326:BL326)+SUMIF(negtgel!U$2:BL$2,'Tsalin uzuulelt'!F$4,negtgel!U326:BL326)+SUMIF(negtgel!U$2:BL$2,'Tsalin uzuulelt'!F$5,negtgel!U326:BL326)</f>
      </c>
      <c r="I326">
        <f>SUMIF(negtgel!U$2:BL$2,'Tsalin uzuulelt'!H$1,negtgel!U326:BL326) + SUMIF(negtgel!U$2:BL$2,'Tsalin uzuulelt'!H$2,negtgel!U326:BL326)+SUMIF(negtgel!U$2:BL$2,'Tsalin uzuulelt'!H$3,negtgel!U326:BL326)+SUMIF(negtgel!U$2:BL$2,'Tsalin uzuulelt'!H$4,negtgel!U326:BL326)+SUMIF(negtgel!U$2:BL$2,'Tsalin uzuulelt'!H$5,negtgel!U326:BL326)</f>
      </c>
      <c r="J326">
        <f>SUMIF(negtgel!U$2:BL$2,'Tsalin uzuulelt'!J$1,negtgel!U326:BL326) + SUMIF(negtgel!U$2:BL$2,'Tsalin uzuulelt'!J$2,negtgel!U326:BL326)+SUMIF(negtgel!U$2:BL$2,'Tsalin uzuulelt'!J$3,negtgel!U326:BL326)+SUMIF(negtgel!U$2:BL$2,'Tsalin uzuulelt'!J$4,negtgel!U326:BL326)+SUMIF(negtgel!U$2:BL$2,'Tsalin uzuulelt'!J$5,negtgel!U326:BL326)</f>
      </c>
      <c r="K326">
        <f>SUMIF(negtgel!U$2:BL$2,'Tsalin uzuulelt'!L$1,negtgel!U326:BL326) + SUMIF(negtgel!U$2:BL$2,'Tsalin uzuulelt'!L$2,negtgel!U326:BL326)+SUMIF(negtgel!U$2:BL$2,'Tsalin uzuulelt'!L$3,negtgel!U326:BL326)+SUMIF(negtgel!U$2:BL$2,'Tsalin uzuulelt'!L$4,negtgel!U326:BL326)+SUMIF(negtgel!U$2:BL$2,'Tsalin uzuulelt'!L$5,negtgel!U326:BL326)</f>
      </c>
      <c r="L326">
        <f>SUMIF(negtgel!U$2:BL$2,'Tsalin uzuulelt'!N$1,negtgel!U326:BL326) + SUMIF(negtgel!U$2:BL$2,'Tsalin uzuulelt'!N$2,negtgel!U326:BL326)+SUMIF(negtgel!U$2:BL$2,'Tsalin uzuulelt'!N$3,negtgel!U326:BL326)+SUMIF(negtgel!U$2:BL$2,'Tsalin uzuulelt'!N$4,negtgel!U326:BL326)+SUMIF(negtgel!U$2:BL$2,'Tsalin uzuulelt'!N$5,negtgel!U326:BL326)</f>
      </c>
      <c r="M326">
        <f>SUMIF(negtgel!U$2:BL$2,'Tsalin uzuulelt'!P$1,negtgel!U326:BL326) + SUMIF(negtgel!U$2:BL$2,'Tsalin uzuulelt'!P$2,negtgel!U326:BL326)+ SUMIF(negtgel!U$2:BL$2,'Tsalin uzuulelt'!P$3,negtgel!U326:BL326)+ SUMIF(negtgel!U$2:BL$2,'Tsalin uzuulelt'!P$4,negtgel!U326:BL326)+ SUMIF(negtgel!U$2:BL$2,'Tsalin uzuulelt'!P$5,negtgel!U326:BL326)</f>
      </c>
      <c r="N326">
        <f>IF(ISNUMBER(U326*1)=CF326,0,K326-H326-G326)</f>
      </c>
      <c r="O326">
        <f>IF(ISNUMBER(U326*1)=CF326,0,L326)</f>
      </c>
      <c r="P326">
        <f>IF(ISNUMBER(U326*1)=CF326,0,M326)</f>
      </c>
      <c r="Q326">
        <f>IF(N326&gt;2400000,N326,0)</f>
      </c>
      <c r="R326">
        <f>IF(L326/Q326*100&lt;3,2,10)</f>
      </c>
      <c r="S326">
        <f>IF(CH326=0,0,IF(B326&gt;9,10,IF(B326&gt;8,B326,IF(B326&gt;7.7,7.8,IF(B326&gt;3,B326,IF(B326&gt;1.5,2))))))</f>
      </c>
      <c r="T326">
        <f>IF(Q326=0,S326,R326)</f>
      </c>
      <c r="U326" t="n">
        <v>84.0</v>
      </c>
      <c r="V326" t="s">
        <v>3833</v>
      </c>
      <c r="W326" t="s">
        <v>3790</v>
      </c>
      <c r="X326" t="n">
        <v>613669.0</v>
      </c>
      <c r="Y326" t="n">
        <v>613669.0</v>
      </c>
      <c r="Z326" t="n">
        <v>92050.0</v>
      </c>
      <c r="AA326" t="n">
        <v>104324.0</v>
      </c>
      <c r="AB326" t="n">
        <v>0.0</v>
      </c>
      <c r="AC326" t="n">
        <v>0.0</v>
      </c>
      <c r="AD326" t="n">
        <v>0.0</v>
      </c>
      <c r="AE326" t="n">
        <v>0.0</v>
      </c>
      <c r="AF326" t="n">
        <v>69000.0</v>
      </c>
      <c r="AG326" t="n">
        <v>0.0</v>
      </c>
      <c r="AH326" t="n">
        <v>0.0</v>
      </c>
      <c r="AI326" t="n">
        <v>0.0</v>
      </c>
      <c r="AJ326" t="n">
        <v>0.0</v>
      </c>
      <c r="AK326" t="n">
        <v>0.0</v>
      </c>
      <c r="AL326" t="n">
        <v>0.0</v>
      </c>
      <c r="AM326" t="n">
        <v>0.0</v>
      </c>
      <c r="AN326" t="n">
        <v>0.0</v>
      </c>
      <c r="AO326" t="n">
        <v>879043.0</v>
      </c>
      <c r="AP326" t="n">
        <v>87904.0</v>
      </c>
      <c r="AQ326" t="n">
        <v>72803.9</v>
      </c>
      <c r="CH326">
        <f>IFERROR(U326*1,0)</f>
      </c>
    </row>
    <row r="327">
      <c r="A327" t="n">
        <v>5.0</v>
      </c>
      <c r="B327">
        <f>IF((K327-G327-H327&gt;2400000),10,(L327/(K327-G327-H327)*100))</f>
      </c>
      <c r="C327">
        <f>IF(N327&gt;2400000,240000,(N327*S327)/100)</f>
      </c>
      <c r="D327">
        <f>IF(S327=0,0,IF((N327-I327)&gt;2400000,((((((N327-I327-J327)-240000))*0.1+(I327+J327)*0.1)))-7000,((((((N327-I327-J327)-(N327-I327-J327)*S327/100)))*0.1+(I327+J327)*0.1)-7000)))</f>
      </c>
      <c r="E327">
        <f>C327-O327</f>
      </c>
      <c r="F327">
        <f>D327-P327</f>
      </c>
      <c r="G327">
        <f>SUMIF(negtgel!U$2:BL$2,'Tsalin uzuulelt'!B$1,negtgel!U327:BL327) + SUMIF(negtgel!U$2:BL$2,'Tsalin uzuulelt'!B$2,negtgel!U327:BL327)+SUMIF(negtgel!U$2:BL$2,'Tsalin uzuulelt'!B$3,negtgel!U327:BL327)+SUMIF(negtgel!U$2:BL$2,'Tsalin uzuulelt'!B$4,negtgel!U327:BL327)+SUMIF(negtgel!U$2:BL$2,'Tsalin uzuulelt'!B$5,negtgel!U327:BL327)</f>
      </c>
      <c r="H327">
        <f>SUMIF(negtgel!U$2:BL$2,'Tsalin uzuulelt'!F$1,negtgel!U327:BL327) + SUMIF(negtgel!U$2:BL$2,'Tsalin uzuulelt'!F$2,negtgel!U327:BL327)+SUMIF(negtgel!U$2:BL$2,'Tsalin uzuulelt'!F$3,negtgel!U327:BL327)+SUMIF(negtgel!U$2:BL$2,'Tsalin uzuulelt'!F$4,negtgel!U327:BL327)+SUMIF(negtgel!U$2:BL$2,'Tsalin uzuulelt'!F$5,negtgel!U327:BL327)</f>
      </c>
      <c r="I327">
        <f>SUMIF(negtgel!U$2:BL$2,'Tsalin uzuulelt'!H$1,negtgel!U327:BL327) + SUMIF(negtgel!U$2:BL$2,'Tsalin uzuulelt'!H$2,negtgel!U327:BL327)+SUMIF(negtgel!U$2:BL$2,'Tsalin uzuulelt'!H$3,negtgel!U327:BL327)+SUMIF(negtgel!U$2:BL$2,'Tsalin uzuulelt'!H$4,negtgel!U327:BL327)+SUMIF(negtgel!U$2:BL$2,'Tsalin uzuulelt'!H$5,negtgel!U327:BL327)</f>
      </c>
      <c r="J327">
        <f>SUMIF(negtgel!U$2:BL$2,'Tsalin uzuulelt'!J$1,negtgel!U327:BL327) + SUMIF(negtgel!U$2:BL$2,'Tsalin uzuulelt'!J$2,negtgel!U327:BL327)+SUMIF(negtgel!U$2:BL$2,'Tsalin uzuulelt'!J$3,negtgel!U327:BL327)+SUMIF(negtgel!U$2:BL$2,'Tsalin uzuulelt'!J$4,negtgel!U327:BL327)+SUMIF(negtgel!U$2:BL$2,'Tsalin uzuulelt'!J$5,negtgel!U327:BL327)</f>
      </c>
      <c r="K327">
        <f>SUMIF(negtgel!U$2:BL$2,'Tsalin uzuulelt'!L$1,negtgel!U327:BL327) + SUMIF(negtgel!U$2:BL$2,'Tsalin uzuulelt'!L$2,negtgel!U327:BL327)+SUMIF(negtgel!U$2:BL$2,'Tsalin uzuulelt'!L$3,negtgel!U327:BL327)+SUMIF(negtgel!U$2:BL$2,'Tsalin uzuulelt'!L$4,negtgel!U327:BL327)+SUMIF(negtgel!U$2:BL$2,'Tsalin uzuulelt'!L$5,negtgel!U327:BL327)</f>
      </c>
      <c r="L327">
        <f>SUMIF(negtgel!U$2:BL$2,'Tsalin uzuulelt'!N$1,negtgel!U327:BL327) + SUMIF(negtgel!U$2:BL$2,'Tsalin uzuulelt'!N$2,negtgel!U327:BL327)+SUMIF(negtgel!U$2:BL$2,'Tsalin uzuulelt'!N$3,negtgel!U327:BL327)+SUMIF(negtgel!U$2:BL$2,'Tsalin uzuulelt'!N$4,negtgel!U327:BL327)+SUMIF(negtgel!U$2:BL$2,'Tsalin uzuulelt'!N$5,negtgel!U327:BL327)</f>
      </c>
      <c r="M327">
        <f>SUMIF(negtgel!U$2:BL$2,'Tsalin uzuulelt'!P$1,negtgel!U327:BL327) + SUMIF(negtgel!U$2:BL$2,'Tsalin uzuulelt'!P$2,negtgel!U327:BL327)+ SUMIF(negtgel!U$2:BL$2,'Tsalin uzuulelt'!P$3,negtgel!U327:BL327)+ SUMIF(negtgel!U$2:BL$2,'Tsalin uzuulelt'!P$4,negtgel!U327:BL327)+ SUMIF(negtgel!U$2:BL$2,'Tsalin uzuulelt'!P$5,negtgel!U327:BL327)</f>
      </c>
      <c r="N327">
        <f>IF(ISNUMBER(U327*1)=CF327,0,K327-H327-G327)</f>
      </c>
      <c r="O327">
        <f>IF(ISNUMBER(U327*1)=CF327,0,L327)</f>
      </c>
      <c r="P327">
        <f>IF(ISNUMBER(U327*1)=CF327,0,M327)</f>
      </c>
      <c r="Q327">
        <f>IF(N327&gt;2400000,N327,0)</f>
      </c>
      <c r="R327">
        <f>IF(L327/Q327*100&lt;3,2,10)</f>
      </c>
      <c r="S327">
        <f>IF(CH327=0,0,IF(B327&gt;9,10,IF(B327&gt;8,B327,IF(B327&gt;7.7,7.8,IF(B327&gt;3,B327,IF(B327&gt;1.5,2))))))</f>
      </c>
      <c r="T327">
        <f>IF(Q327=0,S327,R327)</f>
      </c>
      <c r="U327" t="n">
        <v>85.0</v>
      </c>
      <c r="V327" t="s">
        <v>3834</v>
      </c>
      <c r="W327" t="s">
        <v>3792</v>
      </c>
      <c r="X327" t="n">
        <v>510623.0</v>
      </c>
      <c r="Y327" t="n">
        <v>0.0</v>
      </c>
      <c r="Z327" t="n">
        <v>0.0</v>
      </c>
      <c r="AA327" t="n">
        <v>0.0</v>
      </c>
      <c r="AB327" t="n">
        <v>0.0</v>
      </c>
      <c r="AC327" t="n">
        <v>0.0</v>
      </c>
      <c r="AD327" t="n">
        <v>0.0</v>
      </c>
      <c r="AE327" t="n">
        <v>0.0</v>
      </c>
      <c r="AF327" t="n">
        <v>0.0</v>
      </c>
      <c r="AG327" t="n">
        <v>0.0</v>
      </c>
      <c r="AH327" t="n">
        <v>0.0</v>
      </c>
      <c r="AI327" t="n">
        <v>0.0</v>
      </c>
      <c r="AJ327" t="n">
        <v>0.0</v>
      </c>
      <c r="AK327" t="n">
        <v>0.0</v>
      </c>
      <c r="AL327" t="n">
        <v>0.0</v>
      </c>
      <c r="AM327" t="n">
        <v>0.0</v>
      </c>
      <c r="AN327" t="n">
        <v>0.0</v>
      </c>
      <c r="AO327" t="n">
        <v>0.0</v>
      </c>
      <c r="AP327" t="n">
        <v>0.0</v>
      </c>
      <c r="AQ327" t="n">
        <v>0.0</v>
      </c>
      <c r="CH327">
        <f>IFERROR(U327*1,0)</f>
      </c>
    </row>
    <row r="328">
      <c r="A328" t="n">
        <v>5.0</v>
      </c>
      <c r="B328">
        <f>IF((K328-G328-H328&gt;2400000),10,(L328/(K328-G328-H328)*100))</f>
      </c>
      <c r="C328">
        <f>IF(N328&gt;2400000,240000,(N328*S328)/100)</f>
      </c>
      <c r="D328">
        <f>IF(S328=0,0,IF((N328-I328)&gt;2400000,((((((N328-I328-J328)-240000))*0.1+(I328+J328)*0.1)))-7000,((((((N328-I328-J328)-(N328-I328-J328)*S328/100)))*0.1+(I328+J328)*0.1)-7000)))</f>
      </c>
      <c r="E328">
        <f>C328-O328</f>
      </c>
      <c r="F328">
        <f>D328-P328</f>
      </c>
      <c r="G328">
        <f>SUMIF(negtgel!U$2:BL$2,'Tsalin uzuulelt'!B$1,negtgel!U328:BL328) + SUMIF(negtgel!U$2:BL$2,'Tsalin uzuulelt'!B$2,negtgel!U328:BL328)+SUMIF(negtgel!U$2:BL$2,'Tsalin uzuulelt'!B$3,negtgel!U328:BL328)+SUMIF(negtgel!U$2:BL$2,'Tsalin uzuulelt'!B$4,negtgel!U328:BL328)+SUMIF(negtgel!U$2:BL$2,'Tsalin uzuulelt'!B$5,negtgel!U328:BL328)</f>
      </c>
      <c r="H328">
        <f>SUMIF(negtgel!U$2:BL$2,'Tsalin uzuulelt'!F$1,negtgel!U328:BL328) + SUMIF(negtgel!U$2:BL$2,'Tsalin uzuulelt'!F$2,negtgel!U328:BL328)+SUMIF(negtgel!U$2:BL$2,'Tsalin uzuulelt'!F$3,negtgel!U328:BL328)+SUMIF(negtgel!U$2:BL$2,'Tsalin uzuulelt'!F$4,negtgel!U328:BL328)+SUMIF(negtgel!U$2:BL$2,'Tsalin uzuulelt'!F$5,negtgel!U328:BL328)</f>
      </c>
      <c r="I328">
        <f>SUMIF(negtgel!U$2:BL$2,'Tsalin uzuulelt'!H$1,negtgel!U328:BL328) + SUMIF(negtgel!U$2:BL$2,'Tsalin uzuulelt'!H$2,negtgel!U328:BL328)+SUMIF(negtgel!U$2:BL$2,'Tsalin uzuulelt'!H$3,negtgel!U328:BL328)+SUMIF(negtgel!U$2:BL$2,'Tsalin uzuulelt'!H$4,negtgel!U328:BL328)+SUMIF(negtgel!U$2:BL$2,'Tsalin uzuulelt'!H$5,negtgel!U328:BL328)</f>
      </c>
      <c r="J328">
        <f>SUMIF(negtgel!U$2:BL$2,'Tsalin uzuulelt'!J$1,negtgel!U328:BL328) + SUMIF(negtgel!U$2:BL$2,'Tsalin uzuulelt'!J$2,negtgel!U328:BL328)+SUMIF(negtgel!U$2:BL$2,'Tsalin uzuulelt'!J$3,negtgel!U328:BL328)+SUMIF(negtgel!U$2:BL$2,'Tsalin uzuulelt'!J$4,negtgel!U328:BL328)+SUMIF(negtgel!U$2:BL$2,'Tsalin uzuulelt'!J$5,negtgel!U328:BL328)</f>
      </c>
      <c r="K328">
        <f>SUMIF(negtgel!U$2:BL$2,'Tsalin uzuulelt'!L$1,negtgel!U328:BL328) + SUMIF(negtgel!U$2:BL$2,'Tsalin uzuulelt'!L$2,negtgel!U328:BL328)+SUMIF(negtgel!U$2:BL$2,'Tsalin uzuulelt'!L$3,negtgel!U328:BL328)+SUMIF(negtgel!U$2:BL$2,'Tsalin uzuulelt'!L$4,negtgel!U328:BL328)+SUMIF(negtgel!U$2:BL$2,'Tsalin uzuulelt'!L$5,negtgel!U328:BL328)</f>
      </c>
      <c r="L328">
        <f>SUMIF(negtgel!U$2:BL$2,'Tsalin uzuulelt'!N$1,negtgel!U328:BL328) + SUMIF(negtgel!U$2:BL$2,'Tsalin uzuulelt'!N$2,negtgel!U328:BL328)+SUMIF(negtgel!U$2:BL$2,'Tsalin uzuulelt'!N$3,negtgel!U328:BL328)+SUMIF(negtgel!U$2:BL$2,'Tsalin uzuulelt'!N$4,negtgel!U328:BL328)+SUMIF(negtgel!U$2:BL$2,'Tsalin uzuulelt'!N$5,negtgel!U328:BL328)</f>
      </c>
      <c r="M328">
        <f>SUMIF(negtgel!U$2:BL$2,'Tsalin uzuulelt'!P$1,negtgel!U328:BL328) + SUMIF(negtgel!U$2:BL$2,'Tsalin uzuulelt'!P$2,negtgel!U328:BL328)+ SUMIF(negtgel!U$2:BL$2,'Tsalin uzuulelt'!P$3,negtgel!U328:BL328)+ SUMIF(negtgel!U$2:BL$2,'Tsalin uzuulelt'!P$4,negtgel!U328:BL328)+ SUMIF(negtgel!U$2:BL$2,'Tsalin uzuulelt'!P$5,negtgel!U328:BL328)</f>
      </c>
      <c r="N328">
        <f>IF(ISNUMBER(U328*1)=CF328,0,K328-H328-G328)</f>
      </c>
      <c r="O328">
        <f>IF(ISNUMBER(U328*1)=CF328,0,L328)</f>
      </c>
      <c r="P328">
        <f>IF(ISNUMBER(U328*1)=CF328,0,M328)</f>
      </c>
      <c r="Q328">
        <f>IF(N328&gt;2400000,N328,0)</f>
      </c>
      <c r="R328">
        <f>IF(L328/Q328*100&lt;3,2,10)</f>
      </c>
      <c r="S328">
        <f>IF(CH328=0,0,IF(B328&gt;9,10,IF(B328&gt;8,B328,IF(B328&gt;7.7,7.8,IF(B328&gt;3,B328,IF(B328&gt;1.5,2))))))</f>
      </c>
      <c r="T328">
        <f>IF(Q328=0,S328,R328)</f>
      </c>
      <c r="U328" t="n">
        <v>86.0</v>
      </c>
      <c r="V328" t="s">
        <v>3835</v>
      </c>
      <c r="W328" t="s">
        <v>3790</v>
      </c>
      <c r="X328" t="n">
        <v>580710.0</v>
      </c>
      <c r="Y328" t="n">
        <v>555462.0</v>
      </c>
      <c r="Z328" t="n">
        <v>27773.0</v>
      </c>
      <c r="AA328" t="n">
        <v>0.0</v>
      </c>
      <c r="AB328" t="n">
        <v>0.0</v>
      </c>
      <c r="AC328" t="n">
        <v>0.0</v>
      </c>
      <c r="AD328" t="n">
        <v>0.0</v>
      </c>
      <c r="AE328" t="n">
        <v>0.0</v>
      </c>
      <c r="AF328" t="n">
        <v>66000.0</v>
      </c>
      <c r="AG328" t="n">
        <v>0.0</v>
      </c>
      <c r="AH328" t="n">
        <v>0.0</v>
      </c>
      <c r="AI328" t="n">
        <v>0.0</v>
      </c>
      <c r="AJ328" t="n">
        <v>0.0</v>
      </c>
      <c r="AK328" t="n">
        <v>0.0</v>
      </c>
      <c r="AL328" t="n">
        <v>0.0</v>
      </c>
      <c r="AM328" t="n">
        <v>0.0</v>
      </c>
      <c r="AN328" t="n">
        <v>0.0</v>
      </c>
      <c r="AO328" t="n">
        <v>649235.0</v>
      </c>
      <c r="AP328" t="n">
        <v>64923.0</v>
      </c>
      <c r="AQ328" t="n">
        <v>52091.2</v>
      </c>
      <c r="CH328">
        <f>IFERROR(U328*1,0)</f>
      </c>
    </row>
    <row r="329">
      <c r="A329" t="n">
        <v>5.0</v>
      </c>
      <c r="B329">
        <f>IF((K329-G329-H329&gt;2400000),10,(L329/(K329-G329-H329)*100))</f>
      </c>
      <c r="C329">
        <f>IF(N329&gt;2400000,240000,(N329*S329)/100)</f>
      </c>
      <c r="D329">
        <f>IF(S329=0,0,IF((N329-I329)&gt;2400000,((((((N329-I329-J329)-240000))*0.1+(I329+J329)*0.1)))-7000,((((((N329-I329-J329)-(N329-I329-J329)*S329/100)))*0.1+(I329+J329)*0.1)-7000)))</f>
      </c>
      <c r="E329">
        <f>C329-O329</f>
      </c>
      <c r="F329">
        <f>D329-P329</f>
      </c>
      <c r="G329">
        <f>SUMIF(negtgel!U$2:BL$2,'Tsalin uzuulelt'!B$1,negtgel!U329:BL329) + SUMIF(negtgel!U$2:BL$2,'Tsalin uzuulelt'!B$2,negtgel!U329:BL329)+SUMIF(negtgel!U$2:BL$2,'Tsalin uzuulelt'!B$3,negtgel!U329:BL329)+SUMIF(negtgel!U$2:BL$2,'Tsalin uzuulelt'!B$4,negtgel!U329:BL329)+SUMIF(negtgel!U$2:BL$2,'Tsalin uzuulelt'!B$5,negtgel!U329:BL329)</f>
      </c>
      <c r="H329">
        <f>SUMIF(negtgel!U$2:BL$2,'Tsalin uzuulelt'!F$1,negtgel!U329:BL329) + SUMIF(negtgel!U$2:BL$2,'Tsalin uzuulelt'!F$2,negtgel!U329:BL329)+SUMIF(negtgel!U$2:BL$2,'Tsalin uzuulelt'!F$3,negtgel!U329:BL329)+SUMIF(negtgel!U$2:BL$2,'Tsalin uzuulelt'!F$4,negtgel!U329:BL329)+SUMIF(negtgel!U$2:BL$2,'Tsalin uzuulelt'!F$5,negtgel!U329:BL329)</f>
      </c>
      <c r="I329">
        <f>SUMIF(negtgel!U$2:BL$2,'Tsalin uzuulelt'!H$1,negtgel!U329:BL329) + SUMIF(negtgel!U$2:BL$2,'Tsalin uzuulelt'!H$2,negtgel!U329:BL329)+SUMIF(negtgel!U$2:BL$2,'Tsalin uzuulelt'!H$3,negtgel!U329:BL329)+SUMIF(negtgel!U$2:BL$2,'Tsalin uzuulelt'!H$4,negtgel!U329:BL329)+SUMIF(negtgel!U$2:BL$2,'Tsalin uzuulelt'!H$5,negtgel!U329:BL329)</f>
      </c>
      <c r="J329">
        <f>SUMIF(negtgel!U$2:BL$2,'Tsalin uzuulelt'!J$1,negtgel!U329:BL329) + SUMIF(negtgel!U$2:BL$2,'Tsalin uzuulelt'!J$2,negtgel!U329:BL329)+SUMIF(negtgel!U$2:BL$2,'Tsalin uzuulelt'!J$3,negtgel!U329:BL329)+SUMIF(negtgel!U$2:BL$2,'Tsalin uzuulelt'!J$4,negtgel!U329:BL329)+SUMIF(negtgel!U$2:BL$2,'Tsalin uzuulelt'!J$5,negtgel!U329:BL329)</f>
      </c>
      <c r="K329">
        <f>SUMIF(negtgel!U$2:BL$2,'Tsalin uzuulelt'!L$1,negtgel!U329:BL329) + SUMIF(negtgel!U$2:BL$2,'Tsalin uzuulelt'!L$2,negtgel!U329:BL329)+SUMIF(negtgel!U$2:BL$2,'Tsalin uzuulelt'!L$3,negtgel!U329:BL329)+SUMIF(negtgel!U$2:BL$2,'Tsalin uzuulelt'!L$4,negtgel!U329:BL329)+SUMIF(negtgel!U$2:BL$2,'Tsalin uzuulelt'!L$5,negtgel!U329:BL329)</f>
      </c>
      <c r="L329">
        <f>SUMIF(negtgel!U$2:BL$2,'Tsalin uzuulelt'!N$1,negtgel!U329:BL329) + SUMIF(negtgel!U$2:BL$2,'Tsalin uzuulelt'!N$2,negtgel!U329:BL329)+SUMIF(negtgel!U$2:BL$2,'Tsalin uzuulelt'!N$3,negtgel!U329:BL329)+SUMIF(negtgel!U$2:BL$2,'Tsalin uzuulelt'!N$4,negtgel!U329:BL329)+SUMIF(negtgel!U$2:BL$2,'Tsalin uzuulelt'!N$5,negtgel!U329:BL329)</f>
      </c>
      <c r="M329">
        <f>SUMIF(negtgel!U$2:BL$2,'Tsalin uzuulelt'!P$1,negtgel!U329:BL329) + SUMIF(negtgel!U$2:BL$2,'Tsalin uzuulelt'!P$2,negtgel!U329:BL329)+ SUMIF(negtgel!U$2:BL$2,'Tsalin uzuulelt'!P$3,negtgel!U329:BL329)+ SUMIF(negtgel!U$2:BL$2,'Tsalin uzuulelt'!P$4,negtgel!U329:BL329)+ SUMIF(negtgel!U$2:BL$2,'Tsalin uzuulelt'!P$5,negtgel!U329:BL329)</f>
      </c>
      <c r="N329">
        <f>IF(ISNUMBER(U329*1)=CF329,0,K329-H329-G329)</f>
      </c>
      <c r="O329">
        <f>IF(ISNUMBER(U329*1)=CF329,0,L329)</f>
      </c>
      <c r="P329">
        <f>IF(ISNUMBER(U329*1)=CF329,0,M329)</f>
      </c>
      <c r="Q329">
        <f>IF(N329&gt;2400000,N329,0)</f>
      </c>
      <c r="R329">
        <f>IF(L329/Q329*100&lt;3,2,10)</f>
      </c>
      <c r="S329">
        <f>IF(CH329=0,0,IF(B329&gt;9,10,IF(B329&gt;8,B329,IF(B329&gt;7.7,7.8,IF(B329&gt;3,B329,IF(B329&gt;1.5,2))))))</f>
      </c>
      <c r="T329">
        <f>IF(Q329=0,S329,R329)</f>
      </c>
      <c r="U329" t="s">
        <v>3787</v>
      </c>
      <c r="V329"/>
      <c r="W329"/>
      <c r="X329" t="n">
        <v>4523478.0</v>
      </c>
      <c r="Y329" t="n">
        <v>3486823.0</v>
      </c>
      <c r="Z329" t="n">
        <v>182569.0</v>
      </c>
      <c r="AA329" t="n">
        <v>198444.0</v>
      </c>
      <c r="AB329" t="n">
        <v>0.0</v>
      </c>
      <c r="AC329" t="n">
        <v>0.0</v>
      </c>
      <c r="AD329" t="n">
        <v>0.0</v>
      </c>
      <c r="AE329" t="n">
        <v>0.0</v>
      </c>
      <c r="AF329" t="n">
        <v>411000.0</v>
      </c>
      <c r="AG329" t="n">
        <v>0.0</v>
      </c>
      <c r="AH329" t="n">
        <v>0.0</v>
      </c>
      <c r="AI329" t="n">
        <v>0.0</v>
      </c>
      <c r="AJ329" t="n">
        <v>0.0</v>
      </c>
      <c r="AK329" t="n">
        <v>0.0</v>
      </c>
      <c r="AL329" t="n">
        <v>0.0</v>
      </c>
      <c r="AM329" t="n">
        <v>0.0</v>
      </c>
      <c r="AN329" t="n">
        <v>0.0</v>
      </c>
      <c r="AO329" t="n">
        <v>4278836.0</v>
      </c>
      <c r="AP329" t="n">
        <v>427883.0</v>
      </c>
      <c r="AQ329" t="n">
        <v>347205.3</v>
      </c>
      <c r="CH329">
        <f>IFERROR(U329*1,0)</f>
      </c>
    </row>
    <row r="330">
      <c r="A330" t="n">
        <v>5.0</v>
      </c>
      <c r="B330">
        <f>IF((K330-G330-H330&gt;2400000),10,(L330/(K330-G330-H330)*100))</f>
      </c>
      <c r="C330">
        <f>IF(N330&gt;2400000,240000,(N330*S330)/100)</f>
      </c>
      <c r="D330">
        <f>IF(S330=0,0,IF((N330-I330)&gt;2400000,((((((N330-I330-J330)-240000))*0.1+(I330+J330)*0.1)))-7000,((((((N330-I330-J330)-(N330-I330-J330)*S330/100)))*0.1+(I330+J330)*0.1)-7000)))</f>
      </c>
      <c r="E330">
        <f>C330-O330</f>
      </c>
      <c r="F330">
        <f>D330-P330</f>
      </c>
      <c r="G330">
        <f>SUMIF(negtgel!U$2:BL$2,'Tsalin uzuulelt'!B$1,negtgel!U330:BL330) + SUMIF(negtgel!U$2:BL$2,'Tsalin uzuulelt'!B$2,negtgel!U330:BL330)+SUMIF(negtgel!U$2:BL$2,'Tsalin uzuulelt'!B$3,negtgel!U330:BL330)+SUMIF(negtgel!U$2:BL$2,'Tsalin uzuulelt'!B$4,negtgel!U330:BL330)+SUMIF(negtgel!U$2:BL$2,'Tsalin uzuulelt'!B$5,negtgel!U330:BL330)</f>
      </c>
      <c r="H330">
        <f>SUMIF(negtgel!U$2:BL$2,'Tsalin uzuulelt'!F$1,negtgel!U330:BL330) + SUMIF(negtgel!U$2:BL$2,'Tsalin uzuulelt'!F$2,negtgel!U330:BL330)+SUMIF(negtgel!U$2:BL$2,'Tsalin uzuulelt'!F$3,negtgel!U330:BL330)+SUMIF(negtgel!U$2:BL$2,'Tsalin uzuulelt'!F$4,negtgel!U330:BL330)+SUMIF(negtgel!U$2:BL$2,'Tsalin uzuulelt'!F$5,negtgel!U330:BL330)</f>
      </c>
      <c r="I330">
        <f>SUMIF(negtgel!U$2:BL$2,'Tsalin uzuulelt'!H$1,negtgel!U330:BL330) + SUMIF(negtgel!U$2:BL$2,'Tsalin uzuulelt'!H$2,negtgel!U330:BL330)+SUMIF(negtgel!U$2:BL$2,'Tsalin uzuulelt'!H$3,negtgel!U330:BL330)+SUMIF(negtgel!U$2:BL$2,'Tsalin uzuulelt'!H$4,negtgel!U330:BL330)+SUMIF(negtgel!U$2:BL$2,'Tsalin uzuulelt'!H$5,negtgel!U330:BL330)</f>
      </c>
      <c r="J330">
        <f>SUMIF(negtgel!U$2:BL$2,'Tsalin uzuulelt'!J$1,negtgel!U330:BL330) + SUMIF(negtgel!U$2:BL$2,'Tsalin uzuulelt'!J$2,negtgel!U330:BL330)+SUMIF(negtgel!U$2:BL$2,'Tsalin uzuulelt'!J$3,negtgel!U330:BL330)+SUMIF(negtgel!U$2:BL$2,'Tsalin uzuulelt'!J$4,negtgel!U330:BL330)+SUMIF(negtgel!U$2:BL$2,'Tsalin uzuulelt'!J$5,negtgel!U330:BL330)</f>
      </c>
      <c r="K330">
        <f>SUMIF(negtgel!U$2:BL$2,'Tsalin uzuulelt'!L$1,negtgel!U330:BL330) + SUMIF(negtgel!U$2:BL$2,'Tsalin uzuulelt'!L$2,negtgel!U330:BL330)+SUMIF(negtgel!U$2:BL$2,'Tsalin uzuulelt'!L$3,negtgel!U330:BL330)+SUMIF(negtgel!U$2:BL$2,'Tsalin uzuulelt'!L$4,negtgel!U330:BL330)+SUMIF(negtgel!U$2:BL$2,'Tsalin uzuulelt'!L$5,negtgel!U330:BL330)</f>
      </c>
      <c r="L330">
        <f>SUMIF(negtgel!U$2:BL$2,'Tsalin uzuulelt'!N$1,negtgel!U330:BL330) + SUMIF(negtgel!U$2:BL$2,'Tsalin uzuulelt'!N$2,negtgel!U330:BL330)+SUMIF(negtgel!U$2:BL$2,'Tsalin uzuulelt'!N$3,negtgel!U330:BL330)+SUMIF(negtgel!U$2:BL$2,'Tsalin uzuulelt'!N$4,negtgel!U330:BL330)+SUMIF(negtgel!U$2:BL$2,'Tsalin uzuulelt'!N$5,negtgel!U330:BL330)</f>
      </c>
      <c r="M330">
        <f>SUMIF(negtgel!U$2:BL$2,'Tsalin uzuulelt'!P$1,negtgel!U330:BL330) + SUMIF(negtgel!U$2:BL$2,'Tsalin uzuulelt'!P$2,negtgel!U330:BL330)+ SUMIF(negtgel!U$2:BL$2,'Tsalin uzuulelt'!P$3,negtgel!U330:BL330)+ SUMIF(negtgel!U$2:BL$2,'Tsalin uzuulelt'!P$4,negtgel!U330:BL330)+ SUMIF(negtgel!U$2:BL$2,'Tsalin uzuulelt'!P$5,negtgel!U330:BL330)</f>
      </c>
      <c r="N330">
        <f>IF(ISNUMBER(U330*1)=CF330,0,K330-H330-G330)</f>
      </c>
      <c r="O330">
        <f>IF(ISNUMBER(U330*1)=CF330,0,L330)</f>
      </c>
      <c r="P330">
        <f>IF(ISNUMBER(U330*1)=CF330,0,M330)</f>
      </c>
      <c r="Q330">
        <f>IF(N330&gt;2400000,N330,0)</f>
      </c>
      <c r="R330">
        <f>IF(L330/Q330*100&lt;3,2,10)</f>
      </c>
      <c r="S330">
        <f>IF(CH330=0,0,IF(B330&gt;9,10,IF(B330&gt;8,B330,IF(B330&gt;7.7,7.8,IF(B330&gt;3,B330,IF(B330&gt;1.5,2))))))</f>
      </c>
      <c r="T330">
        <f>IF(Q330=0,S330,R330)</f>
      </c>
      <c r="U330" t="s">
        <v>3836</v>
      </c>
      <c r="V330"/>
      <c r="W330"/>
      <c r="X330"/>
      <c r="Y330"/>
      <c r="Z330"/>
      <c r="AA330"/>
      <c r="AB330"/>
      <c r="AC330"/>
      <c r="AD330"/>
      <c r="AE330"/>
      <c r="AF330"/>
      <c r="AG330"/>
      <c r="AH330"/>
      <c r="AI330"/>
      <c r="AJ330"/>
      <c r="AK330"/>
      <c r="AL330"/>
      <c r="AM330"/>
      <c r="AN330"/>
      <c r="AO330"/>
      <c r="AP330"/>
      <c r="AQ330"/>
      <c r="CH330">
        <f>IFERROR(U330*1,0)</f>
      </c>
    </row>
    <row r="331">
      <c r="A331" t="n">
        <v>5.0</v>
      </c>
      <c r="B331">
        <f>IF((K331-G331-H331&gt;2400000),10,(L331/(K331-G331-H331)*100))</f>
      </c>
      <c r="C331">
        <f>IF(N331&gt;2400000,240000,(N331*S331)/100)</f>
      </c>
      <c r="D331">
        <f>IF(S331=0,0,IF((N331-I331)&gt;2400000,((((((N331-I331-J331)-240000))*0.1+(I331+J331)*0.1)))-7000,((((((N331-I331-J331)-(N331-I331-J331)*S331/100)))*0.1+(I331+J331)*0.1)-7000)))</f>
      </c>
      <c r="E331">
        <f>C331-O331</f>
      </c>
      <c r="F331">
        <f>D331-P331</f>
      </c>
      <c r="G331">
        <f>SUMIF(negtgel!U$2:BL$2,'Tsalin uzuulelt'!B$1,negtgel!U331:BL331) + SUMIF(negtgel!U$2:BL$2,'Tsalin uzuulelt'!B$2,negtgel!U331:BL331)+SUMIF(negtgel!U$2:BL$2,'Tsalin uzuulelt'!B$3,negtgel!U331:BL331)+SUMIF(negtgel!U$2:BL$2,'Tsalin uzuulelt'!B$4,negtgel!U331:BL331)+SUMIF(negtgel!U$2:BL$2,'Tsalin uzuulelt'!B$5,negtgel!U331:BL331)</f>
      </c>
      <c r="H331">
        <f>SUMIF(negtgel!U$2:BL$2,'Tsalin uzuulelt'!F$1,negtgel!U331:BL331) + SUMIF(negtgel!U$2:BL$2,'Tsalin uzuulelt'!F$2,negtgel!U331:BL331)+SUMIF(negtgel!U$2:BL$2,'Tsalin uzuulelt'!F$3,negtgel!U331:BL331)+SUMIF(negtgel!U$2:BL$2,'Tsalin uzuulelt'!F$4,negtgel!U331:BL331)+SUMIF(negtgel!U$2:BL$2,'Tsalin uzuulelt'!F$5,negtgel!U331:BL331)</f>
      </c>
      <c r="I331">
        <f>SUMIF(negtgel!U$2:BL$2,'Tsalin uzuulelt'!H$1,negtgel!U331:BL331) + SUMIF(negtgel!U$2:BL$2,'Tsalin uzuulelt'!H$2,negtgel!U331:BL331)+SUMIF(negtgel!U$2:BL$2,'Tsalin uzuulelt'!H$3,negtgel!U331:BL331)+SUMIF(negtgel!U$2:BL$2,'Tsalin uzuulelt'!H$4,negtgel!U331:BL331)+SUMIF(negtgel!U$2:BL$2,'Tsalin uzuulelt'!H$5,negtgel!U331:BL331)</f>
      </c>
      <c r="J331">
        <f>SUMIF(negtgel!U$2:BL$2,'Tsalin uzuulelt'!J$1,negtgel!U331:BL331) + SUMIF(negtgel!U$2:BL$2,'Tsalin uzuulelt'!J$2,negtgel!U331:BL331)+SUMIF(negtgel!U$2:BL$2,'Tsalin uzuulelt'!J$3,negtgel!U331:BL331)+SUMIF(negtgel!U$2:BL$2,'Tsalin uzuulelt'!J$4,negtgel!U331:BL331)+SUMIF(negtgel!U$2:BL$2,'Tsalin uzuulelt'!J$5,negtgel!U331:BL331)</f>
      </c>
      <c r="K331">
        <f>SUMIF(negtgel!U$2:BL$2,'Tsalin uzuulelt'!L$1,negtgel!U331:BL331) + SUMIF(negtgel!U$2:BL$2,'Tsalin uzuulelt'!L$2,negtgel!U331:BL331)+SUMIF(negtgel!U$2:BL$2,'Tsalin uzuulelt'!L$3,negtgel!U331:BL331)+SUMIF(negtgel!U$2:BL$2,'Tsalin uzuulelt'!L$4,negtgel!U331:BL331)+SUMIF(negtgel!U$2:BL$2,'Tsalin uzuulelt'!L$5,negtgel!U331:BL331)</f>
      </c>
      <c r="L331">
        <f>SUMIF(negtgel!U$2:BL$2,'Tsalin uzuulelt'!N$1,negtgel!U331:BL331) + SUMIF(negtgel!U$2:BL$2,'Tsalin uzuulelt'!N$2,negtgel!U331:BL331)+SUMIF(negtgel!U$2:BL$2,'Tsalin uzuulelt'!N$3,negtgel!U331:BL331)+SUMIF(negtgel!U$2:BL$2,'Tsalin uzuulelt'!N$4,negtgel!U331:BL331)+SUMIF(negtgel!U$2:BL$2,'Tsalin uzuulelt'!N$5,negtgel!U331:BL331)</f>
      </c>
      <c r="M331">
        <f>SUMIF(negtgel!U$2:BL$2,'Tsalin uzuulelt'!P$1,negtgel!U331:BL331) + SUMIF(negtgel!U$2:BL$2,'Tsalin uzuulelt'!P$2,negtgel!U331:BL331)+ SUMIF(negtgel!U$2:BL$2,'Tsalin uzuulelt'!P$3,negtgel!U331:BL331)+ SUMIF(negtgel!U$2:BL$2,'Tsalin uzuulelt'!P$4,negtgel!U331:BL331)+ SUMIF(negtgel!U$2:BL$2,'Tsalin uzuulelt'!P$5,negtgel!U331:BL331)</f>
      </c>
      <c r="N331">
        <f>IF(ISNUMBER(U331*1)=CF331,0,K331-H331-G331)</f>
      </c>
      <c r="O331">
        <f>IF(ISNUMBER(U331*1)=CF331,0,L331)</f>
      </c>
      <c r="P331">
        <f>IF(ISNUMBER(U331*1)=CF331,0,M331)</f>
      </c>
      <c r="Q331">
        <f>IF(N331&gt;2400000,N331,0)</f>
      </c>
      <c r="R331">
        <f>IF(L331/Q331*100&lt;3,2,10)</f>
      </c>
      <c r="S331">
        <f>IF(CH331=0,0,IF(B331&gt;9,10,IF(B331&gt;8,B331,IF(B331&gt;7.7,7.8,IF(B331&gt;3,B331,IF(B331&gt;1.5,2))))))</f>
      </c>
      <c r="T331">
        <f>IF(Q331=0,S331,R331)</f>
      </c>
      <c r="U331" t="n">
        <v>87.0</v>
      </c>
      <c r="V331" t="s">
        <v>3837</v>
      </c>
      <c r="W331" t="s">
        <v>3820</v>
      </c>
      <c r="X331" t="n">
        <v>645556.0</v>
      </c>
      <c r="Y331" t="n">
        <v>645556.0</v>
      </c>
      <c r="Z331" t="n">
        <v>96833.0</v>
      </c>
      <c r="AA331" t="n">
        <v>129111.0</v>
      </c>
      <c r="AB331" t="n">
        <v>0.0</v>
      </c>
      <c r="AC331" t="n">
        <v>0.0</v>
      </c>
      <c r="AD331" t="n">
        <v>0.0</v>
      </c>
      <c r="AE331" t="n">
        <v>0.0</v>
      </c>
      <c r="AF331" t="n">
        <v>69000.0</v>
      </c>
      <c r="AG331" t="n">
        <v>0.0</v>
      </c>
      <c r="AH331" t="n">
        <v>0.0</v>
      </c>
      <c r="AI331" t="n">
        <v>0.0</v>
      </c>
      <c r="AJ331" t="n">
        <v>0.0</v>
      </c>
      <c r="AK331" t="n">
        <v>0.0</v>
      </c>
      <c r="AL331" t="n">
        <v>0.0</v>
      </c>
      <c r="AM331" t="n">
        <v>0.0</v>
      </c>
      <c r="AN331" t="n">
        <v>0.0</v>
      </c>
      <c r="AO331" t="n">
        <v>940500.0</v>
      </c>
      <c r="AP331" t="n">
        <v>94050.0</v>
      </c>
      <c r="AQ331" t="n">
        <v>78335.0</v>
      </c>
      <c r="CH331">
        <f>IFERROR(U331*1,0)</f>
      </c>
    </row>
    <row r="332">
      <c r="A332" t="n">
        <v>5.0</v>
      </c>
      <c r="B332">
        <f>IF((K332-G332-H332&gt;2400000),10,(L332/(K332-G332-H332)*100))</f>
      </c>
      <c r="C332">
        <f>IF(N332&gt;2400000,240000,(N332*S332)/100)</f>
      </c>
      <c r="D332">
        <f>IF(S332=0,0,IF((N332-I332)&gt;2400000,((((((N332-I332-J332)-240000))*0.1+(I332+J332)*0.1)))-7000,((((((N332-I332-J332)-(N332-I332-J332)*S332/100)))*0.1+(I332+J332)*0.1)-7000)))</f>
      </c>
      <c r="E332">
        <f>C332-O332</f>
      </c>
      <c r="F332">
        <f>D332-P332</f>
      </c>
      <c r="G332">
        <f>SUMIF(negtgel!U$2:BL$2,'Tsalin uzuulelt'!B$1,negtgel!U332:BL332) + SUMIF(negtgel!U$2:BL$2,'Tsalin uzuulelt'!B$2,negtgel!U332:BL332)+SUMIF(negtgel!U$2:BL$2,'Tsalin uzuulelt'!B$3,negtgel!U332:BL332)+SUMIF(negtgel!U$2:BL$2,'Tsalin uzuulelt'!B$4,negtgel!U332:BL332)+SUMIF(negtgel!U$2:BL$2,'Tsalin uzuulelt'!B$5,negtgel!U332:BL332)</f>
      </c>
      <c r="H332">
        <f>SUMIF(negtgel!U$2:BL$2,'Tsalin uzuulelt'!F$1,negtgel!U332:BL332) + SUMIF(negtgel!U$2:BL$2,'Tsalin uzuulelt'!F$2,negtgel!U332:BL332)+SUMIF(negtgel!U$2:BL$2,'Tsalin uzuulelt'!F$3,negtgel!U332:BL332)+SUMIF(negtgel!U$2:BL$2,'Tsalin uzuulelt'!F$4,negtgel!U332:BL332)+SUMIF(negtgel!U$2:BL$2,'Tsalin uzuulelt'!F$5,negtgel!U332:BL332)</f>
      </c>
      <c r="I332">
        <f>SUMIF(negtgel!U$2:BL$2,'Tsalin uzuulelt'!H$1,negtgel!U332:BL332) + SUMIF(negtgel!U$2:BL$2,'Tsalin uzuulelt'!H$2,negtgel!U332:BL332)+SUMIF(negtgel!U$2:BL$2,'Tsalin uzuulelt'!H$3,negtgel!U332:BL332)+SUMIF(negtgel!U$2:BL$2,'Tsalin uzuulelt'!H$4,negtgel!U332:BL332)+SUMIF(negtgel!U$2:BL$2,'Tsalin uzuulelt'!H$5,negtgel!U332:BL332)</f>
      </c>
      <c r="J332">
        <f>SUMIF(negtgel!U$2:BL$2,'Tsalin uzuulelt'!J$1,negtgel!U332:BL332) + SUMIF(negtgel!U$2:BL$2,'Tsalin uzuulelt'!J$2,negtgel!U332:BL332)+SUMIF(negtgel!U$2:BL$2,'Tsalin uzuulelt'!J$3,negtgel!U332:BL332)+SUMIF(negtgel!U$2:BL$2,'Tsalin uzuulelt'!J$4,negtgel!U332:BL332)+SUMIF(negtgel!U$2:BL$2,'Tsalin uzuulelt'!J$5,negtgel!U332:BL332)</f>
      </c>
      <c r="K332">
        <f>SUMIF(negtgel!U$2:BL$2,'Tsalin uzuulelt'!L$1,negtgel!U332:BL332) + SUMIF(negtgel!U$2:BL$2,'Tsalin uzuulelt'!L$2,negtgel!U332:BL332)+SUMIF(negtgel!U$2:BL$2,'Tsalin uzuulelt'!L$3,negtgel!U332:BL332)+SUMIF(negtgel!U$2:BL$2,'Tsalin uzuulelt'!L$4,negtgel!U332:BL332)+SUMIF(negtgel!U$2:BL$2,'Tsalin uzuulelt'!L$5,negtgel!U332:BL332)</f>
      </c>
      <c r="L332">
        <f>SUMIF(negtgel!U$2:BL$2,'Tsalin uzuulelt'!N$1,negtgel!U332:BL332) + SUMIF(negtgel!U$2:BL$2,'Tsalin uzuulelt'!N$2,negtgel!U332:BL332)+SUMIF(negtgel!U$2:BL$2,'Tsalin uzuulelt'!N$3,negtgel!U332:BL332)+SUMIF(negtgel!U$2:BL$2,'Tsalin uzuulelt'!N$4,negtgel!U332:BL332)+SUMIF(negtgel!U$2:BL$2,'Tsalin uzuulelt'!N$5,negtgel!U332:BL332)</f>
      </c>
      <c r="M332">
        <f>SUMIF(negtgel!U$2:BL$2,'Tsalin uzuulelt'!P$1,negtgel!U332:BL332) + SUMIF(negtgel!U$2:BL$2,'Tsalin uzuulelt'!P$2,negtgel!U332:BL332)+ SUMIF(negtgel!U$2:BL$2,'Tsalin uzuulelt'!P$3,negtgel!U332:BL332)+ SUMIF(negtgel!U$2:BL$2,'Tsalin uzuulelt'!P$4,negtgel!U332:BL332)+ SUMIF(negtgel!U$2:BL$2,'Tsalin uzuulelt'!P$5,negtgel!U332:BL332)</f>
      </c>
      <c r="N332">
        <f>IF(ISNUMBER(U332*1)=CF332,0,K332-H332-G332)</f>
      </c>
      <c r="O332">
        <f>IF(ISNUMBER(U332*1)=CF332,0,L332)</f>
      </c>
      <c r="P332">
        <f>IF(ISNUMBER(U332*1)=CF332,0,M332)</f>
      </c>
      <c r="Q332">
        <f>IF(N332&gt;2400000,N332,0)</f>
      </c>
      <c r="R332">
        <f>IF(L332/Q332*100&lt;3,2,10)</f>
      </c>
      <c r="S332">
        <f>IF(CH332=0,0,IF(B332&gt;9,10,IF(B332&gt;8,B332,IF(B332&gt;7.7,7.8,IF(B332&gt;3,B332,IF(B332&gt;1.5,2))))))</f>
      </c>
      <c r="T332">
        <f>IF(Q332=0,S332,R332)</f>
      </c>
      <c r="U332" t="n">
        <v>88.0</v>
      </c>
      <c r="V332" t="s">
        <v>3838</v>
      </c>
      <c r="W332" t="s">
        <v>3790</v>
      </c>
      <c r="X332" t="n">
        <v>677436.0</v>
      </c>
      <c r="Y332" t="n">
        <v>677436.0</v>
      </c>
      <c r="Z332" t="n">
        <v>169359.0</v>
      </c>
      <c r="AA332" t="n">
        <v>135487.0</v>
      </c>
      <c r="AB332" t="n">
        <v>0.0</v>
      </c>
      <c r="AC332" t="n">
        <v>0.0</v>
      </c>
      <c r="AD332" t="n">
        <v>0.0</v>
      </c>
      <c r="AE332" t="n">
        <v>0.0</v>
      </c>
      <c r="AF332" t="n">
        <v>69000.0</v>
      </c>
      <c r="AG332" t="n">
        <v>0.0</v>
      </c>
      <c r="AH332" t="n">
        <v>0.0</v>
      </c>
      <c r="AI332" t="n">
        <v>0.0</v>
      </c>
      <c r="AJ332" t="n">
        <v>0.0</v>
      </c>
      <c r="AK332" t="n">
        <v>0.0</v>
      </c>
      <c r="AL332" t="n">
        <v>0.0</v>
      </c>
      <c r="AM332" t="n">
        <v>0.0</v>
      </c>
      <c r="AN332" t="n">
        <v>0.0</v>
      </c>
      <c r="AO332" t="n">
        <v>1051282.0</v>
      </c>
      <c r="AP332" t="n">
        <v>105129.0</v>
      </c>
      <c r="AQ332" t="n">
        <v>88305.4</v>
      </c>
      <c r="CH332">
        <f>IFERROR(U332*1,0)</f>
      </c>
    </row>
    <row r="333">
      <c r="A333" t="n">
        <v>5.0</v>
      </c>
      <c r="B333">
        <f>IF((K333-G333-H333&gt;2400000),10,(L333/(K333-G333-H333)*100))</f>
      </c>
      <c r="C333">
        <f>IF(N333&gt;2400000,240000,(N333*S333)/100)</f>
      </c>
      <c r="D333">
        <f>IF(S333=0,0,IF((N333-I333)&gt;2400000,((((((N333-I333-J333)-240000))*0.1+(I333+J333)*0.1)))-7000,((((((N333-I333-J333)-(N333-I333-J333)*S333/100)))*0.1+(I333+J333)*0.1)-7000)))</f>
      </c>
      <c r="E333">
        <f>C333-O333</f>
      </c>
      <c r="F333">
        <f>D333-P333</f>
      </c>
      <c r="G333">
        <f>SUMIF(negtgel!U$2:BL$2,'Tsalin uzuulelt'!B$1,negtgel!U333:BL333) + SUMIF(negtgel!U$2:BL$2,'Tsalin uzuulelt'!B$2,negtgel!U333:BL333)+SUMIF(negtgel!U$2:BL$2,'Tsalin uzuulelt'!B$3,negtgel!U333:BL333)+SUMIF(negtgel!U$2:BL$2,'Tsalin uzuulelt'!B$4,negtgel!U333:BL333)+SUMIF(negtgel!U$2:BL$2,'Tsalin uzuulelt'!B$5,negtgel!U333:BL333)</f>
      </c>
      <c r="H333">
        <f>SUMIF(negtgel!U$2:BL$2,'Tsalin uzuulelt'!F$1,negtgel!U333:BL333) + SUMIF(negtgel!U$2:BL$2,'Tsalin uzuulelt'!F$2,negtgel!U333:BL333)+SUMIF(negtgel!U$2:BL$2,'Tsalin uzuulelt'!F$3,negtgel!U333:BL333)+SUMIF(negtgel!U$2:BL$2,'Tsalin uzuulelt'!F$4,negtgel!U333:BL333)+SUMIF(negtgel!U$2:BL$2,'Tsalin uzuulelt'!F$5,negtgel!U333:BL333)</f>
      </c>
      <c r="I333">
        <f>SUMIF(negtgel!U$2:BL$2,'Tsalin uzuulelt'!H$1,negtgel!U333:BL333) + SUMIF(negtgel!U$2:BL$2,'Tsalin uzuulelt'!H$2,negtgel!U333:BL333)+SUMIF(negtgel!U$2:BL$2,'Tsalin uzuulelt'!H$3,negtgel!U333:BL333)+SUMIF(negtgel!U$2:BL$2,'Tsalin uzuulelt'!H$4,negtgel!U333:BL333)+SUMIF(negtgel!U$2:BL$2,'Tsalin uzuulelt'!H$5,negtgel!U333:BL333)</f>
      </c>
      <c r="J333">
        <f>SUMIF(negtgel!U$2:BL$2,'Tsalin uzuulelt'!J$1,negtgel!U333:BL333) + SUMIF(negtgel!U$2:BL$2,'Tsalin uzuulelt'!J$2,negtgel!U333:BL333)+SUMIF(negtgel!U$2:BL$2,'Tsalin uzuulelt'!J$3,negtgel!U333:BL333)+SUMIF(negtgel!U$2:BL$2,'Tsalin uzuulelt'!J$4,negtgel!U333:BL333)+SUMIF(negtgel!U$2:BL$2,'Tsalin uzuulelt'!J$5,negtgel!U333:BL333)</f>
      </c>
      <c r="K333">
        <f>SUMIF(negtgel!U$2:BL$2,'Tsalin uzuulelt'!L$1,negtgel!U333:BL333) + SUMIF(negtgel!U$2:BL$2,'Tsalin uzuulelt'!L$2,negtgel!U333:BL333)+SUMIF(negtgel!U$2:BL$2,'Tsalin uzuulelt'!L$3,negtgel!U333:BL333)+SUMIF(negtgel!U$2:BL$2,'Tsalin uzuulelt'!L$4,negtgel!U333:BL333)+SUMIF(negtgel!U$2:BL$2,'Tsalin uzuulelt'!L$5,negtgel!U333:BL333)</f>
      </c>
      <c r="L333">
        <f>SUMIF(negtgel!U$2:BL$2,'Tsalin uzuulelt'!N$1,negtgel!U333:BL333) + SUMIF(negtgel!U$2:BL$2,'Tsalin uzuulelt'!N$2,negtgel!U333:BL333)+SUMIF(negtgel!U$2:BL$2,'Tsalin uzuulelt'!N$3,negtgel!U333:BL333)+SUMIF(negtgel!U$2:BL$2,'Tsalin uzuulelt'!N$4,negtgel!U333:BL333)+SUMIF(negtgel!U$2:BL$2,'Tsalin uzuulelt'!N$5,negtgel!U333:BL333)</f>
      </c>
      <c r="M333">
        <f>SUMIF(negtgel!U$2:BL$2,'Tsalin uzuulelt'!P$1,negtgel!U333:BL333) + SUMIF(negtgel!U$2:BL$2,'Tsalin uzuulelt'!P$2,negtgel!U333:BL333)+ SUMIF(negtgel!U$2:BL$2,'Tsalin uzuulelt'!P$3,negtgel!U333:BL333)+ SUMIF(negtgel!U$2:BL$2,'Tsalin uzuulelt'!P$4,negtgel!U333:BL333)+ SUMIF(negtgel!U$2:BL$2,'Tsalin uzuulelt'!P$5,negtgel!U333:BL333)</f>
      </c>
      <c r="N333">
        <f>IF(ISNUMBER(U333*1)=CF333,0,K333-H333-G333)</f>
      </c>
      <c r="O333">
        <f>IF(ISNUMBER(U333*1)=CF333,0,L333)</f>
      </c>
      <c r="P333">
        <f>IF(ISNUMBER(U333*1)=CF333,0,M333)</f>
      </c>
      <c r="Q333">
        <f>IF(N333&gt;2400000,N333,0)</f>
      </c>
      <c r="R333">
        <f>IF(L333/Q333*100&lt;3,2,10)</f>
      </c>
      <c r="S333">
        <f>IF(CH333=0,0,IF(B333&gt;9,10,IF(B333&gt;8,B333,IF(B333&gt;7.7,7.8,IF(B333&gt;3,B333,IF(B333&gt;1.5,2))))))</f>
      </c>
      <c r="T333">
        <f>IF(Q333=0,S333,R333)</f>
      </c>
      <c r="U333" t="n">
        <v>89.0</v>
      </c>
      <c r="V333" t="s">
        <v>3839</v>
      </c>
      <c r="W333" t="s">
        <v>3790</v>
      </c>
      <c r="X333" t="n">
        <v>677436.0</v>
      </c>
      <c r="Y333" t="n">
        <v>677436.0</v>
      </c>
      <c r="Z333" t="n">
        <v>135487.0</v>
      </c>
      <c r="AA333" t="n">
        <v>149036.0</v>
      </c>
      <c r="AB333" t="n">
        <v>0.0</v>
      </c>
      <c r="AC333" t="n">
        <v>0.0</v>
      </c>
      <c r="AD333" t="n">
        <v>0.0</v>
      </c>
      <c r="AE333" t="n">
        <v>0.0</v>
      </c>
      <c r="AF333" t="n">
        <v>69000.0</v>
      </c>
      <c r="AG333" t="n">
        <v>0.0</v>
      </c>
      <c r="AH333" t="n">
        <v>0.0</v>
      </c>
      <c r="AI333" t="n">
        <v>0.0</v>
      </c>
      <c r="AJ333" t="n">
        <v>0.0</v>
      </c>
      <c r="AK333" t="n">
        <v>0.0</v>
      </c>
      <c r="AL333" t="n">
        <v>0.0</v>
      </c>
      <c r="AM333" t="n">
        <v>0.0</v>
      </c>
      <c r="AN333" t="n">
        <v>0.0</v>
      </c>
      <c r="AO333" t="n">
        <v>1030959.0</v>
      </c>
      <c r="AP333" t="n">
        <v>103096.0</v>
      </c>
      <c r="AQ333" t="n">
        <v>86476.3</v>
      </c>
      <c r="CH333">
        <f>IFERROR(U333*1,0)</f>
      </c>
    </row>
    <row r="334">
      <c r="A334" t="n">
        <v>5.0</v>
      </c>
      <c r="B334">
        <f>IF((K334-G334-H334&gt;2400000),10,(L334/(K334-G334-H334)*100))</f>
      </c>
      <c r="C334">
        <f>IF(N334&gt;2400000,240000,(N334*S334)/100)</f>
      </c>
      <c r="D334">
        <f>IF(S334=0,0,IF((N334-I334)&gt;2400000,((((((N334-I334-J334)-240000))*0.1+(I334+J334)*0.1)))-7000,((((((N334-I334-J334)-(N334-I334-J334)*S334/100)))*0.1+(I334+J334)*0.1)-7000)))</f>
      </c>
      <c r="E334">
        <f>C334-O334</f>
      </c>
      <c r="F334">
        <f>D334-P334</f>
      </c>
      <c r="G334">
        <f>SUMIF(negtgel!U$2:BL$2,'Tsalin uzuulelt'!B$1,negtgel!U334:BL334) + SUMIF(negtgel!U$2:BL$2,'Tsalin uzuulelt'!B$2,negtgel!U334:BL334)+SUMIF(negtgel!U$2:BL$2,'Tsalin uzuulelt'!B$3,negtgel!U334:BL334)+SUMIF(negtgel!U$2:BL$2,'Tsalin uzuulelt'!B$4,negtgel!U334:BL334)+SUMIF(negtgel!U$2:BL$2,'Tsalin uzuulelt'!B$5,negtgel!U334:BL334)</f>
      </c>
      <c r="H334">
        <f>SUMIF(negtgel!U$2:BL$2,'Tsalin uzuulelt'!F$1,negtgel!U334:BL334) + SUMIF(negtgel!U$2:BL$2,'Tsalin uzuulelt'!F$2,negtgel!U334:BL334)+SUMIF(negtgel!U$2:BL$2,'Tsalin uzuulelt'!F$3,negtgel!U334:BL334)+SUMIF(negtgel!U$2:BL$2,'Tsalin uzuulelt'!F$4,negtgel!U334:BL334)+SUMIF(negtgel!U$2:BL$2,'Tsalin uzuulelt'!F$5,negtgel!U334:BL334)</f>
      </c>
      <c r="I334">
        <f>SUMIF(negtgel!U$2:BL$2,'Tsalin uzuulelt'!H$1,negtgel!U334:BL334) + SUMIF(negtgel!U$2:BL$2,'Tsalin uzuulelt'!H$2,negtgel!U334:BL334)+SUMIF(negtgel!U$2:BL$2,'Tsalin uzuulelt'!H$3,negtgel!U334:BL334)+SUMIF(negtgel!U$2:BL$2,'Tsalin uzuulelt'!H$4,negtgel!U334:BL334)+SUMIF(negtgel!U$2:BL$2,'Tsalin uzuulelt'!H$5,negtgel!U334:BL334)</f>
      </c>
      <c r="J334">
        <f>SUMIF(negtgel!U$2:BL$2,'Tsalin uzuulelt'!J$1,negtgel!U334:BL334) + SUMIF(negtgel!U$2:BL$2,'Tsalin uzuulelt'!J$2,negtgel!U334:BL334)+SUMIF(negtgel!U$2:BL$2,'Tsalin uzuulelt'!J$3,negtgel!U334:BL334)+SUMIF(negtgel!U$2:BL$2,'Tsalin uzuulelt'!J$4,negtgel!U334:BL334)+SUMIF(negtgel!U$2:BL$2,'Tsalin uzuulelt'!J$5,negtgel!U334:BL334)</f>
      </c>
      <c r="K334">
        <f>SUMIF(negtgel!U$2:BL$2,'Tsalin uzuulelt'!L$1,negtgel!U334:BL334) + SUMIF(negtgel!U$2:BL$2,'Tsalin uzuulelt'!L$2,negtgel!U334:BL334)+SUMIF(negtgel!U$2:BL$2,'Tsalin uzuulelt'!L$3,negtgel!U334:BL334)+SUMIF(negtgel!U$2:BL$2,'Tsalin uzuulelt'!L$4,negtgel!U334:BL334)+SUMIF(negtgel!U$2:BL$2,'Tsalin uzuulelt'!L$5,negtgel!U334:BL334)</f>
      </c>
      <c r="L334">
        <f>SUMIF(negtgel!U$2:BL$2,'Tsalin uzuulelt'!N$1,negtgel!U334:BL334) + SUMIF(negtgel!U$2:BL$2,'Tsalin uzuulelt'!N$2,negtgel!U334:BL334)+SUMIF(negtgel!U$2:BL$2,'Tsalin uzuulelt'!N$3,negtgel!U334:BL334)+SUMIF(negtgel!U$2:BL$2,'Tsalin uzuulelt'!N$4,negtgel!U334:BL334)+SUMIF(negtgel!U$2:BL$2,'Tsalin uzuulelt'!N$5,negtgel!U334:BL334)</f>
      </c>
      <c r="M334">
        <f>SUMIF(negtgel!U$2:BL$2,'Tsalin uzuulelt'!P$1,negtgel!U334:BL334) + SUMIF(negtgel!U$2:BL$2,'Tsalin uzuulelt'!P$2,negtgel!U334:BL334)+ SUMIF(negtgel!U$2:BL$2,'Tsalin uzuulelt'!P$3,negtgel!U334:BL334)+ SUMIF(negtgel!U$2:BL$2,'Tsalin uzuulelt'!P$4,negtgel!U334:BL334)+ SUMIF(negtgel!U$2:BL$2,'Tsalin uzuulelt'!P$5,negtgel!U334:BL334)</f>
      </c>
      <c r="N334">
        <f>IF(ISNUMBER(U334*1)=CF334,0,K334-H334-G334)</f>
      </c>
      <c r="O334">
        <f>IF(ISNUMBER(U334*1)=CF334,0,L334)</f>
      </c>
      <c r="P334">
        <f>IF(ISNUMBER(U334*1)=CF334,0,M334)</f>
      </c>
      <c r="Q334">
        <f>IF(N334&gt;2400000,N334,0)</f>
      </c>
      <c r="R334">
        <f>IF(L334/Q334*100&lt;3,2,10)</f>
      </c>
      <c r="S334">
        <f>IF(CH334=0,0,IF(B334&gt;9,10,IF(B334&gt;8,B334,IF(B334&gt;7.7,7.8,IF(B334&gt;3,B334,IF(B334&gt;1.5,2))))))</f>
      </c>
      <c r="T334">
        <f>IF(Q334=0,S334,R334)</f>
      </c>
      <c r="U334" t="n">
        <v>90.0</v>
      </c>
      <c r="V334" t="s">
        <v>3840</v>
      </c>
      <c r="W334" t="s">
        <v>3820</v>
      </c>
      <c r="X334" t="n">
        <v>677436.0</v>
      </c>
      <c r="Y334" t="n">
        <v>677436.0</v>
      </c>
      <c r="Z334" t="n">
        <v>135487.0</v>
      </c>
      <c r="AA334" t="n">
        <v>135487.0</v>
      </c>
      <c r="AB334" t="n">
        <v>33872.0</v>
      </c>
      <c r="AC334" t="n">
        <v>0.0</v>
      </c>
      <c r="AD334" t="n">
        <v>0.0</v>
      </c>
      <c r="AE334" t="n">
        <v>0.0</v>
      </c>
      <c r="AF334" t="n">
        <v>69000.0</v>
      </c>
      <c r="AG334" t="n">
        <v>0.0</v>
      </c>
      <c r="AH334" t="n">
        <v>0.0</v>
      </c>
      <c r="AI334" t="n">
        <v>0.0</v>
      </c>
      <c r="AJ334" t="n">
        <v>0.0</v>
      </c>
      <c r="AK334" t="n">
        <v>0.0</v>
      </c>
      <c r="AL334" t="n">
        <v>0.0</v>
      </c>
      <c r="AM334" t="n">
        <v>0.0</v>
      </c>
      <c r="AN334" t="n">
        <v>0.0</v>
      </c>
      <c r="AO334" t="n">
        <v>1051282.0</v>
      </c>
      <c r="AP334" t="n">
        <v>105129.0</v>
      </c>
      <c r="AQ334" t="n">
        <v>88305.4</v>
      </c>
      <c r="CH334">
        <f>IFERROR(U334*1,0)</f>
      </c>
    </row>
    <row r="335">
      <c r="A335" t="n">
        <v>5.0</v>
      </c>
      <c r="B335">
        <f>IF((K335-G335-H335&gt;2400000),10,(L335/(K335-G335-H335)*100))</f>
      </c>
      <c r="C335">
        <f>IF(N335&gt;2400000,240000,(N335*S335)/100)</f>
      </c>
      <c r="D335">
        <f>IF(S335=0,0,IF((N335-I335)&gt;2400000,((((((N335-I335-J335)-240000))*0.1+(I335+J335)*0.1)))-7000,((((((N335-I335-J335)-(N335-I335-J335)*S335/100)))*0.1+(I335+J335)*0.1)-7000)))</f>
      </c>
      <c r="E335">
        <f>C335-O335</f>
      </c>
      <c r="F335">
        <f>D335-P335</f>
      </c>
      <c r="G335">
        <f>SUMIF(negtgel!U$2:BL$2,'Tsalin uzuulelt'!B$1,negtgel!U335:BL335) + SUMIF(negtgel!U$2:BL$2,'Tsalin uzuulelt'!B$2,negtgel!U335:BL335)+SUMIF(negtgel!U$2:BL$2,'Tsalin uzuulelt'!B$3,negtgel!U335:BL335)+SUMIF(negtgel!U$2:BL$2,'Tsalin uzuulelt'!B$4,negtgel!U335:BL335)+SUMIF(negtgel!U$2:BL$2,'Tsalin uzuulelt'!B$5,negtgel!U335:BL335)</f>
      </c>
      <c r="H335">
        <f>SUMIF(negtgel!U$2:BL$2,'Tsalin uzuulelt'!F$1,negtgel!U335:BL335) + SUMIF(negtgel!U$2:BL$2,'Tsalin uzuulelt'!F$2,negtgel!U335:BL335)+SUMIF(negtgel!U$2:BL$2,'Tsalin uzuulelt'!F$3,negtgel!U335:BL335)+SUMIF(negtgel!U$2:BL$2,'Tsalin uzuulelt'!F$4,negtgel!U335:BL335)+SUMIF(negtgel!U$2:BL$2,'Tsalin uzuulelt'!F$5,negtgel!U335:BL335)</f>
      </c>
      <c r="I335">
        <f>SUMIF(negtgel!U$2:BL$2,'Tsalin uzuulelt'!H$1,negtgel!U335:BL335) + SUMIF(negtgel!U$2:BL$2,'Tsalin uzuulelt'!H$2,negtgel!U335:BL335)+SUMIF(negtgel!U$2:BL$2,'Tsalin uzuulelt'!H$3,negtgel!U335:BL335)+SUMIF(negtgel!U$2:BL$2,'Tsalin uzuulelt'!H$4,negtgel!U335:BL335)+SUMIF(negtgel!U$2:BL$2,'Tsalin uzuulelt'!H$5,negtgel!U335:BL335)</f>
      </c>
      <c r="J335">
        <f>SUMIF(negtgel!U$2:BL$2,'Tsalin uzuulelt'!J$1,negtgel!U335:BL335) + SUMIF(negtgel!U$2:BL$2,'Tsalin uzuulelt'!J$2,negtgel!U335:BL335)+SUMIF(negtgel!U$2:BL$2,'Tsalin uzuulelt'!J$3,negtgel!U335:BL335)+SUMIF(negtgel!U$2:BL$2,'Tsalin uzuulelt'!J$4,negtgel!U335:BL335)+SUMIF(negtgel!U$2:BL$2,'Tsalin uzuulelt'!J$5,negtgel!U335:BL335)</f>
      </c>
      <c r="K335">
        <f>SUMIF(negtgel!U$2:BL$2,'Tsalin uzuulelt'!L$1,negtgel!U335:BL335) + SUMIF(negtgel!U$2:BL$2,'Tsalin uzuulelt'!L$2,negtgel!U335:BL335)+SUMIF(negtgel!U$2:BL$2,'Tsalin uzuulelt'!L$3,negtgel!U335:BL335)+SUMIF(negtgel!U$2:BL$2,'Tsalin uzuulelt'!L$4,negtgel!U335:BL335)+SUMIF(negtgel!U$2:BL$2,'Tsalin uzuulelt'!L$5,negtgel!U335:BL335)</f>
      </c>
      <c r="L335">
        <f>SUMIF(negtgel!U$2:BL$2,'Tsalin uzuulelt'!N$1,negtgel!U335:BL335) + SUMIF(negtgel!U$2:BL$2,'Tsalin uzuulelt'!N$2,negtgel!U335:BL335)+SUMIF(negtgel!U$2:BL$2,'Tsalin uzuulelt'!N$3,negtgel!U335:BL335)+SUMIF(negtgel!U$2:BL$2,'Tsalin uzuulelt'!N$4,negtgel!U335:BL335)+SUMIF(negtgel!U$2:BL$2,'Tsalin uzuulelt'!N$5,negtgel!U335:BL335)</f>
      </c>
      <c r="M335">
        <f>SUMIF(negtgel!U$2:BL$2,'Tsalin uzuulelt'!P$1,negtgel!U335:BL335) + SUMIF(negtgel!U$2:BL$2,'Tsalin uzuulelt'!P$2,negtgel!U335:BL335)+ SUMIF(negtgel!U$2:BL$2,'Tsalin uzuulelt'!P$3,negtgel!U335:BL335)+ SUMIF(negtgel!U$2:BL$2,'Tsalin uzuulelt'!P$4,negtgel!U335:BL335)+ SUMIF(negtgel!U$2:BL$2,'Tsalin uzuulelt'!P$5,negtgel!U335:BL335)</f>
      </c>
      <c r="N335">
        <f>IF(ISNUMBER(U335*1)=CF335,0,K335-H335-G335)</f>
      </c>
      <c r="O335">
        <f>IF(ISNUMBER(U335*1)=CF335,0,L335)</f>
      </c>
      <c r="P335">
        <f>IF(ISNUMBER(U335*1)=CF335,0,M335)</f>
      </c>
      <c r="Q335">
        <f>IF(N335&gt;2400000,N335,0)</f>
      </c>
      <c r="R335">
        <f>IF(L335/Q335*100&lt;3,2,10)</f>
      </c>
      <c r="S335">
        <f>IF(CH335=0,0,IF(B335&gt;9,10,IF(B335&gt;8,B335,IF(B335&gt;7.7,7.8,IF(B335&gt;3,B335,IF(B335&gt;1.5,2))))))</f>
      </c>
      <c r="T335">
        <f>IF(Q335=0,S335,R335)</f>
      </c>
      <c r="U335" t="n">
        <v>91.0</v>
      </c>
      <c r="V335" t="s">
        <v>3841</v>
      </c>
      <c r="W335" t="s">
        <v>3790</v>
      </c>
      <c r="X335" t="n">
        <v>613669.0</v>
      </c>
      <c r="Y335" t="n">
        <v>613669.0</v>
      </c>
      <c r="Z335" t="n">
        <v>30683.0</v>
      </c>
      <c r="AA335" t="n">
        <v>110460.0</v>
      </c>
      <c r="AB335" t="n">
        <v>0.0</v>
      </c>
      <c r="AC335" t="n">
        <v>0.0</v>
      </c>
      <c r="AD335" t="n">
        <v>0.0</v>
      </c>
      <c r="AE335" t="n">
        <v>0.0</v>
      </c>
      <c r="AF335" t="n">
        <v>69000.0</v>
      </c>
      <c r="AG335" t="n">
        <v>0.0</v>
      </c>
      <c r="AH335" t="n">
        <v>0.0</v>
      </c>
      <c r="AI335" t="n">
        <v>0.0</v>
      </c>
      <c r="AJ335" t="n">
        <v>0.0</v>
      </c>
      <c r="AK335" t="n">
        <v>0.0</v>
      </c>
      <c r="AL335" t="n">
        <v>0.0</v>
      </c>
      <c r="AM335" t="n">
        <v>0.0</v>
      </c>
      <c r="AN335" t="n">
        <v>0.0</v>
      </c>
      <c r="AO335" t="n">
        <v>823812.0</v>
      </c>
      <c r="AP335" t="n">
        <v>82381.0</v>
      </c>
      <c r="AQ335" t="n">
        <v>67833.1</v>
      </c>
      <c r="CH335">
        <f>IFERROR(U335*1,0)</f>
      </c>
    </row>
    <row r="336">
      <c r="A336" t="n">
        <v>5.0</v>
      </c>
      <c r="B336">
        <f>IF((K336-G336-H336&gt;2400000),10,(L336/(K336-G336-H336)*100))</f>
      </c>
      <c r="C336">
        <f>IF(N336&gt;2400000,240000,(N336*S336)/100)</f>
      </c>
      <c r="D336">
        <f>IF(S336=0,0,IF((N336-I336)&gt;2400000,((((((N336-I336-J336)-240000))*0.1+(I336+J336)*0.1)))-7000,((((((N336-I336-J336)-(N336-I336-J336)*S336/100)))*0.1+(I336+J336)*0.1)-7000)))</f>
      </c>
      <c r="E336">
        <f>C336-O336</f>
      </c>
      <c r="F336">
        <f>D336-P336</f>
      </c>
      <c r="G336">
        <f>SUMIF(negtgel!U$2:BL$2,'Tsalin uzuulelt'!B$1,negtgel!U336:BL336) + SUMIF(negtgel!U$2:BL$2,'Tsalin uzuulelt'!B$2,negtgel!U336:BL336)+SUMIF(negtgel!U$2:BL$2,'Tsalin uzuulelt'!B$3,negtgel!U336:BL336)+SUMIF(negtgel!U$2:BL$2,'Tsalin uzuulelt'!B$4,negtgel!U336:BL336)+SUMIF(negtgel!U$2:BL$2,'Tsalin uzuulelt'!B$5,negtgel!U336:BL336)</f>
      </c>
      <c r="H336">
        <f>SUMIF(negtgel!U$2:BL$2,'Tsalin uzuulelt'!F$1,negtgel!U336:BL336) + SUMIF(negtgel!U$2:BL$2,'Tsalin uzuulelt'!F$2,negtgel!U336:BL336)+SUMIF(negtgel!U$2:BL$2,'Tsalin uzuulelt'!F$3,negtgel!U336:BL336)+SUMIF(negtgel!U$2:BL$2,'Tsalin uzuulelt'!F$4,negtgel!U336:BL336)+SUMIF(negtgel!U$2:BL$2,'Tsalin uzuulelt'!F$5,negtgel!U336:BL336)</f>
      </c>
      <c r="I336">
        <f>SUMIF(negtgel!U$2:BL$2,'Tsalin uzuulelt'!H$1,negtgel!U336:BL336) + SUMIF(negtgel!U$2:BL$2,'Tsalin uzuulelt'!H$2,negtgel!U336:BL336)+SUMIF(negtgel!U$2:BL$2,'Tsalin uzuulelt'!H$3,negtgel!U336:BL336)+SUMIF(negtgel!U$2:BL$2,'Tsalin uzuulelt'!H$4,negtgel!U336:BL336)+SUMIF(negtgel!U$2:BL$2,'Tsalin uzuulelt'!H$5,negtgel!U336:BL336)</f>
      </c>
      <c r="J336">
        <f>SUMIF(negtgel!U$2:BL$2,'Tsalin uzuulelt'!J$1,negtgel!U336:BL336) + SUMIF(negtgel!U$2:BL$2,'Tsalin uzuulelt'!J$2,negtgel!U336:BL336)+SUMIF(negtgel!U$2:BL$2,'Tsalin uzuulelt'!J$3,negtgel!U336:BL336)+SUMIF(negtgel!U$2:BL$2,'Tsalin uzuulelt'!J$4,negtgel!U336:BL336)+SUMIF(negtgel!U$2:BL$2,'Tsalin uzuulelt'!J$5,negtgel!U336:BL336)</f>
      </c>
      <c r="K336">
        <f>SUMIF(negtgel!U$2:BL$2,'Tsalin uzuulelt'!L$1,negtgel!U336:BL336) + SUMIF(negtgel!U$2:BL$2,'Tsalin uzuulelt'!L$2,negtgel!U336:BL336)+SUMIF(negtgel!U$2:BL$2,'Tsalin uzuulelt'!L$3,negtgel!U336:BL336)+SUMIF(negtgel!U$2:BL$2,'Tsalin uzuulelt'!L$4,negtgel!U336:BL336)+SUMIF(negtgel!U$2:BL$2,'Tsalin uzuulelt'!L$5,negtgel!U336:BL336)</f>
      </c>
      <c r="L336">
        <f>SUMIF(negtgel!U$2:BL$2,'Tsalin uzuulelt'!N$1,negtgel!U336:BL336) + SUMIF(negtgel!U$2:BL$2,'Tsalin uzuulelt'!N$2,negtgel!U336:BL336)+SUMIF(negtgel!U$2:BL$2,'Tsalin uzuulelt'!N$3,negtgel!U336:BL336)+SUMIF(negtgel!U$2:BL$2,'Tsalin uzuulelt'!N$4,negtgel!U336:BL336)+SUMIF(negtgel!U$2:BL$2,'Tsalin uzuulelt'!N$5,negtgel!U336:BL336)</f>
      </c>
      <c r="M336">
        <f>SUMIF(negtgel!U$2:BL$2,'Tsalin uzuulelt'!P$1,negtgel!U336:BL336) + SUMIF(negtgel!U$2:BL$2,'Tsalin uzuulelt'!P$2,negtgel!U336:BL336)+ SUMIF(negtgel!U$2:BL$2,'Tsalin uzuulelt'!P$3,negtgel!U336:BL336)+ SUMIF(negtgel!U$2:BL$2,'Tsalin uzuulelt'!P$4,negtgel!U336:BL336)+ SUMIF(negtgel!U$2:BL$2,'Tsalin uzuulelt'!P$5,negtgel!U336:BL336)</f>
      </c>
      <c r="N336">
        <f>IF(ISNUMBER(U336*1)=CF336,0,K336-H336-G336)</f>
      </c>
      <c r="O336">
        <f>IF(ISNUMBER(U336*1)=CF336,0,L336)</f>
      </c>
      <c r="P336">
        <f>IF(ISNUMBER(U336*1)=CF336,0,M336)</f>
      </c>
      <c r="Q336">
        <f>IF(N336&gt;2400000,N336,0)</f>
      </c>
      <c r="R336">
        <f>IF(L336/Q336*100&lt;3,2,10)</f>
      </c>
      <c r="S336">
        <f>IF(CH336=0,0,IF(B336&gt;9,10,IF(B336&gt;8,B336,IF(B336&gt;7.7,7.8,IF(B336&gt;3,B336,IF(B336&gt;1.5,2))))))</f>
      </c>
      <c r="T336">
        <f>IF(Q336=0,S336,R336)</f>
      </c>
      <c r="U336" t="n">
        <v>92.0</v>
      </c>
      <c r="V336" t="s">
        <v>3842</v>
      </c>
      <c r="W336" t="s">
        <v>3790</v>
      </c>
      <c r="X336" t="n">
        <v>645556.0</v>
      </c>
      <c r="Y336" t="n">
        <v>645556.0</v>
      </c>
      <c r="Z336" t="n">
        <v>109745.0</v>
      </c>
      <c r="AA336" t="n">
        <v>64556.0</v>
      </c>
      <c r="AB336" t="n">
        <v>0.0</v>
      </c>
      <c r="AC336" t="n">
        <v>0.0</v>
      </c>
      <c r="AD336" t="n">
        <v>0.0</v>
      </c>
      <c r="AE336" t="n">
        <v>0.0</v>
      </c>
      <c r="AF336" t="n">
        <v>69000.0</v>
      </c>
      <c r="AG336" t="n">
        <v>0.0</v>
      </c>
      <c r="AH336" t="n">
        <v>0.0</v>
      </c>
      <c r="AI336" t="n">
        <v>0.0</v>
      </c>
      <c r="AJ336" t="n">
        <v>0.0</v>
      </c>
      <c r="AK336" t="n">
        <v>0.0</v>
      </c>
      <c r="AL336" t="n">
        <v>0.0</v>
      </c>
      <c r="AM336" t="n">
        <v>0.0</v>
      </c>
      <c r="AN336" t="n">
        <v>0.0</v>
      </c>
      <c r="AO336" t="n">
        <v>888857.0</v>
      </c>
      <c r="AP336" t="n">
        <v>88886.0</v>
      </c>
      <c r="AQ336" t="n">
        <v>73687.1</v>
      </c>
      <c r="CH336">
        <f>IFERROR(U336*1,0)</f>
      </c>
    </row>
    <row r="337">
      <c r="A337" t="n">
        <v>5.0</v>
      </c>
      <c r="B337">
        <f>IF((K337-G337-H337&gt;2400000),10,(L337/(K337-G337-H337)*100))</f>
      </c>
      <c r="C337">
        <f>IF(N337&gt;2400000,240000,(N337*S337)/100)</f>
      </c>
      <c r="D337">
        <f>IF(S337=0,0,IF((N337-I337)&gt;2400000,((((((N337-I337-J337)-240000))*0.1+(I337+J337)*0.1)))-7000,((((((N337-I337-J337)-(N337-I337-J337)*S337/100)))*0.1+(I337+J337)*0.1)-7000)))</f>
      </c>
      <c r="E337">
        <f>C337-O337</f>
      </c>
      <c r="F337">
        <f>D337-P337</f>
      </c>
      <c r="G337">
        <f>SUMIF(negtgel!U$2:BL$2,'Tsalin uzuulelt'!B$1,negtgel!U337:BL337) + SUMIF(negtgel!U$2:BL$2,'Tsalin uzuulelt'!B$2,negtgel!U337:BL337)+SUMIF(negtgel!U$2:BL$2,'Tsalin uzuulelt'!B$3,negtgel!U337:BL337)+SUMIF(negtgel!U$2:BL$2,'Tsalin uzuulelt'!B$4,negtgel!U337:BL337)+SUMIF(negtgel!U$2:BL$2,'Tsalin uzuulelt'!B$5,negtgel!U337:BL337)</f>
      </c>
      <c r="H337">
        <f>SUMIF(negtgel!U$2:BL$2,'Tsalin uzuulelt'!F$1,negtgel!U337:BL337) + SUMIF(negtgel!U$2:BL$2,'Tsalin uzuulelt'!F$2,negtgel!U337:BL337)+SUMIF(negtgel!U$2:BL$2,'Tsalin uzuulelt'!F$3,negtgel!U337:BL337)+SUMIF(negtgel!U$2:BL$2,'Tsalin uzuulelt'!F$4,negtgel!U337:BL337)+SUMIF(negtgel!U$2:BL$2,'Tsalin uzuulelt'!F$5,negtgel!U337:BL337)</f>
      </c>
      <c r="I337">
        <f>SUMIF(negtgel!U$2:BL$2,'Tsalin uzuulelt'!H$1,negtgel!U337:BL337) + SUMIF(negtgel!U$2:BL$2,'Tsalin uzuulelt'!H$2,negtgel!U337:BL337)+SUMIF(negtgel!U$2:BL$2,'Tsalin uzuulelt'!H$3,negtgel!U337:BL337)+SUMIF(negtgel!U$2:BL$2,'Tsalin uzuulelt'!H$4,negtgel!U337:BL337)+SUMIF(negtgel!U$2:BL$2,'Tsalin uzuulelt'!H$5,negtgel!U337:BL337)</f>
      </c>
      <c r="J337">
        <f>SUMIF(negtgel!U$2:BL$2,'Tsalin uzuulelt'!J$1,negtgel!U337:BL337) + SUMIF(negtgel!U$2:BL$2,'Tsalin uzuulelt'!J$2,negtgel!U337:BL337)+SUMIF(negtgel!U$2:BL$2,'Tsalin uzuulelt'!J$3,negtgel!U337:BL337)+SUMIF(negtgel!U$2:BL$2,'Tsalin uzuulelt'!J$4,negtgel!U337:BL337)+SUMIF(negtgel!U$2:BL$2,'Tsalin uzuulelt'!J$5,negtgel!U337:BL337)</f>
      </c>
      <c r="K337">
        <f>SUMIF(negtgel!U$2:BL$2,'Tsalin uzuulelt'!L$1,negtgel!U337:BL337) + SUMIF(negtgel!U$2:BL$2,'Tsalin uzuulelt'!L$2,negtgel!U337:BL337)+SUMIF(negtgel!U$2:BL$2,'Tsalin uzuulelt'!L$3,negtgel!U337:BL337)+SUMIF(negtgel!U$2:BL$2,'Tsalin uzuulelt'!L$4,negtgel!U337:BL337)+SUMIF(negtgel!U$2:BL$2,'Tsalin uzuulelt'!L$5,negtgel!U337:BL337)</f>
      </c>
      <c r="L337">
        <f>SUMIF(negtgel!U$2:BL$2,'Tsalin uzuulelt'!N$1,negtgel!U337:BL337) + SUMIF(negtgel!U$2:BL$2,'Tsalin uzuulelt'!N$2,negtgel!U337:BL337)+SUMIF(negtgel!U$2:BL$2,'Tsalin uzuulelt'!N$3,negtgel!U337:BL337)+SUMIF(negtgel!U$2:BL$2,'Tsalin uzuulelt'!N$4,negtgel!U337:BL337)+SUMIF(negtgel!U$2:BL$2,'Tsalin uzuulelt'!N$5,negtgel!U337:BL337)</f>
      </c>
      <c r="M337">
        <f>SUMIF(negtgel!U$2:BL$2,'Tsalin uzuulelt'!P$1,negtgel!U337:BL337) + SUMIF(negtgel!U$2:BL$2,'Tsalin uzuulelt'!P$2,negtgel!U337:BL337)+ SUMIF(negtgel!U$2:BL$2,'Tsalin uzuulelt'!P$3,negtgel!U337:BL337)+ SUMIF(negtgel!U$2:BL$2,'Tsalin uzuulelt'!P$4,negtgel!U337:BL337)+ SUMIF(negtgel!U$2:BL$2,'Tsalin uzuulelt'!P$5,negtgel!U337:BL337)</f>
      </c>
      <c r="N337">
        <f>IF(ISNUMBER(U337*1)=CF337,0,K337-H337-G337)</f>
      </c>
      <c r="O337">
        <f>IF(ISNUMBER(U337*1)=CF337,0,L337)</f>
      </c>
      <c r="P337">
        <f>IF(ISNUMBER(U337*1)=CF337,0,M337)</f>
      </c>
      <c r="Q337">
        <f>IF(N337&gt;2400000,N337,0)</f>
      </c>
      <c r="R337">
        <f>IF(L337/Q337*100&lt;3,2,10)</f>
      </c>
      <c r="S337">
        <f>IF(CH337=0,0,IF(B337&gt;9,10,IF(B337&gt;8,B337,IF(B337&gt;7.7,7.8,IF(B337&gt;3,B337,IF(B337&gt;1.5,2))))))</f>
      </c>
      <c r="T337">
        <f>IF(Q337=0,S337,R337)</f>
      </c>
      <c r="U337" t="n">
        <v>93.0</v>
      </c>
      <c r="V337" t="s">
        <v>3843</v>
      </c>
      <c r="W337" t="s">
        <v>3820</v>
      </c>
      <c r="X337" t="n">
        <v>698795.0</v>
      </c>
      <c r="Y337" t="n">
        <v>698795.0</v>
      </c>
      <c r="Z337" t="n">
        <v>139759.0</v>
      </c>
      <c r="AA337" t="n">
        <v>125783.0</v>
      </c>
      <c r="AB337" t="n">
        <v>0.0</v>
      </c>
      <c r="AC337" t="n">
        <v>0.0</v>
      </c>
      <c r="AD337" t="n">
        <v>0.0</v>
      </c>
      <c r="AE337" t="n">
        <v>0.0</v>
      </c>
      <c r="AF337" t="n">
        <v>69000.0</v>
      </c>
      <c r="AG337" t="n">
        <v>0.0</v>
      </c>
      <c r="AH337" t="n">
        <v>0.0</v>
      </c>
      <c r="AI337" t="n">
        <v>0.0</v>
      </c>
      <c r="AJ337" t="n">
        <v>0.0</v>
      </c>
      <c r="AK337" t="n">
        <v>0.0</v>
      </c>
      <c r="AL337" t="n">
        <v>0.0</v>
      </c>
      <c r="AM337" t="n">
        <v>0.0</v>
      </c>
      <c r="AN337" t="n">
        <v>0.0</v>
      </c>
      <c r="AO337" t="n">
        <v>1033337.0</v>
      </c>
      <c r="AP337" t="n">
        <v>103335.0</v>
      </c>
      <c r="AQ337" t="n">
        <v>86690.3</v>
      </c>
      <c r="CH337">
        <f>IFERROR(U337*1,0)</f>
      </c>
    </row>
    <row r="338">
      <c r="A338" t="n">
        <v>5.0</v>
      </c>
      <c r="B338">
        <f>IF((K338-G338-H338&gt;2400000),10,(L338/(K338-G338-H338)*100))</f>
      </c>
      <c r="C338">
        <f>IF(N338&gt;2400000,240000,(N338*S338)/100)</f>
      </c>
      <c r="D338">
        <f>IF(S338=0,0,IF((N338-I338)&gt;2400000,((((((N338-I338-J338)-240000))*0.1+(I338+J338)*0.1)))-7000,((((((N338-I338-J338)-(N338-I338-J338)*S338/100)))*0.1+(I338+J338)*0.1)-7000)))</f>
      </c>
      <c r="E338">
        <f>C338-O338</f>
      </c>
      <c r="F338">
        <f>D338-P338</f>
      </c>
      <c r="G338">
        <f>SUMIF(negtgel!U$2:BL$2,'Tsalin uzuulelt'!B$1,negtgel!U338:BL338) + SUMIF(negtgel!U$2:BL$2,'Tsalin uzuulelt'!B$2,negtgel!U338:BL338)+SUMIF(negtgel!U$2:BL$2,'Tsalin uzuulelt'!B$3,negtgel!U338:BL338)+SUMIF(negtgel!U$2:BL$2,'Tsalin uzuulelt'!B$4,negtgel!U338:BL338)+SUMIF(negtgel!U$2:BL$2,'Tsalin uzuulelt'!B$5,negtgel!U338:BL338)</f>
      </c>
      <c r="H338">
        <f>SUMIF(negtgel!U$2:BL$2,'Tsalin uzuulelt'!F$1,negtgel!U338:BL338) + SUMIF(negtgel!U$2:BL$2,'Tsalin uzuulelt'!F$2,negtgel!U338:BL338)+SUMIF(negtgel!U$2:BL$2,'Tsalin uzuulelt'!F$3,negtgel!U338:BL338)+SUMIF(negtgel!U$2:BL$2,'Tsalin uzuulelt'!F$4,negtgel!U338:BL338)+SUMIF(negtgel!U$2:BL$2,'Tsalin uzuulelt'!F$5,negtgel!U338:BL338)</f>
      </c>
      <c r="I338">
        <f>SUMIF(negtgel!U$2:BL$2,'Tsalin uzuulelt'!H$1,negtgel!U338:BL338) + SUMIF(negtgel!U$2:BL$2,'Tsalin uzuulelt'!H$2,negtgel!U338:BL338)+SUMIF(negtgel!U$2:BL$2,'Tsalin uzuulelt'!H$3,negtgel!U338:BL338)+SUMIF(negtgel!U$2:BL$2,'Tsalin uzuulelt'!H$4,negtgel!U338:BL338)+SUMIF(negtgel!U$2:BL$2,'Tsalin uzuulelt'!H$5,negtgel!U338:BL338)</f>
      </c>
      <c r="J338">
        <f>SUMIF(negtgel!U$2:BL$2,'Tsalin uzuulelt'!J$1,negtgel!U338:BL338) + SUMIF(negtgel!U$2:BL$2,'Tsalin uzuulelt'!J$2,negtgel!U338:BL338)+SUMIF(negtgel!U$2:BL$2,'Tsalin uzuulelt'!J$3,negtgel!U338:BL338)+SUMIF(negtgel!U$2:BL$2,'Tsalin uzuulelt'!J$4,negtgel!U338:BL338)+SUMIF(negtgel!U$2:BL$2,'Tsalin uzuulelt'!J$5,negtgel!U338:BL338)</f>
      </c>
      <c r="K338">
        <f>SUMIF(negtgel!U$2:BL$2,'Tsalin uzuulelt'!L$1,negtgel!U338:BL338) + SUMIF(negtgel!U$2:BL$2,'Tsalin uzuulelt'!L$2,negtgel!U338:BL338)+SUMIF(negtgel!U$2:BL$2,'Tsalin uzuulelt'!L$3,negtgel!U338:BL338)+SUMIF(negtgel!U$2:BL$2,'Tsalin uzuulelt'!L$4,negtgel!U338:BL338)+SUMIF(negtgel!U$2:BL$2,'Tsalin uzuulelt'!L$5,negtgel!U338:BL338)</f>
      </c>
      <c r="L338">
        <f>SUMIF(negtgel!U$2:BL$2,'Tsalin uzuulelt'!N$1,negtgel!U338:BL338) + SUMIF(negtgel!U$2:BL$2,'Tsalin uzuulelt'!N$2,negtgel!U338:BL338)+SUMIF(negtgel!U$2:BL$2,'Tsalin uzuulelt'!N$3,negtgel!U338:BL338)+SUMIF(negtgel!U$2:BL$2,'Tsalin uzuulelt'!N$4,negtgel!U338:BL338)+SUMIF(negtgel!U$2:BL$2,'Tsalin uzuulelt'!N$5,negtgel!U338:BL338)</f>
      </c>
      <c r="M338">
        <f>SUMIF(negtgel!U$2:BL$2,'Tsalin uzuulelt'!P$1,negtgel!U338:BL338) + SUMIF(negtgel!U$2:BL$2,'Tsalin uzuulelt'!P$2,negtgel!U338:BL338)+ SUMIF(negtgel!U$2:BL$2,'Tsalin uzuulelt'!P$3,negtgel!U338:BL338)+ SUMIF(negtgel!U$2:BL$2,'Tsalin uzuulelt'!P$4,negtgel!U338:BL338)+ SUMIF(negtgel!U$2:BL$2,'Tsalin uzuulelt'!P$5,negtgel!U338:BL338)</f>
      </c>
      <c r="N338">
        <f>IF(ISNUMBER(U338*1)=CF338,0,K338-H338-G338)</f>
      </c>
      <c r="O338">
        <f>IF(ISNUMBER(U338*1)=CF338,0,L338)</f>
      </c>
      <c r="P338">
        <f>IF(ISNUMBER(U338*1)=CF338,0,M338)</f>
      </c>
      <c r="Q338">
        <f>IF(N338&gt;2400000,N338,0)</f>
      </c>
      <c r="R338">
        <f>IF(L338/Q338*100&lt;3,2,10)</f>
      </c>
      <c r="S338">
        <f>IF(CH338=0,0,IF(B338&gt;9,10,IF(B338&gt;8,B338,IF(B338&gt;7.7,7.8,IF(B338&gt;3,B338,IF(B338&gt;1.5,2))))))</f>
      </c>
      <c r="T338">
        <f>IF(Q338=0,S338,R338)</f>
      </c>
      <c r="U338" t="n">
        <v>94.0</v>
      </c>
      <c r="V338" t="s">
        <v>3853</v>
      </c>
      <c r="W338" t="s">
        <v>3790</v>
      </c>
      <c r="X338" t="n">
        <v>613669.0</v>
      </c>
      <c r="Y338" t="n">
        <v>613669.0</v>
      </c>
      <c r="Z338" t="n">
        <v>30683.0</v>
      </c>
      <c r="AA338" t="n">
        <v>92050.0</v>
      </c>
      <c r="AB338" t="n">
        <v>0.0</v>
      </c>
      <c r="AC338" t="n">
        <v>0.0</v>
      </c>
      <c r="AD338" t="n">
        <v>0.0</v>
      </c>
      <c r="AE338" t="n">
        <v>0.0</v>
      </c>
      <c r="AF338" t="n">
        <v>69000.0</v>
      </c>
      <c r="AG338" t="n">
        <v>0.0</v>
      </c>
      <c r="AH338" t="n">
        <v>0.0</v>
      </c>
      <c r="AI338" t="n">
        <v>0.0</v>
      </c>
      <c r="AJ338" t="n">
        <v>0.0</v>
      </c>
      <c r="AK338" t="n">
        <v>0.0</v>
      </c>
      <c r="AL338" t="n">
        <v>0.0</v>
      </c>
      <c r="AM338" t="n">
        <v>0.0</v>
      </c>
      <c r="AN338" t="n">
        <v>0.0</v>
      </c>
      <c r="AO338" t="n">
        <v>805402.0</v>
      </c>
      <c r="AP338" t="n">
        <v>80540.0</v>
      </c>
      <c r="AQ338" t="n">
        <v>66176.2</v>
      </c>
      <c r="CH338">
        <f>IFERROR(U338*1,0)</f>
      </c>
    </row>
    <row r="339">
      <c r="A339" t="n">
        <v>5.0</v>
      </c>
      <c r="B339">
        <f>IF((K339-G339-H339&gt;2400000),10,(L339/(K339-G339-H339)*100))</f>
      </c>
      <c r="C339">
        <f>IF(N339&gt;2400000,240000,(N339*S339)/100)</f>
      </c>
      <c r="D339">
        <f>IF(S339=0,0,IF((N339-I339)&gt;2400000,((((((N339-I339-J339)-240000))*0.1+(I339+J339)*0.1)))-7000,((((((N339-I339-J339)-(N339-I339-J339)*S339/100)))*0.1+(I339+J339)*0.1)-7000)))</f>
      </c>
      <c r="E339">
        <f>C339-O339</f>
      </c>
      <c r="F339">
        <f>D339-P339</f>
      </c>
      <c r="G339">
        <f>SUMIF(negtgel!U$2:BL$2,'Tsalin uzuulelt'!B$1,negtgel!U339:BL339) + SUMIF(negtgel!U$2:BL$2,'Tsalin uzuulelt'!B$2,negtgel!U339:BL339)+SUMIF(negtgel!U$2:BL$2,'Tsalin uzuulelt'!B$3,negtgel!U339:BL339)+SUMIF(negtgel!U$2:BL$2,'Tsalin uzuulelt'!B$4,negtgel!U339:BL339)+SUMIF(negtgel!U$2:BL$2,'Tsalin uzuulelt'!B$5,negtgel!U339:BL339)</f>
      </c>
      <c r="H339">
        <f>SUMIF(negtgel!U$2:BL$2,'Tsalin uzuulelt'!F$1,negtgel!U339:BL339) + SUMIF(negtgel!U$2:BL$2,'Tsalin uzuulelt'!F$2,negtgel!U339:BL339)+SUMIF(negtgel!U$2:BL$2,'Tsalin uzuulelt'!F$3,negtgel!U339:BL339)+SUMIF(negtgel!U$2:BL$2,'Tsalin uzuulelt'!F$4,negtgel!U339:BL339)+SUMIF(negtgel!U$2:BL$2,'Tsalin uzuulelt'!F$5,negtgel!U339:BL339)</f>
      </c>
      <c r="I339">
        <f>SUMIF(negtgel!U$2:BL$2,'Tsalin uzuulelt'!H$1,negtgel!U339:BL339) + SUMIF(negtgel!U$2:BL$2,'Tsalin uzuulelt'!H$2,negtgel!U339:BL339)+SUMIF(negtgel!U$2:BL$2,'Tsalin uzuulelt'!H$3,negtgel!U339:BL339)+SUMIF(negtgel!U$2:BL$2,'Tsalin uzuulelt'!H$4,negtgel!U339:BL339)+SUMIF(negtgel!U$2:BL$2,'Tsalin uzuulelt'!H$5,negtgel!U339:BL339)</f>
      </c>
      <c r="J339">
        <f>SUMIF(negtgel!U$2:BL$2,'Tsalin uzuulelt'!J$1,negtgel!U339:BL339) + SUMIF(negtgel!U$2:BL$2,'Tsalin uzuulelt'!J$2,negtgel!U339:BL339)+SUMIF(negtgel!U$2:BL$2,'Tsalin uzuulelt'!J$3,negtgel!U339:BL339)+SUMIF(negtgel!U$2:BL$2,'Tsalin uzuulelt'!J$4,negtgel!U339:BL339)+SUMIF(negtgel!U$2:BL$2,'Tsalin uzuulelt'!J$5,negtgel!U339:BL339)</f>
      </c>
      <c r="K339">
        <f>SUMIF(negtgel!U$2:BL$2,'Tsalin uzuulelt'!L$1,negtgel!U339:BL339) + SUMIF(negtgel!U$2:BL$2,'Tsalin uzuulelt'!L$2,negtgel!U339:BL339)+SUMIF(negtgel!U$2:BL$2,'Tsalin uzuulelt'!L$3,negtgel!U339:BL339)+SUMIF(negtgel!U$2:BL$2,'Tsalin uzuulelt'!L$4,negtgel!U339:BL339)+SUMIF(negtgel!U$2:BL$2,'Tsalin uzuulelt'!L$5,negtgel!U339:BL339)</f>
      </c>
      <c r="L339">
        <f>SUMIF(negtgel!U$2:BL$2,'Tsalin uzuulelt'!N$1,negtgel!U339:BL339) + SUMIF(negtgel!U$2:BL$2,'Tsalin uzuulelt'!N$2,negtgel!U339:BL339)+SUMIF(negtgel!U$2:BL$2,'Tsalin uzuulelt'!N$3,negtgel!U339:BL339)+SUMIF(negtgel!U$2:BL$2,'Tsalin uzuulelt'!N$4,negtgel!U339:BL339)+SUMIF(negtgel!U$2:BL$2,'Tsalin uzuulelt'!N$5,negtgel!U339:BL339)</f>
      </c>
      <c r="M339">
        <f>SUMIF(negtgel!U$2:BL$2,'Tsalin uzuulelt'!P$1,negtgel!U339:BL339) + SUMIF(negtgel!U$2:BL$2,'Tsalin uzuulelt'!P$2,negtgel!U339:BL339)+ SUMIF(negtgel!U$2:BL$2,'Tsalin uzuulelt'!P$3,negtgel!U339:BL339)+ SUMIF(negtgel!U$2:BL$2,'Tsalin uzuulelt'!P$4,negtgel!U339:BL339)+ SUMIF(negtgel!U$2:BL$2,'Tsalin uzuulelt'!P$5,negtgel!U339:BL339)</f>
      </c>
      <c r="N339">
        <f>IF(ISNUMBER(U339*1)=CF339,0,K339-H339-G339)</f>
      </c>
      <c r="O339">
        <f>IF(ISNUMBER(U339*1)=CF339,0,L339)</f>
      </c>
      <c r="P339">
        <f>IF(ISNUMBER(U339*1)=CF339,0,M339)</f>
      </c>
      <c r="Q339">
        <f>IF(N339&gt;2400000,N339,0)</f>
      </c>
      <c r="R339">
        <f>IF(L339/Q339*100&lt;3,2,10)</f>
      </c>
      <c r="S339">
        <f>IF(CH339=0,0,IF(B339&gt;9,10,IF(B339&gt;8,B339,IF(B339&gt;7.7,7.8,IF(B339&gt;3,B339,IF(B339&gt;1.5,2))))))</f>
      </c>
      <c r="T339">
        <f>IF(Q339=0,S339,R339)</f>
      </c>
      <c r="U339" t="n">
        <v>95.0</v>
      </c>
      <c r="V339" t="s">
        <v>3854</v>
      </c>
      <c r="W339" t="s">
        <v>3785</v>
      </c>
      <c r="X339" t="n">
        <v>795935.0</v>
      </c>
      <c r="Y339" t="n">
        <v>795935.0</v>
      </c>
      <c r="Z339" t="n">
        <v>159187.0</v>
      </c>
      <c r="AA339" t="n">
        <v>175106.0</v>
      </c>
      <c r="AB339" t="n">
        <v>0.0</v>
      </c>
      <c r="AC339" t="n">
        <v>0.0</v>
      </c>
      <c r="AD339" t="n">
        <v>0.0</v>
      </c>
      <c r="AE339" t="n">
        <v>0.0</v>
      </c>
      <c r="AF339" t="n">
        <v>69000.0</v>
      </c>
      <c r="AG339" t="n">
        <v>0.0</v>
      </c>
      <c r="AH339" t="n">
        <v>0.0</v>
      </c>
      <c r="AI339" t="n">
        <v>0.0</v>
      </c>
      <c r="AJ339" t="n">
        <v>0.0</v>
      </c>
      <c r="AK339" t="n">
        <v>0.0</v>
      </c>
      <c r="AL339" t="n">
        <v>0.0</v>
      </c>
      <c r="AM339" t="n">
        <v>0.0</v>
      </c>
      <c r="AN339" t="n">
        <v>0.0</v>
      </c>
      <c r="AO339" t="n">
        <v>1199228.0</v>
      </c>
      <c r="AP339" t="n">
        <v>119923.0</v>
      </c>
      <c r="AQ339" t="n">
        <v>101620.5</v>
      </c>
      <c r="CH339">
        <f>IFERROR(U339*1,0)</f>
      </c>
    </row>
    <row r="340">
      <c r="A340" t="n">
        <v>5.0</v>
      </c>
      <c r="B340">
        <f>IF((K340-G340-H340&gt;2400000),10,(L340/(K340-G340-H340)*100))</f>
      </c>
      <c r="C340">
        <f>IF(N340&gt;2400000,240000,(N340*S340)/100)</f>
      </c>
      <c r="D340">
        <f>IF(S340=0,0,IF((N340-I340)&gt;2400000,((((((N340-I340-J340)-240000))*0.1+(I340+J340)*0.1)))-7000,((((((N340-I340-J340)-(N340-I340-J340)*S340/100)))*0.1+(I340+J340)*0.1)-7000)))</f>
      </c>
      <c r="E340">
        <f>C340-O340</f>
      </c>
      <c r="F340">
        <f>D340-P340</f>
      </c>
      <c r="G340">
        <f>SUMIF(negtgel!U$2:BL$2,'Tsalin uzuulelt'!B$1,negtgel!U340:BL340) + SUMIF(negtgel!U$2:BL$2,'Tsalin uzuulelt'!B$2,negtgel!U340:BL340)+SUMIF(negtgel!U$2:BL$2,'Tsalin uzuulelt'!B$3,negtgel!U340:BL340)+SUMIF(negtgel!U$2:BL$2,'Tsalin uzuulelt'!B$4,negtgel!U340:BL340)+SUMIF(negtgel!U$2:BL$2,'Tsalin uzuulelt'!B$5,negtgel!U340:BL340)</f>
      </c>
      <c r="H340">
        <f>SUMIF(negtgel!U$2:BL$2,'Tsalin uzuulelt'!F$1,negtgel!U340:BL340) + SUMIF(negtgel!U$2:BL$2,'Tsalin uzuulelt'!F$2,negtgel!U340:BL340)+SUMIF(negtgel!U$2:BL$2,'Tsalin uzuulelt'!F$3,negtgel!U340:BL340)+SUMIF(negtgel!U$2:BL$2,'Tsalin uzuulelt'!F$4,negtgel!U340:BL340)+SUMIF(negtgel!U$2:BL$2,'Tsalin uzuulelt'!F$5,negtgel!U340:BL340)</f>
      </c>
      <c r="I340">
        <f>SUMIF(negtgel!U$2:BL$2,'Tsalin uzuulelt'!H$1,negtgel!U340:BL340) + SUMIF(negtgel!U$2:BL$2,'Tsalin uzuulelt'!H$2,negtgel!U340:BL340)+SUMIF(negtgel!U$2:BL$2,'Tsalin uzuulelt'!H$3,negtgel!U340:BL340)+SUMIF(negtgel!U$2:BL$2,'Tsalin uzuulelt'!H$4,negtgel!U340:BL340)+SUMIF(negtgel!U$2:BL$2,'Tsalin uzuulelt'!H$5,negtgel!U340:BL340)</f>
      </c>
      <c r="J340">
        <f>SUMIF(negtgel!U$2:BL$2,'Tsalin uzuulelt'!J$1,negtgel!U340:BL340) + SUMIF(negtgel!U$2:BL$2,'Tsalin uzuulelt'!J$2,negtgel!U340:BL340)+SUMIF(negtgel!U$2:BL$2,'Tsalin uzuulelt'!J$3,negtgel!U340:BL340)+SUMIF(negtgel!U$2:BL$2,'Tsalin uzuulelt'!J$4,negtgel!U340:BL340)+SUMIF(negtgel!U$2:BL$2,'Tsalin uzuulelt'!J$5,negtgel!U340:BL340)</f>
      </c>
      <c r="K340">
        <f>SUMIF(negtgel!U$2:BL$2,'Tsalin uzuulelt'!L$1,negtgel!U340:BL340) + SUMIF(negtgel!U$2:BL$2,'Tsalin uzuulelt'!L$2,negtgel!U340:BL340)+SUMIF(negtgel!U$2:BL$2,'Tsalin uzuulelt'!L$3,negtgel!U340:BL340)+SUMIF(negtgel!U$2:BL$2,'Tsalin uzuulelt'!L$4,negtgel!U340:BL340)+SUMIF(negtgel!U$2:BL$2,'Tsalin uzuulelt'!L$5,negtgel!U340:BL340)</f>
      </c>
      <c r="L340">
        <f>SUMIF(negtgel!U$2:BL$2,'Tsalin uzuulelt'!N$1,negtgel!U340:BL340) + SUMIF(negtgel!U$2:BL$2,'Tsalin uzuulelt'!N$2,negtgel!U340:BL340)+SUMIF(negtgel!U$2:BL$2,'Tsalin uzuulelt'!N$3,negtgel!U340:BL340)+SUMIF(negtgel!U$2:BL$2,'Tsalin uzuulelt'!N$4,negtgel!U340:BL340)+SUMIF(negtgel!U$2:BL$2,'Tsalin uzuulelt'!N$5,negtgel!U340:BL340)</f>
      </c>
      <c r="M340">
        <f>SUMIF(negtgel!U$2:BL$2,'Tsalin uzuulelt'!P$1,negtgel!U340:BL340) + SUMIF(negtgel!U$2:BL$2,'Tsalin uzuulelt'!P$2,negtgel!U340:BL340)+ SUMIF(negtgel!U$2:BL$2,'Tsalin uzuulelt'!P$3,negtgel!U340:BL340)+ SUMIF(negtgel!U$2:BL$2,'Tsalin uzuulelt'!P$4,negtgel!U340:BL340)+ SUMIF(negtgel!U$2:BL$2,'Tsalin uzuulelt'!P$5,negtgel!U340:BL340)</f>
      </c>
      <c r="N340">
        <f>IF(ISNUMBER(U340*1)=CF340,0,K340-H340-G340)</f>
      </c>
      <c r="O340">
        <f>IF(ISNUMBER(U340*1)=CF340,0,L340)</f>
      </c>
      <c r="P340">
        <f>IF(ISNUMBER(U340*1)=CF340,0,M340)</f>
      </c>
      <c r="Q340">
        <f>IF(N340&gt;2400000,N340,0)</f>
      </c>
      <c r="R340">
        <f>IF(L340/Q340*100&lt;3,2,10)</f>
      </c>
      <c r="S340">
        <f>IF(CH340=0,0,IF(B340&gt;9,10,IF(B340&gt;8,B340,IF(B340&gt;7.7,7.8,IF(B340&gt;3,B340,IF(B340&gt;1.5,2))))))</f>
      </c>
      <c r="T340">
        <f>IF(Q340=0,S340,R340)</f>
      </c>
      <c r="U340" t="n">
        <v>96.0</v>
      </c>
      <c r="V340" t="s">
        <v>3855</v>
      </c>
      <c r="W340" t="s">
        <v>3790</v>
      </c>
      <c r="X340" t="n">
        <v>580710.0</v>
      </c>
      <c r="Y340" t="n">
        <v>580710.0</v>
      </c>
      <c r="Z340" t="n">
        <v>0.0</v>
      </c>
      <c r="AA340" t="n">
        <v>0.0</v>
      </c>
      <c r="AB340" t="n">
        <v>0.0</v>
      </c>
      <c r="AC340" t="n">
        <v>0.0</v>
      </c>
      <c r="AD340" t="n">
        <v>0.0</v>
      </c>
      <c r="AE340" t="n">
        <v>0.0</v>
      </c>
      <c r="AF340" t="n">
        <v>69000.0</v>
      </c>
      <c r="AG340" t="n">
        <v>0.0</v>
      </c>
      <c r="AH340" t="n">
        <v>0.0</v>
      </c>
      <c r="AI340" t="n">
        <v>0.0</v>
      </c>
      <c r="AJ340" t="n">
        <v>0.0</v>
      </c>
      <c r="AK340" t="n">
        <v>0.0</v>
      </c>
      <c r="AL340" t="n">
        <v>0.0</v>
      </c>
      <c r="AM340" t="n">
        <v>0.0</v>
      </c>
      <c r="AN340" t="n">
        <v>0.0</v>
      </c>
      <c r="AO340" t="n">
        <v>649710.0</v>
      </c>
      <c r="AP340" t="n">
        <v>64971.0</v>
      </c>
      <c r="AQ340" t="n">
        <v>52163.9</v>
      </c>
      <c r="CH340">
        <f>IFERROR(U340*1,0)</f>
      </c>
    </row>
    <row r="341">
      <c r="A341" t="n">
        <v>5.0</v>
      </c>
      <c r="B341">
        <f>IF((K341-G341-H341&gt;2400000),10,(L341/(K341-G341-H341)*100))</f>
      </c>
      <c r="C341">
        <f>IF(N341&gt;2400000,240000,(N341*S341)/100)</f>
      </c>
      <c r="D341">
        <f>IF(S341=0,0,IF((N341-I341)&gt;2400000,((((((N341-I341-J341)-240000))*0.1+(I341+J341)*0.1)))-7000,((((((N341-I341-J341)-(N341-I341-J341)*S341/100)))*0.1+(I341+J341)*0.1)-7000)))</f>
      </c>
      <c r="E341">
        <f>C341-O341</f>
      </c>
      <c r="F341">
        <f>D341-P341</f>
      </c>
      <c r="G341">
        <f>SUMIF(negtgel!U$2:BL$2,'Tsalin uzuulelt'!B$1,negtgel!U341:BL341) + SUMIF(negtgel!U$2:BL$2,'Tsalin uzuulelt'!B$2,negtgel!U341:BL341)+SUMIF(negtgel!U$2:BL$2,'Tsalin uzuulelt'!B$3,negtgel!U341:BL341)+SUMIF(negtgel!U$2:BL$2,'Tsalin uzuulelt'!B$4,negtgel!U341:BL341)+SUMIF(negtgel!U$2:BL$2,'Tsalin uzuulelt'!B$5,negtgel!U341:BL341)</f>
      </c>
      <c r="H341">
        <f>SUMIF(negtgel!U$2:BL$2,'Tsalin uzuulelt'!F$1,negtgel!U341:BL341) + SUMIF(negtgel!U$2:BL$2,'Tsalin uzuulelt'!F$2,negtgel!U341:BL341)+SUMIF(negtgel!U$2:BL$2,'Tsalin uzuulelt'!F$3,negtgel!U341:BL341)+SUMIF(negtgel!U$2:BL$2,'Tsalin uzuulelt'!F$4,negtgel!U341:BL341)+SUMIF(negtgel!U$2:BL$2,'Tsalin uzuulelt'!F$5,negtgel!U341:BL341)</f>
      </c>
      <c r="I341">
        <f>SUMIF(negtgel!U$2:BL$2,'Tsalin uzuulelt'!H$1,negtgel!U341:BL341) + SUMIF(negtgel!U$2:BL$2,'Tsalin uzuulelt'!H$2,negtgel!U341:BL341)+SUMIF(negtgel!U$2:BL$2,'Tsalin uzuulelt'!H$3,negtgel!U341:BL341)+SUMIF(negtgel!U$2:BL$2,'Tsalin uzuulelt'!H$4,negtgel!U341:BL341)+SUMIF(negtgel!U$2:BL$2,'Tsalin uzuulelt'!H$5,negtgel!U341:BL341)</f>
      </c>
      <c r="J341">
        <f>SUMIF(negtgel!U$2:BL$2,'Tsalin uzuulelt'!J$1,negtgel!U341:BL341) + SUMIF(negtgel!U$2:BL$2,'Tsalin uzuulelt'!J$2,negtgel!U341:BL341)+SUMIF(negtgel!U$2:BL$2,'Tsalin uzuulelt'!J$3,negtgel!U341:BL341)+SUMIF(negtgel!U$2:BL$2,'Tsalin uzuulelt'!J$4,negtgel!U341:BL341)+SUMIF(negtgel!U$2:BL$2,'Tsalin uzuulelt'!J$5,negtgel!U341:BL341)</f>
      </c>
      <c r="K341">
        <f>SUMIF(negtgel!U$2:BL$2,'Tsalin uzuulelt'!L$1,negtgel!U341:BL341) + SUMIF(negtgel!U$2:BL$2,'Tsalin uzuulelt'!L$2,negtgel!U341:BL341)+SUMIF(negtgel!U$2:BL$2,'Tsalin uzuulelt'!L$3,negtgel!U341:BL341)+SUMIF(negtgel!U$2:BL$2,'Tsalin uzuulelt'!L$4,negtgel!U341:BL341)+SUMIF(negtgel!U$2:BL$2,'Tsalin uzuulelt'!L$5,negtgel!U341:BL341)</f>
      </c>
      <c r="L341">
        <f>SUMIF(negtgel!U$2:BL$2,'Tsalin uzuulelt'!N$1,negtgel!U341:BL341) + SUMIF(negtgel!U$2:BL$2,'Tsalin uzuulelt'!N$2,negtgel!U341:BL341)+SUMIF(negtgel!U$2:BL$2,'Tsalin uzuulelt'!N$3,negtgel!U341:BL341)+SUMIF(negtgel!U$2:BL$2,'Tsalin uzuulelt'!N$4,negtgel!U341:BL341)+SUMIF(negtgel!U$2:BL$2,'Tsalin uzuulelt'!N$5,negtgel!U341:BL341)</f>
      </c>
      <c r="M341">
        <f>SUMIF(negtgel!U$2:BL$2,'Tsalin uzuulelt'!P$1,negtgel!U341:BL341) + SUMIF(negtgel!U$2:BL$2,'Tsalin uzuulelt'!P$2,negtgel!U341:BL341)+ SUMIF(negtgel!U$2:BL$2,'Tsalin uzuulelt'!P$3,negtgel!U341:BL341)+ SUMIF(negtgel!U$2:BL$2,'Tsalin uzuulelt'!P$4,negtgel!U341:BL341)+ SUMIF(negtgel!U$2:BL$2,'Tsalin uzuulelt'!P$5,negtgel!U341:BL341)</f>
      </c>
      <c r="N341">
        <f>IF(ISNUMBER(U341*1)=CF341,0,K341-H341-G341)</f>
      </c>
      <c r="O341">
        <f>IF(ISNUMBER(U341*1)=CF341,0,L341)</f>
      </c>
      <c r="P341">
        <f>IF(ISNUMBER(U341*1)=CF341,0,M341)</f>
      </c>
      <c r="Q341">
        <f>IF(N341&gt;2400000,N341,0)</f>
      </c>
      <c r="R341">
        <f>IF(L341/Q341*100&lt;3,2,10)</f>
      </c>
      <c r="S341">
        <f>IF(CH341=0,0,IF(B341&gt;9,10,IF(B341&gt;8,B341,IF(B341&gt;7.7,7.8,IF(B341&gt;3,B341,IF(B341&gt;1.5,2))))))</f>
      </c>
      <c r="T341">
        <f>IF(Q341=0,S341,R341)</f>
      </c>
      <c r="U341" t="n">
        <v>97.0</v>
      </c>
      <c r="V341" t="s">
        <v>3856</v>
      </c>
      <c r="W341" t="s">
        <v>3820</v>
      </c>
      <c r="X341" t="n">
        <v>613669.0</v>
      </c>
      <c r="Y341" t="n">
        <v>613669.0</v>
      </c>
      <c r="Z341" t="n">
        <v>61367.0</v>
      </c>
      <c r="AA341" t="n">
        <v>104324.0</v>
      </c>
      <c r="AB341" t="n">
        <v>0.0</v>
      </c>
      <c r="AC341" t="n">
        <v>0.0</v>
      </c>
      <c r="AD341" t="n">
        <v>0.0</v>
      </c>
      <c r="AE341" t="n">
        <v>0.0</v>
      </c>
      <c r="AF341" t="n">
        <v>69000.0</v>
      </c>
      <c r="AG341" t="n">
        <v>0.0</v>
      </c>
      <c r="AH341" t="n">
        <v>0.0</v>
      </c>
      <c r="AI341" t="n">
        <v>0.0</v>
      </c>
      <c r="AJ341" t="n">
        <v>0.0</v>
      </c>
      <c r="AK341" t="n">
        <v>0.0</v>
      </c>
      <c r="AL341" t="n">
        <v>0.0</v>
      </c>
      <c r="AM341" t="n">
        <v>0.0</v>
      </c>
      <c r="AN341" t="n">
        <v>0.0</v>
      </c>
      <c r="AO341" t="n">
        <v>848360.0</v>
      </c>
      <c r="AP341" t="n">
        <v>84836.0</v>
      </c>
      <c r="AQ341" t="n">
        <v>70042.4</v>
      </c>
      <c r="CH341">
        <f>IFERROR(U341*1,0)</f>
      </c>
    </row>
    <row r="342">
      <c r="A342" t="n">
        <v>5.0</v>
      </c>
      <c r="B342">
        <f>IF((K342-G342-H342&gt;2400000),10,(L342/(K342-G342-H342)*100))</f>
      </c>
      <c r="C342">
        <f>IF(N342&gt;2400000,240000,(N342*S342)/100)</f>
      </c>
      <c r="D342">
        <f>IF(S342=0,0,IF((N342-I342)&gt;2400000,((((((N342-I342-J342)-240000))*0.1+(I342+J342)*0.1)))-7000,((((((N342-I342-J342)-(N342-I342-J342)*S342/100)))*0.1+(I342+J342)*0.1)-7000)))</f>
      </c>
      <c r="E342">
        <f>C342-O342</f>
      </c>
      <c r="F342">
        <f>D342-P342</f>
      </c>
      <c r="G342">
        <f>SUMIF(negtgel!U$2:BL$2,'Tsalin uzuulelt'!B$1,negtgel!U342:BL342) + SUMIF(negtgel!U$2:BL$2,'Tsalin uzuulelt'!B$2,negtgel!U342:BL342)+SUMIF(negtgel!U$2:BL$2,'Tsalin uzuulelt'!B$3,negtgel!U342:BL342)+SUMIF(negtgel!U$2:BL$2,'Tsalin uzuulelt'!B$4,negtgel!U342:BL342)+SUMIF(negtgel!U$2:BL$2,'Tsalin uzuulelt'!B$5,negtgel!U342:BL342)</f>
      </c>
      <c r="H342">
        <f>SUMIF(negtgel!U$2:BL$2,'Tsalin uzuulelt'!F$1,negtgel!U342:BL342) + SUMIF(negtgel!U$2:BL$2,'Tsalin uzuulelt'!F$2,negtgel!U342:BL342)+SUMIF(negtgel!U$2:BL$2,'Tsalin uzuulelt'!F$3,negtgel!U342:BL342)+SUMIF(negtgel!U$2:BL$2,'Tsalin uzuulelt'!F$4,negtgel!U342:BL342)+SUMIF(negtgel!U$2:BL$2,'Tsalin uzuulelt'!F$5,negtgel!U342:BL342)</f>
      </c>
      <c r="I342">
        <f>SUMIF(negtgel!U$2:BL$2,'Tsalin uzuulelt'!H$1,negtgel!U342:BL342) + SUMIF(negtgel!U$2:BL$2,'Tsalin uzuulelt'!H$2,negtgel!U342:BL342)+SUMIF(negtgel!U$2:BL$2,'Tsalin uzuulelt'!H$3,negtgel!U342:BL342)+SUMIF(negtgel!U$2:BL$2,'Tsalin uzuulelt'!H$4,negtgel!U342:BL342)+SUMIF(negtgel!U$2:BL$2,'Tsalin uzuulelt'!H$5,negtgel!U342:BL342)</f>
      </c>
      <c r="J342">
        <f>SUMIF(negtgel!U$2:BL$2,'Tsalin uzuulelt'!J$1,negtgel!U342:BL342) + SUMIF(negtgel!U$2:BL$2,'Tsalin uzuulelt'!J$2,negtgel!U342:BL342)+SUMIF(negtgel!U$2:BL$2,'Tsalin uzuulelt'!J$3,negtgel!U342:BL342)+SUMIF(negtgel!U$2:BL$2,'Tsalin uzuulelt'!J$4,negtgel!U342:BL342)+SUMIF(negtgel!U$2:BL$2,'Tsalin uzuulelt'!J$5,negtgel!U342:BL342)</f>
      </c>
      <c r="K342">
        <f>SUMIF(negtgel!U$2:BL$2,'Tsalin uzuulelt'!L$1,negtgel!U342:BL342) + SUMIF(negtgel!U$2:BL$2,'Tsalin uzuulelt'!L$2,negtgel!U342:BL342)+SUMIF(negtgel!U$2:BL$2,'Tsalin uzuulelt'!L$3,negtgel!U342:BL342)+SUMIF(negtgel!U$2:BL$2,'Tsalin uzuulelt'!L$4,negtgel!U342:BL342)+SUMIF(negtgel!U$2:BL$2,'Tsalin uzuulelt'!L$5,negtgel!U342:BL342)</f>
      </c>
      <c r="L342">
        <f>SUMIF(negtgel!U$2:BL$2,'Tsalin uzuulelt'!N$1,negtgel!U342:BL342) + SUMIF(negtgel!U$2:BL$2,'Tsalin uzuulelt'!N$2,negtgel!U342:BL342)+SUMIF(negtgel!U$2:BL$2,'Tsalin uzuulelt'!N$3,negtgel!U342:BL342)+SUMIF(negtgel!U$2:BL$2,'Tsalin uzuulelt'!N$4,negtgel!U342:BL342)+SUMIF(negtgel!U$2:BL$2,'Tsalin uzuulelt'!N$5,negtgel!U342:BL342)</f>
      </c>
      <c r="M342">
        <f>SUMIF(negtgel!U$2:BL$2,'Tsalin uzuulelt'!P$1,negtgel!U342:BL342) + SUMIF(negtgel!U$2:BL$2,'Tsalin uzuulelt'!P$2,negtgel!U342:BL342)+ SUMIF(negtgel!U$2:BL$2,'Tsalin uzuulelt'!P$3,negtgel!U342:BL342)+ SUMIF(negtgel!U$2:BL$2,'Tsalin uzuulelt'!P$4,negtgel!U342:BL342)+ SUMIF(negtgel!U$2:BL$2,'Tsalin uzuulelt'!P$5,negtgel!U342:BL342)</f>
      </c>
      <c r="N342">
        <f>IF(ISNUMBER(U342*1)=CF342,0,K342-H342-G342)</f>
      </c>
      <c r="O342">
        <f>IF(ISNUMBER(U342*1)=CF342,0,L342)</f>
      </c>
      <c r="P342">
        <f>IF(ISNUMBER(U342*1)=CF342,0,M342)</f>
      </c>
      <c r="Q342">
        <f>IF(N342&gt;2400000,N342,0)</f>
      </c>
      <c r="R342">
        <f>IF(L342/Q342*100&lt;3,2,10)</f>
      </c>
      <c r="S342">
        <f>IF(CH342=0,0,IF(B342&gt;9,10,IF(B342&gt;8,B342,IF(B342&gt;7.7,7.8,IF(B342&gt;3,B342,IF(B342&gt;1.5,2))))))</f>
      </c>
      <c r="T342">
        <f>IF(Q342=0,S342,R342)</f>
      </c>
      <c r="U342" t="n">
        <v>98.0</v>
      </c>
      <c r="V342" t="s">
        <v>3857</v>
      </c>
      <c r="W342" t="s">
        <v>3790</v>
      </c>
      <c r="X342" t="n">
        <v>613669.0</v>
      </c>
      <c r="Y342" t="n">
        <v>613669.0</v>
      </c>
      <c r="Z342" t="n">
        <v>61367.0</v>
      </c>
      <c r="AA342" t="n">
        <v>104324.0</v>
      </c>
      <c r="AB342" t="n">
        <v>0.0</v>
      </c>
      <c r="AC342" t="n">
        <v>0.0</v>
      </c>
      <c r="AD342" t="n">
        <v>0.0</v>
      </c>
      <c r="AE342" t="n">
        <v>0.0</v>
      </c>
      <c r="AF342" t="n">
        <v>69000.0</v>
      </c>
      <c r="AG342" t="n">
        <v>0.0</v>
      </c>
      <c r="AH342" t="n">
        <v>0.0</v>
      </c>
      <c r="AI342" t="n">
        <v>0.0</v>
      </c>
      <c r="AJ342" t="n">
        <v>0.0</v>
      </c>
      <c r="AK342" t="n">
        <v>0.0</v>
      </c>
      <c r="AL342" t="n">
        <v>0.0</v>
      </c>
      <c r="AM342" t="n">
        <v>0.0</v>
      </c>
      <c r="AN342" t="n">
        <v>0.0</v>
      </c>
      <c r="AO342" t="n">
        <v>848360.0</v>
      </c>
      <c r="AP342" t="n">
        <v>84836.0</v>
      </c>
      <c r="AQ342" t="n">
        <v>70042.4</v>
      </c>
      <c r="CH342">
        <f>IFERROR(U342*1,0)</f>
      </c>
    </row>
    <row r="343">
      <c r="A343" t="n">
        <v>5.0</v>
      </c>
      <c r="B343">
        <f>IF((K343-G343-H343&gt;2400000),10,(L343/(K343-G343-H343)*100))</f>
      </c>
      <c r="C343">
        <f>IF(N343&gt;2400000,240000,(N343*S343)/100)</f>
      </c>
      <c r="D343">
        <f>IF(S343=0,0,IF((N343-I343)&gt;2400000,((((((N343-I343-J343)-240000))*0.1+(I343+J343)*0.1)))-7000,((((((N343-I343-J343)-(N343-I343-J343)*S343/100)))*0.1+(I343+J343)*0.1)-7000)))</f>
      </c>
      <c r="E343">
        <f>C343-O343</f>
      </c>
      <c r="F343">
        <f>D343-P343</f>
      </c>
      <c r="G343">
        <f>SUMIF(negtgel!U$2:BL$2,'Tsalin uzuulelt'!B$1,negtgel!U343:BL343) + SUMIF(negtgel!U$2:BL$2,'Tsalin uzuulelt'!B$2,negtgel!U343:BL343)+SUMIF(negtgel!U$2:BL$2,'Tsalin uzuulelt'!B$3,negtgel!U343:BL343)+SUMIF(negtgel!U$2:BL$2,'Tsalin uzuulelt'!B$4,negtgel!U343:BL343)+SUMIF(negtgel!U$2:BL$2,'Tsalin uzuulelt'!B$5,negtgel!U343:BL343)</f>
      </c>
      <c r="H343">
        <f>SUMIF(negtgel!U$2:BL$2,'Tsalin uzuulelt'!F$1,negtgel!U343:BL343) + SUMIF(negtgel!U$2:BL$2,'Tsalin uzuulelt'!F$2,negtgel!U343:BL343)+SUMIF(negtgel!U$2:BL$2,'Tsalin uzuulelt'!F$3,negtgel!U343:BL343)+SUMIF(negtgel!U$2:BL$2,'Tsalin uzuulelt'!F$4,negtgel!U343:BL343)+SUMIF(negtgel!U$2:BL$2,'Tsalin uzuulelt'!F$5,negtgel!U343:BL343)</f>
      </c>
      <c r="I343">
        <f>SUMIF(negtgel!U$2:BL$2,'Tsalin uzuulelt'!H$1,negtgel!U343:BL343) + SUMIF(negtgel!U$2:BL$2,'Tsalin uzuulelt'!H$2,negtgel!U343:BL343)+SUMIF(negtgel!U$2:BL$2,'Tsalin uzuulelt'!H$3,negtgel!U343:BL343)+SUMIF(negtgel!U$2:BL$2,'Tsalin uzuulelt'!H$4,negtgel!U343:BL343)+SUMIF(negtgel!U$2:BL$2,'Tsalin uzuulelt'!H$5,negtgel!U343:BL343)</f>
      </c>
      <c r="J343">
        <f>SUMIF(negtgel!U$2:BL$2,'Tsalin uzuulelt'!J$1,negtgel!U343:BL343) + SUMIF(negtgel!U$2:BL$2,'Tsalin uzuulelt'!J$2,negtgel!U343:BL343)+SUMIF(negtgel!U$2:BL$2,'Tsalin uzuulelt'!J$3,negtgel!U343:BL343)+SUMIF(negtgel!U$2:BL$2,'Tsalin uzuulelt'!J$4,negtgel!U343:BL343)+SUMIF(negtgel!U$2:BL$2,'Tsalin uzuulelt'!J$5,negtgel!U343:BL343)</f>
      </c>
      <c r="K343">
        <f>SUMIF(negtgel!U$2:BL$2,'Tsalin uzuulelt'!L$1,negtgel!U343:BL343) + SUMIF(negtgel!U$2:BL$2,'Tsalin uzuulelt'!L$2,negtgel!U343:BL343)+SUMIF(negtgel!U$2:BL$2,'Tsalin uzuulelt'!L$3,negtgel!U343:BL343)+SUMIF(negtgel!U$2:BL$2,'Tsalin uzuulelt'!L$4,negtgel!U343:BL343)+SUMIF(negtgel!U$2:BL$2,'Tsalin uzuulelt'!L$5,negtgel!U343:BL343)</f>
      </c>
      <c r="L343">
        <f>SUMIF(negtgel!U$2:BL$2,'Tsalin uzuulelt'!N$1,negtgel!U343:BL343) + SUMIF(negtgel!U$2:BL$2,'Tsalin uzuulelt'!N$2,negtgel!U343:BL343)+SUMIF(negtgel!U$2:BL$2,'Tsalin uzuulelt'!N$3,negtgel!U343:BL343)+SUMIF(negtgel!U$2:BL$2,'Tsalin uzuulelt'!N$4,negtgel!U343:BL343)+SUMIF(negtgel!U$2:BL$2,'Tsalin uzuulelt'!N$5,negtgel!U343:BL343)</f>
      </c>
      <c r="M343">
        <f>SUMIF(negtgel!U$2:BL$2,'Tsalin uzuulelt'!P$1,negtgel!U343:BL343) + SUMIF(negtgel!U$2:BL$2,'Tsalin uzuulelt'!P$2,negtgel!U343:BL343)+ SUMIF(negtgel!U$2:BL$2,'Tsalin uzuulelt'!P$3,negtgel!U343:BL343)+ SUMIF(negtgel!U$2:BL$2,'Tsalin uzuulelt'!P$4,negtgel!U343:BL343)+ SUMIF(negtgel!U$2:BL$2,'Tsalin uzuulelt'!P$5,negtgel!U343:BL343)</f>
      </c>
      <c r="N343">
        <f>IF(ISNUMBER(U343*1)=CF343,0,K343-H343-G343)</f>
      </c>
      <c r="O343">
        <f>IF(ISNUMBER(U343*1)=CF343,0,L343)</f>
      </c>
      <c r="P343">
        <f>IF(ISNUMBER(U343*1)=CF343,0,M343)</f>
      </c>
      <c r="Q343">
        <f>IF(N343&gt;2400000,N343,0)</f>
      </c>
      <c r="R343">
        <f>IF(L343/Q343*100&lt;3,2,10)</f>
      </c>
      <c r="S343">
        <f>IF(CH343=0,0,IF(B343&gt;9,10,IF(B343&gt;8,B343,IF(B343&gt;7.7,7.8,IF(B343&gt;3,B343,IF(B343&gt;1.5,2))))))</f>
      </c>
      <c r="T343">
        <f>IF(Q343=0,S343,R343)</f>
      </c>
      <c r="U343" t="s">
        <v>3787</v>
      </c>
      <c r="V343"/>
      <c r="W343"/>
      <c r="X343" t="n">
        <v>7853536.0</v>
      </c>
      <c r="Y343" t="n">
        <v>7853536.0</v>
      </c>
      <c r="Z343" t="n">
        <v>1129957.0</v>
      </c>
      <c r="AA343" t="n">
        <v>1325724.0</v>
      </c>
      <c r="AB343" t="n">
        <v>33872.0</v>
      </c>
      <c r="AC343" t="n">
        <v>0.0</v>
      </c>
      <c r="AD343" t="n">
        <v>0.0</v>
      </c>
      <c r="AE343" t="n">
        <v>0.0</v>
      </c>
      <c r="AF343" t="n">
        <v>828000.0</v>
      </c>
      <c r="AG343" t="n">
        <v>0.0</v>
      </c>
      <c r="AH343" t="n">
        <v>0.0</v>
      </c>
      <c r="AI343" t="n">
        <v>0.0</v>
      </c>
      <c r="AJ343" t="n">
        <v>0.0</v>
      </c>
      <c r="AK343" t="n">
        <v>0.0</v>
      </c>
      <c r="AL343" t="n">
        <v>0.0</v>
      </c>
      <c r="AM343" t="n">
        <v>0.0</v>
      </c>
      <c r="AN343" t="n">
        <v>0.0</v>
      </c>
      <c r="AO343" t="n">
        <v>1.1171089E7</v>
      </c>
      <c r="AP343" t="n">
        <v>1117112.0</v>
      </c>
      <c r="AQ343" t="n">
        <v>929678.0</v>
      </c>
      <c r="CH343">
        <f>IFERROR(U343*1,0)</f>
      </c>
    </row>
    <row r="344">
      <c r="A344" t="n">
        <v>5.0</v>
      </c>
      <c r="B344">
        <f>IF((K344-G344-H344&gt;2400000),10,(L344/(K344-G344-H344)*100))</f>
      </c>
      <c r="C344">
        <f>IF(N344&gt;2400000,240000,(N344*S344)/100)</f>
      </c>
      <c r="D344">
        <f>IF(S344=0,0,IF((N344-I344)&gt;2400000,((((((N344-I344-J344)-240000))*0.1+(I344+J344)*0.1)))-7000,((((((N344-I344-J344)-(N344-I344-J344)*S344/100)))*0.1+(I344+J344)*0.1)-7000)))</f>
      </c>
      <c r="E344">
        <f>C344-O344</f>
      </c>
      <c r="F344">
        <f>D344-P344</f>
      </c>
      <c r="G344">
        <f>SUMIF(negtgel!U$2:BL$2,'Tsalin uzuulelt'!B$1,negtgel!U344:BL344) + SUMIF(negtgel!U$2:BL$2,'Tsalin uzuulelt'!B$2,negtgel!U344:BL344)+SUMIF(negtgel!U$2:BL$2,'Tsalin uzuulelt'!B$3,negtgel!U344:BL344)+SUMIF(negtgel!U$2:BL$2,'Tsalin uzuulelt'!B$4,negtgel!U344:BL344)+SUMIF(negtgel!U$2:BL$2,'Tsalin uzuulelt'!B$5,negtgel!U344:BL344)</f>
      </c>
      <c r="H344">
        <f>SUMIF(negtgel!U$2:BL$2,'Tsalin uzuulelt'!F$1,negtgel!U344:BL344) + SUMIF(negtgel!U$2:BL$2,'Tsalin uzuulelt'!F$2,negtgel!U344:BL344)+SUMIF(negtgel!U$2:BL$2,'Tsalin uzuulelt'!F$3,negtgel!U344:BL344)+SUMIF(negtgel!U$2:BL$2,'Tsalin uzuulelt'!F$4,negtgel!U344:BL344)+SUMIF(negtgel!U$2:BL$2,'Tsalin uzuulelt'!F$5,negtgel!U344:BL344)</f>
      </c>
      <c r="I344">
        <f>SUMIF(negtgel!U$2:BL$2,'Tsalin uzuulelt'!H$1,negtgel!U344:BL344) + SUMIF(negtgel!U$2:BL$2,'Tsalin uzuulelt'!H$2,negtgel!U344:BL344)+SUMIF(negtgel!U$2:BL$2,'Tsalin uzuulelt'!H$3,negtgel!U344:BL344)+SUMIF(negtgel!U$2:BL$2,'Tsalin uzuulelt'!H$4,negtgel!U344:BL344)+SUMIF(negtgel!U$2:BL$2,'Tsalin uzuulelt'!H$5,negtgel!U344:BL344)</f>
      </c>
      <c r="J344">
        <f>SUMIF(negtgel!U$2:BL$2,'Tsalin uzuulelt'!J$1,negtgel!U344:BL344) + SUMIF(negtgel!U$2:BL$2,'Tsalin uzuulelt'!J$2,negtgel!U344:BL344)+SUMIF(negtgel!U$2:BL$2,'Tsalin uzuulelt'!J$3,negtgel!U344:BL344)+SUMIF(negtgel!U$2:BL$2,'Tsalin uzuulelt'!J$4,negtgel!U344:BL344)+SUMIF(negtgel!U$2:BL$2,'Tsalin uzuulelt'!J$5,negtgel!U344:BL344)</f>
      </c>
      <c r="K344">
        <f>SUMIF(negtgel!U$2:BL$2,'Tsalin uzuulelt'!L$1,negtgel!U344:BL344) + SUMIF(negtgel!U$2:BL$2,'Tsalin uzuulelt'!L$2,negtgel!U344:BL344)+SUMIF(negtgel!U$2:BL$2,'Tsalin uzuulelt'!L$3,negtgel!U344:BL344)+SUMIF(negtgel!U$2:BL$2,'Tsalin uzuulelt'!L$4,negtgel!U344:BL344)+SUMIF(negtgel!U$2:BL$2,'Tsalin uzuulelt'!L$5,negtgel!U344:BL344)</f>
      </c>
      <c r="L344">
        <f>SUMIF(negtgel!U$2:BL$2,'Tsalin uzuulelt'!N$1,negtgel!U344:BL344) + SUMIF(negtgel!U$2:BL$2,'Tsalin uzuulelt'!N$2,negtgel!U344:BL344)+SUMIF(negtgel!U$2:BL$2,'Tsalin uzuulelt'!N$3,negtgel!U344:BL344)+SUMIF(negtgel!U$2:BL$2,'Tsalin uzuulelt'!N$4,negtgel!U344:BL344)+SUMIF(negtgel!U$2:BL$2,'Tsalin uzuulelt'!N$5,negtgel!U344:BL344)</f>
      </c>
      <c r="M344">
        <f>SUMIF(negtgel!U$2:BL$2,'Tsalin uzuulelt'!P$1,negtgel!U344:BL344) + SUMIF(negtgel!U$2:BL$2,'Tsalin uzuulelt'!P$2,negtgel!U344:BL344)+ SUMIF(negtgel!U$2:BL$2,'Tsalin uzuulelt'!P$3,negtgel!U344:BL344)+ SUMIF(negtgel!U$2:BL$2,'Tsalin uzuulelt'!P$4,negtgel!U344:BL344)+ SUMIF(negtgel!U$2:BL$2,'Tsalin uzuulelt'!P$5,negtgel!U344:BL344)</f>
      </c>
      <c r="N344">
        <f>IF(ISNUMBER(U344*1)=CF344,0,K344-H344-G344)</f>
      </c>
      <c r="O344">
        <f>IF(ISNUMBER(U344*1)=CF344,0,L344)</f>
      </c>
      <c r="P344">
        <f>IF(ISNUMBER(U344*1)=CF344,0,M344)</f>
      </c>
      <c r="Q344">
        <f>IF(N344&gt;2400000,N344,0)</f>
      </c>
      <c r="R344">
        <f>IF(L344/Q344*100&lt;3,2,10)</f>
      </c>
      <c r="S344">
        <f>IF(CH344=0,0,IF(B344&gt;9,10,IF(B344&gt;8,B344,IF(B344&gt;7.7,7.8,IF(B344&gt;3,B344,IF(B344&gt;1.5,2))))))</f>
      </c>
      <c r="T344">
        <f>IF(Q344=0,S344,R344)</f>
      </c>
      <c r="U344" t="n">
        <v>151.0</v>
      </c>
      <c r="V344" t="s">
        <v>3869</v>
      </c>
      <c r="W344" t="s">
        <v>3790</v>
      </c>
      <c r="X344" t="n">
        <v>613669.0</v>
      </c>
      <c r="Y344" t="n">
        <v>0.0</v>
      </c>
      <c r="Z344" t="n">
        <v>0.0</v>
      </c>
      <c r="AA344" t="n">
        <v>0.0</v>
      </c>
      <c r="AB344" t="n">
        <v>0.0</v>
      </c>
      <c r="AC344" t="n">
        <v>0.0</v>
      </c>
      <c r="AD344" t="n">
        <v>0.0</v>
      </c>
      <c r="AE344" t="n">
        <v>0.0</v>
      </c>
      <c r="AF344" t="n">
        <v>0.0</v>
      </c>
      <c r="AG344" t="n">
        <v>0.0</v>
      </c>
      <c r="AH344" t="n">
        <v>0.0</v>
      </c>
      <c r="AI344" t="n">
        <v>0.0</v>
      </c>
      <c r="AJ344" t="n">
        <v>0.0</v>
      </c>
      <c r="AK344" t="n">
        <v>0.0</v>
      </c>
      <c r="AL344" t="n">
        <v>0.0</v>
      </c>
      <c r="AM344" t="n">
        <v>0.0</v>
      </c>
      <c r="AN344" t="n">
        <v>0.0</v>
      </c>
      <c r="AO344" t="n">
        <v>0.0</v>
      </c>
      <c r="AP344" t="n">
        <v>0.0</v>
      </c>
      <c r="AQ344" t="n">
        <v>0.0</v>
      </c>
      <c r="CH344">
        <f>IFERROR(U344*1,0)</f>
      </c>
    </row>
    <row r="345">
      <c r="A345" t="n">
        <v>5.0</v>
      </c>
      <c r="B345">
        <f>IF((K345-G345-H345&gt;2400000),10,(L345/(K345-G345-H345)*100))</f>
      </c>
      <c r="C345">
        <f>IF(N345&gt;2400000,240000,(N345*S345)/100)</f>
      </c>
      <c r="D345">
        <f>IF(S345=0,0,IF((N345-I345)&gt;2400000,((((((N345-I345-J345)-240000))*0.1+(I345+J345)*0.1)))-7000,((((((N345-I345-J345)-(N345-I345-J345)*S345/100)))*0.1+(I345+J345)*0.1)-7000)))</f>
      </c>
      <c r="E345">
        <f>C345-O345</f>
      </c>
      <c r="F345">
        <f>D345-P345</f>
      </c>
      <c r="G345">
        <f>SUMIF(negtgel!U$2:BL$2,'Tsalin uzuulelt'!B$1,negtgel!U345:BL345) + SUMIF(negtgel!U$2:BL$2,'Tsalin uzuulelt'!B$2,negtgel!U345:BL345)+SUMIF(negtgel!U$2:BL$2,'Tsalin uzuulelt'!B$3,negtgel!U345:BL345)+SUMIF(negtgel!U$2:BL$2,'Tsalin uzuulelt'!B$4,negtgel!U345:BL345)+SUMIF(negtgel!U$2:BL$2,'Tsalin uzuulelt'!B$5,negtgel!U345:BL345)</f>
      </c>
      <c r="H345">
        <f>SUMIF(negtgel!U$2:BL$2,'Tsalin uzuulelt'!F$1,negtgel!U345:BL345) + SUMIF(negtgel!U$2:BL$2,'Tsalin uzuulelt'!F$2,negtgel!U345:BL345)+SUMIF(negtgel!U$2:BL$2,'Tsalin uzuulelt'!F$3,negtgel!U345:BL345)+SUMIF(negtgel!U$2:BL$2,'Tsalin uzuulelt'!F$4,negtgel!U345:BL345)+SUMIF(negtgel!U$2:BL$2,'Tsalin uzuulelt'!F$5,negtgel!U345:BL345)</f>
      </c>
      <c r="I345">
        <f>SUMIF(negtgel!U$2:BL$2,'Tsalin uzuulelt'!H$1,negtgel!U345:BL345) + SUMIF(negtgel!U$2:BL$2,'Tsalin uzuulelt'!H$2,negtgel!U345:BL345)+SUMIF(negtgel!U$2:BL$2,'Tsalin uzuulelt'!H$3,negtgel!U345:BL345)+SUMIF(negtgel!U$2:BL$2,'Tsalin uzuulelt'!H$4,negtgel!U345:BL345)+SUMIF(negtgel!U$2:BL$2,'Tsalin uzuulelt'!H$5,negtgel!U345:BL345)</f>
      </c>
      <c r="J345">
        <f>SUMIF(negtgel!U$2:BL$2,'Tsalin uzuulelt'!J$1,negtgel!U345:BL345) + SUMIF(negtgel!U$2:BL$2,'Tsalin uzuulelt'!J$2,negtgel!U345:BL345)+SUMIF(negtgel!U$2:BL$2,'Tsalin uzuulelt'!J$3,negtgel!U345:BL345)+SUMIF(negtgel!U$2:BL$2,'Tsalin uzuulelt'!J$4,negtgel!U345:BL345)+SUMIF(negtgel!U$2:BL$2,'Tsalin uzuulelt'!J$5,negtgel!U345:BL345)</f>
      </c>
      <c r="K345">
        <f>SUMIF(negtgel!U$2:BL$2,'Tsalin uzuulelt'!L$1,negtgel!U345:BL345) + SUMIF(negtgel!U$2:BL$2,'Tsalin uzuulelt'!L$2,negtgel!U345:BL345)+SUMIF(negtgel!U$2:BL$2,'Tsalin uzuulelt'!L$3,negtgel!U345:BL345)+SUMIF(negtgel!U$2:BL$2,'Tsalin uzuulelt'!L$4,negtgel!U345:BL345)+SUMIF(negtgel!U$2:BL$2,'Tsalin uzuulelt'!L$5,negtgel!U345:BL345)</f>
      </c>
      <c r="L345">
        <f>SUMIF(negtgel!U$2:BL$2,'Tsalin uzuulelt'!N$1,negtgel!U345:BL345) + SUMIF(negtgel!U$2:BL$2,'Tsalin uzuulelt'!N$2,negtgel!U345:BL345)+SUMIF(negtgel!U$2:BL$2,'Tsalin uzuulelt'!N$3,negtgel!U345:BL345)+SUMIF(negtgel!U$2:BL$2,'Tsalin uzuulelt'!N$4,negtgel!U345:BL345)+SUMIF(negtgel!U$2:BL$2,'Tsalin uzuulelt'!N$5,negtgel!U345:BL345)</f>
      </c>
      <c r="M345">
        <f>SUMIF(negtgel!U$2:BL$2,'Tsalin uzuulelt'!P$1,negtgel!U345:BL345) + SUMIF(negtgel!U$2:BL$2,'Tsalin uzuulelt'!P$2,negtgel!U345:BL345)+ SUMIF(negtgel!U$2:BL$2,'Tsalin uzuulelt'!P$3,negtgel!U345:BL345)+ SUMIF(negtgel!U$2:BL$2,'Tsalin uzuulelt'!P$4,negtgel!U345:BL345)+ SUMIF(negtgel!U$2:BL$2,'Tsalin uzuulelt'!P$5,negtgel!U345:BL345)</f>
      </c>
      <c r="N345">
        <f>IF(ISNUMBER(U345*1)=CF345,0,K345-H345-G345)</f>
      </c>
      <c r="O345">
        <f>IF(ISNUMBER(U345*1)=CF345,0,L345)</f>
      </c>
      <c r="P345">
        <f>IF(ISNUMBER(U345*1)=CF345,0,M345)</f>
      </c>
      <c r="Q345">
        <f>IF(N345&gt;2400000,N345,0)</f>
      </c>
      <c r="R345">
        <f>IF(L345/Q345*100&lt;3,2,10)</f>
      </c>
      <c r="S345">
        <f>IF(CH345=0,0,IF(B345&gt;9,10,IF(B345&gt;8,B345,IF(B345&gt;7.7,7.8,IF(B345&gt;3,B345,IF(B345&gt;1.5,2))))))</f>
      </c>
      <c r="T345">
        <f>IF(Q345=0,S345,R345)</f>
      </c>
      <c r="U345" t="n">
        <v>152.0</v>
      </c>
      <c r="V345" t="s">
        <v>3870</v>
      </c>
      <c r="W345" t="s">
        <v>3790</v>
      </c>
      <c r="X345" t="n">
        <v>580710.0</v>
      </c>
      <c r="Y345" t="n">
        <v>0.0</v>
      </c>
      <c r="Z345" t="n">
        <v>0.0</v>
      </c>
      <c r="AA345" t="n">
        <v>0.0</v>
      </c>
      <c r="AB345" t="n">
        <v>0.0</v>
      </c>
      <c r="AC345" t="n">
        <v>0.0</v>
      </c>
      <c r="AD345" t="n">
        <v>0.0</v>
      </c>
      <c r="AE345" t="n">
        <v>0.0</v>
      </c>
      <c r="AF345" t="n">
        <v>0.0</v>
      </c>
      <c r="AG345" t="n">
        <v>0.0</v>
      </c>
      <c r="AH345" t="n">
        <v>0.0</v>
      </c>
      <c r="AI345" t="n">
        <v>0.0</v>
      </c>
      <c r="AJ345" t="n">
        <v>0.0</v>
      </c>
      <c r="AK345" t="n">
        <v>0.0</v>
      </c>
      <c r="AL345" t="n">
        <v>0.0</v>
      </c>
      <c r="AM345" t="n">
        <v>0.0</v>
      </c>
      <c r="AN345" t="n">
        <v>0.0</v>
      </c>
      <c r="AO345" t="n">
        <v>0.0</v>
      </c>
      <c r="AP345" t="n">
        <v>0.0</v>
      </c>
      <c r="AQ345" t="n">
        <v>0.0</v>
      </c>
      <c r="CH345">
        <f>IFERROR(U345*1,0)</f>
      </c>
    </row>
    <row r="346">
      <c r="A346" t="n">
        <v>5.0</v>
      </c>
      <c r="B346">
        <f>IF((K346-G346-H346&gt;2400000),10,(L346/(K346-G346-H346)*100))</f>
      </c>
      <c r="C346">
        <f>IF(N346&gt;2400000,240000,(N346*S346)/100)</f>
      </c>
      <c r="D346">
        <f>IF(S346=0,0,IF((N346-I346)&gt;2400000,((((((N346-I346-J346)-240000))*0.1+(I346+J346)*0.1)))-7000,((((((N346-I346-J346)-(N346-I346-J346)*S346/100)))*0.1+(I346+J346)*0.1)-7000)))</f>
      </c>
      <c r="E346">
        <f>C346-O346</f>
      </c>
      <c r="F346">
        <f>D346-P346</f>
      </c>
      <c r="G346">
        <f>SUMIF(negtgel!U$2:BL$2,'Tsalin uzuulelt'!B$1,negtgel!U346:BL346) + SUMIF(negtgel!U$2:BL$2,'Tsalin uzuulelt'!B$2,negtgel!U346:BL346)+SUMIF(negtgel!U$2:BL$2,'Tsalin uzuulelt'!B$3,negtgel!U346:BL346)+SUMIF(negtgel!U$2:BL$2,'Tsalin uzuulelt'!B$4,negtgel!U346:BL346)+SUMIF(negtgel!U$2:BL$2,'Tsalin uzuulelt'!B$5,negtgel!U346:BL346)</f>
      </c>
      <c r="H346">
        <f>SUMIF(negtgel!U$2:BL$2,'Tsalin uzuulelt'!F$1,negtgel!U346:BL346) + SUMIF(negtgel!U$2:BL$2,'Tsalin uzuulelt'!F$2,negtgel!U346:BL346)+SUMIF(negtgel!U$2:BL$2,'Tsalin uzuulelt'!F$3,negtgel!U346:BL346)+SUMIF(negtgel!U$2:BL$2,'Tsalin uzuulelt'!F$4,negtgel!U346:BL346)+SUMIF(negtgel!U$2:BL$2,'Tsalin uzuulelt'!F$5,negtgel!U346:BL346)</f>
      </c>
      <c r="I346">
        <f>SUMIF(negtgel!U$2:BL$2,'Tsalin uzuulelt'!H$1,negtgel!U346:BL346) + SUMIF(negtgel!U$2:BL$2,'Tsalin uzuulelt'!H$2,negtgel!U346:BL346)+SUMIF(negtgel!U$2:BL$2,'Tsalin uzuulelt'!H$3,negtgel!U346:BL346)+SUMIF(negtgel!U$2:BL$2,'Tsalin uzuulelt'!H$4,negtgel!U346:BL346)+SUMIF(negtgel!U$2:BL$2,'Tsalin uzuulelt'!H$5,negtgel!U346:BL346)</f>
      </c>
      <c r="J346">
        <f>SUMIF(negtgel!U$2:BL$2,'Tsalin uzuulelt'!J$1,negtgel!U346:BL346) + SUMIF(negtgel!U$2:BL$2,'Tsalin uzuulelt'!J$2,negtgel!U346:BL346)+SUMIF(negtgel!U$2:BL$2,'Tsalin uzuulelt'!J$3,negtgel!U346:BL346)+SUMIF(negtgel!U$2:BL$2,'Tsalin uzuulelt'!J$4,negtgel!U346:BL346)+SUMIF(negtgel!U$2:BL$2,'Tsalin uzuulelt'!J$5,negtgel!U346:BL346)</f>
      </c>
      <c r="K346">
        <f>SUMIF(negtgel!U$2:BL$2,'Tsalin uzuulelt'!L$1,negtgel!U346:BL346) + SUMIF(negtgel!U$2:BL$2,'Tsalin uzuulelt'!L$2,negtgel!U346:BL346)+SUMIF(negtgel!U$2:BL$2,'Tsalin uzuulelt'!L$3,negtgel!U346:BL346)+SUMIF(negtgel!U$2:BL$2,'Tsalin uzuulelt'!L$4,negtgel!U346:BL346)+SUMIF(negtgel!U$2:BL$2,'Tsalin uzuulelt'!L$5,negtgel!U346:BL346)</f>
      </c>
      <c r="L346">
        <f>SUMIF(negtgel!U$2:BL$2,'Tsalin uzuulelt'!N$1,negtgel!U346:BL346) + SUMIF(negtgel!U$2:BL$2,'Tsalin uzuulelt'!N$2,negtgel!U346:BL346)+SUMIF(negtgel!U$2:BL$2,'Tsalin uzuulelt'!N$3,negtgel!U346:BL346)+SUMIF(negtgel!U$2:BL$2,'Tsalin uzuulelt'!N$4,negtgel!U346:BL346)+SUMIF(negtgel!U$2:BL$2,'Tsalin uzuulelt'!N$5,negtgel!U346:BL346)</f>
      </c>
      <c r="M346">
        <f>SUMIF(negtgel!U$2:BL$2,'Tsalin uzuulelt'!P$1,negtgel!U346:BL346) + SUMIF(negtgel!U$2:BL$2,'Tsalin uzuulelt'!P$2,negtgel!U346:BL346)+ SUMIF(negtgel!U$2:BL$2,'Tsalin uzuulelt'!P$3,negtgel!U346:BL346)+ SUMIF(negtgel!U$2:BL$2,'Tsalin uzuulelt'!P$4,negtgel!U346:BL346)+ SUMIF(negtgel!U$2:BL$2,'Tsalin uzuulelt'!P$5,negtgel!U346:BL346)</f>
      </c>
      <c r="N346">
        <f>IF(ISNUMBER(U346*1)=CF346,0,K346-H346-G346)</f>
      </c>
      <c r="O346">
        <f>IF(ISNUMBER(U346*1)=CF346,0,L346)</f>
      </c>
      <c r="P346">
        <f>IF(ISNUMBER(U346*1)=CF346,0,M346)</f>
      </c>
      <c r="Q346">
        <f>IF(N346&gt;2400000,N346,0)</f>
      </c>
      <c r="R346">
        <f>IF(L346/Q346*100&lt;3,2,10)</f>
      </c>
      <c r="S346">
        <f>IF(CH346=0,0,IF(B346&gt;9,10,IF(B346&gt;8,B346,IF(B346&gt;7.7,7.8,IF(B346&gt;3,B346,IF(B346&gt;1.5,2))))))</f>
      </c>
      <c r="T346">
        <f>IF(Q346=0,S346,R346)</f>
      </c>
      <c r="U346" t="n">
        <v>153.0</v>
      </c>
      <c r="V346" t="s">
        <v>3871</v>
      </c>
      <c r="W346" t="s">
        <v>3790</v>
      </c>
      <c r="X346" t="n">
        <v>613669.0</v>
      </c>
      <c r="Y346" t="n">
        <v>0.0</v>
      </c>
      <c r="Z346" t="n">
        <v>0.0</v>
      </c>
      <c r="AA346" t="n">
        <v>0.0</v>
      </c>
      <c r="AB346" t="n">
        <v>0.0</v>
      </c>
      <c r="AC346" t="n">
        <v>0.0</v>
      </c>
      <c r="AD346" t="n">
        <v>0.0</v>
      </c>
      <c r="AE346" t="n">
        <v>0.0</v>
      </c>
      <c r="AF346" t="n">
        <v>0.0</v>
      </c>
      <c r="AG346" t="n">
        <v>0.0</v>
      </c>
      <c r="AH346" t="n">
        <v>0.0</v>
      </c>
      <c r="AI346" t="n">
        <v>0.0</v>
      </c>
      <c r="AJ346" t="n">
        <v>0.0</v>
      </c>
      <c r="AK346" t="n">
        <v>0.0</v>
      </c>
      <c r="AL346" t="n">
        <v>0.0</v>
      </c>
      <c r="AM346" t="n">
        <v>0.0</v>
      </c>
      <c r="AN346" t="n">
        <v>0.0</v>
      </c>
      <c r="AO346" t="n">
        <v>0.0</v>
      </c>
      <c r="AP346" t="n">
        <v>0.0</v>
      </c>
      <c r="AQ346" t="n">
        <v>0.0</v>
      </c>
      <c r="CH346">
        <f>IFERROR(U346*1,0)</f>
      </c>
    </row>
    <row r="347">
      <c r="A347" t="n">
        <v>5.0</v>
      </c>
      <c r="B347">
        <f>IF((K347-G347-H347&gt;2400000),10,(L347/(K347-G347-H347)*100))</f>
      </c>
      <c r="C347">
        <f>IF(N347&gt;2400000,240000,(N347*S347)/100)</f>
      </c>
      <c r="D347">
        <f>IF(S347=0,0,IF((N347-I347)&gt;2400000,((((((N347-I347-J347)-240000))*0.1+(I347+J347)*0.1)))-7000,((((((N347-I347-J347)-(N347-I347-J347)*S347/100)))*0.1+(I347+J347)*0.1)-7000)))</f>
      </c>
      <c r="E347">
        <f>C347-O347</f>
      </c>
      <c r="F347">
        <f>D347-P347</f>
      </c>
      <c r="G347">
        <f>SUMIF(negtgel!U$2:BL$2,'Tsalin uzuulelt'!B$1,negtgel!U347:BL347) + SUMIF(negtgel!U$2:BL$2,'Tsalin uzuulelt'!B$2,negtgel!U347:BL347)+SUMIF(negtgel!U$2:BL$2,'Tsalin uzuulelt'!B$3,negtgel!U347:BL347)+SUMIF(negtgel!U$2:BL$2,'Tsalin uzuulelt'!B$4,negtgel!U347:BL347)+SUMIF(negtgel!U$2:BL$2,'Tsalin uzuulelt'!B$5,negtgel!U347:BL347)</f>
      </c>
      <c r="H347">
        <f>SUMIF(negtgel!U$2:BL$2,'Tsalin uzuulelt'!F$1,negtgel!U347:BL347) + SUMIF(negtgel!U$2:BL$2,'Tsalin uzuulelt'!F$2,negtgel!U347:BL347)+SUMIF(negtgel!U$2:BL$2,'Tsalin uzuulelt'!F$3,negtgel!U347:BL347)+SUMIF(negtgel!U$2:BL$2,'Tsalin uzuulelt'!F$4,negtgel!U347:BL347)+SUMIF(negtgel!U$2:BL$2,'Tsalin uzuulelt'!F$5,negtgel!U347:BL347)</f>
      </c>
      <c r="I347">
        <f>SUMIF(negtgel!U$2:BL$2,'Tsalin uzuulelt'!H$1,negtgel!U347:BL347) + SUMIF(negtgel!U$2:BL$2,'Tsalin uzuulelt'!H$2,negtgel!U347:BL347)+SUMIF(negtgel!U$2:BL$2,'Tsalin uzuulelt'!H$3,negtgel!U347:BL347)+SUMIF(negtgel!U$2:BL$2,'Tsalin uzuulelt'!H$4,negtgel!U347:BL347)+SUMIF(negtgel!U$2:BL$2,'Tsalin uzuulelt'!H$5,negtgel!U347:BL347)</f>
      </c>
      <c r="J347">
        <f>SUMIF(negtgel!U$2:BL$2,'Tsalin uzuulelt'!J$1,negtgel!U347:BL347) + SUMIF(negtgel!U$2:BL$2,'Tsalin uzuulelt'!J$2,negtgel!U347:BL347)+SUMIF(negtgel!U$2:BL$2,'Tsalin uzuulelt'!J$3,negtgel!U347:BL347)+SUMIF(negtgel!U$2:BL$2,'Tsalin uzuulelt'!J$4,negtgel!U347:BL347)+SUMIF(negtgel!U$2:BL$2,'Tsalin uzuulelt'!J$5,negtgel!U347:BL347)</f>
      </c>
      <c r="K347">
        <f>SUMIF(negtgel!U$2:BL$2,'Tsalin uzuulelt'!L$1,negtgel!U347:BL347) + SUMIF(negtgel!U$2:BL$2,'Tsalin uzuulelt'!L$2,negtgel!U347:BL347)+SUMIF(negtgel!U$2:BL$2,'Tsalin uzuulelt'!L$3,negtgel!U347:BL347)+SUMIF(negtgel!U$2:BL$2,'Tsalin uzuulelt'!L$4,negtgel!U347:BL347)+SUMIF(negtgel!U$2:BL$2,'Tsalin uzuulelt'!L$5,negtgel!U347:BL347)</f>
      </c>
      <c r="L347">
        <f>SUMIF(negtgel!U$2:BL$2,'Tsalin uzuulelt'!N$1,negtgel!U347:BL347) + SUMIF(negtgel!U$2:BL$2,'Tsalin uzuulelt'!N$2,negtgel!U347:BL347)+SUMIF(negtgel!U$2:BL$2,'Tsalin uzuulelt'!N$3,negtgel!U347:BL347)+SUMIF(negtgel!U$2:BL$2,'Tsalin uzuulelt'!N$4,negtgel!U347:BL347)+SUMIF(negtgel!U$2:BL$2,'Tsalin uzuulelt'!N$5,negtgel!U347:BL347)</f>
      </c>
      <c r="M347">
        <f>SUMIF(negtgel!U$2:BL$2,'Tsalin uzuulelt'!P$1,negtgel!U347:BL347) + SUMIF(negtgel!U$2:BL$2,'Tsalin uzuulelt'!P$2,negtgel!U347:BL347)+ SUMIF(negtgel!U$2:BL$2,'Tsalin uzuulelt'!P$3,negtgel!U347:BL347)+ SUMIF(negtgel!U$2:BL$2,'Tsalin uzuulelt'!P$4,negtgel!U347:BL347)+ SUMIF(negtgel!U$2:BL$2,'Tsalin uzuulelt'!P$5,negtgel!U347:BL347)</f>
      </c>
      <c r="N347">
        <f>IF(ISNUMBER(U347*1)=CF347,0,K347-H347-G347)</f>
      </c>
      <c r="O347">
        <f>IF(ISNUMBER(U347*1)=CF347,0,L347)</f>
      </c>
      <c r="P347">
        <f>IF(ISNUMBER(U347*1)=CF347,0,M347)</f>
      </c>
      <c r="Q347">
        <f>IF(N347&gt;2400000,N347,0)</f>
      </c>
      <c r="R347">
        <f>IF(L347/Q347*100&lt;3,2,10)</f>
      </c>
      <c r="S347">
        <f>IF(CH347=0,0,IF(B347&gt;9,10,IF(B347&gt;8,B347,IF(B347&gt;7.7,7.8,IF(B347&gt;3,B347,IF(B347&gt;1.5,2))))))</f>
      </c>
      <c r="T347">
        <f>IF(Q347=0,S347,R347)</f>
      </c>
      <c r="U347" t="n">
        <v>154.0</v>
      </c>
      <c r="V347" t="s">
        <v>3863</v>
      </c>
      <c r="W347" t="s">
        <v>3790</v>
      </c>
      <c r="X347" t="n">
        <v>577826.0</v>
      </c>
      <c r="Y347" t="n">
        <v>0.0</v>
      </c>
      <c r="Z347" t="n">
        <v>0.0</v>
      </c>
      <c r="AA347" t="n">
        <v>0.0</v>
      </c>
      <c r="AB347" t="n">
        <v>0.0</v>
      </c>
      <c r="AC347" t="n">
        <v>0.0</v>
      </c>
      <c r="AD347" t="n">
        <v>0.0</v>
      </c>
      <c r="AE347" t="n">
        <v>0.0</v>
      </c>
      <c r="AF347" t="n">
        <v>0.0</v>
      </c>
      <c r="AG347" t="n">
        <v>0.0</v>
      </c>
      <c r="AH347" t="n">
        <v>0.0</v>
      </c>
      <c r="AI347" t="n">
        <v>0.0</v>
      </c>
      <c r="AJ347" t="n">
        <v>0.0</v>
      </c>
      <c r="AK347" t="n">
        <v>0.0</v>
      </c>
      <c r="AL347" t="n">
        <v>0.0</v>
      </c>
      <c r="AM347" t="n">
        <v>0.0</v>
      </c>
      <c r="AN347" t="n">
        <v>0.0</v>
      </c>
      <c r="AO347" t="n">
        <v>0.0</v>
      </c>
      <c r="AP347" t="n">
        <v>0.0</v>
      </c>
      <c r="AQ347" t="n">
        <v>0.0</v>
      </c>
      <c r="CH347">
        <f>IFERROR(U347*1,0)</f>
      </c>
    </row>
    <row r="348">
      <c r="A348" t="n">
        <v>5.0</v>
      </c>
      <c r="B348">
        <f>IF((K348-G348-H348&gt;2400000),10,(L348/(K348-G348-H348)*100))</f>
      </c>
      <c r="C348">
        <f>IF(N348&gt;2400000,240000,(N348*S348)/100)</f>
      </c>
      <c r="D348">
        <f>IF(S348=0,0,IF((N348-I348)&gt;2400000,((((((N348-I348-J348)-240000))*0.1+(I348+J348)*0.1)))-7000,((((((N348-I348-J348)-(N348-I348-J348)*S348/100)))*0.1+(I348+J348)*0.1)-7000)))</f>
      </c>
      <c r="E348">
        <f>C348-O348</f>
      </c>
      <c r="F348">
        <f>D348-P348</f>
      </c>
      <c r="G348">
        <f>SUMIF(negtgel!U$2:BL$2,'Tsalin uzuulelt'!B$1,negtgel!U348:BL348) + SUMIF(negtgel!U$2:BL$2,'Tsalin uzuulelt'!B$2,negtgel!U348:BL348)+SUMIF(negtgel!U$2:BL$2,'Tsalin uzuulelt'!B$3,negtgel!U348:BL348)+SUMIF(negtgel!U$2:BL$2,'Tsalin uzuulelt'!B$4,negtgel!U348:BL348)+SUMIF(negtgel!U$2:BL$2,'Tsalin uzuulelt'!B$5,negtgel!U348:BL348)</f>
      </c>
      <c r="H348">
        <f>SUMIF(negtgel!U$2:BL$2,'Tsalin uzuulelt'!F$1,negtgel!U348:BL348) + SUMIF(negtgel!U$2:BL$2,'Tsalin uzuulelt'!F$2,negtgel!U348:BL348)+SUMIF(negtgel!U$2:BL$2,'Tsalin uzuulelt'!F$3,negtgel!U348:BL348)+SUMIF(negtgel!U$2:BL$2,'Tsalin uzuulelt'!F$4,negtgel!U348:BL348)+SUMIF(negtgel!U$2:BL$2,'Tsalin uzuulelt'!F$5,negtgel!U348:BL348)</f>
      </c>
      <c r="I348">
        <f>SUMIF(negtgel!U$2:BL$2,'Tsalin uzuulelt'!H$1,negtgel!U348:BL348) + SUMIF(negtgel!U$2:BL$2,'Tsalin uzuulelt'!H$2,negtgel!U348:BL348)+SUMIF(negtgel!U$2:BL$2,'Tsalin uzuulelt'!H$3,negtgel!U348:BL348)+SUMIF(negtgel!U$2:BL$2,'Tsalin uzuulelt'!H$4,negtgel!U348:BL348)+SUMIF(negtgel!U$2:BL$2,'Tsalin uzuulelt'!H$5,negtgel!U348:BL348)</f>
      </c>
      <c r="J348">
        <f>SUMIF(negtgel!U$2:BL$2,'Tsalin uzuulelt'!J$1,negtgel!U348:BL348) + SUMIF(negtgel!U$2:BL$2,'Tsalin uzuulelt'!J$2,negtgel!U348:BL348)+SUMIF(negtgel!U$2:BL$2,'Tsalin uzuulelt'!J$3,negtgel!U348:BL348)+SUMIF(negtgel!U$2:BL$2,'Tsalin uzuulelt'!J$4,negtgel!U348:BL348)+SUMIF(negtgel!U$2:BL$2,'Tsalin uzuulelt'!J$5,negtgel!U348:BL348)</f>
      </c>
      <c r="K348">
        <f>SUMIF(negtgel!U$2:BL$2,'Tsalin uzuulelt'!L$1,negtgel!U348:BL348) + SUMIF(negtgel!U$2:BL$2,'Tsalin uzuulelt'!L$2,negtgel!U348:BL348)+SUMIF(negtgel!U$2:BL$2,'Tsalin uzuulelt'!L$3,negtgel!U348:BL348)+SUMIF(negtgel!U$2:BL$2,'Tsalin uzuulelt'!L$4,negtgel!U348:BL348)+SUMIF(negtgel!U$2:BL$2,'Tsalin uzuulelt'!L$5,negtgel!U348:BL348)</f>
      </c>
      <c r="L348">
        <f>SUMIF(negtgel!U$2:BL$2,'Tsalin uzuulelt'!N$1,negtgel!U348:BL348) + SUMIF(negtgel!U$2:BL$2,'Tsalin uzuulelt'!N$2,negtgel!U348:BL348)+SUMIF(negtgel!U$2:BL$2,'Tsalin uzuulelt'!N$3,negtgel!U348:BL348)+SUMIF(negtgel!U$2:BL$2,'Tsalin uzuulelt'!N$4,negtgel!U348:BL348)+SUMIF(negtgel!U$2:BL$2,'Tsalin uzuulelt'!N$5,negtgel!U348:BL348)</f>
      </c>
      <c r="M348">
        <f>SUMIF(negtgel!U$2:BL$2,'Tsalin uzuulelt'!P$1,negtgel!U348:BL348) + SUMIF(negtgel!U$2:BL$2,'Tsalin uzuulelt'!P$2,negtgel!U348:BL348)+ SUMIF(negtgel!U$2:BL$2,'Tsalin uzuulelt'!P$3,negtgel!U348:BL348)+ SUMIF(negtgel!U$2:BL$2,'Tsalin uzuulelt'!P$4,negtgel!U348:BL348)+ SUMIF(negtgel!U$2:BL$2,'Tsalin uzuulelt'!P$5,negtgel!U348:BL348)</f>
      </c>
      <c r="N348">
        <f>IF(ISNUMBER(U348*1)=CF348,0,K348-H348-G348)</f>
      </c>
      <c r="O348">
        <f>IF(ISNUMBER(U348*1)=CF348,0,L348)</f>
      </c>
      <c r="P348">
        <f>IF(ISNUMBER(U348*1)=CF348,0,M348)</f>
      </c>
      <c r="Q348">
        <f>IF(N348&gt;2400000,N348,0)</f>
      </c>
      <c r="R348">
        <f>IF(L348/Q348*100&lt;3,2,10)</f>
      </c>
      <c r="S348">
        <f>IF(CH348=0,0,IF(B348&gt;9,10,IF(B348&gt;8,B348,IF(B348&gt;7.7,7.8,IF(B348&gt;3,B348,IF(B348&gt;1.5,2))))))</f>
      </c>
      <c r="T348">
        <f>IF(Q348=0,S348,R348)</f>
      </c>
      <c r="U348" t="n">
        <v>155.0</v>
      </c>
      <c r="V348" t="s">
        <v>3786</v>
      </c>
      <c r="W348" t="s">
        <v>3785</v>
      </c>
      <c r="X348" t="n">
        <v>627465.0</v>
      </c>
      <c r="Y348" t="n">
        <v>0.0</v>
      </c>
      <c r="Z348" t="n">
        <v>0.0</v>
      </c>
      <c r="AA348" t="n">
        <v>0.0</v>
      </c>
      <c r="AB348" t="n">
        <v>0.0</v>
      </c>
      <c r="AC348" t="n">
        <v>0.0</v>
      </c>
      <c r="AD348" t="n">
        <v>0.0</v>
      </c>
      <c r="AE348" t="n">
        <v>0.0</v>
      </c>
      <c r="AF348" t="n">
        <v>0.0</v>
      </c>
      <c r="AG348" t="n">
        <v>0.0</v>
      </c>
      <c r="AH348" t="n">
        <v>0.0</v>
      </c>
      <c r="AI348" t="n">
        <v>0.0</v>
      </c>
      <c r="AJ348" t="n">
        <v>0.0</v>
      </c>
      <c r="AK348" t="n">
        <v>0.0</v>
      </c>
      <c r="AL348" t="n">
        <v>0.0</v>
      </c>
      <c r="AM348" t="n">
        <v>0.0</v>
      </c>
      <c r="AN348" t="n">
        <v>0.0</v>
      </c>
      <c r="AO348" t="n">
        <v>0.0</v>
      </c>
      <c r="AP348" t="n">
        <v>0.0</v>
      </c>
      <c r="AQ348" t="n">
        <v>0.0</v>
      </c>
      <c r="CH348">
        <f>IFERROR(U348*1,0)</f>
      </c>
    </row>
    <row r="349">
      <c r="A349" t="n">
        <v>5.0</v>
      </c>
      <c r="B349">
        <f>IF((K349-G349-H349&gt;2400000),10,(L349/(K349-G349-H349)*100))</f>
      </c>
      <c r="C349">
        <f>IF(N349&gt;2400000,240000,(N349*S349)/100)</f>
      </c>
      <c r="D349">
        <f>IF(S349=0,0,IF((N349-I349)&gt;2400000,((((((N349-I349-J349)-240000))*0.1+(I349+J349)*0.1)))-7000,((((((N349-I349-J349)-(N349-I349-J349)*S349/100)))*0.1+(I349+J349)*0.1)-7000)))</f>
      </c>
      <c r="E349">
        <f>C349-O349</f>
      </c>
      <c r="F349">
        <f>D349-P349</f>
      </c>
      <c r="G349">
        <f>SUMIF(negtgel!U$2:BL$2,'Tsalin uzuulelt'!B$1,negtgel!U349:BL349) + SUMIF(negtgel!U$2:BL$2,'Tsalin uzuulelt'!B$2,negtgel!U349:BL349)+SUMIF(negtgel!U$2:BL$2,'Tsalin uzuulelt'!B$3,negtgel!U349:BL349)+SUMIF(negtgel!U$2:BL$2,'Tsalin uzuulelt'!B$4,negtgel!U349:BL349)+SUMIF(negtgel!U$2:BL$2,'Tsalin uzuulelt'!B$5,negtgel!U349:BL349)</f>
      </c>
      <c r="H349">
        <f>SUMIF(negtgel!U$2:BL$2,'Tsalin uzuulelt'!F$1,negtgel!U349:BL349) + SUMIF(negtgel!U$2:BL$2,'Tsalin uzuulelt'!F$2,negtgel!U349:BL349)+SUMIF(negtgel!U$2:BL$2,'Tsalin uzuulelt'!F$3,negtgel!U349:BL349)+SUMIF(negtgel!U$2:BL$2,'Tsalin uzuulelt'!F$4,negtgel!U349:BL349)+SUMIF(negtgel!U$2:BL$2,'Tsalin uzuulelt'!F$5,negtgel!U349:BL349)</f>
      </c>
      <c r="I349">
        <f>SUMIF(negtgel!U$2:BL$2,'Tsalin uzuulelt'!H$1,negtgel!U349:BL349) + SUMIF(negtgel!U$2:BL$2,'Tsalin uzuulelt'!H$2,negtgel!U349:BL349)+SUMIF(negtgel!U$2:BL$2,'Tsalin uzuulelt'!H$3,negtgel!U349:BL349)+SUMIF(negtgel!U$2:BL$2,'Tsalin uzuulelt'!H$4,negtgel!U349:BL349)+SUMIF(negtgel!U$2:BL$2,'Tsalin uzuulelt'!H$5,negtgel!U349:BL349)</f>
      </c>
      <c r="J349">
        <f>SUMIF(negtgel!U$2:BL$2,'Tsalin uzuulelt'!J$1,negtgel!U349:BL349) + SUMIF(negtgel!U$2:BL$2,'Tsalin uzuulelt'!J$2,negtgel!U349:BL349)+SUMIF(negtgel!U$2:BL$2,'Tsalin uzuulelt'!J$3,negtgel!U349:BL349)+SUMIF(negtgel!U$2:BL$2,'Tsalin uzuulelt'!J$4,negtgel!U349:BL349)+SUMIF(negtgel!U$2:BL$2,'Tsalin uzuulelt'!J$5,negtgel!U349:BL349)</f>
      </c>
      <c r="K349">
        <f>SUMIF(negtgel!U$2:BL$2,'Tsalin uzuulelt'!L$1,negtgel!U349:BL349) + SUMIF(negtgel!U$2:BL$2,'Tsalin uzuulelt'!L$2,negtgel!U349:BL349)+SUMIF(negtgel!U$2:BL$2,'Tsalin uzuulelt'!L$3,negtgel!U349:BL349)+SUMIF(negtgel!U$2:BL$2,'Tsalin uzuulelt'!L$4,negtgel!U349:BL349)+SUMIF(negtgel!U$2:BL$2,'Tsalin uzuulelt'!L$5,negtgel!U349:BL349)</f>
      </c>
      <c r="L349">
        <f>SUMIF(negtgel!U$2:BL$2,'Tsalin uzuulelt'!N$1,negtgel!U349:BL349) + SUMIF(negtgel!U$2:BL$2,'Tsalin uzuulelt'!N$2,negtgel!U349:BL349)+SUMIF(negtgel!U$2:BL$2,'Tsalin uzuulelt'!N$3,negtgel!U349:BL349)+SUMIF(negtgel!U$2:BL$2,'Tsalin uzuulelt'!N$4,negtgel!U349:BL349)+SUMIF(negtgel!U$2:BL$2,'Tsalin uzuulelt'!N$5,negtgel!U349:BL349)</f>
      </c>
      <c r="M349">
        <f>SUMIF(negtgel!U$2:BL$2,'Tsalin uzuulelt'!P$1,negtgel!U349:BL349) + SUMIF(negtgel!U$2:BL$2,'Tsalin uzuulelt'!P$2,negtgel!U349:BL349)+ SUMIF(negtgel!U$2:BL$2,'Tsalin uzuulelt'!P$3,negtgel!U349:BL349)+ SUMIF(negtgel!U$2:BL$2,'Tsalin uzuulelt'!P$4,negtgel!U349:BL349)+ SUMIF(negtgel!U$2:BL$2,'Tsalin uzuulelt'!P$5,negtgel!U349:BL349)</f>
      </c>
      <c r="N349">
        <f>IF(ISNUMBER(U349*1)=CF349,0,K349-H349-G349)</f>
      </c>
      <c r="O349">
        <f>IF(ISNUMBER(U349*1)=CF349,0,L349)</f>
      </c>
      <c r="P349">
        <f>IF(ISNUMBER(U349*1)=CF349,0,M349)</f>
      </c>
      <c r="Q349">
        <f>IF(N349&gt;2400000,N349,0)</f>
      </c>
      <c r="R349">
        <f>IF(L349/Q349*100&lt;3,2,10)</f>
      </c>
      <c r="S349">
        <f>IF(CH349=0,0,IF(B349&gt;9,10,IF(B349&gt;8,B349,IF(B349&gt;7.7,7.8,IF(B349&gt;3,B349,IF(B349&gt;1.5,2))))))</f>
      </c>
      <c r="T349">
        <f>IF(Q349=0,S349,R349)</f>
      </c>
      <c r="U349" t="n">
        <v>156.0</v>
      </c>
      <c r="V349" t="s">
        <v>3860</v>
      </c>
      <c r="W349" t="s">
        <v>3790</v>
      </c>
      <c r="X349" t="n">
        <v>547759.0</v>
      </c>
      <c r="Y349" t="n">
        <v>0.0</v>
      </c>
      <c r="Z349" t="n">
        <v>0.0</v>
      </c>
      <c r="AA349" t="n">
        <v>0.0</v>
      </c>
      <c r="AB349" t="n">
        <v>0.0</v>
      </c>
      <c r="AC349" t="n">
        <v>0.0</v>
      </c>
      <c r="AD349" t="n">
        <v>0.0</v>
      </c>
      <c r="AE349" t="n">
        <v>0.0</v>
      </c>
      <c r="AF349" t="n">
        <v>0.0</v>
      </c>
      <c r="AG349" t="n">
        <v>0.0</v>
      </c>
      <c r="AH349" t="n">
        <v>0.0</v>
      </c>
      <c r="AI349" t="n">
        <v>0.0</v>
      </c>
      <c r="AJ349" t="n">
        <v>0.0</v>
      </c>
      <c r="AK349" t="n">
        <v>0.0</v>
      </c>
      <c r="AL349" t="n">
        <v>0.0</v>
      </c>
      <c r="AM349" t="n">
        <v>0.0</v>
      </c>
      <c r="AN349" t="n">
        <v>0.0</v>
      </c>
      <c r="AO349" t="n">
        <v>0.0</v>
      </c>
      <c r="AP349" t="n">
        <v>0.0</v>
      </c>
      <c r="AQ349" t="n">
        <v>0.0</v>
      </c>
      <c r="CH349">
        <f>IFERROR(U349*1,0)</f>
      </c>
    </row>
    <row r="350">
      <c r="A350" t="n">
        <v>5.0</v>
      </c>
      <c r="B350">
        <f>IF((K350-G350-H350&gt;2400000),10,(L350/(K350-G350-H350)*100))</f>
      </c>
      <c r="C350">
        <f>IF(N350&gt;2400000,240000,(N350*S350)/100)</f>
      </c>
      <c r="D350">
        <f>IF(S350=0,0,IF((N350-I350)&gt;2400000,((((((N350-I350-J350)-240000))*0.1+(I350+J350)*0.1)))-7000,((((((N350-I350-J350)-(N350-I350-J350)*S350/100)))*0.1+(I350+J350)*0.1)-7000)))</f>
      </c>
      <c r="E350">
        <f>C350-O350</f>
      </c>
      <c r="F350">
        <f>D350-P350</f>
      </c>
      <c r="G350">
        <f>SUMIF(negtgel!U$2:BL$2,'Tsalin uzuulelt'!B$1,negtgel!U350:BL350) + SUMIF(negtgel!U$2:BL$2,'Tsalin uzuulelt'!B$2,negtgel!U350:BL350)+SUMIF(negtgel!U$2:BL$2,'Tsalin uzuulelt'!B$3,negtgel!U350:BL350)+SUMIF(negtgel!U$2:BL$2,'Tsalin uzuulelt'!B$4,negtgel!U350:BL350)+SUMIF(negtgel!U$2:BL$2,'Tsalin uzuulelt'!B$5,negtgel!U350:BL350)</f>
      </c>
      <c r="H350">
        <f>SUMIF(negtgel!U$2:BL$2,'Tsalin uzuulelt'!F$1,negtgel!U350:BL350) + SUMIF(negtgel!U$2:BL$2,'Tsalin uzuulelt'!F$2,negtgel!U350:BL350)+SUMIF(negtgel!U$2:BL$2,'Tsalin uzuulelt'!F$3,negtgel!U350:BL350)+SUMIF(negtgel!U$2:BL$2,'Tsalin uzuulelt'!F$4,negtgel!U350:BL350)+SUMIF(negtgel!U$2:BL$2,'Tsalin uzuulelt'!F$5,negtgel!U350:BL350)</f>
      </c>
      <c r="I350">
        <f>SUMIF(negtgel!U$2:BL$2,'Tsalin uzuulelt'!H$1,negtgel!U350:BL350) + SUMIF(negtgel!U$2:BL$2,'Tsalin uzuulelt'!H$2,negtgel!U350:BL350)+SUMIF(negtgel!U$2:BL$2,'Tsalin uzuulelt'!H$3,negtgel!U350:BL350)+SUMIF(negtgel!U$2:BL$2,'Tsalin uzuulelt'!H$4,negtgel!U350:BL350)+SUMIF(negtgel!U$2:BL$2,'Tsalin uzuulelt'!H$5,negtgel!U350:BL350)</f>
      </c>
      <c r="J350">
        <f>SUMIF(negtgel!U$2:BL$2,'Tsalin uzuulelt'!J$1,negtgel!U350:BL350) + SUMIF(negtgel!U$2:BL$2,'Tsalin uzuulelt'!J$2,negtgel!U350:BL350)+SUMIF(negtgel!U$2:BL$2,'Tsalin uzuulelt'!J$3,negtgel!U350:BL350)+SUMIF(negtgel!U$2:BL$2,'Tsalin uzuulelt'!J$4,negtgel!U350:BL350)+SUMIF(negtgel!U$2:BL$2,'Tsalin uzuulelt'!J$5,negtgel!U350:BL350)</f>
      </c>
      <c r="K350">
        <f>SUMIF(negtgel!U$2:BL$2,'Tsalin uzuulelt'!L$1,negtgel!U350:BL350) + SUMIF(negtgel!U$2:BL$2,'Tsalin uzuulelt'!L$2,negtgel!U350:BL350)+SUMIF(negtgel!U$2:BL$2,'Tsalin uzuulelt'!L$3,negtgel!U350:BL350)+SUMIF(negtgel!U$2:BL$2,'Tsalin uzuulelt'!L$4,negtgel!U350:BL350)+SUMIF(negtgel!U$2:BL$2,'Tsalin uzuulelt'!L$5,negtgel!U350:BL350)</f>
      </c>
      <c r="L350">
        <f>SUMIF(negtgel!U$2:BL$2,'Tsalin uzuulelt'!N$1,negtgel!U350:BL350) + SUMIF(negtgel!U$2:BL$2,'Tsalin uzuulelt'!N$2,negtgel!U350:BL350)+SUMIF(negtgel!U$2:BL$2,'Tsalin uzuulelt'!N$3,negtgel!U350:BL350)+SUMIF(negtgel!U$2:BL$2,'Tsalin uzuulelt'!N$4,negtgel!U350:BL350)+SUMIF(negtgel!U$2:BL$2,'Tsalin uzuulelt'!N$5,negtgel!U350:BL350)</f>
      </c>
      <c r="M350">
        <f>SUMIF(negtgel!U$2:BL$2,'Tsalin uzuulelt'!P$1,negtgel!U350:BL350) + SUMIF(negtgel!U$2:BL$2,'Tsalin uzuulelt'!P$2,negtgel!U350:BL350)+ SUMIF(negtgel!U$2:BL$2,'Tsalin uzuulelt'!P$3,negtgel!U350:BL350)+ SUMIF(negtgel!U$2:BL$2,'Tsalin uzuulelt'!P$4,negtgel!U350:BL350)+ SUMIF(negtgel!U$2:BL$2,'Tsalin uzuulelt'!P$5,negtgel!U350:BL350)</f>
      </c>
      <c r="N350">
        <f>IF(ISNUMBER(U350*1)=CF350,0,K350-H350-G350)</f>
      </c>
      <c r="O350">
        <f>IF(ISNUMBER(U350*1)=CF350,0,L350)</f>
      </c>
      <c r="P350">
        <f>IF(ISNUMBER(U350*1)=CF350,0,M350)</f>
      </c>
      <c r="Q350">
        <f>IF(N350&gt;2400000,N350,0)</f>
      </c>
      <c r="R350">
        <f>IF(L350/Q350*100&lt;3,2,10)</f>
      </c>
      <c r="S350">
        <f>IF(CH350=0,0,IF(B350&gt;9,10,IF(B350&gt;8,B350,IF(B350&gt;7.7,7.8,IF(B350&gt;3,B350,IF(B350&gt;1.5,2))))))</f>
      </c>
      <c r="T350">
        <f>IF(Q350=0,S350,R350)</f>
      </c>
      <c r="U350" t="n">
        <v>157.0</v>
      </c>
      <c r="V350" t="s">
        <v>3844</v>
      </c>
      <c r="W350" t="s">
        <v>3790</v>
      </c>
      <c r="X350" t="n">
        <v>677436.0</v>
      </c>
      <c r="Y350" t="n">
        <v>0.0</v>
      </c>
      <c r="Z350" t="n">
        <v>0.0</v>
      </c>
      <c r="AA350" t="n">
        <v>0.0</v>
      </c>
      <c r="AB350" t="n">
        <v>0.0</v>
      </c>
      <c r="AC350" t="n">
        <v>0.0</v>
      </c>
      <c r="AD350" t="n">
        <v>0.0</v>
      </c>
      <c r="AE350" t="n">
        <v>0.0</v>
      </c>
      <c r="AF350" t="n">
        <v>0.0</v>
      </c>
      <c r="AG350" t="n">
        <v>0.0</v>
      </c>
      <c r="AH350" t="n">
        <v>0.0</v>
      </c>
      <c r="AI350" t="n">
        <v>0.0</v>
      </c>
      <c r="AJ350" t="n">
        <v>0.0</v>
      </c>
      <c r="AK350" t="n">
        <v>0.0</v>
      </c>
      <c r="AL350" t="n">
        <v>0.0</v>
      </c>
      <c r="AM350" t="n">
        <v>0.0</v>
      </c>
      <c r="AN350" t="n">
        <v>0.0</v>
      </c>
      <c r="AO350" t="n">
        <v>0.0</v>
      </c>
      <c r="AP350" t="n">
        <v>0.0</v>
      </c>
      <c r="AQ350" t="n">
        <v>0.0</v>
      </c>
      <c r="CH350">
        <f>IFERROR(U350*1,0)</f>
      </c>
    </row>
    <row r="353">
      <c r="A353" t="n">
        <v>6.0</v>
      </c>
      <c r="B353">
        <f>IF((K353-G353-H353&gt;2400000),10,(L353/(K353-G353-H353)*100))</f>
      </c>
      <c r="C353">
        <f>IF(N353&gt;2400000,240000,(N353*S353)/100)</f>
      </c>
      <c r="D353">
        <f>IF(S353=0,0,IF((N353-I353)&gt;2400000,((((((N353-I353-J353)-240000))*0.1+(I353+J353)*0.1)))-7000,((((((N353-I353-J353)-(N353-I353-J353)*S353/100)))*0.1+(I353+J353)*0.1)-7000)))</f>
      </c>
      <c r="E353">
        <f>C353-O353</f>
      </c>
      <c r="F353">
        <f>D353-P353</f>
      </c>
      <c r="G353">
        <f>SUMIF(negtgel!U$2:BL$2,'Tsalin uzuulelt'!B$1,negtgel!U353:BL353) + SUMIF(negtgel!U$2:BL$2,'Tsalin uzuulelt'!B$2,negtgel!U353:BL353)+SUMIF(negtgel!U$2:BL$2,'Tsalin uzuulelt'!B$3,negtgel!U353:BL353)+SUMIF(negtgel!U$2:BL$2,'Tsalin uzuulelt'!B$4,negtgel!U353:BL353)+SUMIF(negtgel!U$2:BL$2,'Tsalin uzuulelt'!B$5,negtgel!U353:BL353)</f>
      </c>
      <c r="H353">
        <f>SUMIF(negtgel!U$2:BL$2,'Tsalin uzuulelt'!F$1,negtgel!U353:BL353) + SUMIF(negtgel!U$2:BL$2,'Tsalin uzuulelt'!F$2,negtgel!U353:BL353)+SUMIF(negtgel!U$2:BL$2,'Tsalin uzuulelt'!F$3,negtgel!U353:BL353)+SUMIF(negtgel!U$2:BL$2,'Tsalin uzuulelt'!F$4,negtgel!U353:BL353)+SUMIF(negtgel!U$2:BL$2,'Tsalin uzuulelt'!F$5,negtgel!U353:BL353)</f>
      </c>
      <c r="I353">
        <f>SUMIF(negtgel!U$2:BL$2,'Tsalin uzuulelt'!H$1,negtgel!U353:BL353) + SUMIF(negtgel!U$2:BL$2,'Tsalin uzuulelt'!H$2,negtgel!U353:BL353)+SUMIF(negtgel!U$2:BL$2,'Tsalin uzuulelt'!H$3,negtgel!U353:BL353)+SUMIF(negtgel!U$2:BL$2,'Tsalin uzuulelt'!H$4,negtgel!U353:BL353)+SUMIF(negtgel!U$2:BL$2,'Tsalin uzuulelt'!H$5,negtgel!U353:BL353)</f>
      </c>
      <c r="J353">
        <f>SUMIF(negtgel!U$2:BL$2,'Tsalin uzuulelt'!J$1,negtgel!U353:BL353) + SUMIF(negtgel!U$2:BL$2,'Tsalin uzuulelt'!J$2,negtgel!U353:BL353)+SUMIF(negtgel!U$2:BL$2,'Tsalin uzuulelt'!J$3,negtgel!U353:BL353)+SUMIF(negtgel!U$2:BL$2,'Tsalin uzuulelt'!J$4,negtgel!U353:BL353)+SUMIF(negtgel!U$2:BL$2,'Tsalin uzuulelt'!J$5,negtgel!U353:BL353)</f>
      </c>
      <c r="K353">
        <f>SUMIF(negtgel!U$2:BL$2,'Tsalin uzuulelt'!L$1,negtgel!U353:BL353) + SUMIF(negtgel!U$2:BL$2,'Tsalin uzuulelt'!L$2,negtgel!U353:BL353)+SUMIF(negtgel!U$2:BL$2,'Tsalin uzuulelt'!L$3,negtgel!U353:BL353)+SUMIF(negtgel!U$2:BL$2,'Tsalin uzuulelt'!L$4,negtgel!U353:BL353)+SUMIF(negtgel!U$2:BL$2,'Tsalin uzuulelt'!L$5,negtgel!U353:BL353)</f>
      </c>
      <c r="L353">
        <f>SUMIF(negtgel!U$2:BL$2,'Tsalin uzuulelt'!N$1,negtgel!U353:BL353) + SUMIF(negtgel!U$2:BL$2,'Tsalin uzuulelt'!N$2,negtgel!U353:BL353)+SUMIF(negtgel!U$2:BL$2,'Tsalin uzuulelt'!N$3,negtgel!U353:BL353)+SUMIF(negtgel!U$2:BL$2,'Tsalin uzuulelt'!N$4,negtgel!U353:BL353)+SUMIF(negtgel!U$2:BL$2,'Tsalin uzuulelt'!N$5,negtgel!U353:BL353)</f>
      </c>
      <c r="M353">
        <f>SUMIF(negtgel!U$2:BL$2,'Tsalin uzuulelt'!P$1,negtgel!U353:BL353) + SUMIF(negtgel!U$2:BL$2,'Tsalin uzuulelt'!P$2,negtgel!U353:BL353)+ SUMIF(negtgel!U$2:BL$2,'Tsalin uzuulelt'!P$3,negtgel!U353:BL353)+ SUMIF(negtgel!U$2:BL$2,'Tsalin uzuulelt'!P$4,negtgel!U353:BL353)+ SUMIF(negtgel!U$2:BL$2,'Tsalin uzuulelt'!P$5,negtgel!U353:BL353)</f>
      </c>
      <c r="N353">
        <f>IF(ISNUMBER(U353*1)=CF353,0,K353-H353-G353)</f>
      </c>
      <c r="O353">
        <f>IF(ISNUMBER(U353*1)=CF353,0,L353)</f>
      </c>
      <c r="P353">
        <f>IF(ISNUMBER(U353*1)=CF353,0,M353)</f>
      </c>
      <c r="Q353">
        <f>IF(N353&gt;2400000,N353,0)</f>
      </c>
      <c r="R353">
        <f>IF(L353/Q353*100&lt;3,2,10)</f>
      </c>
      <c r="S353">
        <f>IF(CH353=0,0,IF(B353&gt;9,10,IF(B353&gt;8,B353,IF(B353&gt;7.7,7.8,IF(B353&gt;3,B353,IF(B353&gt;1.5,2))))))</f>
      </c>
      <c r="T353">
        <f>IF(Q353=0,S353,R353)</f>
      </c>
      <c r="U353" t="s">
        <v>3781</v>
      </c>
      <c r="V353"/>
      <c r="W353"/>
      <c r="X353"/>
      <c r="Y353"/>
      <c r="Z353"/>
      <c r="AA353"/>
      <c r="AB353"/>
      <c r="AC353"/>
      <c r="AD353"/>
      <c r="AE353"/>
      <c r="AF353"/>
      <c r="AG353"/>
      <c r="AH353"/>
      <c r="AI353"/>
      <c r="AJ353"/>
      <c r="AK353"/>
      <c r="AL353"/>
      <c r="AM353"/>
      <c r="AN353"/>
      <c r="AO353"/>
      <c r="AP353"/>
      <c r="AQ353"/>
      <c r="CH353">
        <f>IFERROR(U353*1,0)</f>
      </c>
    </row>
    <row r="354">
      <c r="A354" t="n">
        <v>6.0</v>
      </c>
      <c r="B354">
        <f>IF((K354-G354-H354&gt;2400000),10,(L354/(K354-G354-H354)*100))</f>
      </c>
      <c r="C354">
        <f>IF(N354&gt;2400000,240000,(N354*S354)/100)</f>
      </c>
      <c r="D354">
        <f>IF(S354=0,0,IF((N354-I354)&gt;2400000,((((((N354-I354-J354)-240000))*0.1+(I354+J354)*0.1)))-7000,((((((N354-I354-J354)-(N354-I354-J354)*S354/100)))*0.1+(I354+J354)*0.1)-7000)))</f>
      </c>
      <c r="E354">
        <f>C354-O354</f>
      </c>
      <c r="F354">
        <f>D354-P354</f>
      </c>
      <c r="G354">
        <f>SUMIF(negtgel!U$2:BL$2,'Tsalin uzuulelt'!B$1,negtgel!U354:BL354) + SUMIF(negtgel!U$2:BL$2,'Tsalin uzuulelt'!B$2,negtgel!U354:BL354)+SUMIF(negtgel!U$2:BL$2,'Tsalin uzuulelt'!B$3,negtgel!U354:BL354)+SUMIF(negtgel!U$2:BL$2,'Tsalin uzuulelt'!B$4,negtgel!U354:BL354)+SUMIF(negtgel!U$2:BL$2,'Tsalin uzuulelt'!B$5,negtgel!U354:BL354)</f>
      </c>
      <c r="H354">
        <f>SUMIF(negtgel!U$2:BL$2,'Tsalin uzuulelt'!F$1,negtgel!U354:BL354) + SUMIF(negtgel!U$2:BL$2,'Tsalin uzuulelt'!F$2,negtgel!U354:BL354)+SUMIF(negtgel!U$2:BL$2,'Tsalin uzuulelt'!F$3,negtgel!U354:BL354)+SUMIF(negtgel!U$2:BL$2,'Tsalin uzuulelt'!F$4,negtgel!U354:BL354)+SUMIF(negtgel!U$2:BL$2,'Tsalin uzuulelt'!F$5,negtgel!U354:BL354)</f>
      </c>
      <c r="I354">
        <f>SUMIF(negtgel!U$2:BL$2,'Tsalin uzuulelt'!H$1,negtgel!U354:BL354) + SUMIF(negtgel!U$2:BL$2,'Tsalin uzuulelt'!H$2,negtgel!U354:BL354)+SUMIF(negtgel!U$2:BL$2,'Tsalin uzuulelt'!H$3,negtgel!U354:BL354)+SUMIF(negtgel!U$2:BL$2,'Tsalin uzuulelt'!H$4,negtgel!U354:BL354)+SUMIF(negtgel!U$2:BL$2,'Tsalin uzuulelt'!H$5,negtgel!U354:BL354)</f>
      </c>
      <c r="J354">
        <f>SUMIF(negtgel!U$2:BL$2,'Tsalin uzuulelt'!J$1,negtgel!U354:BL354) + SUMIF(negtgel!U$2:BL$2,'Tsalin uzuulelt'!J$2,negtgel!U354:BL354)+SUMIF(negtgel!U$2:BL$2,'Tsalin uzuulelt'!J$3,negtgel!U354:BL354)+SUMIF(negtgel!U$2:BL$2,'Tsalin uzuulelt'!J$4,negtgel!U354:BL354)+SUMIF(negtgel!U$2:BL$2,'Tsalin uzuulelt'!J$5,negtgel!U354:BL354)</f>
      </c>
      <c r="K354">
        <f>SUMIF(negtgel!U$2:BL$2,'Tsalin uzuulelt'!L$1,negtgel!U354:BL354) + SUMIF(negtgel!U$2:BL$2,'Tsalin uzuulelt'!L$2,negtgel!U354:BL354)+SUMIF(negtgel!U$2:BL$2,'Tsalin uzuulelt'!L$3,negtgel!U354:BL354)+SUMIF(negtgel!U$2:BL$2,'Tsalin uzuulelt'!L$4,negtgel!U354:BL354)+SUMIF(negtgel!U$2:BL$2,'Tsalin uzuulelt'!L$5,negtgel!U354:BL354)</f>
      </c>
      <c r="L354">
        <f>SUMIF(negtgel!U$2:BL$2,'Tsalin uzuulelt'!N$1,negtgel!U354:BL354) + SUMIF(negtgel!U$2:BL$2,'Tsalin uzuulelt'!N$2,negtgel!U354:BL354)+SUMIF(negtgel!U$2:BL$2,'Tsalin uzuulelt'!N$3,negtgel!U354:BL354)+SUMIF(negtgel!U$2:BL$2,'Tsalin uzuulelt'!N$4,negtgel!U354:BL354)+SUMIF(negtgel!U$2:BL$2,'Tsalin uzuulelt'!N$5,negtgel!U354:BL354)</f>
      </c>
      <c r="M354">
        <f>SUMIF(negtgel!U$2:BL$2,'Tsalin uzuulelt'!P$1,negtgel!U354:BL354) + SUMIF(negtgel!U$2:BL$2,'Tsalin uzuulelt'!P$2,negtgel!U354:BL354)+ SUMIF(negtgel!U$2:BL$2,'Tsalin uzuulelt'!P$3,negtgel!U354:BL354)+ SUMIF(negtgel!U$2:BL$2,'Tsalin uzuulelt'!P$4,negtgel!U354:BL354)+ SUMIF(negtgel!U$2:BL$2,'Tsalin uzuulelt'!P$5,negtgel!U354:BL354)</f>
      </c>
      <c r="N354">
        <f>IF(ISNUMBER(U354*1)=CF354,0,K354-H354-G354)</f>
      </c>
      <c r="O354">
        <f>IF(ISNUMBER(U354*1)=CF354,0,L354)</f>
      </c>
      <c r="P354">
        <f>IF(ISNUMBER(U354*1)=CF354,0,M354)</f>
      </c>
      <c r="Q354">
        <f>IF(N354&gt;2400000,N354,0)</f>
      </c>
      <c r="R354">
        <f>IF(L354/Q354*100&lt;3,2,10)</f>
      </c>
      <c r="S354">
        <f>IF(CH354=0,0,IF(B354&gt;9,10,IF(B354&gt;8,B354,IF(B354&gt;7.7,7.8,IF(B354&gt;3,B354,IF(B354&gt;1.5,2))))))</f>
      </c>
      <c r="T354">
        <f>IF(Q354=0,S354,R354)</f>
      </c>
      <c r="U354" t="n">
        <v>20.0</v>
      </c>
      <c r="V354" t="s">
        <v>3864</v>
      </c>
      <c r="W354" t="s">
        <v>3865</v>
      </c>
      <c r="X354" t="n">
        <v>371016.0</v>
      </c>
      <c r="Y354" t="n">
        <v>371016.0</v>
      </c>
      <c r="Z354" t="n">
        <v>0.0</v>
      </c>
      <c r="AA354" t="n">
        <v>0.0</v>
      </c>
      <c r="AB354" t="n">
        <v>0.0</v>
      </c>
      <c r="AC354" t="n">
        <v>0.0</v>
      </c>
      <c r="AD354" t="n">
        <v>0.0</v>
      </c>
      <c r="AE354" t="n">
        <v>0.0</v>
      </c>
      <c r="AF354" t="n">
        <v>60000.0</v>
      </c>
      <c r="AG354" t="n">
        <v>0.0</v>
      </c>
      <c r="AH354" t="n">
        <v>0.0</v>
      </c>
      <c r="AI354" t="n">
        <v>0.0</v>
      </c>
      <c r="AJ354" t="n">
        <v>0.0</v>
      </c>
      <c r="AK354" t="n">
        <v>0.0</v>
      </c>
      <c r="AL354" t="n">
        <v>0.0</v>
      </c>
      <c r="AM354" t="n">
        <v>0.0</v>
      </c>
      <c r="AN354" t="n">
        <v>0.0</v>
      </c>
      <c r="AO354" t="n">
        <v>431016.0</v>
      </c>
      <c r="AP354" t="n">
        <v>43101.0</v>
      </c>
      <c r="AQ354" t="n">
        <v>32391.4</v>
      </c>
      <c r="CH354">
        <f>IFERROR(U354*1,0)</f>
      </c>
    </row>
    <row r="355">
      <c r="A355" t="n">
        <v>6.0</v>
      </c>
      <c r="B355">
        <f>IF((K355-G355-H355&gt;2400000),10,(L355/(K355-G355-H355)*100))</f>
      </c>
      <c r="C355">
        <f>IF(N355&gt;2400000,240000,(N355*S355)/100)</f>
      </c>
      <c r="D355">
        <f>IF(S355=0,0,IF((N355-I355)&gt;2400000,((((((N355-I355-J355)-240000))*0.1+(I355+J355)*0.1)))-7000,((((((N355-I355-J355)-(N355-I355-J355)*S355/100)))*0.1+(I355+J355)*0.1)-7000)))</f>
      </c>
      <c r="E355">
        <f>C355-O355</f>
      </c>
      <c r="F355">
        <f>D355-P355</f>
      </c>
      <c r="G355">
        <f>SUMIF(negtgel!U$2:BL$2,'Tsalin uzuulelt'!B$1,negtgel!U355:BL355) + SUMIF(negtgel!U$2:BL$2,'Tsalin uzuulelt'!B$2,negtgel!U355:BL355)+SUMIF(negtgel!U$2:BL$2,'Tsalin uzuulelt'!B$3,negtgel!U355:BL355)+SUMIF(negtgel!U$2:BL$2,'Tsalin uzuulelt'!B$4,negtgel!U355:BL355)+SUMIF(negtgel!U$2:BL$2,'Tsalin uzuulelt'!B$5,negtgel!U355:BL355)</f>
      </c>
      <c r="H355">
        <f>SUMIF(negtgel!U$2:BL$2,'Tsalin uzuulelt'!F$1,negtgel!U355:BL355) + SUMIF(negtgel!U$2:BL$2,'Tsalin uzuulelt'!F$2,negtgel!U355:BL355)+SUMIF(negtgel!U$2:BL$2,'Tsalin uzuulelt'!F$3,negtgel!U355:BL355)+SUMIF(negtgel!U$2:BL$2,'Tsalin uzuulelt'!F$4,negtgel!U355:BL355)+SUMIF(negtgel!U$2:BL$2,'Tsalin uzuulelt'!F$5,negtgel!U355:BL355)</f>
      </c>
      <c r="I355">
        <f>SUMIF(negtgel!U$2:BL$2,'Tsalin uzuulelt'!H$1,negtgel!U355:BL355) + SUMIF(negtgel!U$2:BL$2,'Tsalin uzuulelt'!H$2,negtgel!U355:BL355)+SUMIF(negtgel!U$2:BL$2,'Tsalin uzuulelt'!H$3,negtgel!U355:BL355)+SUMIF(negtgel!U$2:BL$2,'Tsalin uzuulelt'!H$4,negtgel!U355:BL355)+SUMIF(negtgel!U$2:BL$2,'Tsalin uzuulelt'!H$5,negtgel!U355:BL355)</f>
      </c>
      <c r="J355">
        <f>SUMIF(negtgel!U$2:BL$2,'Tsalin uzuulelt'!J$1,negtgel!U355:BL355) + SUMIF(negtgel!U$2:BL$2,'Tsalin uzuulelt'!J$2,negtgel!U355:BL355)+SUMIF(negtgel!U$2:BL$2,'Tsalin uzuulelt'!J$3,negtgel!U355:BL355)+SUMIF(negtgel!U$2:BL$2,'Tsalin uzuulelt'!J$4,negtgel!U355:BL355)+SUMIF(negtgel!U$2:BL$2,'Tsalin uzuulelt'!J$5,negtgel!U355:BL355)</f>
      </c>
      <c r="K355">
        <f>SUMIF(negtgel!U$2:BL$2,'Tsalin uzuulelt'!L$1,negtgel!U355:BL355) + SUMIF(negtgel!U$2:BL$2,'Tsalin uzuulelt'!L$2,negtgel!U355:BL355)+SUMIF(negtgel!U$2:BL$2,'Tsalin uzuulelt'!L$3,negtgel!U355:BL355)+SUMIF(negtgel!U$2:BL$2,'Tsalin uzuulelt'!L$4,negtgel!U355:BL355)+SUMIF(negtgel!U$2:BL$2,'Tsalin uzuulelt'!L$5,negtgel!U355:BL355)</f>
      </c>
      <c r="L355">
        <f>SUMIF(negtgel!U$2:BL$2,'Tsalin uzuulelt'!N$1,negtgel!U355:BL355) + SUMIF(negtgel!U$2:BL$2,'Tsalin uzuulelt'!N$2,negtgel!U355:BL355)+SUMIF(negtgel!U$2:BL$2,'Tsalin uzuulelt'!N$3,negtgel!U355:BL355)+SUMIF(negtgel!U$2:BL$2,'Tsalin uzuulelt'!N$4,negtgel!U355:BL355)+SUMIF(negtgel!U$2:BL$2,'Tsalin uzuulelt'!N$5,negtgel!U355:BL355)</f>
      </c>
      <c r="M355">
        <f>SUMIF(negtgel!U$2:BL$2,'Tsalin uzuulelt'!P$1,negtgel!U355:BL355) + SUMIF(negtgel!U$2:BL$2,'Tsalin uzuulelt'!P$2,negtgel!U355:BL355)+ SUMIF(negtgel!U$2:BL$2,'Tsalin uzuulelt'!P$3,negtgel!U355:BL355)+ SUMIF(negtgel!U$2:BL$2,'Tsalin uzuulelt'!P$4,negtgel!U355:BL355)+ SUMIF(negtgel!U$2:BL$2,'Tsalin uzuulelt'!P$5,negtgel!U355:BL355)</f>
      </c>
      <c r="N355">
        <f>IF(ISNUMBER(U355*1)=CF355,0,K355-H355-G355)</f>
      </c>
      <c r="O355">
        <f>IF(ISNUMBER(U355*1)=CF355,0,L355)</f>
      </c>
      <c r="P355">
        <f>IF(ISNUMBER(U355*1)=CF355,0,M355)</f>
      </c>
      <c r="Q355">
        <f>IF(N355&gt;2400000,N355,0)</f>
      </c>
      <c r="R355">
        <f>IF(L355/Q355*100&lt;3,2,10)</f>
      </c>
      <c r="S355">
        <f>IF(CH355=0,0,IF(B355&gt;9,10,IF(B355&gt;8,B355,IF(B355&gt;7.7,7.8,IF(B355&gt;3,B355,IF(B355&gt;1.5,2))))))</f>
      </c>
      <c r="T355">
        <f>IF(Q355=0,S355,R355)</f>
      </c>
      <c r="U355" t="n">
        <v>21.0</v>
      </c>
      <c r="V355" t="s">
        <v>3861</v>
      </c>
      <c r="W355" t="s">
        <v>3790</v>
      </c>
      <c r="X355" t="n">
        <v>645556.0</v>
      </c>
      <c r="Y355" t="n">
        <v>645556.0</v>
      </c>
      <c r="Z355" t="n">
        <v>96833.0</v>
      </c>
      <c r="AA355" t="n">
        <v>129111.0</v>
      </c>
      <c r="AB355" t="n">
        <v>0.0</v>
      </c>
      <c r="AC355" t="n">
        <v>96833.0</v>
      </c>
      <c r="AD355" t="n">
        <v>0.0</v>
      </c>
      <c r="AE355" t="n">
        <v>0.0</v>
      </c>
      <c r="AF355" t="n">
        <v>60000.0</v>
      </c>
      <c r="AG355" t="n">
        <v>0.0</v>
      </c>
      <c r="AH355" t="n">
        <v>0.0</v>
      </c>
      <c r="AI355" t="n">
        <v>0.0</v>
      </c>
      <c r="AJ355" t="n">
        <v>0.0</v>
      </c>
      <c r="AK355" t="n">
        <v>0.0</v>
      </c>
      <c r="AL355" t="n">
        <v>0.0</v>
      </c>
      <c r="AM355" t="n">
        <v>0.0</v>
      </c>
      <c r="AN355" t="n">
        <v>0.0</v>
      </c>
      <c r="AO355" t="n">
        <v>1028333.0</v>
      </c>
      <c r="AP355" t="n">
        <v>102834.0</v>
      </c>
      <c r="AQ355" t="n">
        <v>86150.0</v>
      </c>
      <c r="CH355">
        <f>IFERROR(U355*1,0)</f>
      </c>
    </row>
    <row r="356">
      <c r="A356" t="n">
        <v>6.0</v>
      </c>
      <c r="B356">
        <f>IF((K356-G356-H356&gt;2400000),10,(L356/(K356-G356-H356)*100))</f>
      </c>
      <c r="C356">
        <f>IF(N356&gt;2400000,240000,(N356*S356)/100)</f>
      </c>
      <c r="D356">
        <f>IF(S356=0,0,IF((N356-I356)&gt;2400000,((((((N356-I356-J356)-240000))*0.1+(I356+J356)*0.1)))-7000,((((((N356-I356-J356)-(N356-I356-J356)*S356/100)))*0.1+(I356+J356)*0.1)-7000)))</f>
      </c>
      <c r="E356">
        <f>C356-O356</f>
      </c>
      <c r="F356">
        <f>D356-P356</f>
      </c>
      <c r="G356">
        <f>SUMIF(negtgel!U$2:BL$2,'Tsalin uzuulelt'!B$1,negtgel!U356:BL356) + SUMIF(negtgel!U$2:BL$2,'Tsalin uzuulelt'!B$2,negtgel!U356:BL356)+SUMIF(negtgel!U$2:BL$2,'Tsalin uzuulelt'!B$3,negtgel!U356:BL356)+SUMIF(negtgel!U$2:BL$2,'Tsalin uzuulelt'!B$4,negtgel!U356:BL356)+SUMIF(negtgel!U$2:BL$2,'Tsalin uzuulelt'!B$5,negtgel!U356:BL356)</f>
      </c>
      <c r="H356">
        <f>SUMIF(negtgel!U$2:BL$2,'Tsalin uzuulelt'!F$1,negtgel!U356:BL356) + SUMIF(negtgel!U$2:BL$2,'Tsalin uzuulelt'!F$2,negtgel!U356:BL356)+SUMIF(negtgel!U$2:BL$2,'Tsalin uzuulelt'!F$3,negtgel!U356:BL356)+SUMIF(negtgel!U$2:BL$2,'Tsalin uzuulelt'!F$4,negtgel!U356:BL356)+SUMIF(negtgel!U$2:BL$2,'Tsalin uzuulelt'!F$5,negtgel!U356:BL356)</f>
      </c>
      <c r="I356">
        <f>SUMIF(negtgel!U$2:BL$2,'Tsalin uzuulelt'!H$1,negtgel!U356:BL356) + SUMIF(negtgel!U$2:BL$2,'Tsalin uzuulelt'!H$2,negtgel!U356:BL356)+SUMIF(negtgel!U$2:BL$2,'Tsalin uzuulelt'!H$3,negtgel!U356:BL356)+SUMIF(negtgel!U$2:BL$2,'Tsalin uzuulelt'!H$4,negtgel!U356:BL356)+SUMIF(negtgel!U$2:BL$2,'Tsalin uzuulelt'!H$5,negtgel!U356:BL356)</f>
      </c>
      <c r="J356">
        <f>SUMIF(negtgel!U$2:BL$2,'Tsalin uzuulelt'!J$1,negtgel!U356:BL356) + SUMIF(negtgel!U$2:BL$2,'Tsalin uzuulelt'!J$2,negtgel!U356:BL356)+SUMIF(negtgel!U$2:BL$2,'Tsalin uzuulelt'!J$3,negtgel!U356:BL356)+SUMIF(negtgel!U$2:BL$2,'Tsalin uzuulelt'!J$4,negtgel!U356:BL356)+SUMIF(negtgel!U$2:BL$2,'Tsalin uzuulelt'!J$5,negtgel!U356:BL356)</f>
      </c>
      <c r="K356">
        <f>SUMIF(negtgel!U$2:BL$2,'Tsalin uzuulelt'!L$1,negtgel!U356:BL356) + SUMIF(negtgel!U$2:BL$2,'Tsalin uzuulelt'!L$2,negtgel!U356:BL356)+SUMIF(negtgel!U$2:BL$2,'Tsalin uzuulelt'!L$3,negtgel!U356:BL356)+SUMIF(negtgel!U$2:BL$2,'Tsalin uzuulelt'!L$4,negtgel!U356:BL356)+SUMIF(negtgel!U$2:BL$2,'Tsalin uzuulelt'!L$5,negtgel!U356:BL356)</f>
      </c>
      <c r="L356">
        <f>SUMIF(negtgel!U$2:BL$2,'Tsalin uzuulelt'!N$1,negtgel!U356:BL356) + SUMIF(negtgel!U$2:BL$2,'Tsalin uzuulelt'!N$2,negtgel!U356:BL356)+SUMIF(negtgel!U$2:BL$2,'Tsalin uzuulelt'!N$3,negtgel!U356:BL356)+SUMIF(negtgel!U$2:BL$2,'Tsalin uzuulelt'!N$4,negtgel!U356:BL356)+SUMIF(negtgel!U$2:BL$2,'Tsalin uzuulelt'!N$5,negtgel!U356:BL356)</f>
      </c>
      <c r="M356">
        <f>SUMIF(negtgel!U$2:BL$2,'Tsalin uzuulelt'!P$1,negtgel!U356:BL356) + SUMIF(negtgel!U$2:BL$2,'Tsalin uzuulelt'!P$2,negtgel!U356:BL356)+ SUMIF(negtgel!U$2:BL$2,'Tsalin uzuulelt'!P$3,negtgel!U356:BL356)+ SUMIF(negtgel!U$2:BL$2,'Tsalin uzuulelt'!P$4,negtgel!U356:BL356)+ SUMIF(negtgel!U$2:BL$2,'Tsalin uzuulelt'!P$5,negtgel!U356:BL356)</f>
      </c>
      <c r="N356">
        <f>IF(ISNUMBER(U356*1)=CF356,0,K356-H356-G356)</f>
      </c>
      <c r="O356">
        <f>IF(ISNUMBER(U356*1)=CF356,0,L356)</f>
      </c>
      <c r="P356">
        <f>IF(ISNUMBER(U356*1)=CF356,0,M356)</f>
      </c>
      <c r="Q356">
        <f>IF(N356&gt;2400000,N356,0)</f>
      </c>
      <c r="R356">
        <f>IF(L356/Q356*100&lt;3,2,10)</f>
      </c>
      <c r="S356">
        <f>IF(CH356=0,0,IF(B356&gt;9,10,IF(B356&gt;8,B356,IF(B356&gt;7.7,7.8,IF(B356&gt;3,B356,IF(B356&gt;1.5,2))))))</f>
      </c>
      <c r="T356">
        <f>IF(Q356=0,S356,R356)</f>
      </c>
      <c r="U356" t="s">
        <v>3787</v>
      </c>
      <c r="V356"/>
      <c r="W356"/>
      <c r="X356" t="n">
        <v>1.2309429E7</v>
      </c>
      <c r="Y356" t="n">
        <v>1.0877676E7</v>
      </c>
      <c r="Z356" t="n">
        <v>1336556.0</v>
      </c>
      <c r="AA356" t="n">
        <v>1407721.0</v>
      </c>
      <c r="AB356" t="n">
        <v>538405.0</v>
      </c>
      <c r="AC356" t="n">
        <v>422131.0</v>
      </c>
      <c r="AD356" t="n">
        <v>798492.0</v>
      </c>
      <c r="AE356" t="n">
        <v>0.0</v>
      </c>
      <c r="AF356" t="n">
        <v>1086000.0</v>
      </c>
      <c r="AG356" t="n">
        <v>0.0</v>
      </c>
      <c r="AH356" t="n">
        <v>0.0</v>
      </c>
      <c r="AI356" t="n">
        <v>0.0</v>
      </c>
      <c r="AJ356" t="n">
        <v>1247487.0</v>
      </c>
      <c r="AK356" t="n">
        <v>0.0</v>
      </c>
      <c r="AL356" t="n">
        <v>0.0</v>
      </c>
      <c r="AM356" t="n">
        <v>0.0</v>
      </c>
      <c r="AN356" t="n">
        <v>0.0</v>
      </c>
      <c r="AO356" t="n">
        <v>1.7744149E7</v>
      </c>
      <c r="AP356" t="n">
        <v>1774416.0</v>
      </c>
      <c r="AQ356" t="n">
        <v>1474833.3</v>
      </c>
      <c r="CH356">
        <f>IFERROR(U356*1,0)</f>
      </c>
    </row>
    <row r="357">
      <c r="A357" t="n">
        <v>6.0</v>
      </c>
      <c r="B357">
        <f>IF((K357-G357-H357&gt;2400000),10,(L357/(K357-G357-H357)*100))</f>
      </c>
      <c r="C357">
        <f>IF(N357&gt;2400000,240000,(N357*S357)/100)</f>
      </c>
      <c r="D357">
        <f>IF(S357=0,0,IF((N357-I357)&gt;2400000,((((((N357-I357-J357)-240000))*0.1+(I357+J357)*0.1)))-7000,((((((N357-I357-J357)-(N357-I357-J357)*S357/100)))*0.1+(I357+J357)*0.1)-7000)))</f>
      </c>
      <c r="E357">
        <f>C357-O357</f>
      </c>
      <c r="F357">
        <f>D357-P357</f>
      </c>
      <c r="G357">
        <f>SUMIF(negtgel!U$2:BL$2,'Tsalin uzuulelt'!B$1,negtgel!U357:BL357) + SUMIF(negtgel!U$2:BL$2,'Tsalin uzuulelt'!B$2,negtgel!U357:BL357)+SUMIF(negtgel!U$2:BL$2,'Tsalin uzuulelt'!B$3,negtgel!U357:BL357)+SUMIF(negtgel!U$2:BL$2,'Tsalin uzuulelt'!B$4,negtgel!U357:BL357)+SUMIF(negtgel!U$2:BL$2,'Tsalin uzuulelt'!B$5,negtgel!U357:BL357)</f>
      </c>
      <c r="H357">
        <f>SUMIF(negtgel!U$2:BL$2,'Tsalin uzuulelt'!F$1,negtgel!U357:BL357) + SUMIF(negtgel!U$2:BL$2,'Tsalin uzuulelt'!F$2,negtgel!U357:BL357)+SUMIF(negtgel!U$2:BL$2,'Tsalin uzuulelt'!F$3,negtgel!U357:BL357)+SUMIF(negtgel!U$2:BL$2,'Tsalin uzuulelt'!F$4,negtgel!U357:BL357)+SUMIF(negtgel!U$2:BL$2,'Tsalin uzuulelt'!F$5,negtgel!U357:BL357)</f>
      </c>
      <c r="I357">
        <f>SUMIF(negtgel!U$2:BL$2,'Tsalin uzuulelt'!H$1,negtgel!U357:BL357) + SUMIF(negtgel!U$2:BL$2,'Tsalin uzuulelt'!H$2,negtgel!U357:BL357)+SUMIF(negtgel!U$2:BL$2,'Tsalin uzuulelt'!H$3,negtgel!U357:BL357)+SUMIF(negtgel!U$2:BL$2,'Tsalin uzuulelt'!H$4,negtgel!U357:BL357)+SUMIF(negtgel!U$2:BL$2,'Tsalin uzuulelt'!H$5,negtgel!U357:BL357)</f>
      </c>
      <c r="J357">
        <f>SUMIF(negtgel!U$2:BL$2,'Tsalin uzuulelt'!J$1,negtgel!U357:BL357) + SUMIF(negtgel!U$2:BL$2,'Tsalin uzuulelt'!J$2,negtgel!U357:BL357)+SUMIF(negtgel!U$2:BL$2,'Tsalin uzuulelt'!J$3,negtgel!U357:BL357)+SUMIF(negtgel!U$2:BL$2,'Tsalin uzuulelt'!J$4,negtgel!U357:BL357)+SUMIF(negtgel!U$2:BL$2,'Tsalin uzuulelt'!J$5,negtgel!U357:BL357)</f>
      </c>
      <c r="K357">
        <f>SUMIF(negtgel!U$2:BL$2,'Tsalin uzuulelt'!L$1,negtgel!U357:BL357) + SUMIF(negtgel!U$2:BL$2,'Tsalin uzuulelt'!L$2,negtgel!U357:BL357)+SUMIF(negtgel!U$2:BL$2,'Tsalin uzuulelt'!L$3,negtgel!U357:BL357)+SUMIF(negtgel!U$2:BL$2,'Tsalin uzuulelt'!L$4,negtgel!U357:BL357)+SUMIF(negtgel!U$2:BL$2,'Tsalin uzuulelt'!L$5,negtgel!U357:BL357)</f>
      </c>
      <c r="L357">
        <f>SUMIF(negtgel!U$2:BL$2,'Tsalin uzuulelt'!N$1,negtgel!U357:BL357) + SUMIF(negtgel!U$2:BL$2,'Tsalin uzuulelt'!N$2,negtgel!U357:BL357)+SUMIF(negtgel!U$2:BL$2,'Tsalin uzuulelt'!N$3,negtgel!U357:BL357)+SUMIF(negtgel!U$2:BL$2,'Tsalin uzuulelt'!N$4,negtgel!U357:BL357)+SUMIF(negtgel!U$2:BL$2,'Tsalin uzuulelt'!N$5,negtgel!U357:BL357)</f>
      </c>
      <c r="M357">
        <f>SUMIF(negtgel!U$2:BL$2,'Tsalin uzuulelt'!P$1,negtgel!U357:BL357) + SUMIF(negtgel!U$2:BL$2,'Tsalin uzuulelt'!P$2,negtgel!U357:BL357)+ SUMIF(negtgel!U$2:BL$2,'Tsalin uzuulelt'!P$3,negtgel!U357:BL357)+ SUMIF(negtgel!U$2:BL$2,'Tsalin uzuulelt'!P$4,negtgel!U357:BL357)+ SUMIF(negtgel!U$2:BL$2,'Tsalin uzuulelt'!P$5,negtgel!U357:BL357)</f>
      </c>
      <c r="N357">
        <f>IF(ISNUMBER(U357*1)=CF357,0,K357-H357-G357)</f>
      </c>
      <c r="O357">
        <f>IF(ISNUMBER(U357*1)=CF357,0,L357)</f>
      </c>
      <c r="P357">
        <f>IF(ISNUMBER(U357*1)=CF357,0,M357)</f>
      </c>
      <c r="Q357">
        <f>IF(N357&gt;2400000,N357,0)</f>
      </c>
      <c r="R357">
        <f>IF(L357/Q357*100&lt;3,2,10)</f>
      </c>
      <c r="S357">
        <f>IF(CH357=0,0,IF(B357&gt;9,10,IF(B357&gt;8,B357,IF(B357&gt;7.7,7.8,IF(B357&gt;3,B357,IF(B357&gt;1.5,2))))))</f>
      </c>
      <c r="T357">
        <f>IF(Q357=0,S357,R357)</f>
      </c>
      <c r="U357" t="s">
        <v>3788</v>
      </c>
      <c r="V357"/>
      <c r="W357"/>
      <c r="X357"/>
      <c r="Y357"/>
      <c r="Z357"/>
      <c r="AA357"/>
      <c r="AB357"/>
      <c r="AC357"/>
      <c r="AD357"/>
      <c r="AE357"/>
      <c r="AF357"/>
      <c r="AG357"/>
      <c r="AH357"/>
      <c r="AI357"/>
      <c r="AJ357"/>
      <c r="AK357"/>
      <c r="AL357"/>
      <c r="AM357"/>
      <c r="AN357"/>
      <c r="AO357"/>
      <c r="AP357"/>
      <c r="AQ357"/>
      <c r="CH357">
        <f>IFERROR(U357*1,0)</f>
      </c>
    </row>
    <row r="358">
      <c r="A358" t="n">
        <v>6.0</v>
      </c>
      <c r="B358">
        <f>IF((K358-G358-H358&gt;2400000),10,(L358/(K358-G358-H358)*100))</f>
      </c>
      <c r="C358">
        <f>IF(N358&gt;2400000,240000,(N358*S358)/100)</f>
      </c>
      <c r="D358">
        <f>IF(S358=0,0,IF((N358-I358)&gt;2400000,((((((N358-I358-J358)-240000))*0.1+(I358+J358)*0.1)))-7000,((((((N358-I358-J358)-(N358-I358-J358)*S358/100)))*0.1+(I358+J358)*0.1)-7000)))</f>
      </c>
      <c r="E358">
        <f>C358-O358</f>
      </c>
      <c r="F358">
        <f>D358-P358</f>
      </c>
      <c r="G358">
        <f>SUMIF(negtgel!U$2:BL$2,'Tsalin uzuulelt'!B$1,negtgel!U358:BL358) + SUMIF(negtgel!U$2:BL$2,'Tsalin uzuulelt'!B$2,negtgel!U358:BL358)+SUMIF(negtgel!U$2:BL$2,'Tsalin uzuulelt'!B$3,negtgel!U358:BL358)+SUMIF(negtgel!U$2:BL$2,'Tsalin uzuulelt'!B$4,negtgel!U358:BL358)+SUMIF(negtgel!U$2:BL$2,'Tsalin uzuulelt'!B$5,negtgel!U358:BL358)</f>
      </c>
      <c r="H358">
        <f>SUMIF(negtgel!U$2:BL$2,'Tsalin uzuulelt'!F$1,negtgel!U358:BL358) + SUMIF(negtgel!U$2:BL$2,'Tsalin uzuulelt'!F$2,negtgel!U358:BL358)+SUMIF(negtgel!U$2:BL$2,'Tsalin uzuulelt'!F$3,negtgel!U358:BL358)+SUMIF(negtgel!U$2:BL$2,'Tsalin uzuulelt'!F$4,negtgel!U358:BL358)+SUMIF(negtgel!U$2:BL$2,'Tsalin uzuulelt'!F$5,negtgel!U358:BL358)</f>
      </c>
      <c r="I358">
        <f>SUMIF(negtgel!U$2:BL$2,'Tsalin uzuulelt'!H$1,negtgel!U358:BL358) + SUMIF(negtgel!U$2:BL$2,'Tsalin uzuulelt'!H$2,negtgel!U358:BL358)+SUMIF(negtgel!U$2:BL$2,'Tsalin uzuulelt'!H$3,negtgel!U358:BL358)+SUMIF(negtgel!U$2:BL$2,'Tsalin uzuulelt'!H$4,negtgel!U358:BL358)+SUMIF(negtgel!U$2:BL$2,'Tsalin uzuulelt'!H$5,negtgel!U358:BL358)</f>
      </c>
      <c r="J358">
        <f>SUMIF(negtgel!U$2:BL$2,'Tsalin uzuulelt'!J$1,negtgel!U358:BL358) + SUMIF(negtgel!U$2:BL$2,'Tsalin uzuulelt'!J$2,negtgel!U358:BL358)+SUMIF(negtgel!U$2:BL$2,'Tsalin uzuulelt'!J$3,negtgel!U358:BL358)+SUMIF(negtgel!U$2:BL$2,'Tsalin uzuulelt'!J$4,negtgel!U358:BL358)+SUMIF(negtgel!U$2:BL$2,'Tsalin uzuulelt'!J$5,negtgel!U358:BL358)</f>
      </c>
      <c r="K358">
        <f>SUMIF(negtgel!U$2:BL$2,'Tsalin uzuulelt'!L$1,negtgel!U358:BL358) + SUMIF(negtgel!U$2:BL$2,'Tsalin uzuulelt'!L$2,negtgel!U358:BL358)+SUMIF(negtgel!U$2:BL$2,'Tsalin uzuulelt'!L$3,negtgel!U358:BL358)+SUMIF(negtgel!U$2:BL$2,'Tsalin uzuulelt'!L$4,negtgel!U358:BL358)+SUMIF(negtgel!U$2:BL$2,'Tsalin uzuulelt'!L$5,negtgel!U358:BL358)</f>
      </c>
      <c r="L358">
        <f>SUMIF(negtgel!U$2:BL$2,'Tsalin uzuulelt'!N$1,negtgel!U358:BL358) + SUMIF(negtgel!U$2:BL$2,'Tsalin uzuulelt'!N$2,negtgel!U358:BL358)+SUMIF(negtgel!U$2:BL$2,'Tsalin uzuulelt'!N$3,negtgel!U358:BL358)+SUMIF(negtgel!U$2:BL$2,'Tsalin uzuulelt'!N$4,negtgel!U358:BL358)+SUMIF(negtgel!U$2:BL$2,'Tsalin uzuulelt'!N$5,negtgel!U358:BL358)</f>
      </c>
      <c r="M358">
        <f>SUMIF(negtgel!U$2:BL$2,'Tsalin uzuulelt'!P$1,negtgel!U358:BL358) + SUMIF(negtgel!U$2:BL$2,'Tsalin uzuulelt'!P$2,negtgel!U358:BL358)+ SUMIF(negtgel!U$2:BL$2,'Tsalin uzuulelt'!P$3,negtgel!U358:BL358)+ SUMIF(negtgel!U$2:BL$2,'Tsalin uzuulelt'!P$4,negtgel!U358:BL358)+ SUMIF(negtgel!U$2:BL$2,'Tsalin uzuulelt'!P$5,negtgel!U358:BL358)</f>
      </c>
      <c r="N358">
        <f>IF(ISNUMBER(U358*1)=CF358,0,K358-H358-G358)</f>
      </c>
      <c r="O358">
        <f>IF(ISNUMBER(U358*1)=CF358,0,L358)</f>
      </c>
      <c r="P358">
        <f>IF(ISNUMBER(U358*1)=CF358,0,M358)</f>
      </c>
      <c r="Q358">
        <f>IF(N358&gt;2400000,N358,0)</f>
      </c>
      <c r="R358">
        <f>IF(L358/Q358*100&lt;3,2,10)</f>
      </c>
      <c r="S358">
        <f>IF(CH358=0,0,IF(B358&gt;9,10,IF(B358&gt;8,B358,IF(B358&gt;7.7,7.8,IF(B358&gt;3,B358,IF(B358&gt;1.5,2))))))</f>
      </c>
      <c r="T358">
        <f>IF(Q358=0,S358,R358)</f>
      </c>
      <c r="U358" t="n">
        <v>22.0</v>
      </c>
      <c r="V358" t="s">
        <v>3789</v>
      </c>
      <c r="W358" t="s">
        <v>3790</v>
      </c>
      <c r="X358" t="n">
        <v>613669.0</v>
      </c>
      <c r="Y358" t="n">
        <v>613669.0</v>
      </c>
      <c r="Z358" t="n">
        <v>61367.0</v>
      </c>
      <c r="AA358" t="n">
        <v>92050.0</v>
      </c>
      <c r="AB358" t="n">
        <v>0.0</v>
      </c>
      <c r="AC358" t="n">
        <v>0.0</v>
      </c>
      <c r="AD358" t="n">
        <v>0.0</v>
      </c>
      <c r="AE358" t="n">
        <v>0.0</v>
      </c>
      <c r="AF358" t="n">
        <v>60000.0</v>
      </c>
      <c r="AG358" t="n">
        <v>0.0</v>
      </c>
      <c r="AH358" t="n">
        <v>0.0</v>
      </c>
      <c r="AI358" t="n">
        <v>0.0</v>
      </c>
      <c r="AJ358" t="n">
        <v>0.0</v>
      </c>
      <c r="AK358" t="n">
        <v>0.0</v>
      </c>
      <c r="AL358" t="n">
        <v>0.0</v>
      </c>
      <c r="AM358" t="n">
        <v>0.0</v>
      </c>
      <c r="AN358" t="n">
        <v>0.0</v>
      </c>
      <c r="AO358" t="n">
        <v>827086.0</v>
      </c>
      <c r="AP358" t="n">
        <v>82709.0</v>
      </c>
      <c r="AQ358" t="n">
        <v>68037.7</v>
      </c>
      <c r="CH358">
        <f>IFERROR(U358*1,0)</f>
      </c>
    </row>
    <row r="359">
      <c r="A359" t="n">
        <v>6.0</v>
      </c>
      <c r="B359">
        <f>IF((K359-G359-H359&gt;2400000),10,(L359/(K359-G359-H359)*100))</f>
      </c>
      <c r="C359">
        <f>IF(N359&gt;2400000,240000,(N359*S359)/100)</f>
      </c>
      <c r="D359">
        <f>IF(S359=0,0,IF((N359-I359)&gt;2400000,((((((N359-I359-J359)-240000))*0.1+(I359+J359)*0.1)))-7000,((((((N359-I359-J359)-(N359-I359-J359)*S359/100)))*0.1+(I359+J359)*0.1)-7000)))</f>
      </c>
      <c r="E359">
        <f>C359-O359</f>
      </c>
      <c r="F359">
        <f>D359-P359</f>
      </c>
      <c r="G359">
        <f>SUMIF(negtgel!U$2:BL$2,'Tsalin uzuulelt'!B$1,negtgel!U359:BL359) + SUMIF(negtgel!U$2:BL$2,'Tsalin uzuulelt'!B$2,negtgel!U359:BL359)+SUMIF(negtgel!U$2:BL$2,'Tsalin uzuulelt'!B$3,negtgel!U359:BL359)+SUMIF(negtgel!U$2:BL$2,'Tsalin uzuulelt'!B$4,negtgel!U359:BL359)+SUMIF(negtgel!U$2:BL$2,'Tsalin uzuulelt'!B$5,negtgel!U359:BL359)</f>
      </c>
      <c r="H359">
        <f>SUMIF(negtgel!U$2:BL$2,'Tsalin uzuulelt'!F$1,negtgel!U359:BL359) + SUMIF(negtgel!U$2:BL$2,'Tsalin uzuulelt'!F$2,negtgel!U359:BL359)+SUMIF(negtgel!U$2:BL$2,'Tsalin uzuulelt'!F$3,negtgel!U359:BL359)+SUMIF(negtgel!U$2:BL$2,'Tsalin uzuulelt'!F$4,negtgel!U359:BL359)+SUMIF(negtgel!U$2:BL$2,'Tsalin uzuulelt'!F$5,negtgel!U359:BL359)</f>
      </c>
      <c r="I359">
        <f>SUMIF(negtgel!U$2:BL$2,'Tsalin uzuulelt'!H$1,negtgel!U359:BL359) + SUMIF(negtgel!U$2:BL$2,'Tsalin uzuulelt'!H$2,negtgel!U359:BL359)+SUMIF(negtgel!U$2:BL$2,'Tsalin uzuulelt'!H$3,negtgel!U359:BL359)+SUMIF(negtgel!U$2:BL$2,'Tsalin uzuulelt'!H$4,negtgel!U359:BL359)+SUMIF(negtgel!U$2:BL$2,'Tsalin uzuulelt'!H$5,negtgel!U359:BL359)</f>
      </c>
      <c r="J359">
        <f>SUMIF(negtgel!U$2:BL$2,'Tsalin uzuulelt'!J$1,negtgel!U359:BL359) + SUMIF(negtgel!U$2:BL$2,'Tsalin uzuulelt'!J$2,negtgel!U359:BL359)+SUMIF(negtgel!U$2:BL$2,'Tsalin uzuulelt'!J$3,negtgel!U359:BL359)+SUMIF(negtgel!U$2:BL$2,'Tsalin uzuulelt'!J$4,negtgel!U359:BL359)+SUMIF(negtgel!U$2:BL$2,'Tsalin uzuulelt'!J$5,negtgel!U359:BL359)</f>
      </c>
      <c r="K359">
        <f>SUMIF(negtgel!U$2:BL$2,'Tsalin uzuulelt'!L$1,negtgel!U359:BL359) + SUMIF(negtgel!U$2:BL$2,'Tsalin uzuulelt'!L$2,negtgel!U359:BL359)+SUMIF(negtgel!U$2:BL$2,'Tsalin uzuulelt'!L$3,negtgel!U359:BL359)+SUMIF(negtgel!U$2:BL$2,'Tsalin uzuulelt'!L$4,negtgel!U359:BL359)+SUMIF(negtgel!U$2:BL$2,'Tsalin uzuulelt'!L$5,negtgel!U359:BL359)</f>
      </c>
      <c r="L359">
        <f>SUMIF(negtgel!U$2:BL$2,'Tsalin uzuulelt'!N$1,negtgel!U359:BL359) + SUMIF(negtgel!U$2:BL$2,'Tsalin uzuulelt'!N$2,negtgel!U359:BL359)+SUMIF(negtgel!U$2:BL$2,'Tsalin uzuulelt'!N$3,negtgel!U359:BL359)+SUMIF(negtgel!U$2:BL$2,'Tsalin uzuulelt'!N$4,negtgel!U359:BL359)+SUMIF(negtgel!U$2:BL$2,'Tsalin uzuulelt'!N$5,negtgel!U359:BL359)</f>
      </c>
      <c r="M359">
        <f>SUMIF(negtgel!U$2:BL$2,'Tsalin uzuulelt'!P$1,negtgel!U359:BL359) + SUMIF(negtgel!U$2:BL$2,'Tsalin uzuulelt'!P$2,negtgel!U359:BL359)+ SUMIF(negtgel!U$2:BL$2,'Tsalin uzuulelt'!P$3,negtgel!U359:BL359)+ SUMIF(negtgel!U$2:BL$2,'Tsalin uzuulelt'!P$4,negtgel!U359:BL359)+ SUMIF(negtgel!U$2:BL$2,'Tsalin uzuulelt'!P$5,negtgel!U359:BL359)</f>
      </c>
      <c r="N359">
        <f>IF(ISNUMBER(U359*1)=CF359,0,K359-H359-G359)</f>
      </c>
      <c r="O359">
        <f>IF(ISNUMBER(U359*1)=CF359,0,L359)</f>
      </c>
      <c r="P359">
        <f>IF(ISNUMBER(U359*1)=CF359,0,M359)</f>
      </c>
      <c r="Q359">
        <f>IF(N359&gt;2400000,N359,0)</f>
      </c>
      <c r="R359">
        <f>IF(L359/Q359*100&lt;3,2,10)</f>
      </c>
      <c r="S359">
        <f>IF(CH359=0,0,IF(B359&gt;9,10,IF(B359&gt;8,B359,IF(B359&gt;7.7,7.8,IF(B359&gt;3,B359,IF(B359&gt;1.5,2))))))</f>
      </c>
      <c r="T359">
        <f>IF(Q359=0,S359,R359)</f>
      </c>
      <c r="U359" t="n">
        <v>23.0</v>
      </c>
      <c r="V359" t="s">
        <v>3791</v>
      </c>
      <c r="W359" t="s">
        <v>3792</v>
      </c>
      <c r="X359" t="n">
        <v>535584.0</v>
      </c>
      <c r="Y359" t="n">
        <v>535584.0</v>
      </c>
      <c r="Z359" t="n">
        <v>0.0</v>
      </c>
      <c r="AA359" t="n">
        <v>0.0</v>
      </c>
      <c r="AB359" t="n">
        <v>0.0</v>
      </c>
      <c r="AC359" t="n">
        <v>0.0</v>
      </c>
      <c r="AD359" t="n">
        <v>0.0</v>
      </c>
      <c r="AE359" t="n">
        <v>0.0</v>
      </c>
      <c r="AF359" t="n">
        <v>60000.0</v>
      </c>
      <c r="AG359" t="n">
        <v>0.0</v>
      </c>
      <c r="AH359" t="n">
        <v>0.0</v>
      </c>
      <c r="AI359" t="n">
        <v>0.0</v>
      </c>
      <c r="AJ359" t="n">
        <v>0.0</v>
      </c>
      <c r="AK359" t="n">
        <v>0.0</v>
      </c>
      <c r="AL359" t="n">
        <v>0.0</v>
      </c>
      <c r="AM359" t="n">
        <v>0.0</v>
      </c>
      <c r="AN359" t="n">
        <v>0.0</v>
      </c>
      <c r="AO359" t="n">
        <v>595584.0</v>
      </c>
      <c r="AP359" t="n">
        <v>59559.0</v>
      </c>
      <c r="AQ359" t="n">
        <v>47202.6</v>
      </c>
      <c r="CH359">
        <f>IFERROR(U359*1,0)</f>
      </c>
    </row>
    <row r="360">
      <c r="A360" t="n">
        <v>6.0</v>
      </c>
      <c r="B360">
        <f>IF((K360-G360-H360&gt;2400000),10,(L360/(K360-G360-H360)*100))</f>
      </c>
      <c r="C360">
        <f>IF(N360&gt;2400000,240000,(N360*S360)/100)</f>
      </c>
      <c r="D360">
        <f>IF(S360=0,0,IF((N360-I360)&gt;2400000,((((((N360-I360-J360)-240000))*0.1+(I360+J360)*0.1)))-7000,((((((N360-I360-J360)-(N360-I360-J360)*S360/100)))*0.1+(I360+J360)*0.1)-7000)))</f>
      </c>
      <c r="E360">
        <f>C360-O360</f>
      </c>
      <c r="F360">
        <f>D360-P360</f>
      </c>
      <c r="G360">
        <f>SUMIF(negtgel!U$2:BL$2,'Tsalin uzuulelt'!B$1,negtgel!U360:BL360) + SUMIF(negtgel!U$2:BL$2,'Tsalin uzuulelt'!B$2,negtgel!U360:BL360)+SUMIF(negtgel!U$2:BL$2,'Tsalin uzuulelt'!B$3,negtgel!U360:BL360)+SUMIF(negtgel!U$2:BL$2,'Tsalin uzuulelt'!B$4,negtgel!U360:BL360)+SUMIF(negtgel!U$2:BL$2,'Tsalin uzuulelt'!B$5,negtgel!U360:BL360)</f>
      </c>
      <c r="H360">
        <f>SUMIF(negtgel!U$2:BL$2,'Tsalin uzuulelt'!F$1,negtgel!U360:BL360) + SUMIF(negtgel!U$2:BL$2,'Tsalin uzuulelt'!F$2,negtgel!U360:BL360)+SUMIF(negtgel!U$2:BL$2,'Tsalin uzuulelt'!F$3,negtgel!U360:BL360)+SUMIF(negtgel!U$2:BL$2,'Tsalin uzuulelt'!F$4,negtgel!U360:BL360)+SUMIF(negtgel!U$2:BL$2,'Tsalin uzuulelt'!F$5,negtgel!U360:BL360)</f>
      </c>
      <c r="I360">
        <f>SUMIF(negtgel!U$2:BL$2,'Tsalin uzuulelt'!H$1,negtgel!U360:BL360) + SUMIF(negtgel!U$2:BL$2,'Tsalin uzuulelt'!H$2,negtgel!U360:BL360)+SUMIF(negtgel!U$2:BL$2,'Tsalin uzuulelt'!H$3,negtgel!U360:BL360)+SUMIF(negtgel!U$2:BL$2,'Tsalin uzuulelt'!H$4,negtgel!U360:BL360)+SUMIF(negtgel!U$2:BL$2,'Tsalin uzuulelt'!H$5,negtgel!U360:BL360)</f>
      </c>
      <c r="J360">
        <f>SUMIF(negtgel!U$2:BL$2,'Tsalin uzuulelt'!J$1,negtgel!U360:BL360) + SUMIF(negtgel!U$2:BL$2,'Tsalin uzuulelt'!J$2,negtgel!U360:BL360)+SUMIF(negtgel!U$2:BL$2,'Tsalin uzuulelt'!J$3,negtgel!U360:BL360)+SUMIF(negtgel!U$2:BL$2,'Tsalin uzuulelt'!J$4,negtgel!U360:BL360)+SUMIF(negtgel!U$2:BL$2,'Tsalin uzuulelt'!J$5,negtgel!U360:BL360)</f>
      </c>
      <c r="K360">
        <f>SUMIF(negtgel!U$2:BL$2,'Tsalin uzuulelt'!L$1,negtgel!U360:BL360) + SUMIF(negtgel!U$2:BL$2,'Tsalin uzuulelt'!L$2,negtgel!U360:BL360)+SUMIF(negtgel!U$2:BL$2,'Tsalin uzuulelt'!L$3,negtgel!U360:BL360)+SUMIF(negtgel!U$2:BL$2,'Tsalin uzuulelt'!L$4,negtgel!U360:BL360)+SUMIF(negtgel!U$2:BL$2,'Tsalin uzuulelt'!L$5,negtgel!U360:BL360)</f>
      </c>
      <c r="L360">
        <f>SUMIF(negtgel!U$2:BL$2,'Tsalin uzuulelt'!N$1,negtgel!U360:BL360) + SUMIF(negtgel!U$2:BL$2,'Tsalin uzuulelt'!N$2,negtgel!U360:BL360)+SUMIF(negtgel!U$2:BL$2,'Tsalin uzuulelt'!N$3,negtgel!U360:BL360)+SUMIF(negtgel!U$2:BL$2,'Tsalin uzuulelt'!N$4,negtgel!U360:BL360)+SUMIF(negtgel!U$2:BL$2,'Tsalin uzuulelt'!N$5,negtgel!U360:BL360)</f>
      </c>
      <c r="M360">
        <f>SUMIF(negtgel!U$2:BL$2,'Tsalin uzuulelt'!P$1,negtgel!U360:BL360) + SUMIF(negtgel!U$2:BL$2,'Tsalin uzuulelt'!P$2,negtgel!U360:BL360)+ SUMIF(negtgel!U$2:BL$2,'Tsalin uzuulelt'!P$3,negtgel!U360:BL360)+ SUMIF(negtgel!U$2:BL$2,'Tsalin uzuulelt'!P$4,negtgel!U360:BL360)+ SUMIF(negtgel!U$2:BL$2,'Tsalin uzuulelt'!P$5,negtgel!U360:BL360)</f>
      </c>
      <c r="N360">
        <f>IF(ISNUMBER(U360*1)=CF360,0,K360-H360-G360)</f>
      </c>
      <c r="O360">
        <f>IF(ISNUMBER(U360*1)=CF360,0,L360)</f>
      </c>
      <c r="P360">
        <f>IF(ISNUMBER(U360*1)=CF360,0,M360)</f>
      </c>
      <c r="Q360">
        <f>IF(N360&gt;2400000,N360,0)</f>
      </c>
      <c r="R360">
        <f>IF(L360/Q360*100&lt;3,2,10)</f>
      </c>
      <c r="S360">
        <f>IF(CH360=0,0,IF(B360&gt;9,10,IF(B360&gt;8,B360,IF(B360&gt;7.7,7.8,IF(B360&gt;3,B360,IF(B360&gt;1.5,2))))))</f>
      </c>
      <c r="T360">
        <f>IF(Q360=0,S360,R360)</f>
      </c>
      <c r="U360" t="n">
        <v>24.0</v>
      </c>
      <c r="V360" t="s">
        <v>3793</v>
      </c>
      <c r="W360" t="s">
        <v>3790</v>
      </c>
      <c r="X360" t="n">
        <v>645556.0</v>
      </c>
      <c r="Y360" t="n">
        <v>581000.0</v>
      </c>
      <c r="Z360" t="n">
        <v>87150.0</v>
      </c>
      <c r="AA360" t="n">
        <v>0.0</v>
      </c>
      <c r="AB360" t="n">
        <v>0.0</v>
      </c>
      <c r="AC360" t="n">
        <v>0.0</v>
      </c>
      <c r="AD360" t="n">
        <v>0.0</v>
      </c>
      <c r="AE360" t="n">
        <v>0.0</v>
      </c>
      <c r="AF360" t="n">
        <v>54000.0</v>
      </c>
      <c r="AG360" t="n">
        <v>0.0</v>
      </c>
      <c r="AH360" t="n">
        <v>0.0</v>
      </c>
      <c r="AI360" t="n">
        <v>0.0</v>
      </c>
      <c r="AJ360" t="n">
        <v>0.0</v>
      </c>
      <c r="AK360" t="n">
        <v>0.0</v>
      </c>
      <c r="AL360" t="n">
        <v>0.0</v>
      </c>
      <c r="AM360" t="n">
        <v>0.0</v>
      </c>
      <c r="AN360" t="n">
        <v>0.0</v>
      </c>
      <c r="AO360" t="n">
        <v>722150.0</v>
      </c>
      <c r="AP360" t="n">
        <v>72214.0</v>
      </c>
      <c r="AQ360" t="n">
        <v>58533.5</v>
      </c>
      <c r="CH360">
        <f>IFERROR(U360*1,0)</f>
      </c>
    </row>
    <row r="361">
      <c r="A361" t="n">
        <v>6.0</v>
      </c>
      <c r="B361">
        <f>IF((K361-G361-H361&gt;2400000),10,(L361/(K361-G361-H361)*100))</f>
      </c>
      <c r="C361">
        <f>IF(N361&gt;2400000,240000,(N361*S361)/100)</f>
      </c>
      <c r="D361">
        <f>IF(S361=0,0,IF((N361-I361)&gt;2400000,((((((N361-I361-J361)-240000))*0.1+(I361+J361)*0.1)))-7000,((((((N361-I361-J361)-(N361-I361-J361)*S361/100)))*0.1+(I361+J361)*0.1)-7000)))</f>
      </c>
      <c r="E361">
        <f>C361-O361</f>
      </c>
      <c r="F361">
        <f>D361-P361</f>
      </c>
      <c r="G361">
        <f>SUMIF(negtgel!U$2:BL$2,'Tsalin uzuulelt'!B$1,negtgel!U361:BL361) + SUMIF(negtgel!U$2:BL$2,'Tsalin uzuulelt'!B$2,negtgel!U361:BL361)+SUMIF(negtgel!U$2:BL$2,'Tsalin uzuulelt'!B$3,negtgel!U361:BL361)+SUMIF(negtgel!U$2:BL$2,'Tsalin uzuulelt'!B$4,negtgel!U361:BL361)+SUMIF(negtgel!U$2:BL$2,'Tsalin uzuulelt'!B$5,negtgel!U361:BL361)</f>
      </c>
      <c r="H361">
        <f>SUMIF(negtgel!U$2:BL$2,'Tsalin uzuulelt'!F$1,negtgel!U361:BL361) + SUMIF(negtgel!U$2:BL$2,'Tsalin uzuulelt'!F$2,negtgel!U361:BL361)+SUMIF(negtgel!U$2:BL$2,'Tsalin uzuulelt'!F$3,negtgel!U361:BL361)+SUMIF(negtgel!U$2:BL$2,'Tsalin uzuulelt'!F$4,negtgel!U361:BL361)+SUMIF(negtgel!U$2:BL$2,'Tsalin uzuulelt'!F$5,negtgel!U361:BL361)</f>
      </c>
      <c r="I361">
        <f>SUMIF(negtgel!U$2:BL$2,'Tsalin uzuulelt'!H$1,negtgel!U361:BL361) + SUMIF(negtgel!U$2:BL$2,'Tsalin uzuulelt'!H$2,negtgel!U361:BL361)+SUMIF(negtgel!U$2:BL$2,'Tsalin uzuulelt'!H$3,negtgel!U361:BL361)+SUMIF(negtgel!U$2:BL$2,'Tsalin uzuulelt'!H$4,negtgel!U361:BL361)+SUMIF(negtgel!U$2:BL$2,'Tsalin uzuulelt'!H$5,negtgel!U361:BL361)</f>
      </c>
      <c r="J361">
        <f>SUMIF(negtgel!U$2:BL$2,'Tsalin uzuulelt'!J$1,negtgel!U361:BL361) + SUMIF(negtgel!U$2:BL$2,'Tsalin uzuulelt'!J$2,negtgel!U361:BL361)+SUMIF(negtgel!U$2:BL$2,'Tsalin uzuulelt'!J$3,negtgel!U361:BL361)+SUMIF(negtgel!U$2:BL$2,'Tsalin uzuulelt'!J$4,negtgel!U361:BL361)+SUMIF(negtgel!U$2:BL$2,'Tsalin uzuulelt'!J$5,negtgel!U361:BL361)</f>
      </c>
      <c r="K361">
        <f>SUMIF(negtgel!U$2:BL$2,'Tsalin uzuulelt'!L$1,negtgel!U361:BL361) + SUMIF(negtgel!U$2:BL$2,'Tsalin uzuulelt'!L$2,negtgel!U361:BL361)+SUMIF(negtgel!U$2:BL$2,'Tsalin uzuulelt'!L$3,negtgel!U361:BL361)+SUMIF(negtgel!U$2:BL$2,'Tsalin uzuulelt'!L$4,negtgel!U361:BL361)+SUMIF(negtgel!U$2:BL$2,'Tsalin uzuulelt'!L$5,negtgel!U361:BL361)</f>
      </c>
      <c r="L361">
        <f>SUMIF(negtgel!U$2:BL$2,'Tsalin uzuulelt'!N$1,negtgel!U361:BL361) + SUMIF(negtgel!U$2:BL$2,'Tsalin uzuulelt'!N$2,negtgel!U361:BL361)+SUMIF(negtgel!U$2:BL$2,'Tsalin uzuulelt'!N$3,negtgel!U361:BL361)+SUMIF(negtgel!U$2:BL$2,'Tsalin uzuulelt'!N$4,negtgel!U361:BL361)+SUMIF(negtgel!U$2:BL$2,'Tsalin uzuulelt'!N$5,negtgel!U361:BL361)</f>
      </c>
      <c r="M361">
        <f>SUMIF(negtgel!U$2:BL$2,'Tsalin uzuulelt'!P$1,negtgel!U361:BL361) + SUMIF(negtgel!U$2:BL$2,'Tsalin uzuulelt'!P$2,negtgel!U361:BL361)+ SUMIF(negtgel!U$2:BL$2,'Tsalin uzuulelt'!P$3,negtgel!U361:BL361)+ SUMIF(negtgel!U$2:BL$2,'Tsalin uzuulelt'!P$4,negtgel!U361:BL361)+ SUMIF(negtgel!U$2:BL$2,'Tsalin uzuulelt'!P$5,negtgel!U361:BL361)</f>
      </c>
      <c r="N361">
        <f>IF(ISNUMBER(U361*1)=CF361,0,K361-H361-G361)</f>
      </c>
      <c r="O361">
        <f>IF(ISNUMBER(U361*1)=CF361,0,L361)</f>
      </c>
      <c r="P361">
        <f>IF(ISNUMBER(U361*1)=CF361,0,M361)</f>
      </c>
      <c r="Q361">
        <f>IF(N361&gt;2400000,N361,0)</f>
      </c>
      <c r="R361">
        <f>IF(L361/Q361*100&lt;3,2,10)</f>
      </c>
      <c r="S361">
        <f>IF(CH361=0,0,IF(B361&gt;9,10,IF(B361&gt;8,B361,IF(B361&gt;7.7,7.8,IF(B361&gt;3,B361,IF(B361&gt;1.5,2))))))</f>
      </c>
      <c r="T361">
        <f>IF(Q361=0,S361,R361)</f>
      </c>
      <c r="U361" t="n">
        <v>25.0</v>
      </c>
      <c r="V361" t="s">
        <v>3794</v>
      </c>
      <c r="W361" t="s">
        <v>3792</v>
      </c>
      <c r="X361" t="n">
        <v>496912.0</v>
      </c>
      <c r="Y361" t="n">
        <v>496912.0</v>
      </c>
      <c r="Z361" t="n">
        <v>0.0</v>
      </c>
      <c r="AA361" t="n">
        <v>0.0</v>
      </c>
      <c r="AB361" t="n">
        <v>0.0</v>
      </c>
      <c r="AC361" t="n">
        <v>0.0</v>
      </c>
      <c r="AD361" t="n">
        <v>0.0</v>
      </c>
      <c r="AE361" t="n">
        <v>0.0</v>
      </c>
      <c r="AF361" t="n">
        <v>60000.0</v>
      </c>
      <c r="AG361" t="n">
        <v>0.0</v>
      </c>
      <c r="AH361" t="n">
        <v>0.0</v>
      </c>
      <c r="AI361" t="n">
        <v>0.0</v>
      </c>
      <c r="AJ361" t="n">
        <v>0.0</v>
      </c>
      <c r="AK361" t="n">
        <v>0.0</v>
      </c>
      <c r="AL361" t="n">
        <v>0.0</v>
      </c>
      <c r="AM361" t="n">
        <v>0.0</v>
      </c>
      <c r="AN361" t="n">
        <v>0.0</v>
      </c>
      <c r="AO361" t="n">
        <v>556912.0</v>
      </c>
      <c r="AP361" t="n">
        <v>55691.0</v>
      </c>
      <c r="AQ361" t="n">
        <v>43722.1</v>
      </c>
      <c r="CH361">
        <f>IFERROR(U361*1,0)</f>
      </c>
    </row>
    <row r="362">
      <c r="A362" t="n">
        <v>6.0</v>
      </c>
      <c r="B362">
        <f>IF((K362-G362-H362&gt;2400000),10,(L362/(K362-G362-H362)*100))</f>
      </c>
      <c r="C362">
        <f>IF(N362&gt;2400000,240000,(N362*S362)/100)</f>
      </c>
      <c r="D362">
        <f>IF(S362=0,0,IF((N362-I362)&gt;2400000,((((((N362-I362-J362)-240000))*0.1+(I362+J362)*0.1)))-7000,((((((N362-I362-J362)-(N362-I362-J362)*S362/100)))*0.1+(I362+J362)*0.1)-7000)))</f>
      </c>
      <c r="E362">
        <f>C362-O362</f>
      </c>
      <c r="F362">
        <f>D362-P362</f>
      </c>
      <c r="G362">
        <f>SUMIF(negtgel!U$2:BL$2,'Tsalin uzuulelt'!B$1,negtgel!U362:BL362) + SUMIF(negtgel!U$2:BL$2,'Tsalin uzuulelt'!B$2,negtgel!U362:BL362)+SUMIF(negtgel!U$2:BL$2,'Tsalin uzuulelt'!B$3,negtgel!U362:BL362)+SUMIF(negtgel!U$2:BL$2,'Tsalin uzuulelt'!B$4,negtgel!U362:BL362)+SUMIF(negtgel!U$2:BL$2,'Tsalin uzuulelt'!B$5,negtgel!U362:BL362)</f>
      </c>
      <c r="H362">
        <f>SUMIF(negtgel!U$2:BL$2,'Tsalin uzuulelt'!F$1,negtgel!U362:BL362) + SUMIF(negtgel!U$2:BL$2,'Tsalin uzuulelt'!F$2,negtgel!U362:BL362)+SUMIF(negtgel!U$2:BL$2,'Tsalin uzuulelt'!F$3,negtgel!U362:BL362)+SUMIF(negtgel!U$2:BL$2,'Tsalin uzuulelt'!F$4,negtgel!U362:BL362)+SUMIF(negtgel!U$2:BL$2,'Tsalin uzuulelt'!F$5,negtgel!U362:BL362)</f>
      </c>
      <c r="I362">
        <f>SUMIF(negtgel!U$2:BL$2,'Tsalin uzuulelt'!H$1,negtgel!U362:BL362) + SUMIF(negtgel!U$2:BL$2,'Tsalin uzuulelt'!H$2,negtgel!U362:BL362)+SUMIF(negtgel!U$2:BL$2,'Tsalin uzuulelt'!H$3,negtgel!U362:BL362)+SUMIF(negtgel!U$2:BL$2,'Tsalin uzuulelt'!H$4,negtgel!U362:BL362)+SUMIF(negtgel!U$2:BL$2,'Tsalin uzuulelt'!H$5,negtgel!U362:BL362)</f>
      </c>
      <c r="J362">
        <f>SUMIF(negtgel!U$2:BL$2,'Tsalin uzuulelt'!J$1,negtgel!U362:BL362) + SUMIF(negtgel!U$2:BL$2,'Tsalin uzuulelt'!J$2,negtgel!U362:BL362)+SUMIF(negtgel!U$2:BL$2,'Tsalin uzuulelt'!J$3,negtgel!U362:BL362)+SUMIF(negtgel!U$2:BL$2,'Tsalin uzuulelt'!J$4,negtgel!U362:BL362)+SUMIF(negtgel!U$2:BL$2,'Tsalin uzuulelt'!J$5,negtgel!U362:BL362)</f>
      </c>
      <c r="K362">
        <f>SUMIF(negtgel!U$2:BL$2,'Tsalin uzuulelt'!L$1,negtgel!U362:BL362) + SUMIF(negtgel!U$2:BL$2,'Tsalin uzuulelt'!L$2,negtgel!U362:BL362)+SUMIF(negtgel!U$2:BL$2,'Tsalin uzuulelt'!L$3,negtgel!U362:BL362)+SUMIF(negtgel!U$2:BL$2,'Tsalin uzuulelt'!L$4,negtgel!U362:BL362)+SUMIF(negtgel!U$2:BL$2,'Tsalin uzuulelt'!L$5,negtgel!U362:BL362)</f>
      </c>
      <c r="L362">
        <f>SUMIF(negtgel!U$2:BL$2,'Tsalin uzuulelt'!N$1,negtgel!U362:BL362) + SUMIF(negtgel!U$2:BL$2,'Tsalin uzuulelt'!N$2,negtgel!U362:BL362)+SUMIF(negtgel!U$2:BL$2,'Tsalin uzuulelt'!N$3,negtgel!U362:BL362)+SUMIF(negtgel!U$2:BL$2,'Tsalin uzuulelt'!N$4,negtgel!U362:BL362)+SUMIF(negtgel!U$2:BL$2,'Tsalin uzuulelt'!N$5,negtgel!U362:BL362)</f>
      </c>
      <c r="M362">
        <f>SUMIF(negtgel!U$2:BL$2,'Tsalin uzuulelt'!P$1,negtgel!U362:BL362) + SUMIF(negtgel!U$2:BL$2,'Tsalin uzuulelt'!P$2,negtgel!U362:BL362)+ SUMIF(negtgel!U$2:BL$2,'Tsalin uzuulelt'!P$3,negtgel!U362:BL362)+ SUMIF(negtgel!U$2:BL$2,'Tsalin uzuulelt'!P$4,negtgel!U362:BL362)+ SUMIF(negtgel!U$2:BL$2,'Tsalin uzuulelt'!P$5,negtgel!U362:BL362)</f>
      </c>
      <c r="N362">
        <f>IF(ISNUMBER(U362*1)=CF362,0,K362-H362-G362)</f>
      </c>
      <c r="O362">
        <f>IF(ISNUMBER(U362*1)=CF362,0,L362)</f>
      </c>
      <c r="P362">
        <f>IF(ISNUMBER(U362*1)=CF362,0,M362)</f>
      </c>
      <c r="Q362">
        <f>IF(N362&gt;2400000,N362,0)</f>
      </c>
      <c r="R362">
        <f>IF(L362/Q362*100&lt;3,2,10)</f>
      </c>
      <c r="S362">
        <f>IF(CH362=0,0,IF(B362&gt;9,10,IF(B362&gt;8,B362,IF(B362&gt;7.7,7.8,IF(B362&gt;3,B362,IF(B362&gt;1.5,2))))))</f>
      </c>
      <c r="T362">
        <f>IF(Q362=0,S362,R362)</f>
      </c>
      <c r="U362" t="n">
        <v>26.0</v>
      </c>
      <c r="V362" t="s">
        <v>3850</v>
      </c>
      <c r="W362" t="s">
        <v>3790</v>
      </c>
      <c r="X362" t="n">
        <v>547759.0</v>
      </c>
      <c r="Y362" t="n">
        <v>547759.0</v>
      </c>
      <c r="Z362" t="n">
        <v>0.0</v>
      </c>
      <c r="AA362" t="n">
        <v>0.0</v>
      </c>
      <c r="AB362" t="n">
        <v>0.0</v>
      </c>
      <c r="AC362" t="n">
        <v>0.0</v>
      </c>
      <c r="AD362" t="n">
        <v>0.0</v>
      </c>
      <c r="AE362" t="n">
        <v>0.0</v>
      </c>
      <c r="AF362" t="n">
        <v>60000.0</v>
      </c>
      <c r="AG362" t="n">
        <v>0.0</v>
      </c>
      <c r="AH362" t="n">
        <v>0.0</v>
      </c>
      <c r="AI362" t="n">
        <v>0.0</v>
      </c>
      <c r="AJ362" t="n">
        <v>0.0</v>
      </c>
      <c r="AK362" t="n">
        <v>0.0</v>
      </c>
      <c r="AL362" t="n">
        <v>0.0</v>
      </c>
      <c r="AM362" t="n">
        <v>0.0</v>
      </c>
      <c r="AN362" t="n">
        <v>0.0</v>
      </c>
      <c r="AO362" t="n">
        <v>607759.0</v>
      </c>
      <c r="AP362" t="n">
        <v>60776.0</v>
      </c>
      <c r="AQ362" t="n">
        <v>48298.3</v>
      </c>
      <c r="CH362">
        <f>IFERROR(U362*1,0)</f>
      </c>
    </row>
    <row r="363">
      <c r="A363" t="n">
        <v>6.0</v>
      </c>
      <c r="B363">
        <f>IF((K363-G363-H363&gt;2400000),10,(L363/(K363-G363-H363)*100))</f>
      </c>
      <c r="C363">
        <f>IF(N363&gt;2400000,240000,(N363*S363)/100)</f>
      </c>
      <c r="D363">
        <f>IF(S363=0,0,IF((N363-I363)&gt;2400000,((((((N363-I363-J363)-240000))*0.1+(I363+J363)*0.1)))-7000,((((((N363-I363-J363)-(N363-I363-J363)*S363/100)))*0.1+(I363+J363)*0.1)-7000)))</f>
      </c>
      <c r="E363">
        <f>C363-O363</f>
      </c>
      <c r="F363">
        <f>D363-P363</f>
      </c>
      <c r="G363">
        <f>SUMIF(negtgel!U$2:BL$2,'Tsalin uzuulelt'!B$1,negtgel!U363:BL363) + SUMIF(negtgel!U$2:BL$2,'Tsalin uzuulelt'!B$2,negtgel!U363:BL363)+SUMIF(negtgel!U$2:BL$2,'Tsalin uzuulelt'!B$3,negtgel!U363:BL363)+SUMIF(negtgel!U$2:BL$2,'Tsalin uzuulelt'!B$4,negtgel!U363:BL363)+SUMIF(negtgel!U$2:BL$2,'Tsalin uzuulelt'!B$5,negtgel!U363:BL363)</f>
      </c>
      <c r="H363">
        <f>SUMIF(negtgel!U$2:BL$2,'Tsalin uzuulelt'!F$1,negtgel!U363:BL363) + SUMIF(negtgel!U$2:BL$2,'Tsalin uzuulelt'!F$2,negtgel!U363:BL363)+SUMIF(negtgel!U$2:BL$2,'Tsalin uzuulelt'!F$3,negtgel!U363:BL363)+SUMIF(negtgel!U$2:BL$2,'Tsalin uzuulelt'!F$4,negtgel!U363:BL363)+SUMIF(negtgel!U$2:BL$2,'Tsalin uzuulelt'!F$5,negtgel!U363:BL363)</f>
      </c>
      <c r="I363">
        <f>SUMIF(negtgel!U$2:BL$2,'Tsalin uzuulelt'!H$1,negtgel!U363:BL363) + SUMIF(negtgel!U$2:BL$2,'Tsalin uzuulelt'!H$2,negtgel!U363:BL363)+SUMIF(negtgel!U$2:BL$2,'Tsalin uzuulelt'!H$3,negtgel!U363:BL363)+SUMIF(negtgel!U$2:BL$2,'Tsalin uzuulelt'!H$4,negtgel!U363:BL363)+SUMIF(negtgel!U$2:BL$2,'Tsalin uzuulelt'!H$5,negtgel!U363:BL363)</f>
      </c>
      <c r="J363">
        <f>SUMIF(negtgel!U$2:BL$2,'Tsalin uzuulelt'!J$1,negtgel!U363:BL363) + SUMIF(negtgel!U$2:BL$2,'Tsalin uzuulelt'!J$2,negtgel!U363:BL363)+SUMIF(negtgel!U$2:BL$2,'Tsalin uzuulelt'!J$3,negtgel!U363:BL363)+SUMIF(negtgel!U$2:BL$2,'Tsalin uzuulelt'!J$4,negtgel!U363:BL363)+SUMIF(negtgel!U$2:BL$2,'Tsalin uzuulelt'!J$5,negtgel!U363:BL363)</f>
      </c>
      <c r="K363">
        <f>SUMIF(negtgel!U$2:BL$2,'Tsalin uzuulelt'!L$1,negtgel!U363:BL363) + SUMIF(negtgel!U$2:BL$2,'Tsalin uzuulelt'!L$2,negtgel!U363:BL363)+SUMIF(negtgel!U$2:BL$2,'Tsalin uzuulelt'!L$3,negtgel!U363:BL363)+SUMIF(negtgel!U$2:BL$2,'Tsalin uzuulelt'!L$4,negtgel!U363:BL363)+SUMIF(negtgel!U$2:BL$2,'Tsalin uzuulelt'!L$5,negtgel!U363:BL363)</f>
      </c>
      <c r="L363">
        <f>SUMIF(negtgel!U$2:BL$2,'Tsalin uzuulelt'!N$1,negtgel!U363:BL363) + SUMIF(negtgel!U$2:BL$2,'Tsalin uzuulelt'!N$2,negtgel!U363:BL363)+SUMIF(negtgel!U$2:BL$2,'Tsalin uzuulelt'!N$3,negtgel!U363:BL363)+SUMIF(negtgel!U$2:BL$2,'Tsalin uzuulelt'!N$4,negtgel!U363:BL363)+SUMIF(negtgel!U$2:BL$2,'Tsalin uzuulelt'!N$5,negtgel!U363:BL363)</f>
      </c>
      <c r="M363">
        <f>SUMIF(negtgel!U$2:BL$2,'Tsalin uzuulelt'!P$1,negtgel!U363:BL363) + SUMIF(negtgel!U$2:BL$2,'Tsalin uzuulelt'!P$2,negtgel!U363:BL363)+ SUMIF(negtgel!U$2:BL$2,'Tsalin uzuulelt'!P$3,negtgel!U363:BL363)+ SUMIF(negtgel!U$2:BL$2,'Tsalin uzuulelt'!P$4,negtgel!U363:BL363)+ SUMIF(negtgel!U$2:BL$2,'Tsalin uzuulelt'!P$5,negtgel!U363:BL363)</f>
      </c>
      <c r="N363">
        <f>IF(ISNUMBER(U363*1)=CF363,0,K363-H363-G363)</f>
      </c>
      <c r="O363">
        <f>IF(ISNUMBER(U363*1)=CF363,0,L363)</f>
      </c>
      <c r="P363">
        <f>IF(ISNUMBER(U363*1)=CF363,0,M363)</f>
      </c>
      <c r="Q363">
        <f>IF(N363&gt;2400000,N363,0)</f>
      </c>
      <c r="R363">
        <f>IF(L363/Q363*100&lt;3,2,10)</f>
      </c>
      <c r="S363">
        <f>IF(CH363=0,0,IF(B363&gt;9,10,IF(B363&gt;8,B363,IF(B363&gt;7.7,7.8,IF(B363&gt;3,B363,IF(B363&gt;1.5,2))))))</f>
      </c>
      <c r="T363">
        <f>IF(Q363=0,S363,R363)</f>
      </c>
      <c r="U363" t="n">
        <v>49.0</v>
      </c>
      <c r="V363" t="s">
        <v>3797</v>
      </c>
      <c r="W363" t="s">
        <v>3790</v>
      </c>
      <c r="X363" t="n">
        <v>580710.0</v>
      </c>
      <c r="Y363" t="n">
        <v>580710.0</v>
      </c>
      <c r="Z363" t="n">
        <v>29036.0</v>
      </c>
      <c r="AA363" t="n">
        <v>87106.0</v>
      </c>
      <c r="AB363" t="n">
        <v>0.0</v>
      </c>
      <c r="AC363" t="n">
        <v>0.0</v>
      </c>
      <c r="AD363" t="n">
        <v>0.0</v>
      </c>
      <c r="AE363" t="n">
        <v>0.0</v>
      </c>
      <c r="AF363" t="n">
        <v>60000.0</v>
      </c>
      <c r="AG363" t="n">
        <v>0.0</v>
      </c>
      <c r="AH363" t="n">
        <v>0.0</v>
      </c>
      <c r="AI363" t="n">
        <v>0.0</v>
      </c>
      <c r="AJ363" t="n">
        <v>0.0</v>
      </c>
      <c r="AK363" t="n">
        <v>0.0</v>
      </c>
      <c r="AL363" t="n">
        <v>0.0</v>
      </c>
      <c r="AM363" t="n">
        <v>0.0</v>
      </c>
      <c r="AN363" t="n">
        <v>0.0</v>
      </c>
      <c r="AO363" t="n">
        <v>756852.0</v>
      </c>
      <c r="AP363" t="n">
        <v>75686.0</v>
      </c>
      <c r="AQ363" t="n">
        <v>61716.7</v>
      </c>
      <c r="CH363">
        <f>IFERROR(U363*1,0)</f>
      </c>
    </row>
    <row r="364">
      <c r="A364" t="n">
        <v>6.0</v>
      </c>
      <c r="B364">
        <f>IF((K364-G364-H364&gt;2400000),10,(L364/(K364-G364-H364)*100))</f>
      </c>
      <c r="C364">
        <f>IF(N364&gt;2400000,240000,(N364*S364)/100)</f>
      </c>
      <c r="D364">
        <f>IF(S364=0,0,IF((N364-I364)&gt;2400000,((((((N364-I364-J364)-240000))*0.1+(I364+J364)*0.1)))-7000,((((((N364-I364-J364)-(N364-I364-J364)*S364/100)))*0.1+(I364+J364)*0.1)-7000)))</f>
      </c>
      <c r="E364">
        <f>C364-O364</f>
      </c>
      <c r="F364">
        <f>D364-P364</f>
      </c>
      <c r="G364">
        <f>SUMIF(negtgel!U$2:BL$2,'Tsalin uzuulelt'!B$1,negtgel!U364:BL364) + SUMIF(negtgel!U$2:BL$2,'Tsalin uzuulelt'!B$2,negtgel!U364:BL364)+SUMIF(negtgel!U$2:BL$2,'Tsalin uzuulelt'!B$3,negtgel!U364:BL364)+SUMIF(negtgel!U$2:BL$2,'Tsalin uzuulelt'!B$4,negtgel!U364:BL364)+SUMIF(negtgel!U$2:BL$2,'Tsalin uzuulelt'!B$5,negtgel!U364:BL364)</f>
      </c>
      <c r="H364">
        <f>SUMIF(negtgel!U$2:BL$2,'Tsalin uzuulelt'!F$1,negtgel!U364:BL364) + SUMIF(negtgel!U$2:BL$2,'Tsalin uzuulelt'!F$2,negtgel!U364:BL364)+SUMIF(negtgel!U$2:BL$2,'Tsalin uzuulelt'!F$3,negtgel!U364:BL364)+SUMIF(negtgel!U$2:BL$2,'Tsalin uzuulelt'!F$4,negtgel!U364:BL364)+SUMIF(negtgel!U$2:BL$2,'Tsalin uzuulelt'!F$5,negtgel!U364:BL364)</f>
      </c>
      <c r="I364">
        <f>SUMIF(negtgel!U$2:BL$2,'Tsalin uzuulelt'!H$1,negtgel!U364:BL364) + SUMIF(negtgel!U$2:BL$2,'Tsalin uzuulelt'!H$2,negtgel!U364:BL364)+SUMIF(negtgel!U$2:BL$2,'Tsalin uzuulelt'!H$3,negtgel!U364:BL364)+SUMIF(negtgel!U$2:BL$2,'Tsalin uzuulelt'!H$4,negtgel!U364:BL364)+SUMIF(negtgel!U$2:BL$2,'Tsalin uzuulelt'!H$5,negtgel!U364:BL364)</f>
      </c>
      <c r="J364">
        <f>SUMIF(negtgel!U$2:BL$2,'Tsalin uzuulelt'!J$1,negtgel!U364:BL364) + SUMIF(negtgel!U$2:BL$2,'Tsalin uzuulelt'!J$2,negtgel!U364:BL364)+SUMIF(negtgel!U$2:BL$2,'Tsalin uzuulelt'!J$3,negtgel!U364:BL364)+SUMIF(negtgel!U$2:BL$2,'Tsalin uzuulelt'!J$4,negtgel!U364:BL364)+SUMIF(negtgel!U$2:BL$2,'Tsalin uzuulelt'!J$5,negtgel!U364:BL364)</f>
      </c>
      <c r="K364">
        <f>SUMIF(negtgel!U$2:BL$2,'Tsalin uzuulelt'!L$1,negtgel!U364:BL364) + SUMIF(negtgel!U$2:BL$2,'Tsalin uzuulelt'!L$2,negtgel!U364:BL364)+SUMIF(negtgel!U$2:BL$2,'Tsalin uzuulelt'!L$3,negtgel!U364:BL364)+SUMIF(negtgel!U$2:BL$2,'Tsalin uzuulelt'!L$4,negtgel!U364:BL364)+SUMIF(negtgel!U$2:BL$2,'Tsalin uzuulelt'!L$5,negtgel!U364:BL364)</f>
      </c>
      <c r="L364">
        <f>SUMIF(negtgel!U$2:BL$2,'Tsalin uzuulelt'!N$1,negtgel!U364:BL364) + SUMIF(negtgel!U$2:BL$2,'Tsalin uzuulelt'!N$2,negtgel!U364:BL364)+SUMIF(negtgel!U$2:BL$2,'Tsalin uzuulelt'!N$3,negtgel!U364:BL364)+SUMIF(negtgel!U$2:BL$2,'Tsalin uzuulelt'!N$4,negtgel!U364:BL364)+SUMIF(negtgel!U$2:BL$2,'Tsalin uzuulelt'!N$5,negtgel!U364:BL364)</f>
      </c>
      <c r="M364">
        <f>SUMIF(negtgel!U$2:BL$2,'Tsalin uzuulelt'!P$1,negtgel!U364:BL364) + SUMIF(negtgel!U$2:BL$2,'Tsalin uzuulelt'!P$2,negtgel!U364:BL364)+ SUMIF(negtgel!U$2:BL$2,'Tsalin uzuulelt'!P$3,negtgel!U364:BL364)+ SUMIF(negtgel!U$2:BL$2,'Tsalin uzuulelt'!P$4,negtgel!U364:BL364)+ SUMIF(negtgel!U$2:BL$2,'Tsalin uzuulelt'!P$5,negtgel!U364:BL364)</f>
      </c>
      <c r="N364">
        <f>IF(ISNUMBER(U364*1)=CF364,0,K364-H364-G364)</f>
      </c>
      <c r="O364">
        <f>IF(ISNUMBER(U364*1)=CF364,0,L364)</f>
      </c>
      <c r="P364">
        <f>IF(ISNUMBER(U364*1)=CF364,0,M364)</f>
      </c>
      <c r="Q364">
        <f>IF(N364&gt;2400000,N364,0)</f>
      </c>
      <c r="R364">
        <f>IF(L364/Q364*100&lt;3,2,10)</f>
      </c>
      <c r="S364">
        <f>IF(CH364=0,0,IF(B364&gt;9,10,IF(B364&gt;8,B364,IF(B364&gt;7.7,7.8,IF(B364&gt;3,B364,IF(B364&gt;1.5,2))))))</f>
      </c>
      <c r="T364">
        <f>IF(Q364=0,S364,R364)</f>
      </c>
      <c r="U364" t="n">
        <v>50.0</v>
      </c>
      <c r="V364" t="s">
        <v>3798</v>
      </c>
      <c r="W364" t="s">
        <v>3792</v>
      </c>
      <c r="X364" t="n">
        <v>496912.0</v>
      </c>
      <c r="Y364" t="n">
        <v>496912.0</v>
      </c>
      <c r="Z364" t="n">
        <v>0.0</v>
      </c>
      <c r="AA364" t="n">
        <v>0.0</v>
      </c>
      <c r="AB364" t="n">
        <v>0.0</v>
      </c>
      <c r="AC364" t="n">
        <v>0.0</v>
      </c>
      <c r="AD364" t="n">
        <v>0.0</v>
      </c>
      <c r="AE364" t="n">
        <v>0.0</v>
      </c>
      <c r="AF364" t="n">
        <v>60000.0</v>
      </c>
      <c r="AG364" t="n">
        <v>0.0</v>
      </c>
      <c r="AH364" t="n">
        <v>0.0</v>
      </c>
      <c r="AI364" t="n">
        <v>0.0</v>
      </c>
      <c r="AJ364" t="n">
        <v>0.0</v>
      </c>
      <c r="AK364" t="n">
        <v>0.0</v>
      </c>
      <c r="AL364" t="n">
        <v>0.0</v>
      </c>
      <c r="AM364" t="n">
        <v>0.0</v>
      </c>
      <c r="AN364" t="n">
        <v>0.0</v>
      </c>
      <c r="AO364" t="n">
        <v>556912.0</v>
      </c>
      <c r="AP364" t="n">
        <v>55691.0</v>
      </c>
      <c r="AQ364" t="n">
        <v>43722.1</v>
      </c>
      <c r="CH364">
        <f>IFERROR(U364*1,0)</f>
      </c>
    </row>
    <row r="365">
      <c r="A365" t="n">
        <v>6.0</v>
      </c>
      <c r="B365">
        <f>IF((K365-G365-H365&gt;2400000),10,(L365/(K365-G365-H365)*100))</f>
      </c>
      <c r="C365">
        <f>IF(N365&gt;2400000,240000,(N365*S365)/100)</f>
      </c>
      <c r="D365">
        <f>IF(S365=0,0,IF((N365-I365)&gt;2400000,((((((N365-I365-J365)-240000))*0.1+(I365+J365)*0.1)))-7000,((((((N365-I365-J365)-(N365-I365-J365)*S365/100)))*0.1+(I365+J365)*0.1)-7000)))</f>
      </c>
      <c r="E365">
        <f>C365-O365</f>
      </c>
      <c r="F365">
        <f>D365-P365</f>
      </c>
      <c r="G365">
        <f>SUMIF(negtgel!U$2:BL$2,'Tsalin uzuulelt'!B$1,negtgel!U365:BL365) + SUMIF(negtgel!U$2:BL$2,'Tsalin uzuulelt'!B$2,negtgel!U365:BL365)+SUMIF(negtgel!U$2:BL$2,'Tsalin uzuulelt'!B$3,negtgel!U365:BL365)+SUMIF(negtgel!U$2:BL$2,'Tsalin uzuulelt'!B$4,negtgel!U365:BL365)+SUMIF(negtgel!U$2:BL$2,'Tsalin uzuulelt'!B$5,negtgel!U365:BL365)</f>
      </c>
      <c r="H365">
        <f>SUMIF(negtgel!U$2:BL$2,'Tsalin uzuulelt'!F$1,negtgel!U365:BL365) + SUMIF(negtgel!U$2:BL$2,'Tsalin uzuulelt'!F$2,negtgel!U365:BL365)+SUMIF(negtgel!U$2:BL$2,'Tsalin uzuulelt'!F$3,negtgel!U365:BL365)+SUMIF(negtgel!U$2:BL$2,'Tsalin uzuulelt'!F$4,negtgel!U365:BL365)+SUMIF(negtgel!U$2:BL$2,'Tsalin uzuulelt'!F$5,negtgel!U365:BL365)</f>
      </c>
      <c r="I365">
        <f>SUMIF(negtgel!U$2:BL$2,'Tsalin uzuulelt'!H$1,negtgel!U365:BL365) + SUMIF(negtgel!U$2:BL$2,'Tsalin uzuulelt'!H$2,negtgel!U365:BL365)+SUMIF(negtgel!U$2:BL$2,'Tsalin uzuulelt'!H$3,negtgel!U365:BL365)+SUMIF(negtgel!U$2:BL$2,'Tsalin uzuulelt'!H$4,negtgel!U365:BL365)+SUMIF(negtgel!U$2:BL$2,'Tsalin uzuulelt'!H$5,negtgel!U365:BL365)</f>
      </c>
      <c r="J365">
        <f>SUMIF(negtgel!U$2:BL$2,'Tsalin uzuulelt'!J$1,negtgel!U365:BL365) + SUMIF(negtgel!U$2:BL$2,'Tsalin uzuulelt'!J$2,negtgel!U365:BL365)+SUMIF(negtgel!U$2:BL$2,'Tsalin uzuulelt'!J$3,negtgel!U365:BL365)+SUMIF(negtgel!U$2:BL$2,'Tsalin uzuulelt'!J$4,negtgel!U365:BL365)+SUMIF(negtgel!U$2:BL$2,'Tsalin uzuulelt'!J$5,negtgel!U365:BL365)</f>
      </c>
      <c r="K365">
        <f>SUMIF(negtgel!U$2:BL$2,'Tsalin uzuulelt'!L$1,negtgel!U365:BL365) + SUMIF(negtgel!U$2:BL$2,'Tsalin uzuulelt'!L$2,negtgel!U365:BL365)+SUMIF(negtgel!U$2:BL$2,'Tsalin uzuulelt'!L$3,negtgel!U365:BL365)+SUMIF(negtgel!U$2:BL$2,'Tsalin uzuulelt'!L$4,negtgel!U365:BL365)+SUMIF(negtgel!U$2:BL$2,'Tsalin uzuulelt'!L$5,negtgel!U365:BL365)</f>
      </c>
      <c r="L365">
        <f>SUMIF(negtgel!U$2:BL$2,'Tsalin uzuulelt'!N$1,negtgel!U365:BL365) + SUMIF(negtgel!U$2:BL$2,'Tsalin uzuulelt'!N$2,negtgel!U365:BL365)+SUMIF(negtgel!U$2:BL$2,'Tsalin uzuulelt'!N$3,negtgel!U365:BL365)+SUMIF(negtgel!U$2:BL$2,'Tsalin uzuulelt'!N$4,negtgel!U365:BL365)+SUMIF(negtgel!U$2:BL$2,'Tsalin uzuulelt'!N$5,negtgel!U365:BL365)</f>
      </c>
      <c r="M365">
        <f>SUMIF(negtgel!U$2:BL$2,'Tsalin uzuulelt'!P$1,negtgel!U365:BL365) + SUMIF(negtgel!U$2:BL$2,'Tsalin uzuulelt'!P$2,negtgel!U365:BL365)+ SUMIF(negtgel!U$2:BL$2,'Tsalin uzuulelt'!P$3,negtgel!U365:BL365)+ SUMIF(negtgel!U$2:BL$2,'Tsalin uzuulelt'!P$4,negtgel!U365:BL365)+ SUMIF(negtgel!U$2:BL$2,'Tsalin uzuulelt'!P$5,negtgel!U365:BL365)</f>
      </c>
      <c r="N365">
        <f>IF(ISNUMBER(U365*1)=CF365,0,K365-H365-G365)</f>
      </c>
      <c r="O365">
        <f>IF(ISNUMBER(U365*1)=CF365,0,L365)</f>
      </c>
      <c r="P365">
        <f>IF(ISNUMBER(U365*1)=CF365,0,M365)</f>
      </c>
      <c r="Q365">
        <f>IF(N365&gt;2400000,N365,0)</f>
      </c>
      <c r="R365">
        <f>IF(L365/Q365*100&lt;3,2,10)</f>
      </c>
      <c r="S365">
        <f>IF(CH365=0,0,IF(B365&gt;9,10,IF(B365&gt;8,B365,IF(B365&gt;7.7,7.8,IF(B365&gt;3,B365,IF(B365&gt;1.5,2))))))</f>
      </c>
      <c r="T365">
        <f>IF(Q365=0,S365,R365)</f>
      </c>
      <c r="U365" t="n">
        <v>51.0</v>
      </c>
      <c r="V365" t="s">
        <v>3799</v>
      </c>
      <c r="W365" t="s">
        <v>3785</v>
      </c>
      <c r="X365" t="n">
        <v>795935.0</v>
      </c>
      <c r="Y365" t="n">
        <v>795935.0</v>
      </c>
      <c r="Z365" t="n">
        <v>119390.0</v>
      </c>
      <c r="AA365" t="n">
        <v>159187.0</v>
      </c>
      <c r="AB365" t="n">
        <v>0.0</v>
      </c>
      <c r="AC365" t="n">
        <v>0.0</v>
      </c>
      <c r="AD365" t="n">
        <v>0.0</v>
      </c>
      <c r="AE365" t="n">
        <v>0.0</v>
      </c>
      <c r="AF365" t="n">
        <v>60000.0</v>
      </c>
      <c r="AG365" t="n">
        <v>0.0</v>
      </c>
      <c r="AH365" t="n">
        <v>0.0</v>
      </c>
      <c r="AI365" t="n">
        <v>0.0</v>
      </c>
      <c r="AJ365" t="n">
        <v>0.0</v>
      </c>
      <c r="AK365" t="n">
        <v>0.0</v>
      </c>
      <c r="AL365" t="n">
        <v>0.0</v>
      </c>
      <c r="AM365" t="n">
        <v>0.0</v>
      </c>
      <c r="AN365" t="n">
        <v>0.0</v>
      </c>
      <c r="AO365" t="n">
        <v>1134512.0</v>
      </c>
      <c r="AP365" t="n">
        <v>113451.0</v>
      </c>
      <c r="AQ365" t="n">
        <v>95706.1</v>
      </c>
      <c r="CH365">
        <f>IFERROR(U365*1,0)</f>
      </c>
    </row>
    <row r="366">
      <c r="A366" t="n">
        <v>6.0</v>
      </c>
      <c r="B366">
        <f>IF((K366-G366-H366&gt;2400000),10,(L366/(K366-G366-H366)*100))</f>
      </c>
      <c r="C366">
        <f>IF(N366&gt;2400000,240000,(N366*S366)/100)</f>
      </c>
      <c r="D366">
        <f>IF(S366=0,0,IF((N366-I366)&gt;2400000,((((((N366-I366-J366)-240000))*0.1+(I366+J366)*0.1)))-7000,((((((N366-I366-J366)-(N366-I366-J366)*S366/100)))*0.1+(I366+J366)*0.1)-7000)))</f>
      </c>
      <c r="E366">
        <f>C366-O366</f>
      </c>
      <c r="F366">
        <f>D366-P366</f>
      </c>
      <c r="G366">
        <f>SUMIF(negtgel!U$2:BL$2,'Tsalin uzuulelt'!B$1,negtgel!U366:BL366) + SUMIF(negtgel!U$2:BL$2,'Tsalin uzuulelt'!B$2,negtgel!U366:BL366)+SUMIF(negtgel!U$2:BL$2,'Tsalin uzuulelt'!B$3,negtgel!U366:BL366)+SUMIF(negtgel!U$2:BL$2,'Tsalin uzuulelt'!B$4,negtgel!U366:BL366)+SUMIF(negtgel!U$2:BL$2,'Tsalin uzuulelt'!B$5,negtgel!U366:BL366)</f>
      </c>
      <c r="H366">
        <f>SUMIF(negtgel!U$2:BL$2,'Tsalin uzuulelt'!F$1,negtgel!U366:BL366) + SUMIF(negtgel!U$2:BL$2,'Tsalin uzuulelt'!F$2,negtgel!U366:BL366)+SUMIF(negtgel!U$2:BL$2,'Tsalin uzuulelt'!F$3,negtgel!U366:BL366)+SUMIF(negtgel!U$2:BL$2,'Tsalin uzuulelt'!F$4,negtgel!U366:BL366)+SUMIF(negtgel!U$2:BL$2,'Tsalin uzuulelt'!F$5,negtgel!U366:BL366)</f>
      </c>
      <c r="I366">
        <f>SUMIF(negtgel!U$2:BL$2,'Tsalin uzuulelt'!H$1,negtgel!U366:BL366) + SUMIF(negtgel!U$2:BL$2,'Tsalin uzuulelt'!H$2,negtgel!U366:BL366)+SUMIF(negtgel!U$2:BL$2,'Tsalin uzuulelt'!H$3,negtgel!U366:BL366)+SUMIF(negtgel!U$2:BL$2,'Tsalin uzuulelt'!H$4,negtgel!U366:BL366)+SUMIF(negtgel!U$2:BL$2,'Tsalin uzuulelt'!H$5,negtgel!U366:BL366)</f>
      </c>
      <c r="J366">
        <f>SUMIF(negtgel!U$2:BL$2,'Tsalin uzuulelt'!J$1,negtgel!U366:BL366) + SUMIF(negtgel!U$2:BL$2,'Tsalin uzuulelt'!J$2,negtgel!U366:BL366)+SUMIF(negtgel!U$2:BL$2,'Tsalin uzuulelt'!J$3,negtgel!U366:BL366)+SUMIF(negtgel!U$2:BL$2,'Tsalin uzuulelt'!J$4,negtgel!U366:BL366)+SUMIF(negtgel!U$2:BL$2,'Tsalin uzuulelt'!J$5,negtgel!U366:BL366)</f>
      </c>
      <c r="K366">
        <f>SUMIF(negtgel!U$2:BL$2,'Tsalin uzuulelt'!L$1,negtgel!U366:BL366) + SUMIF(negtgel!U$2:BL$2,'Tsalin uzuulelt'!L$2,negtgel!U366:BL366)+SUMIF(negtgel!U$2:BL$2,'Tsalin uzuulelt'!L$3,negtgel!U366:BL366)+SUMIF(negtgel!U$2:BL$2,'Tsalin uzuulelt'!L$4,negtgel!U366:BL366)+SUMIF(negtgel!U$2:BL$2,'Tsalin uzuulelt'!L$5,negtgel!U366:BL366)</f>
      </c>
      <c r="L366">
        <f>SUMIF(negtgel!U$2:BL$2,'Tsalin uzuulelt'!N$1,negtgel!U366:BL366) + SUMIF(negtgel!U$2:BL$2,'Tsalin uzuulelt'!N$2,negtgel!U366:BL366)+SUMIF(negtgel!U$2:BL$2,'Tsalin uzuulelt'!N$3,negtgel!U366:BL366)+SUMIF(negtgel!U$2:BL$2,'Tsalin uzuulelt'!N$4,negtgel!U366:BL366)+SUMIF(negtgel!U$2:BL$2,'Tsalin uzuulelt'!N$5,negtgel!U366:BL366)</f>
      </c>
      <c r="M366">
        <f>SUMIF(negtgel!U$2:BL$2,'Tsalin uzuulelt'!P$1,negtgel!U366:BL366) + SUMIF(negtgel!U$2:BL$2,'Tsalin uzuulelt'!P$2,negtgel!U366:BL366)+ SUMIF(negtgel!U$2:BL$2,'Tsalin uzuulelt'!P$3,negtgel!U366:BL366)+ SUMIF(negtgel!U$2:BL$2,'Tsalin uzuulelt'!P$4,negtgel!U366:BL366)+ SUMIF(negtgel!U$2:BL$2,'Tsalin uzuulelt'!P$5,negtgel!U366:BL366)</f>
      </c>
      <c r="N366">
        <f>IF(ISNUMBER(U366*1)=CF366,0,K366-H366-G366)</f>
      </c>
      <c r="O366">
        <f>IF(ISNUMBER(U366*1)=CF366,0,L366)</f>
      </c>
      <c r="P366">
        <f>IF(ISNUMBER(U366*1)=CF366,0,M366)</f>
      </c>
      <c r="Q366">
        <f>IF(N366&gt;2400000,N366,0)</f>
      </c>
      <c r="R366">
        <f>IF(L366/Q366*100&lt;3,2,10)</f>
      </c>
      <c r="S366">
        <f>IF(CH366=0,0,IF(B366&gt;9,10,IF(B366&gt;8,B366,IF(B366&gt;7.7,7.8,IF(B366&gt;3,B366,IF(B366&gt;1.5,2))))))</f>
      </c>
      <c r="T366">
        <f>IF(Q366=0,S366,R366)</f>
      </c>
      <c r="U366" t="n">
        <v>52.0</v>
      </c>
      <c r="V366" t="s">
        <v>3800</v>
      </c>
      <c r="W366" t="s">
        <v>3790</v>
      </c>
      <c r="X366" t="n">
        <v>613669.0</v>
      </c>
      <c r="Y366" t="n">
        <v>613669.0</v>
      </c>
      <c r="Z366" t="n">
        <v>92050.0</v>
      </c>
      <c r="AA366" t="n">
        <v>122734.0</v>
      </c>
      <c r="AB366" t="n">
        <v>0.0</v>
      </c>
      <c r="AC366" t="n">
        <v>0.0</v>
      </c>
      <c r="AD366" t="n">
        <v>0.0</v>
      </c>
      <c r="AE366" t="n">
        <v>0.0</v>
      </c>
      <c r="AF366" t="n">
        <v>60000.0</v>
      </c>
      <c r="AG366" t="n">
        <v>0.0</v>
      </c>
      <c r="AH366" t="n">
        <v>0.0</v>
      </c>
      <c r="AI366" t="n">
        <v>0.0</v>
      </c>
      <c r="AJ366" t="n">
        <v>0.0</v>
      </c>
      <c r="AK366" t="n">
        <v>0.0</v>
      </c>
      <c r="AL366" t="n">
        <v>0.0</v>
      </c>
      <c r="AM366" t="n">
        <v>0.0</v>
      </c>
      <c r="AN366" t="n">
        <v>0.0</v>
      </c>
      <c r="AO366" t="n">
        <v>888453.0</v>
      </c>
      <c r="AP366" t="n">
        <v>88846.0</v>
      </c>
      <c r="AQ366" t="n">
        <v>73560.8</v>
      </c>
      <c r="CH366">
        <f>IFERROR(U366*1,0)</f>
      </c>
    </row>
    <row r="367">
      <c r="A367" t="n">
        <v>6.0</v>
      </c>
      <c r="B367">
        <f>IF((K367-G367-H367&gt;2400000),10,(L367/(K367-G367-H367)*100))</f>
      </c>
      <c r="C367">
        <f>IF(N367&gt;2400000,240000,(N367*S367)/100)</f>
      </c>
      <c r="D367">
        <f>IF(S367=0,0,IF((N367-I367)&gt;2400000,((((((N367-I367-J367)-240000))*0.1+(I367+J367)*0.1)))-7000,((((((N367-I367-J367)-(N367-I367-J367)*S367/100)))*0.1+(I367+J367)*0.1)-7000)))</f>
      </c>
      <c r="E367">
        <f>C367-O367</f>
      </c>
      <c r="F367">
        <f>D367-P367</f>
      </c>
      <c r="G367">
        <f>SUMIF(negtgel!U$2:BL$2,'Tsalin uzuulelt'!B$1,negtgel!U367:BL367) + SUMIF(negtgel!U$2:BL$2,'Tsalin uzuulelt'!B$2,negtgel!U367:BL367)+SUMIF(negtgel!U$2:BL$2,'Tsalin uzuulelt'!B$3,negtgel!U367:BL367)+SUMIF(negtgel!U$2:BL$2,'Tsalin uzuulelt'!B$4,negtgel!U367:BL367)+SUMIF(negtgel!U$2:BL$2,'Tsalin uzuulelt'!B$5,negtgel!U367:BL367)</f>
      </c>
      <c r="H367">
        <f>SUMIF(negtgel!U$2:BL$2,'Tsalin uzuulelt'!F$1,negtgel!U367:BL367) + SUMIF(negtgel!U$2:BL$2,'Tsalin uzuulelt'!F$2,negtgel!U367:BL367)+SUMIF(negtgel!U$2:BL$2,'Tsalin uzuulelt'!F$3,negtgel!U367:BL367)+SUMIF(negtgel!U$2:BL$2,'Tsalin uzuulelt'!F$4,negtgel!U367:BL367)+SUMIF(negtgel!U$2:BL$2,'Tsalin uzuulelt'!F$5,negtgel!U367:BL367)</f>
      </c>
      <c r="I367">
        <f>SUMIF(negtgel!U$2:BL$2,'Tsalin uzuulelt'!H$1,negtgel!U367:BL367) + SUMIF(negtgel!U$2:BL$2,'Tsalin uzuulelt'!H$2,negtgel!U367:BL367)+SUMIF(negtgel!U$2:BL$2,'Tsalin uzuulelt'!H$3,negtgel!U367:BL367)+SUMIF(negtgel!U$2:BL$2,'Tsalin uzuulelt'!H$4,negtgel!U367:BL367)+SUMIF(negtgel!U$2:BL$2,'Tsalin uzuulelt'!H$5,negtgel!U367:BL367)</f>
      </c>
      <c r="J367">
        <f>SUMIF(negtgel!U$2:BL$2,'Tsalin uzuulelt'!J$1,negtgel!U367:BL367) + SUMIF(negtgel!U$2:BL$2,'Tsalin uzuulelt'!J$2,negtgel!U367:BL367)+SUMIF(negtgel!U$2:BL$2,'Tsalin uzuulelt'!J$3,negtgel!U367:BL367)+SUMIF(negtgel!U$2:BL$2,'Tsalin uzuulelt'!J$4,negtgel!U367:BL367)+SUMIF(negtgel!U$2:BL$2,'Tsalin uzuulelt'!J$5,negtgel!U367:BL367)</f>
      </c>
      <c r="K367">
        <f>SUMIF(negtgel!U$2:BL$2,'Tsalin uzuulelt'!L$1,negtgel!U367:BL367) + SUMIF(negtgel!U$2:BL$2,'Tsalin uzuulelt'!L$2,negtgel!U367:BL367)+SUMIF(negtgel!U$2:BL$2,'Tsalin uzuulelt'!L$3,negtgel!U367:BL367)+SUMIF(negtgel!U$2:BL$2,'Tsalin uzuulelt'!L$4,negtgel!U367:BL367)+SUMIF(negtgel!U$2:BL$2,'Tsalin uzuulelt'!L$5,negtgel!U367:BL367)</f>
      </c>
      <c r="L367">
        <f>SUMIF(negtgel!U$2:BL$2,'Tsalin uzuulelt'!N$1,negtgel!U367:BL367) + SUMIF(negtgel!U$2:BL$2,'Tsalin uzuulelt'!N$2,negtgel!U367:BL367)+SUMIF(negtgel!U$2:BL$2,'Tsalin uzuulelt'!N$3,negtgel!U367:BL367)+SUMIF(negtgel!U$2:BL$2,'Tsalin uzuulelt'!N$4,negtgel!U367:BL367)+SUMIF(negtgel!U$2:BL$2,'Tsalin uzuulelt'!N$5,negtgel!U367:BL367)</f>
      </c>
      <c r="M367">
        <f>SUMIF(negtgel!U$2:BL$2,'Tsalin uzuulelt'!P$1,negtgel!U367:BL367) + SUMIF(negtgel!U$2:BL$2,'Tsalin uzuulelt'!P$2,negtgel!U367:BL367)+ SUMIF(negtgel!U$2:BL$2,'Tsalin uzuulelt'!P$3,negtgel!U367:BL367)+ SUMIF(negtgel!U$2:BL$2,'Tsalin uzuulelt'!P$4,negtgel!U367:BL367)+ SUMIF(negtgel!U$2:BL$2,'Tsalin uzuulelt'!P$5,negtgel!U367:BL367)</f>
      </c>
      <c r="N367">
        <f>IF(ISNUMBER(U367*1)=CF367,0,K367-H367-G367)</f>
      </c>
      <c r="O367">
        <f>IF(ISNUMBER(U367*1)=CF367,0,L367)</f>
      </c>
      <c r="P367">
        <f>IF(ISNUMBER(U367*1)=CF367,0,M367)</f>
      </c>
      <c r="Q367">
        <f>IF(N367&gt;2400000,N367,0)</f>
      </c>
      <c r="R367">
        <f>IF(L367/Q367*100&lt;3,2,10)</f>
      </c>
      <c r="S367">
        <f>IF(CH367=0,0,IF(B367&gt;9,10,IF(B367&gt;8,B367,IF(B367&gt;7.7,7.8,IF(B367&gt;3,B367,IF(B367&gt;1.5,2))))))</f>
      </c>
      <c r="T367">
        <f>IF(Q367=0,S367,R367)</f>
      </c>
      <c r="U367" t="n">
        <v>53.0</v>
      </c>
      <c r="V367" t="s">
        <v>3801</v>
      </c>
      <c r="W367" t="s">
        <v>3790</v>
      </c>
      <c r="X367" t="n">
        <v>580710.0</v>
      </c>
      <c r="Y367" t="n">
        <v>580710.0</v>
      </c>
      <c r="Z367" t="n">
        <v>0.0</v>
      </c>
      <c r="AA367" t="n">
        <v>0.0</v>
      </c>
      <c r="AB367" t="n">
        <v>0.0</v>
      </c>
      <c r="AC367" t="n">
        <v>0.0</v>
      </c>
      <c r="AD367" t="n">
        <v>0.0</v>
      </c>
      <c r="AE367" t="n">
        <v>0.0</v>
      </c>
      <c r="AF367" t="n">
        <v>60000.0</v>
      </c>
      <c r="AG367" t="n">
        <v>0.0</v>
      </c>
      <c r="AH367" t="n">
        <v>0.0</v>
      </c>
      <c r="AI367" t="n">
        <v>0.0</v>
      </c>
      <c r="AJ367" t="n">
        <v>0.0</v>
      </c>
      <c r="AK367" t="n">
        <v>0.0</v>
      </c>
      <c r="AL367" t="n">
        <v>0.0</v>
      </c>
      <c r="AM367" t="n">
        <v>0.0</v>
      </c>
      <c r="AN367" t="n">
        <v>0.0</v>
      </c>
      <c r="AO367" t="n">
        <v>640710.0</v>
      </c>
      <c r="AP367" t="n">
        <v>64071.0</v>
      </c>
      <c r="AQ367" t="n">
        <v>51263.9</v>
      </c>
      <c r="CH367">
        <f>IFERROR(U367*1,0)</f>
      </c>
    </row>
    <row r="368">
      <c r="A368" t="n">
        <v>6.0</v>
      </c>
      <c r="B368">
        <f>IF((K368-G368-H368&gt;2400000),10,(L368/(K368-G368-H368)*100))</f>
      </c>
      <c r="C368">
        <f>IF(N368&gt;2400000,240000,(N368*S368)/100)</f>
      </c>
      <c r="D368">
        <f>IF(S368=0,0,IF((N368-I368)&gt;2400000,((((((N368-I368-J368)-240000))*0.1+(I368+J368)*0.1)))-7000,((((((N368-I368-J368)-(N368-I368-J368)*S368/100)))*0.1+(I368+J368)*0.1)-7000)))</f>
      </c>
      <c r="E368">
        <f>C368-O368</f>
      </c>
      <c r="F368">
        <f>D368-P368</f>
      </c>
      <c r="G368">
        <f>SUMIF(negtgel!U$2:BL$2,'Tsalin uzuulelt'!B$1,negtgel!U368:BL368) + SUMIF(negtgel!U$2:BL$2,'Tsalin uzuulelt'!B$2,negtgel!U368:BL368)+SUMIF(negtgel!U$2:BL$2,'Tsalin uzuulelt'!B$3,negtgel!U368:BL368)+SUMIF(negtgel!U$2:BL$2,'Tsalin uzuulelt'!B$4,negtgel!U368:BL368)+SUMIF(negtgel!U$2:BL$2,'Tsalin uzuulelt'!B$5,negtgel!U368:BL368)</f>
      </c>
      <c r="H368">
        <f>SUMIF(negtgel!U$2:BL$2,'Tsalin uzuulelt'!F$1,negtgel!U368:BL368) + SUMIF(negtgel!U$2:BL$2,'Tsalin uzuulelt'!F$2,negtgel!U368:BL368)+SUMIF(negtgel!U$2:BL$2,'Tsalin uzuulelt'!F$3,negtgel!U368:BL368)+SUMIF(negtgel!U$2:BL$2,'Tsalin uzuulelt'!F$4,negtgel!U368:BL368)+SUMIF(negtgel!U$2:BL$2,'Tsalin uzuulelt'!F$5,negtgel!U368:BL368)</f>
      </c>
      <c r="I368">
        <f>SUMIF(negtgel!U$2:BL$2,'Tsalin uzuulelt'!H$1,negtgel!U368:BL368) + SUMIF(negtgel!U$2:BL$2,'Tsalin uzuulelt'!H$2,negtgel!U368:BL368)+SUMIF(negtgel!U$2:BL$2,'Tsalin uzuulelt'!H$3,negtgel!U368:BL368)+SUMIF(negtgel!U$2:BL$2,'Tsalin uzuulelt'!H$4,negtgel!U368:BL368)+SUMIF(negtgel!U$2:BL$2,'Tsalin uzuulelt'!H$5,negtgel!U368:BL368)</f>
      </c>
      <c r="J368">
        <f>SUMIF(negtgel!U$2:BL$2,'Tsalin uzuulelt'!J$1,negtgel!U368:BL368) + SUMIF(negtgel!U$2:BL$2,'Tsalin uzuulelt'!J$2,negtgel!U368:BL368)+SUMIF(negtgel!U$2:BL$2,'Tsalin uzuulelt'!J$3,negtgel!U368:BL368)+SUMIF(negtgel!U$2:BL$2,'Tsalin uzuulelt'!J$4,negtgel!U368:BL368)+SUMIF(negtgel!U$2:BL$2,'Tsalin uzuulelt'!J$5,negtgel!U368:BL368)</f>
      </c>
      <c r="K368">
        <f>SUMIF(negtgel!U$2:BL$2,'Tsalin uzuulelt'!L$1,negtgel!U368:BL368) + SUMIF(negtgel!U$2:BL$2,'Tsalin uzuulelt'!L$2,negtgel!U368:BL368)+SUMIF(negtgel!U$2:BL$2,'Tsalin uzuulelt'!L$3,negtgel!U368:BL368)+SUMIF(negtgel!U$2:BL$2,'Tsalin uzuulelt'!L$4,negtgel!U368:BL368)+SUMIF(negtgel!U$2:BL$2,'Tsalin uzuulelt'!L$5,negtgel!U368:BL368)</f>
      </c>
      <c r="L368">
        <f>SUMIF(negtgel!U$2:BL$2,'Tsalin uzuulelt'!N$1,negtgel!U368:BL368) + SUMIF(negtgel!U$2:BL$2,'Tsalin uzuulelt'!N$2,negtgel!U368:BL368)+SUMIF(negtgel!U$2:BL$2,'Tsalin uzuulelt'!N$3,negtgel!U368:BL368)+SUMIF(negtgel!U$2:BL$2,'Tsalin uzuulelt'!N$4,negtgel!U368:BL368)+SUMIF(negtgel!U$2:BL$2,'Tsalin uzuulelt'!N$5,negtgel!U368:BL368)</f>
      </c>
      <c r="M368">
        <f>SUMIF(negtgel!U$2:BL$2,'Tsalin uzuulelt'!P$1,negtgel!U368:BL368) + SUMIF(negtgel!U$2:BL$2,'Tsalin uzuulelt'!P$2,negtgel!U368:BL368)+ SUMIF(negtgel!U$2:BL$2,'Tsalin uzuulelt'!P$3,negtgel!U368:BL368)+ SUMIF(negtgel!U$2:BL$2,'Tsalin uzuulelt'!P$4,negtgel!U368:BL368)+ SUMIF(negtgel!U$2:BL$2,'Tsalin uzuulelt'!P$5,negtgel!U368:BL368)</f>
      </c>
      <c r="N368">
        <f>IF(ISNUMBER(U368*1)=CF368,0,K368-H368-G368)</f>
      </c>
      <c r="O368">
        <f>IF(ISNUMBER(U368*1)=CF368,0,L368)</f>
      </c>
      <c r="P368">
        <f>IF(ISNUMBER(U368*1)=CF368,0,M368)</f>
      </c>
      <c r="Q368">
        <f>IF(N368&gt;2400000,N368,0)</f>
      </c>
      <c r="R368">
        <f>IF(L368/Q368*100&lt;3,2,10)</f>
      </c>
      <c r="S368">
        <f>IF(CH368=0,0,IF(B368&gt;9,10,IF(B368&gt;8,B368,IF(B368&gt;7.7,7.8,IF(B368&gt;3,B368,IF(B368&gt;1.5,2))))))</f>
      </c>
      <c r="T368">
        <f>IF(Q368=0,S368,R368)</f>
      </c>
      <c r="U368" t="n">
        <v>54.0</v>
      </c>
      <c r="V368" t="s">
        <v>3802</v>
      </c>
      <c r="W368" t="s">
        <v>3792</v>
      </c>
      <c r="X368" t="n">
        <v>496912.0</v>
      </c>
      <c r="Y368" t="n">
        <v>496912.0</v>
      </c>
      <c r="Z368" t="n">
        <v>0.0</v>
      </c>
      <c r="AA368" t="n">
        <v>0.0</v>
      </c>
      <c r="AB368" t="n">
        <v>0.0</v>
      </c>
      <c r="AC368" t="n">
        <v>0.0</v>
      </c>
      <c r="AD368" t="n">
        <v>0.0</v>
      </c>
      <c r="AE368" t="n">
        <v>0.0</v>
      </c>
      <c r="AF368" t="n">
        <v>60000.0</v>
      </c>
      <c r="AG368" t="n">
        <v>0.0</v>
      </c>
      <c r="AH368" t="n">
        <v>0.0</v>
      </c>
      <c r="AI368" t="n">
        <v>0.0</v>
      </c>
      <c r="AJ368" t="n">
        <v>0.0</v>
      </c>
      <c r="AK368" t="n">
        <v>0.0</v>
      </c>
      <c r="AL368" t="n">
        <v>0.0</v>
      </c>
      <c r="AM368" t="n">
        <v>0.0</v>
      </c>
      <c r="AN368" t="n">
        <v>0.0</v>
      </c>
      <c r="AO368" t="n">
        <v>556912.0</v>
      </c>
      <c r="AP368" t="n">
        <v>55691.0</v>
      </c>
      <c r="AQ368" t="n">
        <v>43722.1</v>
      </c>
      <c r="CH368">
        <f>IFERROR(U368*1,0)</f>
      </c>
    </row>
    <row r="369">
      <c r="A369" t="n">
        <v>6.0</v>
      </c>
      <c r="B369">
        <f>IF((K369-G369-H369&gt;2400000),10,(L369/(K369-G369-H369)*100))</f>
      </c>
      <c r="C369">
        <f>IF(N369&gt;2400000,240000,(N369*S369)/100)</f>
      </c>
      <c r="D369">
        <f>IF(S369=0,0,IF((N369-I369)&gt;2400000,((((((N369-I369-J369)-240000))*0.1+(I369+J369)*0.1)))-7000,((((((N369-I369-J369)-(N369-I369-J369)*S369/100)))*0.1+(I369+J369)*0.1)-7000)))</f>
      </c>
      <c r="E369">
        <f>C369-O369</f>
      </c>
      <c r="F369">
        <f>D369-P369</f>
      </c>
      <c r="G369">
        <f>SUMIF(negtgel!U$2:BL$2,'Tsalin uzuulelt'!B$1,negtgel!U369:BL369) + SUMIF(negtgel!U$2:BL$2,'Tsalin uzuulelt'!B$2,negtgel!U369:BL369)+SUMIF(negtgel!U$2:BL$2,'Tsalin uzuulelt'!B$3,negtgel!U369:BL369)+SUMIF(negtgel!U$2:BL$2,'Tsalin uzuulelt'!B$4,negtgel!U369:BL369)+SUMIF(negtgel!U$2:BL$2,'Tsalin uzuulelt'!B$5,negtgel!U369:BL369)</f>
      </c>
      <c r="H369">
        <f>SUMIF(negtgel!U$2:BL$2,'Tsalin uzuulelt'!F$1,negtgel!U369:BL369) + SUMIF(negtgel!U$2:BL$2,'Tsalin uzuulelt'!F$2,negtgel!U369:BL369)+SUMIF(negtgel!U$2:BL$2,'Tsalin uzuulelt'!F$3,negtgel!U369:BL369)+SUMIF(negtgel!U$2:BL$2,'Tsalin uzuulelt'!F$4,negtgel!U369:BL369)+SUMIF(negtgel!U$2:BL$2,'Tsalin uzuulelt'!F$5,negtgel!U369:BL369)</f>
      </c>
      <c r="I369">
        <f>SUMIF(negtgel!U$2:BL$2,'Tsalin uzuulelt'!H$1,negtgel!U369:BL369) + SUMIF(negtgel!U$2:BL$2,'Tsalin uzuulelt'!H$2,negtgel!U369:BL369)+SUMIF(negtgel!U$2:BL$2,'Tsalin uzuulelt'!H$3,negtgel!U369:BL369)+SUMIF(negtgel!U$2:BL$2,'Tsalin uzuulelt'!H$4,negtgel!U369:BL369)+SUMIF(negtgel!U$2:BL$2,'Tsalin uzuulelt'!H$5,negtgel!U369:BL369)</f>
      </c>
      <c r="J369">
        <f>SUMIF(negtgel!U$2:BL$2,'Tsalin uzuulelt'!J$1,negtgel!U369:BL369) + SUMIF(negtgel!U$2:BL$2,'Tsalin uzuulelt'!J$2,negtgel!U369:BL369)+SUMIF(negtgel!U$2:BL$2,'Tsalin uzuulelt'!J$3,negtgel!U369:BL369)+SUMIF(negtgel!U$2:BL$2,'Tsalin uzuulelt'!J$4,negtgel!U369:BL369)+SUMIF(negtgel!U$2:BL$2,'Tsalin uzuulelt'!J$5,negtgel!U369:BL369)</f>
      </c>
      <c r="K369">
        <f>SUMIF(negtgel!U$2:BL$2,'Tsalin uzuulelt'!L$1,negtgel!U369:BL369) + SUMIF(negtgel!U$2:BL$2,'Tsalin uzuulelt'!L$2,negtgel!U369:BL369)+SUMIF(negtgel!U$2:BL$2,'Tsalin uzuulelt'!L$3,negtgel!U369:BL369)+SUMIF(negtgel!U$2:BL$2,'Tsalin uzuulelt'!L$4,negtgel!U369:BL369)+SUMIF(negtgel!U$2:BL$2,'Tsalin uzuulelt'!L$5,negtgel!U369:BL369)</f>
      </c>
      <c r="L369">
        <f>SUMIF(negtgel!U$2:BL$2,'Tsalin uzuulelt'!N$1,negtgel!U369:BL369) + SUMIF(negtgel!U$2:BL$2,'Tsalin uzuulelt'!N$2,negtgel!U369:BL369)+SUMIF(negtgel!U$2:BL$2,'Tsalin uzuulelt'!N$3,negtgel!U369:BL369)+SUMIF(negtgel!U$2:BL$2,'Tsalin uzuulelt'!N$4,negtgel!U369:BL369)+SUMIF(negtgel!U$2:BL$2,'Tsalin uzuulelt'!N$5,negtgel!U369:BL369)</f>
      </c>
      <c r="M369">
        <f>SUMIF(negtgel!U$2:BL$2,'Tsalin uzuulelt'!P$1,negtgel!U369:BL369) + SUMIF(negtgel!U$2:BL$2,'Tsalin uzuulelt'!P$2,negtgel!U369:BL369)+ SUMIF(negtgel!U$2:BL$2,'Tsalin uzuulelt'!P$3,negtgel!U369:BL369)+ SUMIF(negtgel!U$2:BL$2,'Tsalin uzuulelt'!P$4,negtgel!U369:BL369)+ SUMIF(negtgel!U$2:BL$2,'Tsalin uzuulelt'!P$5,negtgel!U369:BL369)</f>
      </c>
      <c r="N369">
        <f>IF(ISNUMBER(U369*1)=CF369,0,K369-H369-G369)</f>
      </c>
      <c r="O369">
        <f>IF(ISNUMBER(U369*1)=CF369,0,L369)</f>
      </c>
      <c r="P369">
        <f>IF(ISNUMBER(U369*1)=CF369,0,M369)</f>
      </c>
      <c r="Q369">
        <f>IF(N369&gt;2400000,N369,0)</f>
      </c>
      <c r="R369">
        <f>IF(L369/Q369*100&lt;3,2,10)</f>
      </c>
      <c r="S369">
        <f>IF(CH369=0,0,IF(B369&gt;9,10,IF(B369&gt;8,B369,IF(B369&gt;7.7,7.8,IF(B369&gt;3,B369,IF(B369&gt;1.5,2))))))</f>
      </c>
      <c r="T369">
        <f>IF(Q369=0,S369,R369)</f>
      </c>
      <c r="U369" t="n">
        <v>55.0</v>
      </c>
      <c r="V369" t="s">
        <v>3803</v>
      </c>
      <c r="W369" t="s">
        <v>3790</v>
      </c>
      <c r="X369" t="n">
        <v>733863.0</v>
      </c>
      <c r="Y369" t="n">
        <v>733863.0</v>
      </c>
      <c r="Z369" t="n">
        <v>146773.0</v>
      </c>
      <c r="AA369" t="n">
        <v>146773.0</v>
      </c>
      <c r="AB369" t="n">
        <v>0.0</v>
      </c>
      <c r="AC369" t="n">
        <v>110079.0</v>
      </c>
      <c r="AD369" t="n">
        <v>0.0</v>
      </c>
      <c r="AE369" t="n">
        <v>0.0</v>
      </c>
      <c r="AF369" t="n">
        <v>60000.0</v>
      </c>
      <c r="AG369" t="n">
        <v>0.0</v>
      </c>
      <c r="AH369" t="n">
        <v>0.0</v>
      </c>
      <c r="AI369" t="n">
        <v>0.0</v>
      </c>
      <c r="AJ369" t="n">
        <v>0.0</v>
      </c>
      <c r="AK369" t="n">
        <v>0.0</v>
      </c>
      <c r="AL369" t="n">
        <v>0.0</v>
      </c>
      <c r="AM369" t="n">
        <v>0.0</v>
      </c>
      <c r="AN369" t="n">
        <v>0.0</v>
      </c>
      <c r="AO369" t="n">
        <v>1197488.0</v>
      </c>
      <c r="AP369" t="n">
        <v>119749.0</v>
      </c>
      <c r="AQ369" t="n">
        <v>101373.9</v>
      </c>
      <c r="CH369">
        <f>IFERROR(U369*1,0)</f>
      </c>
    </row>
    <row r="370">
      <c r="A370" t="n">
        <v>6.0</v>
      </c>
      <c r="B370">
        <f>IF((K370-G370-H370&gt;2400000),10,(L370/(K370-G370-H370)*100))</f>
      </c>
      <c r="C370">
        <f>IF(N370&gt;2400000,240000,(N370*S370)/100)</f>
      </c>
      <c r="D370">
        <f>IF(S370=0,0,IF((N370-I370)&gt;2400000,((((((N370-I370-J370)-240000))*0.1+(I370+J370)*0.1)))-7000,((((((N370-I370-J370)-(N370-I370-J370)*S370/100)))*0.1+(I370+J370)*0.1)-7000)))</f>
      </c>
      <c r="E370">
        <f>C370-O370</f>
      </c>
      <c r="F370">
        <f>D370-P370</f>
      </c>
      <c r="G370">
        <f>SUMIF(negtgel!U$2:BL$2,'Tsalin uzuulelt'!B$1,negtgel!U370:BL370) + SUMIF(negtgel!U$2:BL$2,'Tsalin uzuulelt'!B$2,negtgel!U370:BL370)+SUMIF(negtgel!U$2:BL$2,'Tsalin uzuulelt'!B$3,negtgel!U370:BL370)+SUMIF(negtgel!U$2:BL$2,'Tsalin uzuulelt'!B$4,negtgel!U370:BL370)+SUMIF(negtgel!U$2:BL$2,'Tsalin uzuulelt'!B$5,negtgel!U370:BL370)</f>
      </c>
      <c r="H370">
        <f>SUMIF(negtgel!U$2:BL$2,'Tsalin uzuulelt'!F$1,negtgel!U370:BL370) + SUMIF(negtgel!U$2:BL$2,'Tsalin uzuulelt'!F$2,negtgel!U370:BL370)+SUMIF(negtgel!U$2:BL$2,'Tsalin uzuulelt'!F$3,negtgel!U370:BL370)+SUMIF(negtgel!U$2:BL$2,'Tsalin uzuulelt'!F$4,negtgel!U370:BL370)+SUMIF(negtgel!U$2:BL$2,'Tsalin uzuulelt'!F$5,negtgel!U370:BL370)</f>
      </c>
      <c r="I370">
        <f>SUMIF(negtgel!U$2:BL$2,'Tsalin uzuulelt'!H$1,negtgel!U370:BL370) + SUMIF(negtgel!U$2:BL$2,'Tsalin uzuulelt'!H$2,negtgel!U370:BL370)+SUMIF(negtgel!U$2:BL$2,'Tsalin uzuulelt'!H$3,negtgel!U370:BL370)+SUMIF(negtgel!U$2:BL$2,'Tsalin uzuulelt'!H$4,negtgel!U370:BL370)+SUMIF(negtgel!U$2:BL$2,'Tsalin uzuulelt'!H$5,negtgel!U370:BL370)</f>
      </c>
      <c r="J370">
        <f>SUMIF(negtgel!U$2:BL$2,'Tsalin uzuulelt'!J$1,negtgel!U370:BL370) + SUMIF(negtgel!U$2:BL$2,'Tsalin uzuulelt'!J$2,negtgel!U370:BL370)+SUMIF(negtgel!U$2:BL$2,'Tsalin uzuulelt'!J$3,negtgel!U370:BL370)+SUMIF(negtgel!U$2:BL$2,'Tsalin uzuulelt'!J$4,negtgel!U370:BL370)+SUMIF(negtgel!U$2:BL$2,'Tsalin uzuulelt'!J$5,negtgel!U370:BL370)</f>
      </c>
      <c r="K370">
        <f>SUMIF(negtgel!U$2:BL$2,'Tsalin uzuulelt'!L$1,negtgel!U370:BL370) + SUMIF(negtgel!U$2:BL$2,'Tsalin uzuulelt'!L$2,negtgel!U370:BL370)+SUMIF(negtgel!U$2:BL$2,'Tsalin uzuulelt'!L$3,negtgel!U370:BL370)+SUMIF(negtgel!U$2:BL$2,'Tsalin uzuulelt'!L$4,negtgel!U370:BL370)+SUMIF(negtgel!U$2:BL$2,'Tsalin uzuulelt'!L$5,negtgel!U370:BL370)</f>
      </c>
      <c r="L370">
        <f>SUMIF(negtgel!U$2:BL$2,'Tsalin uzuulelt'!N$1,negtgel!U370:BL370) + SUMIF(negtgel!U$2:BL$2,'Tsalin uzuulelt'!N$2,negtgel!U370:BL370)+SUMIF(negtgel!U$2:BL$2,'Tsalin uzuulelt'!N$3,negtgel!U370:BL370)+SUMIF(negtgel!U$2:BL$2,'Tsalin uzuulelt'!N$4,negtgel!U370:BL370)+SUMIF(negtgel!U$2:BL$2,'Tsalin uzuulelt'!N$5,negtgel!U370:BL370)</f>
      </c>
      <c r="M370">
        <f>SUMIF(negtgel!U$2:BL$2,'Tsalin uzuulelt'!P$1,negtgel!U370:BL370) + SUMIF(negtgel!U$2:BL$2,'Tsalin uzuulelt'!P$2,negtgel!U370:BL370)+ SUMIF(negtgel!U$2:BL$2,'Tsalin uzuulelt'!P$3,negtgel!U370:BL370)+ SUMIF(negtgel!U$2:BL$2,'Tsalin uzuulelt'!P$4,negtgel!U370:BL370)+ SUMIF(negtgel!U$2:BL$2,'Tsalin uzuulelt'!P$5,negtgel!U370:BL370)</f>
      </c>
      <c r="N370">
        <f>IF(ISNUMBER(U370*1)=CF370,0,K370-H370-G370)</f>
      </c>
      <c r="O370">
        <f>IF(ISNUMBER(U370*1)=CF370,0,L370)</f>
      </c>
      <c r="P370">
        <f>IF(ISNUMBER(U370*1)=CF370,0,M370)</f>
      </c>
      <c r="Q370">
        <f>IF(N370&gt;2400000,N370,0)</f>
      </c>
      <c r="R370">
        <f>IF(L370/Q370*100&lt;3,2,10)</f>
      </c>
      <c r="S370">
        <f>IF(CH370=0,0,IF(B370&gt;9,10,IF(B370&gt;8,B370,IF(B370&gt;7.7,7.8,IF(B370&gt;3,B370,IF(B370&gt;1.5,2))))))</f>
      </c>
      <c r="T370">
        <f>IF(Q370=0,S370,R370)</f>
      </c>
      <c r="U370" t="s">
        <v>3787</v>
      </c>
      <c r="V370"/>
      <c r="W370"/>
      <c r="X370" t="n">
        <v>6137567.0</v>
      </c>
      <c r="Y370" t="n">
        <v>5585893.0</v>
      </c>
      <c r="Z370" t="n">
        <v>490316.0</v>
      </c>
      <c r="AA370" t="n">
        <v>655642.0</v>
      </c>
      <c r="AB370" t="n">
        <v>0.0</v>
      </c>
      <c r="AC370" t="n">
        <v>211694.0</v>
      </c>
      <c r="AD370" t="n">
        <v>0.0</v>
      </c>
      <c r="AE370" t="n">
        <v>0.0</v>
      </c>
      <c r="AF370" t="n">
        <v>543000.0</v>
      </c>
      <c r="AG370" t="n">
        <v>0.0</v>
      </c>
      <c r="AH370" t="n">
        <v>0.0</v>
      </c>
      <c r="AI370" t="n">
        <v>0.0</v>
      </c>
      <c r="AJ370" t="n">
        <v>669973.0</v>
      </c>
      <c r="AK370" t="n">
        <v>0.0</v>
      </c>
      <c r="AL370" t="n">
        <v>0.0</v>
      </c>
      <c r="AM370" t="n">
        <v>0.0</v>
      </c>
      <c r="AN370" t="n">
        <v>0.0</v>
      </c>
      <c r="AO370" t="n">
        <v>8156518.0</v>
      </c>
      <c r="AP370" t="n">
        <v>815653.0</v>
      </c>
      <c r="AQ370" t="n">
        <v>669516.7</v>
      </c>
      <c r="CH370">
        <f>IFERROR(U370*1,0)</f>
      </c>
    </row>
    <row r="371">
      <c r="A371" t="n">
        <v>6.0</v>
      </c>
      <c r="B371">
        <f>IF((K371-G371-H371&gt;2400000),10,(L371/(K371-G371-H371)*100))</f>
      </c>
      <c r="C371">
        <f>IF(N371&gt;2400000,240000,(N371*S371)/100)</f>
      </c>
      <c r="D371">
        <f>IF(S371=0,0,IF((N371-I371)&gt;2400000,((((((N371-I371-J371)-240000))*0.1+(I371+J371)*0.1)))-7000,((((((N371-I371-J371)-(N371-I371-J371)*S371/100)))*0.1+(I371+J371)*0.1)-7000)))</f>
      </c>
      <c r="E371">
        <f>C371-O371</f>
      </c>
      <c r="F371">
        <f>D371-P371</f>
      </c>
      <c r="G371">
        <f>SUMIF(negtgel!U$2:BL$2,'Tsalin uzuulelt'!B$1,negtgel!U371:BL371) + SUMIF(negtgel!U$2:BL$2,'Tsalin uzuulelt'!B$2,negtgel!U371:BL371)+SUMIF(negtgel!U$2:BL$2,'Tsalin uzuulelt'!B$3,negtgel!U371:BL371)+SUMIF(negtgel!U$2:BL$2,'Tsalin uzuulelt'!B$4,negtgel!U371:BL371)+SUMIF(negtgel!U$2:BL$2,'Tsalin uzuulelt'!B$5,negtgel!U371:BL371)</f>
      </c>
      <c r="H371">
        <f>SUMIF(negtgel!U$2:BL$2,'Tsalin uzuulelt'!F$1,negtgel!U371:BL371) + SUMIF(negtgel!U$2:BL$2,'Tsalin uzuulelt'!F$2,negtgel!U371:BL371)+SUMIF(negtgel!U$2:BL$2,'Tsalin uzuulelt'!F$3,negtgel!U371:BL371)+SUMIF(negtgel!U$2:BL$2,'Tsalin uzuulelt'!F$4,negtgel!U371:BL371)+SUMIF(negtgel!U$2:BL$2,'Tsalin uzuulelt'!F$5,negtgel!U371:BL371)</f>
      </c>
      <c r="I371">
        <f>SUMIF(negtgel!U$2:BL$2,'Tsalin uzuulelt'!H$1,negtgel!U371:BL371) + SUMIF(negtgel!U$2:BL$2,'Tsalin uzuulelt'!H$2,negtgel!U371:BL371)+SUMIF(negtgel!U$2:BL$2,'Tsalin uzuulelt'!H$3,negtgel!U371:BL371)+SUMIF(negtgel!U$2:BL$2,'Tsalin uzuulelt'!H$4,negtgel!U371:BL371)+SUMIF(negtgel!U$2:BL$2,'Tsalin uzuulelt'!H$5,negtgel!U371:BL371)</f>
      </c>
      <c r="J371">
        <f>SUMIF(negtgel!U$2:BL$2,'Tsalin uzuulelt'!J$1,negtgel!U371:BL371) + SUMIF(negtgel!U$2:BL$2,'Tsalin uzuulelt'!J$2,negtgel!U371:BL371)+SUMIF(negtgel!U$2:BL$2,'Tsalin uzuulelt'!J$3,negtgel!U371:BL371)+SUMIF(negtgel!U$2:BL$2,'Tsalin uzuulelt'!J$4,negtgel!U371:BL371)+SUMIF(negtgel!U$2:BL$2,'Tsalin uzuulelt'!J$5,negtgel!U371:BL371)</f>
      </c>
      <c r="K371">
        <f>SUMIF(negtgel!U$2:BL$2,'Tsalin uzuulelt'!L$1,negtgel!U371:BL371) + SUMIF(negtgel!U$2:BL$2,'Tsalin uzuulelt'!L$2,negtgel!U371:BL371)+SUMIF(negtgel!U$2:BL$2,'Tsalin uzuulelt'!L$3,negtgel!U371:BL371)+SUMIF(negtgel!U$2:BL$2,'Tsalin uzuulelt'!L$4,negtgel!U371:BL371)+SUMIF(negtgel!U$2:BL$2,'Tsalin uzuulelt'!L$5,negtgel!U371:BL371)</f>
      </c>
      <c r="L371">
        <f>SUMIF(negtgel!U$2:BL$2,'Tsalin uzuulelt'!N$1,negtgel!U371:BL371) + SUMIF(negtgel!U$2:BL$2,'Tsalin uzuulelt'!N$2,negtgel!U371:BL371)+SUMIF(negtgel!U$2:BL$2,'Tsalin uzuulelt'!N$3,negtgel!U371:BL371)+SUMIF(negtgel!U$2:BL$2,'Tsalin uzuulelt'!N$4,negtgel!U371:BL371)+SUMIF(negtgel!U$2:BL$2,'Tsalin uzuulelt'!N$5,negtgel!U371:BL371)</f>
      </c>
      <c r="M371">
        <f>SUMIF(negtgel!U$2:BL$2,'Tsalin uzuulelt'!P$1,negtgel!U371:BL371) + SUMIF(negtgel!U$2:BL$2,'Tsalin uzuulelt'!P$2,negtgel!U371:BL371)+ SUMIF(negtgel!U$2:BL$2,'Tsalin uzuulelt'!P$3,negtgel!U371:BL371)+ SUMIF(negtgel!U$2:BL$2,'Tsalin uzuulelt'!P$4,negtgel!U371:BL371)+ SUMIF(negtgel!U$2:BL$2,'Tsalin uzuulelt'!P$5,negtgel!U371:BL371)</f>
      </c>
      <c r="N371">
        <f>IF(ISNUMBER(U371*1)=CF371,0,K371-H371-G371)</f>
      </c>
      <c r="O371">
        <f>IF(ISNUMBER(U371*1)=CF371,0,L371)</f>
      </c>
      <c r="P371">
        <f>IF(ISNUMBER(U371*1)=CF371,0,M371)</f>
      </c>
      <c r="Q371">
        <f>IF(N371&gt;2400000,N371,0)</f>
      </c>
      <c r="R371">
        <f>IF(L371/Q371*100&lt;3,2,10)</f>
      </c>
      <c r="S371">
        <f>IF(CH371=0,0,IF(B371&gt;9,10,IF(B371&gt;8,B371,IF(B371&gt;7.7,7.8,IF(B371&gt;3,B371,IF(B371&gt;1.5,2))))))</f>
      </c>
      <c r="T371">
        <f>IF(Q371=0,S371,R371)</f>
      </c>
      <c r="U371" t="s">
        <v>3804</v>
      </c>
      <c r="V371"/>
      <c r="W371"/>
      <c r="X371"/>
      <c r="Y371"/>
      <c r="Z371"/>
      <c r="AA371"/>
      <c r="AB371"/>
      <c r="AC371"/>
      <c r="AD371"/>
      <c r="AE371"/>
      <c r="AF371"/>
      <c r="AG371"/>
      <c r="AH371"/>
      <c r="AI371"/>
      <c r="AJ371"/>
      <c r="AK371"/>
      <c r="AL371"/>
      <c r="AM371"/>
      <c r="AN371"/>
      <c r="AO371"/>
      <c r="AP371"/>
      <c r="AQ371"/>
      <c r="CH371">
        <f>IFERROR(U371*1,0)</f>
      </c>
    </row>
    <row r="372">
      <c r="A372" t="n">
        <v>6.0</v>
      </c>
      <c r="B372">
        <f>IF((K372-G372-H372&gt;2400000),10,(L372/(K372-G372-H372)*100))</f>
      </c>
      <c r="C372">
        <f>IF(N372&gt;2400000,240000,(N372*S372)/100)</f>
      </c>
      <c r="D372">
        <f>IF(S372=0,0,IF((N372-I372)&gt;2400000,((((((N372-I372-J372)-240000))*0.1+(I372+J372)*0.1)))-7000,((((((N372-I372-J372)-(N372-I372-J372)*S372/100)))*0.1+(I372+J372)*0.1)-7000)))</f>
      </c>
      <c r="E372">
        <f>C372-O372</f>
      </c>
      <c r="F372">
        <f>D372-P372</f>
      </c>
      <c r="G372">
        <f>SUMIF(negtgel!U$2:BL$2,'Tsalin uzuulelt'!B$1,negtgel!U372:BL372) + SUMIF(negtgel!U$2:BL$2,'Tsalin uzuulelt'!B$2,negtgel!U372:BL372)+SUMIF(negtgel!U$2:BL$2,'Tsalin uzuulelt'!B$3,negtgel!U372:BL372)+SUMIF(negtgel!U$2:BL$2,'Tsalin uzuulelt'!B$4,negtgel!U372:BL372)+SUMIF(negtgel!U$2:BL$2,'Tsalin uzuulelt'!B$5,negtgel!U372:BL372)</f>
      </c>
      <c r="H372">
        <f>SUMIF(negtgel!U$2:BL$2,'Tsalin uzuulelt'!F$1,negtgel!U372:BL372) + SUMIF(negtgel!U$2:BL$2,'Tsalin uzuulelt'!F$2,negtgel!U372:BL372)+SUMIF(negtgel!U$2:BL$2,'Tsalin uzuulelt'!F$3,negtgel!U372:BL372)+SUMIF(negtgel!U$2:BL$2,'Tsalin uzuulelt'!F$4,negtgel!U372:BL372)+SUMIF(negtgel!U$2:BL$2,'Tsalin uzuulelt'!F$5,negtgel!U372:BL372)</f>
      </c>
      <c r="I372">
        <f>SUMIF(negtgel!U$2:BL$2,'Tsalin uzuulelt'!H$1,negtgel!U372:BL372) + SUMIF(negtgel!U$2:BL$2,'Tsalin uzuulelt'!H$2,negtgel!U372:BL372)+SUMIF(negtgel!U$2:BL$2,'Tsalin uzuulelt'!H$3,negtgel!U372:BL372)+SUMIF(negtgel!U$2:BL$2,'Tsalin uzuulelt'!H$4,negtgel!U372:BL372)+SUMIF(negtgel!U$2:BL$2,'Tsalin uzuulelt'!H$5,negtgel!U372:BL372)</f>
      </c>
      <c r="J372">
        <f>SUMIF(negtgel!U$2:BL$2,'Tsalin uzuulelt'!J$1,negtgel!U372:BL372) + SUMIF(negtgel!U$2:BL$2,'Tsalin uzuulelt'!J$2,negtgel!U372:BL372)+SUMIF(negtgel!U$2:BL$2,'Tsalin uzuulelt'!J$3,negtgel!U372:BL372)+SUMIF(negtgel!U$2:BL$2,'Tsalin uzuulelt'!J$4,negtgel!U372:BL372)+SUMIF(negtgel!U$2:BL$2,'Tsalin uzuulelt'!J$5,negtgel!U372:BL372)</f>
      </c>
      <c r="K372">
        <f>SUMIF(negtgel!U$2:BL$2,'Tsalin uzuulelt'!L$1,negtgel!U372:BL372) + SUMIF(negtgel!U$2:BL$2,'Tsalin uzuulelt'!L$2,negtgel!U372:BL372)+SUMIF(negtgel!U$2:BL$2,'Tsalin uzuulelt'!L$3,negtgel!U372:BL372)+SUMIF(negtgel!U$2:BL$2,'Tsalin uzuulelt'!L$4,negtgel!U372:BL372)+SUMIF(negtgel!U$2:BL$2,'Tsalin uzuulelt'!L$5,negtgel!U372:BL372)</f>
      </c>
      <c r="L372">
        <f>SUMIF(negtgel!U$2:BL$2,'Tsalin uzuulelt'!N$1,negtgel!U372:BL372) + SUMIF(negtgel!U$2:BL$2,'Tsalin uzuulelt'!N$2,negtgel!U372:BL372)+SUMIF(negtgel!U$2:BL$2,'Tsalin uzuulelt'!N$3,negtgel!U372:BL372)+SUMIF(negtgel!U$2:BL$2,'Tsalin uzuulelt'!N$4,negtgel!U372:BL372)+SUMIF(negtgel!U$2:BL$2,'Tsalin uzuulelt'!N$5,negtgel!U372:BL372)</f>
      </c>
      <c r="M372">
        <f>SUMIF(negtgel!U$2:BL$2,'Tsalin uzuulelt'!P$1,negtgel!U372:BL372) + SUMIF(negtgel!U$2:BL$2,'Tsalin uzuulelt'!P$2,negtgel!U372:BL372)+ SUMIF(negtgel!U$2:BL$2,'Tsalin uzuulelt'!P$3,negtgel!U372:BL372)+ SUMIF(negtgel!U$2:BL$2,'Tsalin uzuulelt'!P$4,negtgel!U372:BL372)+ SUMIF(negtgel!U$2:BL$2,'Tsalin uzuulelt'!P$5,negtgel!U372:BL372)</f>
      </c>
      <c r="N372">
        <f>IF(ISNUMBER(U372*1)=CF372,0,K372-H372-G372)</f>
      </c>
      <c r="O372">
        <f>IF(ISNUMBER(U372*1)=CF372,0,L372)</f>
      </c>
      <c r="P372">
        <f>IF(ISNUMBER(U372*1)=CF372,0,M372)</f>
      </c>
      <c r="Q372">
        <f>IF(N372&gt;2400000,N372,0)</f>
      </c>
      <c r="R372">
        <f>IF(L372/Q372*100&lt;3,2,10)</f>
      </c>
      <c r="S372">
        <f>IF(CH372=0,0,IF(B372&gt;9,10,IF(B372&gt;8,B372,IF(B372&gt;7.7,7.8,IF(B372&gt;3,B372,IF(B372&gt;1.5,2))))))</f>
      </c>
      <c r="T372">
        <f>IF(Q372=0,S372,R372)</f>
      </c>
      <c r="U372" t="n">
        <v>56.0</v>
      </c>
      <c r="V372" t="s">
        <v>3805</v>
      </c>
      <c r="W372" t="s">
        <v>3790</v>
      </c>
      <c r="X372" t="n">
        <v>613669.0</v>
      </c>
      <c r="Y372" t="n">
        <v>398885.0</v>
      </c>
      <c r="Z372" t="n">
        <v>39888.0</v>
      </c>
      <c r="AA372" t="n">
        <v>59833.0</v>
      </c>
      <c r="AB372" t="n">
        <v>0.0</v>
      </c>
      <c r="AC372" t="n">
        <v>0.0</v>
      </c>
      <c r="AD372" t="n">
        <v>0.0</v>
      </c>
      <c r="AE372" t="n">
        <v>0.0</v>
      </c>
      <c r="AF372" t="n">
        <v>39000.0</v>
      </c>
      <c r="AG372" t="n">
        <v>0.0</v>
      </c>
      <c r="AH372" t="n">
        <v>0.0</v>
      </c>
      <c r="AI372" t="n">
        <v>0.0</v>
      </c>
      <c r="AJ372" t="n">
        <v>0.0</v>
      </c>
      <c r="AK372" t="n">
        <v>0.0</v>
      </c>
      <c r="AL372" t="n">
        <v>152721.0</v>
      </c>
      <c r="AM372" t="n">
        <v>0.0</v>
      </c>
      <c r="AN372" t="n">
        <v>0.0</v>
      </c>
      <c r="AO372" t="n">
        <v>690327.0</v>
      </c>
      <c r="AP372" t="n">
        <v>53760.0</v>
      </c>
      <c r="AQ372" t="n">
        <v>41774.5</v>
      </c>
      <c r="CH372">
        <f>IFERROR(U372*1,0)</f>
      </c>
    </row>
    <row r="373">
      <c r="A373" t="n">
        <v>6.0</v>
      </c>
      <c r="B373">
        <f>IF((K373-G373-H373&gt;2400000),10,(L373/(K373-G373-H373)*100))</f>
      </c>
      <c r="C373">
        <f>IF(N373&gt;2400000,240000,(N373*S373)/100)</f>
      </c>
      <c r="D373">
        <f>IF(S373=0,0,IF((N373-I373)&gt;2400000,((((((N373-I373-J373)-240000))*0.1+(I373+J373)*0.1)))-7000,((((((N373-I373-J373)-(N373-I373-J373)*S373/100)))*0.1+(I373+J373)*0.1)-7000)))</f>
      </c>
      <c r="E373">
        <f>C373-O373</f>
      </c>
      <c r="F373">
        <f>D373-P373</f>
      </c>
      <c r="G373">
        <f>SUMIF(negtgel!U$2:BL$2,'Tsalin uzuulelt'!B$1,negtgel!U373:BL373) + SUMIF(negtgel!U$2:BL$2,'Tsalin uzuulelt'!B$2,negtgel!U373:BL373)+SUMIF(negtgel!U$2:BL$2,'Tsalin uzuulelt'!B$3,negtgel!U373:BL373)+SUMIF(negtgel!U$2:BL$2,'Tsalin uzuulelt'!B$4,negtgel!U373:BL373)+SUMIF(negtgel!U$2:BL$2,'Tsalin uzuulelt'!B$5,negtgel!U373:BL373)</f>
      </c>
      <c r="H373">
        <f>SUMIF(negtgel!U$2:BL$2,'Tsalin uzuulelt'!F$1,negtgel!U373:BL373) + SUMIF(negtgel!U$2:BL$2,'Tsalin uzuulelt'!F$2,negtgel!U373:BL373)+SUMIF(negtgel!U$2:BL$2,'Tsalin uzuulelt'!F$3,negtgel!U373:BL373)+SUMIF(negtgel!U$2:BL$2,'Tsalin uzuulelt'!F$4,negtgel!U373:BL373)+SUMIF(negtgel!U$2:BL$2,'Tsalin uzuulelt'!F$5,negtgel!U373:BL373)</f>
      </c>
      <c r="I373">
        <f>SUMIF(negtgel!U$2:BL$2,'Tsalin uzuulelt'!H$1,negtgel!U373:BL373) + SUMIF(negtgel!U$2:BL$2,'Tsalin uzuulelt'!H$2,negtgel!U373:BL373)+SUMIF(negtgel!U$2:BL$2,'Tsalin uzuulelt'!H$3,negtgel!U373:BL373)+SUMIF(negtgel!U$2:BL$2,'Tsalin uzuulelt'!H$4,negtgel!U373:BL373)+SUMIF(negtgel!U$2:BL$2,'Tsalin uzuulelt'!H$5,negtgel!U373:BL373)</f>
      </c>
      <c r="J373">
        <f>SUMIF(negtgel!U$2:BL$2,'Tsalin uzuulelt'!J$1,negtgel!U373:BL373) + SUMIF(negtgel!U$2:BL$2,'Tsalin uzuulelt'!J$2,negtgel!U373:BL373)+SUMIF(negtgel!U$2:BL$2,'Tsalin uzuulelt'!J$3,negtgel!U373:BL373)+SUMIF(negtgel!U$2:BL$2,'Tsalin uzuulelt'!J$4,negtgel!U373:BL373)+SUMIF(negtgel!U$2:BL$2,'Tsalin uzuulelt'!J$5,negtgel!U373:BL373)</f>
      </c>
      <c r="K373">
        <f>SUMIF(negtgel!U$2:BL$2,'Tsalin uzuulelt'!L$1,negtgel!U373:BL373) + SUMIF(negtgel!U$2:BL$2,'Tsalin uzuulelt'!L$2,negtgel!U373:BL373)+SUMIF(negtgel!U$2:BL$2,'Tsalin uzuulelt'!L$3,negtgel!U373:BL373)+SUMIF(negtgel!U$2:BL$2,'Tsalin uzuulelt'!L$4,negtgel!U373:BL373)+SUMIF(negtgel!U$2:BL$2,'Tsalin uzuulelt'!L$5,negtgel!U373:BL373)</f>
      </c>
      <c r="L373">
        <f>SUMIF(negtgel!U$2:BL$2,'Tsalin uzuulelt'!N$1,negtgel!U373:BL373) + SUMIF(negtgel!U$2:BL$2,'Tsalin uzuulelt'!N$2,negtgel!U373:BL373)+SUMIF(negtgel!U$2:BL$2,'Tsalin uzuulelt'!N$3,negtgel!U373:BL373)+SUMIF(negtgel!U$2:BL$2,'Tsalin uzuulelt'!N$4,negtgel!U373:BL373)+SUMIF(negtgel!U$2:BL$2,'Tsalin uzuulelt'!N$5,negtgel!U373:BL373)</f>
      </c>
      <c r="M373">
        <f>SUMIF(negtgel!U$2:BL$2,'Tsalin uzuulelt'!P$1,negtgel!U373:BL373) + SUMIF(negtgel!U$2:BL$2,'Tsalin uzuulelt'!P$2,negtgel!U373:BL373)+ SUMIF(negtgel!U$2:BL$2,'Tsalin uzuulelt'!P$3,negtgel!U373:BL373)+ SUMIF(negtgel!U$2:BL$2,'Tsalin uzuulelt'!P$4,negtgel!U373:BL373)+ SUMIF(negtgel!U$2:BL$2,'Tsalin uzuulelt'!P$5,negtgel!U373:BL373)</f>
      </c>
      <c r="N373">
        <f>IF(ISNUMBER(U373*1)=CF373,0,K373-H373-G373)</f>
      </c>
      <c r="O373">
        <f>IF(ISNUMBER(U373*1)=CF373,0,L373)</f>
      </c>
      <c r="P373">
        <f>IF(ISNUMBER(U373*1)=CF373,0,M373)</f>
      </c>
      <c r="Q373">
        <f>IF(N373&gt;2400000,N373,0)</f>
      </c>
      <c r="R373">
        <f>IF(L373/Q373*100&lt;3,2,10)</f>
      </c>
      <c r="S373">
        <f>IF(CH373=0,0,IF(B373&gt;9,10,IF(B373&gt;8,B373,IF(B373&gt;7.7,7.8,IF(B373&gt;3,B373,IF(B373&gt;1.5,2))))))</f>
      </c>
      <c r="T373">
        <f>IF(Q373=0,S373,R373)</f>
      </c>
      <c r="U373" t="n">
        <v>57.0</v>
      </c>
      <c r="V373" t="s">
        <v>3851</v>
      </c>
      <c r="W373" t="s">
        <v>3790</v>
      </c>
      <c r="X373" t="n">
        <v>547759.0</v>
      </c>
      <c r="Y373" t="n">
        <v>520371.0</v>
      </c>
      <c r="Z373" t="n">
        <v>0.0</v>
      </c>
      <c r="AA373" t="n">
        <v>0.0</v>
      </c>
      <c r="AB373" t="n">
        <v>0.0</v>
      </c>
      <c r="AC373" t="n">
        <v>0.0</v>
      </c>
      <c r="AD373" t="n">
        <v>0.0</v>
      </c>
      <c r="AE373" t="n">
        <v>0.0</v>
      </c>
      <c r="AF373" t="n">
        <v>57000.0</v>
      </c>
      <c r="AG373" t="n">
        <v>0.0</v>
      </c>
      <c r="AH373" t="n">
        <v>0.0</v>
      </c>
      <c r="AI373" t="n">
        <v>0.0</v>
      </c>
      <c r="AJ373" t="n">
        <v>0.0</v>
      </c>
      <c r="AK373" t="n">
        <v>0.0</v>
      </c>
      <c r="AL373" t="n">
        <v>0.0</v>
      </c>
      <c r="AM373" t="n">
        <v>0.0</v>
      </c>
      <c r="AN373" t="n">
        <v>0.0</v>
      </c>
      <c r="AO373" t="n">
        <v>577371.0</v>
      </c>
      <c r="AP373" t="n">
        <v>57737.0</v>
      </c>
      <c r="AQ373" t="n">
        <v>45533.4</v>
      </c>
      <c r="CH373">
        <f>IFERROR(U373*1,0)</f>
      </c>
    </row>
    <row r="374">
      <c r="A374" t="n">
        <v>6.0</v>
      </c>
      <c r="B374">
        <f>IF((K374-G374-H374&gt;2400000),10,(L374/(K374-G374-H374)*100))</f>
      </c>
      <c r="C374">
        <f>IF(N374&gt;2400000,240000,(N374*S374)/100)</f>
      </c>
      <c r="D374">
        <f>IF(S374=0,0,IF((N374-I374)&gt;2400000,((((((N374-I374-J374)-240000))*0.1+(I374+J374)*0.1)))-7000,((((((N374-I374-J374)-(N374-I374-J374)*S374/100)))*0.1+(I374+J374)*0.1)-7000)))</f>
      </c>
      <c r="E374">
        <f>C374-O374</f>
      </c>
      <c r="F374">
        <f>D374-P374</f>
      </c>
      <c r="G374">
        <f>SUMIF(negtgel!U$2:BL$2,'Tsalin uzuulelt'!B$1,negtgel!U374:BL374) + SUMIF(negtgel!U$2:BL$2,'Tsalin uzuulelt'!B$2,negtgel!U374:BL374)+SUMIF(negtgel!U$2:BL$2,'Tsalin uzuulelt'!B$3,negtgel!U374:BL374)+SUMIF(negtgel!U$2:BL$2,'Tsalin uzuulelt'!B$4,negtgel!U374:BL374)+SUMIF(negtgel!U$2:BL$2,'Tsalin uzuulelt'!B$5,negtgel!U374:BL374)</f>
      </c>
      <c r="H374">
        <f>SUMIF(negtgel!U$2:BL$2,'Tsalin uzuulelt'!F$1,negtgel!U374:BL374) + SUMIF(negtgel!U$2:BL$2,'Tsalin uzuulelt'!F$2,negtgel!U374:BL374)+SUMIF(negtgel!U$2:BL$2,'Tsalin uzuulelt'!F$3,negtgel!U374:BL374)+SUMIF(negtgel!U$2:BL$2,'Tsalin uzuulelt'!F$4,negtgel!U374:BL374)+SUMIF(negtgel!U$2:BL$2,'Tsalin uzuulelt'!F$5,negtgel!U374:BL374)</f>
      </c>
      <c r="I374">
        <f>SUMIF(negtgel!U$2:BL$2,'Tsalin uzuulelt'!H$1,negtgel!U374:BL374) + SUMIF(negtgel!U$2:BL$2,'Tsalin uzuulelt'!H$2,negtgel!U374:BL374)+SUMIF(negtgel!U$2:BL$2,'Tsalin uzuulelt'!H$3,negtgel!U374:BL374)+SUMIF(negtgel!U$2:BL$2,'Tsalin uzuulelt'!H$4,negtgel!U374:BL374)+SUMIF(negtgel!U$2:BL$2,'Tsalin uzuulelt'!H$5,negtgel!U374:BL374)</f>
      </c>
      <c r="J374">
        <f>SUMIF(negtgel!U$2:BL$2,'Tsalin uzuulelt'!J$1,negtgel!U374:BL374) + SUMIF(negtgel!U$2:BL$2,'Tsalin uzuulelt'!J$2,negtgel!U374:BL374)+SUMIF(negtgel!U$2:BL$2,'Tsalin uzuulelt'!J$3,negtgel!U374:BL374)+SUMIF(negtgel!U$2:BL$2,'Tsalin uzuulelt'!J$4,negtgel!U374:BL374)+SUMIF(negtgel!U$2:BL$2,'Tsalin uzuulelt'!J$5,negtgel!U374:BL374)</f>
      </c>
      <c r="K374">
        <f>SUMIF(negtgel!U$2:BL$2,'Tsalin uzuulelt'!L$1,negtgel!U374:BL374) + SUMIF(negtgel!U$2:BL$2,'Tsalin uzuulelt'!L$2,negtgel!U374:BL374)+SUMIF(negtgel!U$2:BL$2,'Tsalin uzuulelt'!L$3,negtgel!U374:BL374)+SUMIF(negtgel!U$2:BL$2,'Tsalin uzuulelt'!L$4,negtgel!U374:BL374)+SUMIF(negtgel!U$2:BL$2,'Tsalin uzuulelt'!L$5,negtgel!U374:BL374)</f>
      </c>
      <c r="L374">
        <f>SUMIF(negtgel!U$2:BL$2,'Tsalin uzuulelt'!N$1,negtgel!U374:BL374) + SUMIF(negtgel!U$2:BL$2,'Tsalin uzuulelt'!N$2,negtgel!U374:BL374)+SUMIF(negtgel!U$2:BL$2,'Tsalin uzuulelt'!N$3,negtgel!U374:BL374)+SUMIF(negtgel!U$2:BL$2,'Tsalin uzuulelt'!N$4,negtgel!U374:BL374)+SUMIF(negtgel!U$2:BL$2,'Tsalin uzuulelt'!N$5,negtgel!U374:BL374)</f>
      </c>
      <c r="M374">
        <f>SUMIF(negtgel!U$2:BL$2,'Tsalin uzuulelt'!P$1,negtgel!U374:BL374) + SUMIF(negtgel!U$2:BL$2,'Tsalin uzuulelt'!P$2,negtgel!U374:BL374)+ SUMIF(negtgel!U$2:BL$2,'Tsalin uzuulelt'!P$3,negtgel!U374:BL374)+ SUMIF(negtgel!U$2:BL$2,'Tsalin uzuulelt'!P$4,negtgel!U374:BL374)+ SUMIF(negtgel!U$2:BL$2,'Tsalin uzuulelt'!P$5,negtgel!U374:BL374)</f>
      </c>
      <c r="N374">
        <f>IF(ISNUMBER(U374*1)=CF374,0,K374-H374-G374)</f>
      </c>
      <c r="O374">
        <f>IF(ISNUMBER(U374*1)=CF374,0,L374)</f>
      </c>
      <c r="P374">
        <f>IF(ISNUMBER(U374*1)=CF374,0,M374)</f>
      </c>
      <c r="Q374">
        <f>IF(N374&gt;2400000,N374,0)</f>
      </c>
      <c r="R374">
        <f>IF(L374/Q374*100&lt;3,2,10)</f>
      </c>
      <c r="S374">
        <f>IF(CH374=0,0,IF(B374&gt;9,10,IF(B374&gt;8,B374,IF(B374&gt;7.7,7.8,IF(B374&gt;3,B374,IF(B374&gt;1.5,2))))))</f>
      </c>
      <c r="T374">
        <f>IF(Q374=0,S374,R374)</f>
      </c>
      <c r="U374" t="n">
        <v>58.0</v>
      </c>
      <c r="V374" t="s">
        <v>3852</v>
      </c>
      <c r="W374" t="s">
        <v>3792</v>
      </c>
      <c r="X374" t="n">
        <v>496912.0</v>
      </c>
      <c r="Y374" t="n">
        <v>447221.0</v>
      </c>
      <c r="Z374" t="n">
        <v>0.0</v>
      </c>
      <c r="AA374" t="n">
        <v>0.0</v>
      </c>
      <c r="AB374" t="n">
        <v>0.0</v>
      </c>
      <c r="AC374" t="n">
        <v>0.0</v>
      </c>
      <c r="AD374" t="n">
        <v>0.0</v>
      </c>
      <c r="AE374" t="n">
        <v>0.0</v>
      </c>
      <c r="AF374" t="n">
        <v>54000.0</v>
      </c>
      <c r="AG374" t="n">
        <v>0.0</v>
      </c>
      <c r="AH374" t="n">
        <v>0.0</v>
      </c>
      <c r="AI374" t="n">
        <v>0.0</v>
      </c>
      <c r="AJ374" t="n">
        <v>0.0</v>
      </c>
      <c r="AK374" t="n">
        <v>0.0</v>
      </c>
      <c r="AL374" t="n">
        <v>0.0</v>
      </c>
      <c r="AM374" t="n">
        <v>0.0</v>
      </c>
      <c r="AN374" t="n">
        <v>0.0</v>
      </c>
      <c r="AO374" t="n">
        <v>501221.0</v>
      </c>
      <c r="AP374" t="n">
        <v>50121.0</v>
      </c>
      <c r="AQ374" t="n">
        <v>38649.9</v>
      </c>
      <c r="CH374">
        <f>IFERROR(U374*1,0)</f>
      </c>
    </row>
    <row r="375">
      <c r="A375" t="n">
        <v>6.0</v>
      </c>
      <c r="B375">
        <f>IF((K375-G375-H375&gt;2400000),10,(L375/(K375-G375-H375)*100))</f>
      </c>
      <c r="C375">
        <f>IF(N375&gt;2400000,240000,(N375*S375)/100)</f>
      </c>
      <c r="D375">
        <f>IF(S375=0,0,IF((N375-I375)&gt;2400000,((((((N375-I375-J375)-240000))*0.1+(I375+J375)*0.1)))-7000,((((((N375-I375-J375)-(N375-I375-J375)*S375/100)))*0.1+(I375+J375)*0.1)-7000)))</f>
      </c>
      <c r="E375">
        <f>C375-O375</f>
      </c>
      <c r="F375">
        <f>D375-P375</f>
      </c>
      <c r="G375">
        <f>SUMIF(negtgel!U$2:BL$2,'Tsalin uzuulelt'!B$1,negtgel!U375:BL375) + SUMIF(negtgel!U$2:BL$2,'Tsalin uzuulelt'!B$2,negtgel!U375:BL375)+SUMIF(negtgel!U$2:BL$2,'Tsalin uzuulelt'!B$3,negtgel!U375:BL375)+SUMIF(negtgel!U$2:BL$2,'Tsalin uzuulelt'!B$4,negtgel!U375:BL375)+SUMIF(negtgel!U$2:BL$2,'Tsalin uzuulelt'!B$5,negtgel!U375:BL375)</f>
      </c>
      <c r="H375">
        <f>SUMIF(negtgel!U$2:BL$2,'Tsalin uzuulelt'!F$1,negtgel!U375:BL375) + SUMIF(negtgel!U$2:BL$2,'Tsalin uzuulelt'!F$2,negtgel!U375:BL375)+SUMIF(negtgel!U$2:BL$2,'Tsalin uzuulelt'!F$3,negtgel!U375:BL375)+SUMIF(negtgel!U$2:BL$2,'Tsalin uzuulelt'!F$4,negtgel!U375:BL375)+SUMIF(negtgel!U$2:BL$2,'Tsalin uzuulelt'!F$5,negtgel!U375:BL375)</f>
      </c>
      <c r="I375">
        <f>SUMIF(negtgel!U$2:BL$2,'Tsalin uzuulelt'!H$1,negtgel!U375:BL375) + SUMIF(negtgel!U$2:BL$2,'Tsalin uzuulelt'!H$2,negtgel!U375:BL375)+SUMIF(negtgel!U$2:BL$2,'Tsalin uzuulelt'!H$3,negtgel!U375:BL375)+SUMIF(negtgel!U$2:BL$2,'Tsalin uzuulelt'!H$4,negtgel!U375:BL375)+SUMIF(negtgel!U$2:BL$2,'Tsalin uzuulelt'!H$5,negtgel!U375:BL375)</f>
      </c>
      <c r="J375">
        <f>SUMIF(negtgel!U$2:BL$2,'Tsalin uzuulelt'!J$1,negtgel!U375:BL375) + SUMIF(negtgel!U$2:BL$2,'Tsalin uzuulelt'!J$2,negtgel!U375:BL375)+SUMIF(negtgel!U$2:BL$2,'Tsalin uzuulelt'!J$3,negtgel!U375:BL375)+SUMIF(negtgel!U$2:BL$2,'Tsalin uzuulelt'!J$4,negtgel!U375:BL375)+SUMIF(negtgel!U$2:BL$2,'Tsalin uzuulelt'!J$5,negtgel!U375:BL375)</f>
      </c>
      <c r="K375">
        <f>SUMIF(negtgel!U$2:BL$2,'Tsalin uzuulelt'!L$1,negtgel!U375:BL375) + SUMIF(negtgel!U$2:BL$2,'Tsalin uzuulelt'!L$2,negtgel!U375:BL375)+SUMIF(negtgel!U$2:BL$2,'Tsalin uzuulelt'!L$3,negtgel!U375:BL375)+SUMIF(negtgel!U$2:BL$2,'Tsalin uzuulelt'!L$4,negtgel!U375:BL375)+SUMIF(negtgel!U$2:BL$2,'Tsalin uzuulelt'!L$5,negtgel!U375:BL375)</f>
      </c>
      <c r="L375">
        <f>SUMIF(negtgel!U$2:BL$2,'Tsalin uzuulelt'!N$1,negtgel!U375:BL375) + SUMIF(negtgel!U$2:BL$2,'Tsalin uzuulelt'!N$2,negtgel!U375:BL375)+SUMIF(negtgel!U$2:BL$2,'Tsalin uzuulelt'!N$3,negtgel!U375:BL375)+SUMIF(negtgel!U$2:BL$2,'Tsalin uzuulelt'!N$4,negtgel!U375:BL375)+SUMIF(negtgel!U$2:BL$2,'Tsalin uzuulelt'!N$5,negtgel!U375:BL375)</f>
      </c>
      <c r="M375">
        <f>SUMIF(negtgel!U$2:BL$2,'Tsalin uzuulelt'!P$1,negtgel!U375:BL375) + SUMIF(negtgel!U$2:BL$2,'Tsalin uzuulelt'!P$2,negtgel!U375:BL375)+ SUMIF(negtgel!U$2:BL$2,'Tsalin uzuulelt'!P$3,negtgel!U375:BL375)+ SUMIF(negtgel!U$2:BL$2,'Tsalin uzuulelt'!P$4,negtgel!U375:BL375)+ SUMIF(negtgel!U$2:BL$2,'Tsalin uzuulelt'!P$5,negtgel!U375:BL375)</f>
      </c>
      <c r="N375">
        <f>IF(ISNUMBER(U375*1)=CF375,0,K375-H375-G375)</f>
      </c>
      <c r="O375">
        <f>IF(ISNUMBER(U375*1)=CF375,0,L375)</f>
      </c>
      <c r="P375">
        <f>IF(ISNUMBER(U375*1)=CF375,0,M375)</f>
      </c>
      <c r="Q375">
        <f>IF(N375&gt;2400000,N375,0)</f>
      </c>
      <c r="R375">
        <f>IF(L375/Q375*100&lt;3,2,10)</f>
      </c>
      <c r="S375">
        <f>IF(CH375=0,0,IF(B375&gt;9,10,IF(B375&gt;8,B375,IF(B375&gt;7.7,7.8,IF(B375&gt;3,B375,IF(B375&gt;1.5,2))))))</f>
      </c>
      <c r="T375">
        <f>IF(Q375=0,S375,R375)</f>
      </c>
      <c r="U375" t="n">
        <v>59.0</v>
      </c>
      <c r="V375" t="s">
        <v>3872</v>
      </c>
      <c r="W375" t="s">
        <v>3790</v>
      </c>
      <c r="X375" t="n">
        <v>645556.0</v>
      </c>
      <c r="Y375" t="n">
        <v>0.0</v>
      </c>
      <c r="Z375" t="n">
        <v>0.0</v>
      </c>
      <c r="AA375" t="n">
        <v>0.0</v>
      </c>
      <c r="AB375" t="n">
        <v>0.0</v>
      </c>
      <c r="AC375" t="n">
        <v>0.0</v>
      </c>
      <c r="AD375" t="n">
        <v>0.0</v>
      </c>
      <c r="AE375" t="n">
        <v>0.0</v>
      </c>
      <c r="AF375" t="n">
        <v>0.0</v>
      </c>
      <c r="AG375" t="n">
        <v>0.0</v>
      </c>
      <c r="AH375" t="n">
        <v>0.0</v>
      </c>
      <c r="AI375" t="n">
        <v>0.0</v>
      </c>
      <c r="AJ375" t="n">
        <v>0.0</v>
      </c>
      <c r="AK375" t="n">
        <v>0.0</v>
      </c>
      <c r="AL375" t="n">
        <v>0.0</v>
      </c>
      <c r="AM375" t="n">
        <v>0.0</v>
      </c>
      <c r="AN375" t="n">
        <v>0.0</v>
      </c>
      <c r="AO375" t="n">
        <v>0.0</v>
      </c>
      <c r="AP375" t="n">
        <v>0.0</v>
      </c>
      <c r="AQ375" t="n">
        <v>0.0</v>
      </c>
      <c r="CH375">
        <f>IFERROR(U375*1,0)</f>
      </c>
    </row>
    <row r="376">
      <c r="A376" t="n">
        <v>6.0</v>
      </c>
      <c r="B376">
        <f>IF((K376-G376-H376&gt;2400000),10,(L376/(K376-G376-H376)*100))</f>
      </c>
      <c r="C376">
        <f>IF(N376&gt;2400000,240000,(N376*S376)/100)</f>
      </c>
      <c r="D376">
        <f>IF(S376=0,0,IF((N376-I376)&gt;2400000,((((((N376-I376-J376)-240000))*0.1+(I376+J376)*0.1)))-7000,((((((N376-I376-J376)-(N376-I376-J376)*S376/100)))*0.1+(I376+J376)*0.1)-7000)))</f>
      </c>
      <c r="E376">
        <f>C376-O376</f>
      </c>
      <c r="F376">
        <f>D376-P376</f>
      </c>
      <c r="G376">
        <f>SUMIF(negtgel!U$2:BL$2,'Tsalin uzuulelt'!B$1,negtgel!U376:BL376) + SUMIF(negtgel!U$2:BL$2,'Tsalin uzuulelt'!B$2,negtgel!U376:BL376)+SUMIF(negtgel!U$2:BL$2,'Tsalin uzuulelt'!B$3,negtgel!U376:BL376)+SUMIF(negtgel!U$2:BL$2,'Tsalin uzuulelt'!B$4,negtgel!U376:BL376)+SUMIF(negtgel!U$2:BL$2,'Tsalin uzuulelt'!B$5,negtgel!U376:BL376)</f>
      </c>
      <c r="H376">
        <f>SUMIF(negtgel!U$2:BL$2,'Tsalin uzuulelt'!F$1,negtgel!U376:BL376) + SUMIF(negtgel!U$2:BL$2,'Tsalin uzuulelt'!F$2,negtgel!U376:BL376)+SUMIF(negtgel!U$2:BL$2,'Tsalin uzuulelt'!F$3,negtgel!U376:BL376)+SUMIF(negtgel!U$2:BL$2,'Tsalin uzuulelt'!F$4,negtgel!U376:BL376)+SUMIF(negtgel!U$2:BL$2,'Tsalin uzuulelt'!F$5,negtgel!U376:BL376)</f>
      </c>
      <c r="I376">
        <f>SUMIF(negtgel!U$2:BL$2,'Tsalin uzuulelt'!H$1,negtgel!U376:BL376) + SUMIF(negtgel!U$2:BL$2,'Tsalin uzuulelt'!H$2,negtgel!U376:BL376)+SUMIF(negtgel!U$2:BL$2,'Tsalin uzuulelt'!H$3,negtgel!U376:BL376)+SUMIF(negtgel!U$2:BL$2,'Tsalin uzuulelt'!H$4,negtgel!U376:BL376)+SUMIF(negtgel!U$2:BL$2,'Tsalin uzuulelt'!H$5,negtgel!U376:BL376)</f>
      </c>
      <c r="J376">
        <f>SUMIF(negtgel!U$2:BL$2,'Tsalin uzuulelt'!J$1,negtgel!U376:BL376) + SUMIF(negtgel!U$2:BL$2,'Tsalin uzuulelt'!J$2,negtgel!U376:BL376)+SUMIF(negtgel!U$2:BL$2,'Tsalin uzuulelt'!J$3,negtgel!U376:BL376)+SUMIF(negtgel!U$2:BL$2,'Tsalin uzuulelt'!J$4,negtgel!U376:BL376)+SUMIF(negtgel!U$2:BL$2,'Tsalin uzuulelt'!J$5,negtgel!U376:BL376)</f>
      </c>
      <c r="K376">
        <f>SUMIF(negtgel!U$2:BL$2,'Tsalin uzuulelt'!L$1,negtgel!U376:BL376) + SUMIF(negtgel!U$2:BL$2,'Tsalin uzuulelt'!L$2,negtgel!U376:BL376)+SUMIF(negtgel!U$2:BL$2,'Tsalin uzuulelt'!L$3,negtgel!U376:BL376)+SUMIF(negtgel!U$2:BL$2,'Tsalin uzuulelt'!L$4,negtgel!U376:BL376)+SUMIF(negtgel!U$2:BL$2,'Tsalin uzuulelt'!L$5,negtgel!U376:BL376)</f>
      </c>
      <c r="L376">
        <f>SUMIF(negtgel!U$2:BL$2,'Tsalin uzuulelt'!N$1,negtgel!U376:BL376) + SUMIF(negtgel!U$2:BL$2,'Tsalin uzuulelt'!N$2,negtgel!U376:BL376)+SUMIF(negtgel!U$2:BL$2,'Tsalin uzuulelt'!N$3,negtgel!U376:BL376)+SUMIF(negtgel!U$2:BL$2,'Tsalin uzuulelt'!N$4,negtgel!U376:BL376)+SUMIF(negtgel!U$2:BL$2,'Tsalin uzuulelt'!N$5,negtgel!U376:BL376)</f>
      </c>
      <c r="M376">
        <f>SUMIF(negtgel!U$2:BL$2,'Tsalin uzuulelt'!P$1,negtgel!U376:BL376) + SUMIF(negtgel!U$2:BL$2,'Tsalin uzuulelt'!P$2,negtgel!U376:BL376)+ SUMIF(negtgel!U$2:BL$2,'Tsalin uzuulelt'!P$3,negtgel!U376:BL376)+ SUMIF(negtgel!U$2:BL$2,'Tsalin uzuulelt'!P$4,negtgel!U376:BL376)+ SUMIF(negtgel!U$2:BL$2,'Tsalin uzuulelt'!P$5,negtgel!U376:BL376)</f>
      </c>
      <c r="N376">
        <f>IF(ISNUMBER(U376*1)=CF376,0,K376-H376-G376)</f>
      </c>
      <c r="O376">
        <f>IF(ISNUMBER(U376*1)=CF376,0,L376)</f>
      </c>
      <c r="P376">
        <f>IF(ISNUMBER(U376*1)=CF376,0,M376)</f>
      </c>
      <c r="Q376">
        <f>IF(N376&gt;2400000,N376,0)</f>
      </c>
      <c r="R376">
        <f>IF(L376/Q376*100&lt;3,2,10)</f>
      </c>
      <c r="S376">
        <f>IF(CH376=0,0,IF(B376&gt;9,10,IF(B376&gt;8,B376,IF(B376&gt;7.7,7.8,IF(B376&gt;3,B376,IF(B376&gt;1.5,2))))))</f>
      </c>
      <c r="T376">
        <f>IF(Q376=0,S376,R376)</f>
      </c>
      <c r="U376" t="s">
        <v>3815</v>
      </c>
      <c r="V376"/>
      <c r="W376"/>
      <c r="X376"/>
      <c r="Y376"/>
      <c r="Z376"/>
      <c r="AA376"/>
      <c r="AB376"/>
      <c r="AC376"/>
      <c r="AD376"/>
      <c r="AE376"/>
      <c r="AF376"/>
      <c r="AG376"/>
      <c r="AH376"/>
      <c r="AI376"/>
      <c r="AJ376"/>
      <c r="AK376"/>
      <c r="AL376"/>
      <c r="AM376"/>
      <c r="AN376"/>
      <c r="AO376"/>
      <c r="AP376"/>
      <c r="AQ376"/>
      <c r="CH376">
        <f>IFERROR(U376*1,0)</f>
      </c>
    </row>
    <row r="377">
      <c r="A377" t="n">
        <v>6.0</v>
      </c>
      <c r="B377">
        <f>IF((K377-G377-H377&gt;2400000),10,(L377/(K377-G377-H377)*100))</f>
      </c>
      <c r="C377">
        <f>IF(N377&gt;2400000,240000,(N377*S377)/100)</f>
      </c>
      <c r="D377">
        <f>IF(S377=0,0,IF((N377-I377)&gt;2400000,((((((N377-I377-J377)-240000))*0.1+(I377+J377)*0.1)))-7000,((((((N377-I377-J377)-(N377-I377-J377)*S377/100)))*0.1+(I377+J377)*0.1)-7000)))</f>
      </c>
      <c r="E377">
        <f>C377-O377</f>
      </c>
      <c r="F377">
        <f>D377-P377</f>
      </c>
      <c r="G377">
        <f>SUMIF(negtgel!U$2:BL$2,'Tsalin uzuulelt'!B$1,negtgel!U377:BL377) + SUMIF(negtgel!U$2:BL$2,'Tsalin uzuulelt'!B$2,negtgel!U377:BL377)+SUMIF(negtgel!U$2:BL$2,'Tsalin uzuulelt'!B$3,negtgel!U377:BL377)+SUMIF(negtgel!U$2:BL$2,'Tsalin uzuulelt'!B$4,negtgel!U377:BL377)+SUMIF(negtgel!U$2:BL$2,'Tsalin uzuulelt'!B$5,negtgel!U377:BL377)</f>
      </c>
      <c r="H377">
        <f>SUMIF(negtgel!U$2:BL$2,'Tsalin uzuulelt'!F$1,negtgel!U377:BL377) + SUMIF(negtgel!U$2:BL$2,'Tsalin uzuulelt'!F$2,negtgel!U377:BL377)+SUMIF(negtgel!U$2:BL$2,'Tsalin uzuulelt'!F$3,negtgel!U377:BL377)+SUMIF(negtgel!U$2:BL$2,'Tsalin uzuulelt'!F$4,negtgel!U377:BL377)+SUMIF(negtgel!U$2:BL$2,'Tsalin uzuulelt'!F$5,negtgel!U377:BL377)</f>
      </c>
      <c r="I377">
        <f>SUMIF(negtgel!U$2:BL$2,'Tsalin uzuulelt'!H$1,negtgel!U377:BL377) + SUMIF(negtgel!U$2:BL$2,'Tsalin uzuulelt'!H$2,negtgel!U377:BL377)+SUMIF(negtgel!U$2:BL$2,'Tsalin uzuulelt'!H$3,negtgel!U377:BL377)+SUMIF(negtgel!U$2:BL$2,'Tsalin uzuulelt'!H$4,negtgel!U377:BL377)+SUMIF(negtgel!U$2:BL$2,'Tsalin uzuulelt'!H$5,negtgel!U377:BL377)</f>
      </c>
      <c r="J377">
        <f>SUMIF(negtgel!U$2:BL$2,'Tsalin uzuulelt'!J$1,negtgel!U377:BL377) + SUMIF(negtgel!U$2:BL$2,'Tsalin uzuulelt'!J$2,negtgel!U377:BL377)+SUMIF(negtgel!U$2:BL$2,'Tsalin uzuulelt'!J$3,negtgel!U377:BL377)+SUMIF(negtgel!U$2:BL$2,'Tsalin uzuulelt'!J$4,negtgel!U377:BL377)+SUMIF(negtgel!U$2:BL$2,'Tsalin uzuulelt'!J$5,negtgel!U377:BL377)</f>
      </c>
      <c r="K377">
        <f>SUMIF(negtgel!U$2:BL$2,'Tsalin uzuulelt'!L$1,negtgel!U377:BL377) + SUMIF(negtgel!U$2:BL$2,'Tsalin uzuulelt'!L$2,negtgel!U377:BL377)+SUMIF(negtgel!U$2:BL$2,'Tsalin uzuulelt'!L$3,negtgel!U377:BL377)+SUMIF(negtgel!U$2:BL$2,'Tsalin uzuulelt'!L$4,negtgel!U377:BL377)+SUMIF(negtgel!U$2:BL$2,'Tsalin uzuulelt'!L$5,negtgel!U377:BL377)</f>
      </c>
      <c r="L377">
        <f>SUMIF(negtgel!U$2:BL$2,'Tsalin uzuulelt'!N$1,negtgel!U377:BL377) + SUMIF(negtgel!U$2:BL$2,'Tsalin uzuulelt'!N$2,negtgel!U377:BL377)+SUMIF(negtgel!U$2:BL$2,'Tsalin uzuulelt'!N$3,negtgel!U377:BL377)+SUMIF(negtgel!U$2:BL$2,'Tsalin uzuulelt'!N$4,negtgel!U377:BL377)+SUMIF(negtgel!U$2:BL$2,'Tsalin uzuulelt'!N$5,negtgel!U377:BL377)</f>
      </c>
      <c r="M377">
        <f>SUMIF(negtgel!U$2:BL$2,'Tsalin uzuulelt'!P$1,negtgel!U377:BL377) + SUMIF(negtgel!U$2:BL$2,'Tsalin uzuulelt'!P$2,negtgel!U377:BL377)+ SUMIF(negtgel!U$2:BL$2,'Tsalin uzuulelt'!P$3,negtgel!U377:BL377)+ SUMIF(negtgel!U$2:BL$2,'Tsalin uzuulelt'!P$4,negtgel!U377:BL377)+ SUMIF(negtgel!U$2:BL$2,'Tsalin uzuulelt'!P$5,negtgel!U377:BL377)</f>
      </c>
      <c r="N377">
        <f>IF(ISNUMBER(U377*1)=CF377,0,K377-H377-G377)</f>
      </c>
      <c r="O377">
        <f>IF(ISNUMBER(U377*1)=CF377,0,L377)</f>
      </c>
      <c r="P377">
        <f>IF(ISNUMBER(U377*1)=CF377,0,M377)</f>
      </c>
      <c r="Q377">
        <f>IF(N377&gt;2400000,N377,0)</f>
      </c>
      <c r="R377">
        <f>IF(L377/Q377*100&lt;3,2,10)</f>
      </c>
      <c r="S377">
        <f>IF(CH377=0,0,IF(B377&gt;9,10,IF(B377&gt;8,B377,IF(B377&gt;7.7,7.8,IF(B377&gt;3,B377,IF(B377&gt;1.5,2))))))</f>
      </c>
      <c r="T377">
        <f>IF(Q377=0,S377,R377)</f>
      </c>
      <c r="U377" t="n">
        <v>67.0</v>
      </c>
      <c r="V377" t="s">
        <v>3816</v>
      </c>
      <c r="W377" t="s">
        <v>3790</v>
      </c>
      <c r="X377" t="n">
        <v>547759.0</v>
      </c>
      <c r="Y377" t="n">
        <v>492983.0</v>
      </c>
      <c r="Z377" t="n">
        <v>0.0</v>
      </c>
      <c r="AA377" t="n">
        <v>0.0</v>
      </c>
      <c r="AB377" t="n">
        <v>0.0</v>
      </c>
      <c r="AC377" t="n">
        <v>0.0</v>
      </c>
      <c r="AD377" t="n">
        <v>197193.0</v>
      </c>
      <c r="AE377" t="n">
        <v>0.0</v>
      </c>
      <c r="AF377" t="n">
        <v>54000.0</v>
      </c>
      <c r="AG377" t="n">
        <v>0.0</v>
      </c>
      <c r="AH377" t="n">
        <v>0.0</v>
      </c>
      <c r="AI377" t="n">
        <v>0.0</v>
      </c>
      <c r="AJ377" t="n">
        <v>0.0</v>
      </c>
      <c r="AK377" t="n">
        <v>0.0</v>
      </c>
      <c r="AL377" t="n">
        <v>0.0</v>
      </c>
      <c r="AM377" t="n">
        <v>0.0</v>
      </c>
      <c r="AN377" t="n">
        <v>0.0</v>
      </c>
      <c r="AO377" t="n">
        <v>744176.0</v>
      </c>
      <c r="AP377" t="n">
        <v>74417.0</v>
      </c>
      <c r="AQ377" t="n">
        <v>60515.8</v>
      </c>
      <c r="CH377">
        <f>IFERROR(U377*1,0)</f>
      </c>
    </row>
    <row r="378">
      <c r="A378" t="n">
        <v>6.0</v>
      </c>
      <c r="B378">
        <f>IF((K378-G378-H378&gt;2400000),10,(L378/(K378-G378-H378)*100))</f>
      </c>
      <c r="C378">
        <f>IF(N378&gt;2400000,240000,(N378*S378)/100)</f>
      </c>
      <c r="D378">
        <f>IF(S378=0,0,IF((N378-I378)&gt;2400000,((((((N378-I378-J378)-240000))*0.1+(I378+J378)*0.1)))-7000,((((((N378-I378-J378)-(N378-I378-J378)*S378/100)))*0.1+(I378+J378)*0.1)-7000)))</f>
      </c>
      <c r="E378">
        <f>C378-O378</f>
      </c>
      <c r="F378">
        <f>D378-P378</f>
      </c>
      <c r="G378">
        <f>SUMIF(negtgel!U$2:BL$2,'Tsalin uzuulelt'!B$1,negtgel!U378:BL378) + SUMIF(negtgel!U$2:BL$2,'Tsalin uzuulelt'!B$2,negtgel!U378:BL378)+SUMIF(negtgel!U$2:BL$2,'Tsalin uzuulelt'!B$3,negtgel!U378:BL378)+SUMIF(negtgel!U$2:BL$2,'Tsalin uzuulelt'!B$4,negtgel!U378:BL378)+SUMIF(negtgel!U$2:BL$2,'Tsalin uzuulelt'!B$5,negtgel!U378:BL378)</f>
      </c>
      <c r="H378">
        <f>SUMIF(negtgel!U$2:BL$2,'Tsalin uzuulelt'!F$1,negtgel!U378:BL378) + SUMIF(negtgel!U$2:BL$2,'Tsalin uzuulelt'!F$2,negtgel!U378:BL378)+SUMIF(negtgel!U$2:BL$2,'Tsalin uzuulelt'!F$3,negtgel!U378:BL378)+SUMIF(negtgel!U$2:BL$2,'Tsalin uzuulelt'!F$4,negtgel!U378:BL378)+SUMIF(negtgel!U$2:BL$2,'Tsalin uzuulelt'!F$5,negtgel!U378:BL378)</f>
      </c>
      <c r="I378">
        <f>SUMIF(negtgel!U$2:BL$2,'Tsalin uzuulelt'!H$1,negtgel!U378:BL378) + SUMIF(negtgel!U$2:BL$2,'Tsalin uzuulelt'!H$2,negtgel!U378:BL378)+SUMIF(negtgel!U$2:BL$2,'Tsalin uzuulelt'!H$3,negtgel!U378:BL378)+SUMIF(negtgel!U$2:BL$2,'Tsalin uzuulelt'!H$4,negtgel!U378:BL378)+SUMIF(negtgel!U$2:BL$2,'Tsalin uzuulelt'!H$5,negtgel!U378:BL378)</f>
      </c>
      <c r="J378">
        <f>SUMIF(negtgel!U$2:BL$2,'Tsalin uzuulelt'!J$1,negtgel!U378:BL378) + SUMIF(negtgel!U$2:BL$2,'Tsalin uzuulelt'!J$2,negtgel!U378:BL378)+SUMIF(negtgel!U$2:BL$2,'Tsalin uzuulelt'!J$3,negtgel!U378:BL378)+SUMIF(negtgel!U$2:BL$2,'Tsalin uzuulelt'!J$4,negtgel!U378:BL378)+SUMIF(negtgel!U$2:BL$2,'Tsalin uzuulelt'!J$5,negtgel!U378:BL378)</f>
      </c>
      <c r="K378">
        <f>SUMIF(negtgel!U$2:BL$2,'Tsalin uzuulelt'!L$1,negtgel!U378:BL378) + SUMIF(negtgel!U$2:BL$2,'Tsalin uzuulelt'!L$2,negtgel!U378:BL378)+SUMIF(negtgel!U$2:BL$2,'Tsalin uzuulelt'!L$3,negtgel!U378:BL378)+SUMIF(negtgel!U$2:BL$2,'Tsalin uzuulelt'!L$4,negtgel!U378:BL378)+SUMIF(negtgel!U$2:BL$2,'Tsalin uzuulelt'!L$5,negtgel!U378:BL378)</f>
      </c>
      <c r="L378">
        <f>SUMIF(negtgel!U$2:BL$2,'Tsalin uzuulelt'!N$1,negtgel!U378:BL378) + SUMIF(negtgel!U$2:BL$2,'Tsalin uzuulelt'!N$2,negtgel!U378:BL378)+SUMIF(negtgel!U$2:BL$2,'Tsalin uzuulelt'!N$3,negtgel!U378:BL378)+SUMIF(negtgel!U$2:BL$2,'Tsalin uzuulelt'!N$4,negtgel!U378:BL378)+SUMIF(negtgel!U$2:BL$2,'Tsalin uzuulelt'!N$5,negtgel!U378:BL378)</f>
      </c>
      <c r="M378">
        <f>SUMIF(negtgel!U$2:BL$2,'Tsalin uzuulelt'!P$1,negtgel!U378:BL378) + SUMIF(negtgel!U$2:BL$2,'Tsalin uzuulelt'!P$2,negtgel!U378:BL378)+ SUMIF(negtgel!U$2:BL$2,'Tsalin uzuulelt'!P$3,negtgel!U378:BL378)+ SUMIF(negtgel!U$2:BL$2,'Tsalin uzuulelt'!P$4,negtgel!U378:BL378)+ SUMIF(negtgel!U$2:BL$2,'Tsalin uzuulelt'!P$5,negtgel!U378:BL378)</f>
      </c>
      <c r="N378">
        <f>IF(ISNUMBER(U378*1)=CF378,0,K378-H378-G378)</f>
      </c>
      <c r="O378">
        <f>IF(ISNUMBER(U378*1)=CF378,0,L378)</f>
      </c>
      <c r="P378">
        <f>IF(ISNUMBER(U378*1)=CF378,0,M378)</f>
      </c>
      <c r="Q378">
        <f>IF(N378&gt;2400000,N378,0)</f>
      </c>
      <c r="R378">
        <f>IF(L378/Q378*100&lt;3,2,10)</f>
      </c>
      <c r="S378">
        <f>IF(CH378=0,0,IF(B378&gt;9,10,IF(B378&gt;8,B378,IF(B378&gt;7.7,7.8,IF(B378&gt;3,B378,IF(B378&gt;1.5,2))))))</f>
      </c>
      <c r="T378">
        <f>IF(Q378=0,S378,R378)</f>
      </c>
      <c r="U378" t="n">
        <v>68.0</v>
      </c>
      <c r="V378" t="s">
        <v>3817</v>
      </c>
      <c r="W378" t="s">
        <v>3790</v>
      </c>
      <c r="X378" t="n">
        <v>677436.0</v>
      </c>
      <c r="Y378" t="n">
        <v>677436.0</v>
      </c>
      <c r="Z378" t="n">
        <v>135487.0</v>
      </c>
      <c r="AA378" t="n">
        <v>135487.0</v>
      </c>
      <c r="AB378" t="n">
        <v>0.0</v>
      </c>
      <c r="AC378" t="n">
        <v>0.0</v>
      </c>
      <c r="AD378" t="n">
        <v>0.0</v>
      </c>
      <c r="AE378" t="n">
        <v>0.0</v>
      </c>
      <c r="AF378" t="n">
        <v>60000.0</v>
      </c>
      <c r="AG378" t="n">
        <v>0.0</v>
      </c>
      <c r="AH378" t="n">
        <v>0.0</v>
      </c>
      <c r="AI378" t="n">
        <v>0.0</v>
      </c>
      <c r="AJ378" t="n">
        <v>0.0</v>
      </c>
      <c r="AK378" t="n">
        <v>0.0</v>
      </c>
      <c r="AL378" t="n">
        <v>0.0</v>
      </c>
      <c r="AM378" t="n">
        <v>0.0</v>
      </c>
      <c r="AN378" t="n">
        <v>0.0</v>
      </c>
      <c r="AO378" t="n">
        <v>1008410.0</v>
      </c>
      <c r="AP378" t="n">
        <v>100841.0</v>
      </c>
      <c r="AQ378" t="n">
        <v>84356.9</v>
      </c>
      <c r="CH378">
        <f>IFERROR(U378*1,0)</f>
      </c>
    </row>
    <row r="379">
      <c r="A379" t="n">
        <v>6.0</v>
      </c>
      <c r="B379">
        <f>IF((K379-G379-H379&gt;2400000),10,(L379/(K379-G379-H379)*100))</f>
      </c>
      <c r="C379">
        <f>IF(N379&gt;2400000,240000,(N379*S379)/100)</f>
      </c>
      <c r="D379">
        <f>IF(S379=0,0,IF((N379-I379)&gt;2400000,((((((N379-I379-J379)-240000))*0.1+(I379+J379)*0.1)))-7000,((((((N379-I379-J379)-(N379-I379-J379)*S379/100)))*0.1+(I379+J379)*0.1)-7000)))</f>
      </c>
      <c r="E379">
        <f>C379-O379</f>
      </c>
      <c r="F379">
        <f>D379-P379</f>
      </c>
      <c r="G379">
        <f>SUMIF(negtgel!U$2:BL$2,'Tsalin uzuulelt'!B$1,negtgel!U379:BL379) + SUMIF(negtgel!U$2:BL$2,'Tsalin uzuulelt'!B$2,negtgel!U379:BL379)+SUMIF(negtgel!U$2:BL$2,'Tsalin uzuulelt'!B$3,negtgel!U379:BL379)+SUMIF(negtgel!U$2:BL$2,'Tsalin uzuulelt'!B$4,negtgel!U379:BL379)+SUMIF(negtgel!U$2:BL$2,'Tsalin uzuulelt'!B$5,negtgel!U379:BL379)</f>
      </c>
      <c r="H379">
        <f>SUMIF(negtgel!U$2:BL$2,'Tsalin uzuulelt'!F$1,negtgel!U379:BL379) + SUMIF(negtgel!U$2:BL$2,'Tsalin uzuulelt'!F$2,negtgel!U379:BL379)+SUMIF(negtgel!U$2:BL$2,'Tsalin uzuulelt'!F$3,negtgel!U379:BL379)+SUMIF(negtgel!U$2:BL$2,'Tsalin uzuulelt'!F$4,negtgel!U379:BL379)+SUMIF(negtgel!U$2:BL$2,'Tsalin uzuulelt'!F$5,negtgel!U379:BL379)</f>
      </c>
      <c r="I379">
        <f>SUMIF(negtgel!U$2:BL$2,'Tsalin uzuulelt'!H$1,negtgel!U379:BL379) + SUMIF(negtgel!U$2:BL$2,'Tsalin uzuulelt'!H$2,negtgel!U379:BL379)+SUMIF(negtgel!U$2:BL$2,'Tsalin uzuulelt'!H$3,negtgel!U379:BL379)+SUMIF(negtgel!U$2:BL$2,'Tsalin uzuulelt'!H$4,negtgel!U379:BL379)+SUMIF(negtgel!U$2:BL$2,'Tsalin uzuulelt'!H$5,negtgel!U379:BL379)</f>
      </c>
      <c r="J379">
        <f>SUMIF(negtgel!U$2:BL$2,'Tsalin uzuulelt'!J$1,negtgel!U379:BL379) + SUMIF(negtgel!U$2:BL$2,'Tsalin uzuulelt'!J$2,negtgel!U379:BL379)+SUMIF(negtgel!U$2:BL$2,'Tsalin uzuulelt'!J$3,negtgel!U379:BL379)+SUMIF(negtgel!U$2:BL$2,'Tsalin uzuulelt'!J$4,negtgel!U379:BL379)+SUMIF(negtgel!U$2:BL$2,'Tsalin uzuulelt'!J$5,negtgel!U379:BL379)</f>
      </c>
      <c r="K379">
        <f>SUMIF(negtgel!U$2:BL$2,'Tsalin uzuulelt'!L$1,negtgel!U379:BL379) + SUMIF(negtgel!U$2:BL$2,'Tsalin uzuulelt'!L$2,negtgel!U379:BL379)+SUMIF(negtgel!U$2:BL$2,'Tsalin uzuulelt'!L$3,negtgel!U379:BL379)+SUMIF(negtgel!U$2:BL$2,'Tsalin uzuulelt'!L$4,negtgel!U379:BL379)+SUMIF(negtgel!U$2:BL$2,'Tsalin uzuulelt'!L$5,negtgel!U379:BL379)</f>
      </c>
      <c r="L379">
        <f>SUMIF(negtgel!U$2:BL$2,'Tsalin uzuulelt'!N$1,negtgel!U379:BL379) + SUMIF(negtgel!U$2:BL$2,'Tsalin uzuulelt'!N$2,negtgel!U379:BL379)+SUMIF(negtgel!U$2:BL$2,'Tsalin uzuulelt'!N$3,negtgel!U379:BL379)+SUMIF(negtgel!U$2:BL$2,'Tsalin uzuulelt'!N$4,negtgel!U379:BL379)+SUMIF(negtgel!U$2:BL$2,'Tsalin uzuulelt'!N$5,negtgel!U379:BL379)</f>
      </c>
      <c r="M379">
        <f>SUMIF(negtgel!U$2:BL$2,'Tsalin uzuulelt'!P$1,negtgel!U379:BL379) + SUMIF(negtgel!U$2:BL$2,'Tsalin uzuulelt'!P$2,negtgel!U379:BL379)+ SUMIF(negtgel!U$2:BL$2,'Tsalin uzuulelt'!P$3,negtgel!U379:BL379)+ SUMIF(negtgel!U$2:BL$2,'Tsalin uzuulelt'!P$4,negtgel!U379:BL379)+ SUMIF(negtgel!U$2:BL$2,'Tsalin uzuulelt'!P$5,negtgel!U379:BL379)</f>
      </c>
      <c r="N379">
        <f>IF(ISNUMBER(U379*1)=CF379,0,K379-H379-G379)</f>
      </c>
      <c r="O379">
        <f>IF(ISNUMBER(U379*1)=CF379,0,L379)</f>
      </c>
      <c r="P379">
        <f>IF(ISNUMBER(U379*1)=CF379,0,M379)</f>
      </c>
      <c r="Q379">
        <f>IF(N379&gt;2400000,N379,0)</f>
      </c>
      <c r="R379">
        <f>IF(L379/Q379*100&lt;3,2,10)</f>
      </c>
      <c r="S379">
        <f>IF(CH379=0,0,IF(B379&gt;9,10,IF(B379&gt;8,B379,IF(B379&gt;7.7,7.8,IF(B379&gt;3,B379,IF(B379&gt;1.5,2))))))</f>
      </c>
      <c r="T379">
        <f>IF(Q379=0,S379,R379)</f>
      </c>
      <c r="U379" t="n">
        <v>69.0</v>
      </c>
      <c r="V379" t="s">
        <v>3818</v>
      </c>
      <c r="W379" t="s">
        <v>3785</v>
      </c>
      <c r="X379" t="n">
        <v>795935.0</v>
      </c>
      <c r="Y379" t="n">
        <v>795935.0</v>
      </c>
      <c r="Z379" t="n">
        <v>159187.0</v>
      </c>
      <c r="AA379" t="n">
        <v>143268.0</v>
      </c>
      <c r="AB379" t="n">
        <v>0.0</v>
      </c>
      <c r="AC379" t="n">
        <v>0.0</v>
      </c>
      <c r="AD379" t="n">
        <v>0.0</v>
      </c>
      <c r="AE379" t="n">
        <v>0.0</v>
      </c>
      <c r="AF379" t="n">
        <v>60000.0</v>
      </c>
      <c r="AG379" t="n">
        <v>0.0</v>
      </c>
      <c r="AH379" t="n">
        <v>0.0</v>
      </c>
      <c r="AI379" t="n">
        <v>0.0</v>
      </c>
      <c r="AJ379" t="n">
        <v>0.0</v>
      </c>
      <c r="AK379" t="n">
        <v>0.0</v>
      </c>
      <c r="AL379" t="n">
        <v>0.0</v>
      </c>
      <c r="AM379" t="n">
        <v>0.0</v>
      </c>
      <c r="AN379" t="n">
        <v>0.0</v>
      </c>
      <c r="AO379" t="n">
        <v>1158390.0</v>
      </c>
      <c r="AP379" t="n">
        <v>115839.0</v>
      </c>
      <c r="AQ379" t="n">
        <v>97855.1</v>
      </c>
      <c r="CH379">
        <f>IFERROR(U379*1,0)</f>
      </c>
    </row>
    <row r="380">
      <c r="A380" t="n">
        <v>6.0</v>
      </c>
      <c r="B380">
        <f>IF((K380-G380-H380&gt;2400000),10,(L380/(K380-G380-H380)*100))</f>
      </c>
      <c r="C380">
        <f>IF(N380&gt;2400000,240000,(N380*S380)/100)</f>
      </c>
      <c r="D380">
        <f>IF(S380=0,0,IF((N380-I380)&gt;2400000,((((((N380-I380-J380)-240000))*0.1+(I380+J380)*0.1)))-7000,((((((N380-I380-J380)-(N380-I380-J380)*S380/100)))*0.1+(I380+J380)*0.1)-7000)))</f>
      </c>
      <c r="E380">
        <f>C380-O380</f>
      </c>
      <c r="F380">
        <f>D380-P380</f>
      </c>
      <c r="G380">
        <f>SUMIF(negtgel!U$2:BL$2,'Tsalin uzuulelt'!B$1,negtgel!U380:BL380) + SUMIF(negtgel!U$2:BL$2,'Tsalin uzuulelt'!B$2,negtgel!U380:BL380)+SUMIF(negtgel!U$2:BL$2,'Tsalin uzuulelt'!B$3,negtgel!U380:BL380)+SUMIF(negtgel!U$2:BL$2,'Tsalin uzuulelt'!B$4,negtgel!U380:BL380)+SUMIF(negtgel!U$2:BL$2,'Tsalin uzuulelt'!B$5,negtgel!U380:BL380)</f>
      </c>
      <c r="H380">
        <f>SUMIF(negtgel!U$2:BL$2,'Tsalin uzuulelt'!F$1,negtgel!U380:BL380) + SUMIF(negtgel!U$2:BL$2,'Tsalin uzuulelt'!F$2,negtgel!U380:BL380)+SUMIF(negtgel!U$2:BL$2,'Tsalin uzuulelt'!F$3,negtgel!U380:BL380)+SUMIF(negtgel!U$2:BL$2,'Tsalin uzuulelt'!F$4,negtgel!U380:BL380)+SUMIF(negtgel!U$2:BL$2,'Tsalin uzuulelt'!F$5,negtgel!U380:BL380)</f>
      </c>
      <c r="I380">
        <f>SUMIF(negtgel!U$2:BL$2,'Tsalin uzuulelt'!H$1,negtgel!U380:BL380) + SUMIF(negtgel!U$2:BL$2,'Tsalin uzuulelt'!H$2,negtgel!U380:BL380)+SUMIF(negtgel!U$2:BL$2,'Tsalin uzuulelt'!H$3,negtgel!U380:BL380)+SUMIF(negtgel!U$2:BL$2,'Tsalin uzuulelt'!H$4,negtgel!U380:BL380)+SUMIF(negtgel!U$2:BL$2,'Tsalin uzuulelt'!H$5,negtgel!U380:BL380)</f>
      </c>
      <c r="J380">
        <f>SUMIF(negtgel!U$2:BL$2,'Tsalin uzuulelt'!J$1,negtgel!U380:BL380) + SUMIF(negtgel!U$2:BL$2,'Tsalin uzuulelt'!J$2,negtgel!U380:BL380)+SUMIF(negtgel!U$2:BL$2,'Tsalin uzuulelt'!J$3,negtgel!U380:BL380)+SUMIF(negtgel!U$2:BL$2,'Tsalin uzuulelt'!J$4,negtgel!U380:BL380)+SUMIF(negtgel!U$2:BL$2,'Tsalin uzuulelt'!J$5,negtgel!U380:BL380)</f>
      </c>
      <c r="K380">
        <f>SUMIF(negtgel!U$2:BL$2,'Tsalin uzuulelt'!L$1,negtgel!U380:BL380) + SUMIF(negtgel!U$2:BL$2,'Tsalin uzuulelt'!L$2,negtgel!U380:BL380)+SUMIF(negtgel!U$2:BL$2,'Tsalin uzuulelt'!L$3,negtgel!U380:BL380)+SUMIF(negtgel!U$2:BL$2,'Tsalin uzuulelt'!L$4,negtgel!U380:BL380)+SUMIF(negtgel!U$2:BL$2,'Tsalin uzuulelt'!L$5,negtgel!U380:BL380)</f>
      </c>
      <c r="L380">
        <f>SUMIF(negtgel!U$2:BL$2,'Tsalin uzuulelt'!N$1,negtgel!U380:BL380) + SUMIF(negtgel!U$2:BL$2,'Tsalin uzuulelt'!N$2,negtgel!U380:BL380)+SUMIF(negtgel!U$2:BL$2,'Tsalin uzuulelt'!N$3,negtgel!U380:BL380)+SUMIF(negtgel!U$2:BL$2,'Tsalin uzuulelt'!N$4,negtgel!U380:BL380)+SUMIF(negtgel!U$2:BL$2,'Tsalin uzuulelt'!N$5,negtgel!U380:BL380)</f>
      </c>
      <c r="M380">
        <f>SUMIF(negtgel!U$2:BL$2,'Tsalin uzuulelt'!P$1,negtgel!U380:BL380) + SUMIF(negtgel!U$2:BL$2,'Tsalin uzuulelt'!P$2,negtgel!U380:BL380)+ SUMIF(negtgel!U$2:BL$2,'Tsalin uzuulelt'!P$3,negtgel!U380:BL380)+ SUMIF(negtgel!U$2:BL$2,'Tsalin uzuulelt'!P$4,negtgel!U380:BL380)+ SUMIF(negtgel!U$2:BL$2,'Tsalin uzuulelt'!P$5,negtgel!U380:BL380)</f>
      </c>
      <c r="N380">
        <f>IF(ISNUMBER(U380*1)=CF380,0,K380-H380-G380)</f>
      </c>
      <c r="O380">
        <f>IF(ISNUMBER(U380*1)=CF380,0,L380)</f>
      </c>
      <c r="P380">
        <f>IF(ISNUMBER(U380*1)=CF380,0,M380)</f>
      </c>
      <c r="Q380">
        <f>IF(N380&gt;2400000,N380,0)</f>
      </c>
      <c r="R380">
        <f>IF(L380/Q380*100&lt;3,2,10)</f>
      </c>
      <c r="S380">
        <f>IF(CH380=0,0,IF(B380&gt;9,10,IF(B380&gt;8,B380,IF(B380&gt;7.7,7.8,IF(B380&gt;3,B380,IF(B380&gt;1.5,2))))))</f>
      </c>
      <c r="T380">
        <f>IF(Q380=0,S380,R380)</f>
      </c>
      <c r="U380" t="n">
        <v>70.0</v>
      </c>
      <c r="V380" t="s">
        <v>3819</v>
      </c>
      <c r="W380" t="s">
        <v>3820</v>
      </c>
      <c r="X380" t="n">
        <v>698795.0</v>
      </c>
      <c r="Y380" t="n">
        <v>698795.0</v>
      </c>
      <c r="Z380" t="n">
        <v>104819.0</v>
      </c>
      <c r="AA380" t="n">
        <v>125783.0</v>
      </c>
      <c r="AB380" t="n">
        <v>0.0</v>
      </c>
      <c r="AC380" t="n">
        <v>0.0</v>
      </c>
      <c r="AD380" t="n">
        <v>0.0</v>
      </c>
      <c r="AE380" t="n">
        <v>0.0</v>
      </c>
      <c r="AF380" t="n">
        <v>60000.0</v>
      </c>
      <c r="AG380" t="n">
        <v>0.0</v>
      </c>
      <c r="AH380" t="n">
        <v>0.0</v>
      </c>
      <c r="AI380" t="n">
        <v>0.0</v>
      </c>
      <c r="AJ380" t="n">
        <v>0.0</v>
      </c>
      <c r="AK380" t="n">
        <v>0.0</v>
      </c>
      <c r="AL380" t="n">
        <v>0.0</v>
      </c>
      <c r="AM380" t="n">
        <v>0.0</v>
      </c>
      <c r="AN380" t="n">
        <v>0.0</v>
      </c>
      <c r="AO380" t="n">
        <v>989397.0</v>
      </c>
      <c r="AP380" t="n">
        <v>98940.0</v>
      </c>
      <c r="AQ380" t="n">
        <v>82645.7</v>
      </c>
      <c r="CH380">
        <f>IFERROR(U380*1,0)</f>
      </c>
    </row>
    <row r="381">
      <c r="A381" t="n">
        <v>6.0</v>
      </c>
      <c r="B381">
        <f>IF((K381-G381-H381&gt;2400000),10,(L381/(K381-G381-H381)*100))</f>
      </c>
      <c r="C381">
        <f>IF(N381&gt;2400000,240000,(N381*S381)/100)</f>
      </c>
      <c r="D381">
        <f>IF(S381=0,0,IF((N381-I381)&gt;2400000,((((((N381-I381-J381)-240000))*0.1+(I381+J381)*0.1)))-7000,((((((N381-I381-J381)-(N381-I381-J381)*S381/100)))*0.1+(I381+J381)*0.1)-7000)))</f>
      </c>
      <c r="E381">
        <f>C381-O381</f>
      </c>
      <c r="F381">
        <f>D381-P381</f>
      </c>
      <c r="G381">
        <f>SUMIF(negtgel!U$2:BL$2,'Tsalin uzuulelt'!B$1,negtgel!U381:BL381) + SUMIF(negtgel!U$2:BL$2,'Tsalin uzuulelt'!B$2,negtgel!U381:BL381)+SUMIF(negtgel!U$2:BL$2,'Tsalin uzuulelt'!B$3,negtgel!U381:BL381)+SUMIF(negtgel!U$2:BL$2,'Tsalin uzuulelt'!B$4,negtgel!U381:BL381)+SUMIF(negtgel!U$2:BL$2,'Tsalin uzuulelt'!B$5,negtgel!U381:BL381)</f>
      </c>
      <c r="H381">
        <f>SUMIF(negtgel!U$2:BL$2,'Tsalin uzuulelt'!F$1,negtgel!U381:BL381) + SUMIF(negtgel!U$2:BL$2,'Tsalin uzuulelt'!F$2,negtgel!U381:BL381)+SUMIF(negtgel!U$2:BL$2,'Tsalin uzuulelt'!F$3,negtgel!U381:BL381)+SUMIF(negtgel!U$2:BL$2,'Tsalin uzuulelt'!F$4,negtgel!U381:BL381)+SUMIF(negtgel!U$2:BL$2,'Tsalin uzuulelt'!F$5,negtgel!U381:BL381)</f>
      </c>
      <c r="I381">
        <f>SUMIF(negtgel!U$2:BL$2,'Tsalin uzuulelt'!H$1,negtgel!U381:BL381) + SUMIF(negtgel!U$2:BL$2,'Tsalin uzuulelt'!H$2,negtgel!U381:BL381)+SUMIF(negtgel!U$2:BL$2,'Tsalin uzuulelt'!H$3,negtgel!U381:BL381)+SUMIF(negtgel!U$2:BL$2,'Tsalin uzuulelt'!H$4,negtgel!U381:BL381)+SUMIF(negtgel!U$2:BL$2,'Tsalin uzuulelt'!H$5,negtgel!U381:BL381)</f>
      </c>
      <c r="J381">
        <f>SUMIF(negtgel!U$2:BL$2,'Tsalin uzuulelt'!J$1,negtgel!U381:BL381) + SUMIF(negtgel!U$2:BL$2,'Tsalin uzuulelt'!J$2,negtgel!U381:BL381)+SUMIF(negtgel!U$2:BL$2,'Tsalin uzuulelt'!J$3,negtgel!U381:BL381)+SUMIF(negtgel!U$2:BL$2,'Tsalin uzuulelt'!J$4,negtgel!U381:BL381)+SUMIF(negtgel!U$2:BL$2,'Tsalin uzuulelt'!J$5,negtgel!U381:BL381)</f>
      </c>
      <c r="K381">
        <f>SUMIF(negtgel!U$2:BL$2,'Tsalin uzuulelt'!L$1,negtgel!U381:BL381) + SUMIF(negtgel!U$2:BL$2,'Tsalin uzuulelt'!L$2,negtgel!U381:BL381)+SUMIF(negtgel!U$2:BL$2,'Tsalin uzuulelt'!L$3,negtgel!U381:BL381)+SUMIF(negtgel!U$2:BL$2,'Tsalin uzuulelt'!L$4,negtgel!U381:BL381)+SUMIF(negtgel!U$2:BL$2,'Tsalin uzuulelt'!L$5,negtgel!U381:BL381)</f>
      </c>
      <c r="L381">
        <f>SUMIF(negtgel!U$2:BL$2,'Tsalin uzuulelt'!N$1,negtgel!U381:BL381) + SUMIF(negtgel!U$2:BL$2,'Tsalin uzuulelt'!N$2,negtgel!U381:BL381)+SUMIF(negtgel!U$2:BL$2,'Tsalin uzuulelt'!N$3,negtgel!U381:BL381)+SUMIF(negtgel!U$2:BL$2,'Tsalin uzuulelt'!N$4,negtgel!U381:BL381)+SUMIF(negtgel!U$2:BL$2,'Tsalin uzuulelt'!N$5,negtgel!U381:BL381)</f>
      </c>
      <c r="M381">
        <f>SUMIF(negtgel!U$2:BL$2,'Tsalin uzuulelt'!P$1,negtgel!U381:BL381) + SUMIF(negtgel!U$2:BL$2,'Tsalin uzuulelt'!P$2,negtgel!U381:BL381)+ SUMIF(negtgel!U$2:BL$2,'Tsalin uzuulelt'!P$3,negtgel!U381:BL381)+ SUMIF(negtgel!U$2:BL$2,'Tsalin uzuulelt'!P$4,negtgel!U381:BL381)+ SUMIF(negtgel!U$2:BL$2,'Tsalin uzuulelt'!P$5,negtgel!U381:BL381)</f>
      </c>
      <c r="N381">
        <f>IF(ISNUMBER(U381*1)=CF381,0,K381-H381-G381)</f>
      </c>
      <c r="O381">
        <f>IF(ISNUMBER(U381*1)=CF381,0,L381)</f>
      </c>
      <c r="P381">
        <f>IF(ISNUMBER(U381*1)=CF381,0,M381)</f>
      </c>
      <c r="Q381">
        <f>IF(N381&gt;2400000,N381,0)</f>
      </c>
      <c r="R381">
        <f>IF(L381/Q381*100&lt;3,2,10)</f>
      </c>
      <c r="S381">
        <f>IF(CH381=0,0,IF(B381&gt;9,10,IF(B381&gt;8,B381,IF(B381&gt;7.7,7.8,IF(B381&gt;3,B381,IF(B381&gt;1.5,2))))))</f>
      </c>
      <c r="T381">
        <f>IF(Q381=0,S381,R381)</f>
      </c>
      <c r="U381" t="n">
        <v>71.0</v>
      </c>
      <c r="V381" t="s">
        <v>3821</v>
      </c>
      <c r="W381" t="s">
        <v>3790</v>
      </c>
      <c r="X381" t="n">
        <v>547759.0</v>
      </c>
      <c r="Y381" t="n">
        <v>410819.0</v>
      </c>
      <c r="Z381" t="n">
        <v>0.0</v>
      </c>
      <c r="AA381" t="n">
        <v>0.0</v>
      </c>
      <c r="AB381" t="n">
        <v>0.0</v>
      </c>
      <c r="AC381" t="n">
        <v>0.0</v>
      </c>
      <c r="AD381" t="n">
        <v>0.0</v>
      </c>
      <c r="AE381" t="n">
        <v>0.0</v>
      </c>
      <c r="AF381" t="n">
        <v>45000.0</v>
      </c>
      <c r="AG381" t="n">
        <v>0.0</v>
      </c>
      <c r="AH381" t="n">
        <v>0.0</v>
      </c>
      <c r="AI381" t="n">
        <v>0.0</v>
      </c>
      <c r="AJ381" t="n">
        <v>516306.0</v>
      </c>
      <c r="AK381" t="n">
        <v>0.0</v>
      </c>
      <c r="AL381" t="n">
        <v>0.0</v>
      </c>
      <c r="AM381" t="n">
        <v>0.0</v>
      </c>
      <c r="AN381" t="n">
        <v>0.0</v>
      </c>
      <c r="AO381" t="n">
        <v>972125.0</v>
      </c>
      <c r="AP381" t="n">
        <v>97212.0</v>
      </c>
      <c r="AQ381" t="n">
        <v>80941.2</v>
      </c>
      <c r="CH381">
        <f>IFERROR(U381*1,0)</f>
      </c>
    </row>
    <row r="382">
      <c r="A382" t="n">
        <v>6.0</v>
      </c>
      <c r="B382">
        <f>IF((K382-G382-H382&gt;2400000),10,(L382/(K382-G382-H382)*100))</f>
      </c>
      <c r="C382">
        <f>IF(N382&gt;2400000,240000,(N382*S382)/100)</f>
      </c>
      <c r="D382">
        <f>IF(S382=0,0,IF((N382-I382)&gt;2400000,((((((N382-I382-J382)-240000))*0.1+(I382+J382)*0.1)))-7000,((((((N382-I382-J382)-(N382-I382-J382)*S382/100)))*0.1+(I382+J382)*0.1)-7000)))</f>
      </c>
      <c r="E382">
        <f>C382-O382</f>
      </c>
      <c r="F382">
        <f>D382-P382</f>
      </c>
      <c r="G382">
        <f>SUMIF(negtgel!U$2:BL$2,'Tsalin uzuulelt'!B$1,negtgel!U382:BL382) + SUMIF(negtgel!U$2:BL$2,'Tsalin uzuulelt'!B$2,negtgel!U382:BL382)+SUMIF(negtgel!U$2:BL$2,'Tsalin uzuulelt'!B$3,negtgel!U382:BL382)+SUMIF(negtgel!U$2:BL$2,'Tsalin uzuulelt'!B$4,negtgel!U382:BL382)+SUMIF(negtgel!U$2:BL$2,'Tsalin uzuulelt'!B$5,negtgel!U382:BL382)</f>
      </c>
      <c r="H382">
        <f>SUMIF(negtgel!U$2:BL$2,'Tsalin uzuulelt'!F$1,negtgel!U382:BL382) + SUMIF(negtgel!U$2:BL$2,'Tsalin uzuulelt'!F$2,negtgel!U382:BL382)+SUMIF(negtgel!U$2:BL$2,'Tsalin uzuulelt'!F$3,negtgel!U382:BL382)+SUMIF(negtgel!U$2:BL$2,'Tsalin uzuulelt'!F$4,negtgel!U382:BL382)+SUMIF(negtgel!U$2:BL$2,'Tsalin uzuulelt'!F$5,negtgel!U382:BL382)</f>
      </c>
      <c r="I382">
        <f>SUMIF(negtgel!U$2:BL$2,'Tsalin uzuulelt'!H$1,negtgel!U382:BL382) + SUMIF(negtgel!U$2:BL$2,'Tsalin uzuulelt'!H$2,negtgel!U382:BL382)+SUMIF(negtgel!U$2:BL$2,'Tsalin uzuulelt'!H$3,negtgel!U382:BL382)+SUMIF(negtgel!U$2:BL$2,'Tsalin uzuulelt'!H$4,negtgel!U382:BL382)+SUMIF(negtgel!U$2:BL$2,'Tsalin uzuulelt'!H$5,negtgel!U382:BL382)</f>
      </c>
      <c r="J382">
        <f>SUMIF(negtgel!U$2:BL$2,'Tsalin uzuulelt'!J$1,negtgel!U382:BL382) + SUMIF(negtgel!U$2:BL$2,'Tsalin uzuulelt'!J$2,negtgel!U382:BL382)+SUMIF(negtgel!U$2:BL$2,'Tsalin uzuulelt'!J$3,negtgel!U382:BL382)+SUMIF(negtgel!U$2:BL$2,'Tsalin uzuulelt'!J$4,negtgel!U382:BL382)+SUMIF(negtgel!U$2:BL$2,'Tsalin uzuulelt'!J$5,negtgel!U382:BL382)</f>
      </c>
      <c r="K382">
        <f>SUMIF(negtgel!U$2:BL$2,'Tsalin uzuulelt'!L$1,negtgel!U382:BL382) + SUMIF(negtgel!U$2:BL$2,'Tsalin uzuulelt'!L$2,negtgel!U382:BL382)+SUMIF(negtgel!U$2:BL$2,'Tsalin uzuulelt'!L$3,negtgel!U382:BL382)+SUMIF(negtgel!U$2:BL$2,'Tsalin uzuulelt'!L$4,negtgel!U382:BL382)+SUMIF(negtgel!U$2:BL$2,'Tsalin uzuulelt'!L$5,negtgel!U382:BL382)</f>
      </c>
      <c r="L382">
        <f>SUMIF(negtgel!U$2:BL$2,'Tsalin uzuulelt'!N$1,negtgel!U382:BL382) + SUMIF(negtgel!U$2:BL$2,'Tsalin uzuulelt'!N$2,negtgel!U382:BL382)+SUMIF(negtgel!U$2:BL$2,'Tsalin uzuulelt'!N$3,negtgel!U382:BL382)+SUMIF(negtgel!U$2:BL$2,'Tsalin uzuulelt'!N$4,negtgel!U382:BL382)+SUMIF(negtgel!U$2:BL$2,'Tsalin uzuulelt'!N$5,negtgel!U382:BL382)</f>
      </c>
      <c r="M382">
        <f>SUMIF(negtgel!U$2:BL$2,'Tsalin uzuulelt'!P$1,negtgel!U382:BL382) + SUMIF(negtgel!U$2:BL$2,'Tsalin uzuulelt'!P$2,negtgel!U382:BL382)+ SUMIF(negtgel!U$2:BL$2,'Tsalin uzuulelt'!P$3,negtgel!U382:BL382)+ SUMIF(negtgel!U$2:BL$2,'Tsalin uzuulelt'!P$4,negtgel!U382:BL382)+ SUMIF(negtgel!U$2:BL$2,'Tsalin uzuulelt'!P$5,negtgel!U382:BL382)</f>
      </c>
      <c r="N382">
        <f>IF(ISNUMBER(U382*1)=CF382,0,K382-H382-G382)</f>
      </c>
      <c r="O382">
        <f>IF(ISNUMBER(U382*1)=CF382,0,L382)</f>
      </c>
      <c r="P382">
        <f>IF(ISNUMBER(U382*1)=CF382,0,M382)</f>
      </c>
      <c r="Q382">
        <f>IF(N382&gt;2400000,N382,0)</f>
      </c>
      <c r="R382">
        <f>IF(L382/Q382*100&lt;3,2,10)</f>
      </c>
      <c r="S382">
        <f>IF(CH382=0,0,IF(B382&gt;9,10,IF(B382&gt;8,B382,IF(B382&gt;7.7,7.8,IF(B382&gt;3,B382,IF(B382&gt;1.5,2))))))</f>
      </c>
      <c r="T382">
        <f>IF(Q382=0,S382,R382)</f>
      </c>
      <c r="U382" t="n">
        <v>72.0</v>
      </c>
      <c r="V382" t="s">
        <v>3822</v>
      </c>
      <c r="W382" t="s">
        <v>3823</v>
      </c>
      <c r="X382" t="n">
        <v>539547.0</v>
      </c>
      <c r="Y382" t="n">
        <v>0.0</v>
      </c>
      <c r="Z382" t="n">
        <v>0.0</v>
      </c>
      <c r="AA382" t="n">
        <v>0.0</v>
      </c>
      <c r="AB382" t="n">
        <v>0.0</v>
      </c>
      <c r="AC382" t="n">
        <v>0.0</v>
      </c>
      <c r="AD382" t="n">
        <v>0.0</v>
      </c>
      <c r="AE382" t="n">
        <v>0.0</v>
      </c>
      <c r="AF382" t="n">
        <v>0.0</v>
      </c>
      <c r="AG382" t="n">
        <v>0.0</v>
      </c>
      <c r="AH382" t="n">
        <v>0.0</v>
      </c>
      <c r="AI382" t="n">
        <v>0.0</v>
      </c>
      <c r="AJ382" t="n">
        <v>0.0</v>
      </c>
      <c r="AK382" t="n">
        <v>0.0</v>
      </c>
      <c r="AL382" t="n">
        <v>0.0</v>
      </c>
      <c r="AM382" t="n">
        <v>0.0</v>
      </c>
      <c r="AN382" t="n">
        <v>0.0</v>
      </c>
      <c r="AO382" t="n">
        <v>0.0</v>
      </c>
      <c r="AP382" t="n">
        <v>0.0</v>
      </c>
      <c r="AQ382" t="n">
        <v>0.0</v>
      </c>
      <c r="CH382">
        <f>IFERROR(U382*1,0)</f>
      </c>
    </row>
    <row r="383">
      <c r="A383" t="n">
        <v>6.0</v>
      </c>
      <c r="B383">
        <f>IF((K383-G383-H383&gt;2400000),10,(L383/(K383-G383-H383)*100))</f>
      </c>
      <c r="C383">
        <f>IF(N383&gt;2400000,240000,(N383*S383)/100)</f>
      </c>
      <c r="D383">
        <f>IF(S383=0,0,IF((N383-I383)&gt;2400000,((((((N383-I383-J383)-240000))*0.1+(I383+J383)*0.1)))-7000,((((((N383-I383-J383)-(N383-I383-J383)*S383/100)))*0.1+(I383+J383)*0.1)-7000)))</f>
      </c>
      <c r="E383">
        <f>C383-O383</f>
      </c>
      <c r="F383">
        <f>D383-P383</f>
      </c>
      <c r="G383">
        <f>SUMIF(negtgel!U$2:BL$2,'Tsalin uzuulelt'!B$1,negtgel!U383:BL383) + SUMIF(negtgel!U$2:BL$2,'Tsalin uzuulelt'!B$2,negtgel!U383:BL383)+SUMIF(negtgel!U$2:BL$2,'Tsalin uzuulelt'!B$3,negtgel!U383:BL383)+SUMIF(negtgel!U$2:BL$2,'Tsalin uzuulelt'!B$4,negtgel!U383:BL383)+SUMIF(negtgel!U$2:BL$2,'Tsalin uzuulelt'!B$5,negtgel!U383:BL383)</f>
      </c>
      <c r="H383">
        <f>SUMIF(negtgel!U$2:BL$2,'Tsalin uzuulelt'!F$1,negtgel!U383:BL383) + SUMIF(negtgel!U$2:BL$2,'Tsalin uzuulelt'!F$2,negtgel!U383:BL383)+SUMIF(negtgel!U$2:BL$2,'Tsalin uzuulelt'!F$3,negtgel!U383:BL383)+SUMIF(negtgel!U$2:BL$2,'Tsalin uzuulelt'!F$4,negtgel!U383:BL383)+SUMIF(negtgel!U$2:BL$2,'Tsalin uzuulelt'!F$5,negtgel!U383:BL383)</f>
      </c>
      <c r="I383">
        <f>SUMIF(negtgel!U$2:BL$2,'Tsalin uzuulelt'!H$1,negtgel!U383:BL383) + SUMIF(negtgel!U$2:BL$2,'Tsalin uzuulelt'!H$2,negtgel!U383:BL383)+SUMIF(negtgel!U$2:BL$2,'Tsalin uzuulelt'!H$3,negtgel!U383:BL383)+SUMIF(negtgel!U$2:BL$2,'Tsalin uzuulelt'!H$4,negtgel!U383:BL383)+SUMIF(negtgel!U$2:BL$2,'Tsalin uzuulelt'!H$5,negtgel!U383:BL383)</f>
      </c>
      <c r="J383">
        <f>SUMIF(negtgel!U$2:BL$2,'Tsalin uzuulelt'!J$1,negtgel!U383:BL383) + SUMIF(negtgel!U$2:BL$2,'Tsalin uzuulelt'!J$2,negtgel!U383:BL383)+SUMIF(negtgel!U$2:BL$2,'Tsalin uzuulelt'!J$3,negtgel!U383:BL383)+SUMIF(negtgel!U$2:BL$2,'Tsalin uzuulelt'!J$4,negtgel!U383:BL383)+SUMIF(negtgel!U$2:BL$2,'Tsalin uzuulelt'!J$5,negtgel!U383:BL383)</f>
      </c>
      <c r="K383">
        <f>SUMIF(negtgel!U$2:BL$2,'Tsalin uzuulelt'!L$1,negtgel!U383:BL383) + SUMIF(negtgel!U$2:BL$2,'Tsalin uzuulelt'!L$2,negtgel!U383:BL383)+SUMIF(negtgel!U$2:BL$2,'Tsalin uzuulelt'!L$3,negtgel!U383:BL383)+SUMIF(negtgel!U$2:BL$2,'Tsalin uzuulelt'!L$4,negtgel!U383:BL383)+SUMIF(negtgel!U$2:BL$2,'Tsalin uzuulelt'!L$5,negtgel!U383:BL383)</f>
      </c>
      <c r="L383">
        <f>SUMIF(negtgel!U$2:BL$2,'Tsalin uzuulelt'!N$1,negtgel!U383:BL383) + SUMIF(negtgel!U$2:BL$2,'Tsalin uzuulelt'!N$2,negtgel!U383:BL383)+SUMIF(negtgel!U$2:BL$2,'Tsalin uzuulelt'!N$3,negtgel!U383:BL383)+SUMIF(negtgel!U$2:BL$2,'Tsalin uzuulelt'!N$4,negtgel!U383:BL383)+SUMIF(negtgel!U$2:BL$2,'Tsalin uzuulelt'!N$5,negtgel!U383:BL383)</f>
      </c>
      <c r="M383">
        <f>SUMIF(negtgel!U$2:BL$2,'Tsalin uzuulelt'!P$1,negtgel!U383:BL383) + SUMIF(negtgel!U$2:BL$2,'Tsalin uzuulelt'!P$2,negtgel!U383:BL383)+ SUMIF(negtgel!U$2:BL$2,'Tsalin uzuulelt'!P$3,negtgel!U383:BL383)+ SUMIF(negtgel!U$2:BL$2,'Tsalin uzuulelt'!P$4,negtgel!U383:BL383)+ SUMIF(negtgel!U$2:BL$2,'Tsalin uzuulelt'!P$5,negtgel!U383:BL383)</f>
      </c>
      <c r="N383">
        <f>IF(ISNUMBER(U383*1)=CF383,0,K383-H383-G383)</f>
      </c>
      <c r="O383">
        <f>IF(ISNUMBER(U383*1)=CF383,0,L383)</f>
      </c>
      <c r="P383">
        <f>IF(ISNUMBER(U383*1)=CF383,0,M383)</f>
      </c>
      <c r="Q383">
        <f>IF(N383&gt;2400000,N383,0)</f>
      </c>
      <c r="R383">
        <f>IF(L383/Q383*100&lt;3,2,10)</f>
      </c>
      <c r="S383">
        <f>IF(CH383=0,0,IF(B383&gt;9,10,IF(B383&gt;8,B383,IF(B383&gt;7.7,7.8,IF(B383&gt;3,B383,IF(B383&gt;1.5,2))))))</f>
      </c>
      <c r="T383">
        <f>IF(Q383=0,S383,R383)</f>
      </c>
      <c r="U383" t="n">
        <v>73.0</v>
      </c>
      <c r="V383" t="s">
        <v>3824</v>
      </c>
      <c r="W383" t="s">
        <v>3790</v>
      </c>
      <c r="X383" t="n">
        <v>677436.0</v>
      </c>
      <c r="Y383" t="n">
        <v>677436.0</v>
      </c>
      <c r="Z383" t="n">
        <v>135487.0</v>
      </c>
      <c r="AA383" t="n">
        <v>121938.0</v>
      </c>
      <c r="AB383" t="n">
        <v>0.0</v>
      </c>
      <c r="AC383" t="n">
        <v>101615.0</v>
      </c>
      <c r="AD383" t="n">
        <v>0.0</v>
      </c>
      <c r="AE383" t="n">
        <v>0.0</v>
      </c>
      <c r="AF383" t="n">
        <v>60000.0</v>
      </c>
      <c r="AG383" t="n">
        <v>0.0</v>
      </c>
      <c r="AH383" t="n">
        <v>0.0</v>
      </c>
      <c r="AI383" t="n">
        <v>0.0</v>
      </c>
      <c r="AJ383" t="n">
        <v>0.0</v>
      </c>
      <c r="AK383" t="n">
        <v>0.0</v>
      </c>
      <c r="AL383" t="n">
        <v>0.0</v>
      </c>
      <c r="AM383" t="n">
        <v>0.0</v>
      </c>
      <c r="AN383" t="n">
        <v>0.0</v>
      </c>
      <c r="AO383" t="n">
        <v>1096476.0</v>
      </c>
      <c r="AP383" t="n">
        <v>109648.0</v>
      </c>
      <c r="AQ383" t="n">
        <v>92282.8</v>
      </c>
      <c r="CH383">
        <f>IFERROR(U383*1,0)</f>
      </c>
    </row>
    <row r="384">
      <c r="A384" t="n">
        <v>6.0</v>
      </c>
      <c r="B384">
        <f>IF((K384-G384-H384&gt;2400000),10,(L384/(K384-G384-H384)*100))</f>
      </c>
      <c r="C384">
        <f>IF(N384&gt;2400000,240000,(N384*S384)/100)</f>
      </c>
      <c r="D384">
        <f>IF(S384=0,0,IF((N384-I384)&gt;2400000,((((((N384-I384-J384)-240000))*0.1+(I384+J384)*0.1)))-7000,((((((N384-I384-J384)-(N384-I384-J384)*S384/100)))*0.1+(I384+J384)*0.1)-7000)))</f>
      </c>
      <c r="E384">
        <f>C384-O384</f>
      </c>
      <c r="F384">
        <f>D384-P384</f>
      </c>
      <c r="G384">
        <f>SUMIF(negtgel!U$2:BL$2,'Tsalin uzuulelt'!B$1,negtgel!U384:BL384) + SUMIF(negtgel!U$2:BL$2,'Tsalin uzuulelt'!B$2,negtgel!U384:BL384)+SUMIF(negtgel!U$2:BL$2,'Tsalin uzuulelt'!B$3,negtgel!U384:BL384)+SUMIF(negtgel!U$2:BL$2,'Tsalin uzuulelt'!B$4,negtgel!U384:BL384)+SUMIF(negtgel!U$2:BL$2,'Tsalin uzuulelt'!B$5,negtgel!U384:BL384)</f>
      </c>
      <c r="H384">
        <f>SUMIF(negtgel!U$2:BL$2,'Tsalin uzuulelt'!F$1,negtgel!U384:BL384) + SUMIF(negtgel!U$2:BL$2,'Tsalin uzuulelt'!F$2,negtgel!U384:BL384)+SUMIF(negtgel!U$2:BL$2,'Tsalin uzuulelt'!F$3,negtgel!U384:BL384)+SUMIF(negtgel!U$2:BL$2,'Tsalin uzuulelt'!F$4,negtgel!U384:BL384)+SUMIF(negtgel!U$2:BL$2,'Tsalin uzuulelt'!F$5,negtgel!U384:BL384)</f>
      </c>
      <c r="I384">
        <f>SUMIF(negtgel!U$2:BL$2,'Tsalin uzuulelt'!H$1,negtgel!U384:BL384) + SUMIF(negtgel!U$2:BL$2,'Tsalin uzuulelt'!H$2,negtgel!U384:BL384)+SUMIF(negtgel!U$2:BL$2,'Tsalin uzuulelt'!H$3,negtgel!U384:BL384)+SUMIF(negtgel!U$2:BL$2,'Tsalin uzuulelt'!H$4,negtgel!U384:BL384)+SUMIF(negtgel!U$2:BL$2,'Tsalin uzuulelt'!H$5,negtgel!U384:BL384)</f>
      </c>
      <c r="J384">
        <f>SUMIF(negtgel!U$2:BL$2,'Tsalin uzuulelt'!J$1,negtgel!U384:BL384) + SUMIF(negtgel!U$2:BL$2,'Tsalin uzuulelt'!J$2,negtgel!U384:BL384)+SUMIF(negtgel!U$2:BL$2,'Tsalin uzuulelt'!J$3,negtgel!U384:BL384)+SUMIF(negtgel!U$2:BL$2,'Tsalin uzuulelt'!J$4,negtgel!U384:BL384)+SUMIF(negtgel!U$2:BL$2,'Tsalin uzuulelt'!J$5,negtgel!U384:BL384)</f>
      </c>
      <c r="K384">
        <f>SUMIF(negtgel!U$2:BL$2,'Tsalin uzuulelt'!L$1,negtgel!U384:BL384) + SUMIF(negtgel!U$2:BL$2,'Tsalin uzuulelt'!L$2,negtgel!U384:BL384)+SUMIF(negtgel!U$2:BL$2,'Tsalin uzuulelt'!L$3,negtgel!U384:BL384)+SUMIF(negtgel!U$2:BL$2,'Tsalin uzuulelt'!L$4,negtgel!U384:BL384)+SUMIF(negtgel!U$2:BL$2,'Tsalin uzuulelt'!L$5,negtgel!U384:BL384)</f>
      </c>
      <c r="L384">
        <f>SUMIF(negtgel!U$2:BL$2,'Tsalin uzuulelt'!N$1,negtgel!U384:BL384) + SUMIF(negtgel!U$2:BL$2,'Tsalin uzuulelt'!N$2,negtgel!U384:BL384)+SUMIF(negtgel!U$2:BL$2,'Tsalin uzuulelt'!N$3,negtgel!U384:BL384)+SUMIF(negtgel!U$2:BL$2,'Tsalin uzuulelt'!N$4,negtgel!U384:BL384)+SUMIF(negtgel!U$2:BL$2,'Tsalin uzuulelt'!N$5,negtgel!U384:BL384)</f>
      </c>
      <c r="M384">
        <f>SUMIF(negtgel!U$2:BL$2,'Tsalin uzuulelt'!P$1,negtgel!U384:BL384) + SUMIF(negtgel!U$2:BL$2,'Tsalin uzuulelt'!P$2,negtgel!U384:BL384)+ SUMIF(negtgel!U$2:BL$2,'Tsalin uzuulelt'!P$3,negtgel!U384:BL384)+ SUMIF(negtgel!U$2:BL$2,'Tsalin uzuulelt'!P$4,negtgel!U384:BL384)+ SUMIF(negtgel!U$2:BL$2,'Tsalin uzuulelt'!P$5,negtgel!U384:BL384)</f>
      </c>
      <c r="N384">
        <f>IF(ISNUMBER(U384*1)=CF384,0,K384-H384-G384)</f>
      </c>
      <c r="O384">
        <f>IF(ISNUMBER(U384*1)=CF384,0,L384)</f>
      </c>
      <c r="P384">
        <f>IF(ISNUMBER(U384*1)=CF384,0,M384)</f>
      </c>
      <c r="Q384">
        <f>IF(N384&gt;2400000,N384,0)</f>
      </c>
      <c r="R384">
        <f>IF(L384/Q384*100&lt;3,2,10)</f>
      </c>
      <c r="S384">
        <f>IF(CH384=0,0,IF(B384&gt;9,10,IF(B384&gt;8,B384,IF(B384&gt;7.7,7.8,IF(B384&gt;3,B384,IF(B384&gt;1.5,2))))))</f>
      </c>
      <c r="T384">
        <f>IF(Q384=0,S384,R384)</f>
      </c>
      <c r="U384" t="s">
        <v>3787</v>
      </c>
      <c r="V384"/>
      <c r="W384"/>
      <c r="X384" t="n">
        <v>4484667.0</v>
      </c>
      <c r="Y384" t="n">
        <v>3753404.0</v>
      </c>
      <c r="Z384" t="n">
        <v>534980.0</v>
      </c>
      <c r="AA384" t="n">
        <v>526476.0</v>
      </c>
      <c r="AB384" t="n">
        <v>0.0</v>
      </c>
      <c r="AC384" t="n">
        <v>101615.0</v>
      </c>
      <c r="AD384" t="n">
        <v>197193.0</v>
      </c>
      <c r="AE384" t="n">
        <v>0.0</v>
      </c>
      <c r="AF384" t="n">
        <v>339000.0</v>
      </c>
      <c r="AG384" t="n">
        <v>0.0</v>
      </c>
      <c r="AH384" t="n">
        <v>0.0</v>
      </c>
      <c r="AI384" t="n">
        <v>0.0</v>
      </c>
      <c r="AJ384" t="n">
        <v>516306.0</v>
      </c>
      <c r="AK384" t="n">
        <v>0.0</v>
      </c>
      <c r="AL384" t="n">
        <v>0.0</v>
      </c>
      <c r="AM384" t="n">
        <v>0.0</v>
      </c>
      <c r="AN384" t="n">
        <v>0.0</v>
      </c>
      <c r="AO384" t="n">
        <v>5968974.0</v>
      </c>
      <c r="AP384" t="n">
        <v>596897.0</v>
      </c>
      <c r="AQ384" t="n">
        <v>498597.5</v>
      </c>
      <c r="CH384">
        <f>IFERROR(U384*1,0)</f>
      </c>
    </row>
    <row r="385">
      <c r="A385" t="n">
        <v>6.0</v>
      </c>
      <c r="B385">
        <f>IF((K385-G385-H385&gt;2400000),10,(L385/(K385-G385-H385)*100))</f>
      </c>
      <c r="C385">
        <f>IF(N385&gt;2400000,240000,(N385*S385)/100)</f>
      </c>
      <c r="D385">
        <f>IF(S385=0,0,IF((N385-I385)&gt;2400000,((((((N385-I385-J385)-240000))*0.1+(I385+J385)*0.1)))-7000,((((((N385-I385-J385)-(N385-I385-J385)*S385/100)))*0.1+(I385+J385)*0.1)-7000)))</f>
      </c>
      <c r="E385">
        <f>C385-O385</f>
      </c>
      <c r="F385">
        <f>D385-P385</f>
      </c>
      <c r="G385">
        <f>SUMIF(negtgel!U$2:BL$2,'Tsalin uzuulelt'!B$1,negtgel!U385:BL385) + SUMIF(negtgel!U$2:BL$2,'Tsalin uzuulelt'!B$2,negtgel!U385:BL385)+SUMIF(negtgel!U$2:BL$2,'Tsalin uzuulelt'!B$3,negtgel!U385:BL385)+SUMIF(negtgel!U$2:BL$2,'Tsalin uzuulelt'!B$4,negtgel!U385:BL385)+SUMIF(negtgel!U$2:BL$2,'Tsalin uzuulelt'!B$5,negtgel!U385:BL385)</f>
      </c>
      <c r="H385">
        <f>SUMIF(negtgel!U$2:BL$2,'Tsalin uzuulelt'!F$1,negtgel!U385:BL385) + SUMIF(negtgel!U$2:BL$2,'Tsalin uzuulelt'!F$2,negtgel!U385:BL385)+SUMIF(negtgel!U$2:BL$2,'Tsalin uzuulelt'!F$3,negtgel!U385:BL385)+SUMIF(negtgel!U$2:BL$2,'Tsalin uzuulelt'!F$4,negtgel!U385:BL385)+SUMIF(negtgel!U$2:BL$2,'Tsalin uzuulelt'!F$5,negtgel!U385:BL385)</f>
      </c>
      <c r="I385">
        <f>SUMIF(negtgel!U$2:BL$2,'Tsalin uzuulelt'!H$1,negtgel!U385:BL385) + SUMIF(negtgel!U$2:BL$2,'Tsalin uzuulelt'!H$2,negtgel!U385:BL385)+SUMIF(negtgel!U$2:BL$2,'Tsalin uzuulelt'!H$3,negtgel!U385:BL385)+SUMIF(negtgel!U$2:BL$2,'Tsalin uzuulelt'!H$4,negtgel!U385:BL385)+SUMIF(negtgel!U$2:BL$2,'Tsalin uzuulelt'!H$5,negtgel!U385:BL385)</f>
      </c>
      <c r="J385">
        <f>SUMIF(negtgel!U$2:BL$2,'Tsalin uzuulelt'!J$1,negtgel!U385:BL385) + SUMIF(negtgel!U$2:BL$2,'Tsalin uzuulelt'!J$2,negtgel!U385:BL385)+SUMIF(negtgel!U$2:BL$2,'Tsalin uzuulelt'!J$3,negtgel!U385:BL385)+SUMIF(negtgel!U$2:BL$2,'Tsalin uzuulelt'!J$4,negtgel!U385:BL385)+SUMIF(negtgel!U$2:BL$2,'Tsalin uzuulelt'!J$5,negtgel!U385:BL385)</f>
      </c>
      <c r="K385">
        <f>SUMIF(negtgel!U$2:BL$2,'Tsalin uzuulelt'!L$1,negtgel!U385:BL385) + SUMIF(negtgel!U$2:BL$2,'Tsalin uzuulelt'!L$2,negtgel!U385:BL385)+SUMIF(negtgel!U$2:BL$2,'Tsalin uzuulelt'!L$3,negtgel!U385:BL385)+SUMIF(negtgel!U$2:BL$2,'Tsalin uzuulelt'!L$4,negtgel!U385:BL385)+SUMIF(negtgel!U$2:BL$2,'Tsalin uzuulelt'!L$5,negtgel!U385:BL385)</f>
      </c>
      <c r="L385">
        <f>SUMIF(negtgel!U$2:BL$2,'Tsalin uzuulelt'!N$1,negtgel!U385:BL385) + SUMIF(negtgel!U$2:BL$2,'Tsalin uzuulelt'!N$2,negtgel!U385:BL385)+SUMIF(negtgel!U$2:BL$2,'Tsalin uzuulelt'!N$3,negtgel!U385:BL385)+SUMIF(negtgel!U$2:BL$2,'Tsalin uzuulelt'!N$4,negtgel!U385:BL385)+SUMIF(negtgel!U$2:BL$2,'Tsalin uzuulelt'!N$5,negtgel!U385:BL385)</f>
      </c>
      <c r="M385">
        <f>SUMIF(negtgel!U$2:BL$2,'Tsalin uzuulelt'!P$1,negtgel!U385:BL385) + SUMIF(negtgel!U$2:BL$2,'Tsalin uzuulelt'!P$2,negtgel!U385:BL385)+ SUMIF(negtgel!U$2:BL$2,'Tsalin uzuulelt'!P$3,negtgel!U385:BL385)+ SUMIF(negtgel!U$2:BL$2,'Tsalin uzuulelt'!P$4,negtgel!U385:BL385)+ SUMIF(negtgel!U$2:BL$2,'Tsalin uzuulelt'!P$5,negtgel!U385:BL385)</f>
      </c>
      <c r="N385">
        <f>IF(ISNUMBER(U385*1)=CF385,0,K385-H385-G385)</f>
      </c>
      <c r="O385">
        <f>IF(ISNUMBER(U385*1)=CF385,0,L385)</f>
      </c>
      <c r="P385">
        <f>IF(ISNUMBER(U385*1)=CF385,0,M385)</f>
      </c>
      <c r="Q385">
        <f>IF(N385&gt;2400000,N385,0)</f>
      </c>
      <c r="R385">
        <f>IF(L385/Q385*100&lt;3,2,10)</f>
      </c>
      <c r="S385">
        <f>IF(CH385=0,0,IF(B385&gt;9,10,IF(B385&gt;8,B385,IF(B385&gt;7.7,7.8,IF(B385&gt;3,B385,IF(B385&gt;1.5,2))))))</f>
      </c>
      <c r="T385">
        <f>IF(Q385=0,S385,R385)</f>
      </c>
      <c r="U385" t="s">
        <v>3825</v>
      </c>
      <c r="V385"/>
      <c r="W385"/>
      <c r="X385"/>
      <c r="Y385"/>
      <c r="Z385"/>
      <c r="AA385"/>
      <c r="AB385"/>
      <c r="AC385"/>
      <c r="AD385"/>
      <c r="AE385"/>
      <c r="AF385"/>
      <c r="AG385"/>
      <c r="AH385"/>
      <c r="AI385"/>
      <c r="AJ385"/>
      <c r="AK385"/>
      <c r="AL385"/>
      <c r="AM385"/>
      <c r="AN385"/>
      <c r="AO385"/>
      <c r="AP385"/>
      <c r="AQ385"/>
      <c r="CH385">
        <f>IFERROR(U385*1,0)</f>
      </c>
    </row>
    <row r="386">
      <c r="A386" t="n">
        <v>6.0</v>
      </c>
      <c r="B386">
        <f>IF((K386-G386-H386&gt;2400000),10,(L386/(K386-G386-H386)*100))</f>
      </c>
      <c r="C386">
        <f>IF(N386&gt;2400000,240000,(N386*S386)/100)</f>
      </c>
      <c r="D386">
        <f>IF(S386=0,0,IF((N386-I386)&gt;2400000,((((((N386-I386-J386)-240000))*0.1+(I386+J386)*0.1)))-7000,((((((N386-I386-J386)-(N386-I386-J386)*S386/100)))*0.1+(I386+J386)*0.1)-7000)))</f>
      </c>
      <c r="E386">
        <f>C386-O386</f>
      </c>
      <c r="F386">
        <f>D386-P386</f>
      </c>
      <c r="G386">
        <f>SUMIF(negtgel!U$2:BL$2,'Tsalin uzuulelt'!B$1,negtgel!U386:BL386) + SUMIF(negtgel!U$2:BL$2,'Tsalin uzuulelt'!B$2,negtgel!U386:BL386)+SUMIF(negtgel!U$2:BL$2,'Tsalin uzuulelt'!B$3,negtgel!U386:BL386)+SUMIF(negtgel!U$2:BL$2,'Tsalin uzuulelt'!B$4,negtgel!U386:BL386)+SUMIF(negtgel!U$2:BL$2,'Tsalin uzuulelt'!B$5,negtgel!U386:BL386)</f>
      </c>
      <c r="H386">
        <f>SUMIF(negtgel!U$2:BL$2,'Tsalin uzuulelt'!F$1,negtgel!U386:BL386) + SUMIF(negtgel!U$2:BL$2,'Tsalin uzuulelt'!F$2,negtgel!U386:BL386)+SUMIF(negtgel!U$2:BL$2,'Tsalin uzuulelt'!F$3,negtgel!U386:BL386)+SUMIF(negtgel!U$2:BL$2,'Tsalin uzuulelt'!F$4,negtgel!U386:BL386)+SUMIF(negtgel!U$2:BL$2,'Tsalin uzuulelt'!F$5,negtgel!U386:BL386)</f>
      </c>
      <c r="I386">
        <f>SUMIF(negtgel!U$2:BL$2,'Tsalin uzuulelt'!H$1,negtgel!U386:BL386) + SUMIF(negtgel!U$2:BL$2,'Tsalin uzuulelt'!H$2,negtgel!U386:BL386)+SUMIF(negtgel!U$2:BL$2,'Tsalin uzuulelt'!H$3,negtgel!U386:BL386)+SUMIF(negtgel!U$2:BL$2,'Tsalin uzuulelt'!H$4,negtgel!U386:BL386)+SUMIF(negtgel!U$2:BL$2,'Tsalin uzuulelt'!H$5,negtgel!U386:BL386)</f>
      </c>
      <c r="J386">
        <f>SUMIF(negtgel!U$2:BL$2,'Tsalin uzuulelt'!J$1,negtgel!U386:BL386) + SUMIF(negtgel!U$2:BL$2,'Tsalin uzuulelt'!J$2,negtgel!U386:BL386)+SUMIF(negtgel!U$2:BL$2,'Tsalin uzuulelt'!J$3,negtgel!U386:BL386)+SUMIF(negtgel!U$2:BL$2,'Tsalin uzuulelt'!J$4,negtgel!U386:BL386)+SUMIF(negtgel!U$2:BL$2,'Tsalin uzuulelt'!J$5,negtgel!U386:BL386)</f>
      </c>
      <c r="K386">
        <f>SUMIF(negtgel!U$2:BL$2,'Tsalin uzuulelt'!L$1,negtgel!U386:BL386) + SUMIF(negtgel!U$2:BL$2,'Tsalin uzuulelt'!L$2,negtgel!U386:BL386)+SUMIF(negtgel!U$2:BL$2,'Tsalin uzuulelt'!L$3,negtgel!U386:BL386)+SUMIF(negtgel!U$2:BL$2,'Tsalin uzuulelt'!L$4,negtgel!U386:BL386)+SUMIF(negtgel!U$2:BL$2,'Tsalin uzuulelt'!L$5,negtgel!U386:BL386)</f>
      </c>
      <c r="L386">
        <f>SUMIF(negtgel!U$2:BL$2,'Tsalin uzuulelt'!N$1,negtgel!U386:BL386) + SUMIF(negtgel!U$2:BL$2,'Tsalin uzuulelt'!N$2,negtgel!U386:BL386)+SUMIF(negtgel!U$2:BL$2,'Tsalin uzuulelt'!N$3,negtgel!U386:BL386)+SUMIF(negtgel!U$2:BL$2,'Tsalin uzuulelt'!N$4,negtgel!U386:BL386)+SUMIF(negtgel!U$2:BL$2,'Tsalin uzuulelt'!N$5,negtgel!U386:BL386)</f>
      </c>
      <c r="M386">
        <f>SUMIF(negtgel!U$2:BL$2,'Tsalin uzuulelt'!P$1,negtgel!U386:BL386) + SUMIF(negtgel!U$2:BL$2,'Tsalin uzuulelt'!P$2,negtgel!U386:BL386)+ SUMIF(negtgel!U$2:BL$2,'Tsalin uzuulelt'!P$3,negtgel!U386:BL386)+ SUMIF(negtgel!U$2:BL$2,'Tsalin uzuulelt'!P$4,negtgel!U386:BL386)+ SUMIF(negtgel!U$2:BL$2,'Tsalin uzuulelt'!P$5,negtgel!U386:BL386)</f>
      </c>
      <c r="N386">
        <f>IF(ISNUMBER(U386*1)=CF386,0,K386-H386-G386)</f>
      </c>
      <c r="O386">
        <f>IF(ISNUMBER(U386*1)=CF386,0,L386)</f>
      </c>
      <c r="P386">
        <f>IF(ISNUMBER(U386*1)=CF386,0,M386)</f>
      </c>
      <c r="Q386">
        <f>IF(N386&gt;2400000,N386,0)</f>
      </c>
      <c r="R386">
        <f>IF(L386/Q386*100&lt;3,2,10)</f>
      </c>
      <c r="S386">
        <f>IF(CH386=0,0,IF(B386&gt;9,10,IF(B386&gt;8,B386,IF(B386&gt;7.7,7.8,IF(B386&gt;3,B386,IF(B386&gt;1.5,2))))))</f>
      </c>
      <c r="T386">
        <f>IF(Q386=0,S386,R386)</f>
      </c>
      <c r="U386" t="n">
        <v>74.0</v>
      </c>
      <c r="V386" t="s">
        <v>3827</v>
      </c>
      <c r="W386" t="s">
        <v>3790</v>
      </c>
      <c r="X386" t="n">
        <v>547759.0</v>
      </c>
      <c r="Y386" t="n">
        <v>547759.0</v>
      </c>
      <c r="Z386" t="n">
        <v>0.0</v>
      </c>
      <c r="AA386" t="n">
        <v>0.0</v>
      </c>
      <c r="AB386" t="n">
        <v>0.0</v>
      </c>
      <c r="AC386" t="n">
        <v>0.0</v>
      </c>
      <c r="AD386" t="n">
        <v>0.0</v>
      </c>
      <c r="AE386" t="n">
        <v>0.0</v>
      </c>
      <c r="AF386" t="n">
        <v>60000.0</v>
      </c>
      <c r="AG386" t="n">
        <v>0.0</v>
      </c>
      <c r="AH386" t="n">
        <v>0.0</v>
      </c>
      <c r="AI386" t="n">
        <v>0.0</v>
      </c>
      <c r="AJ386" t="n">
        <v>0.0</v>
      </c>
      <c r="AK386" t="n">
        <v>0.0</v>
      </c>
      <c r="AL386" t="n">
        <v>0.0</v>
      </c>
      <c r="AM386" t="n">
        <v>0.0</v>
      </c>
      <c r="AN386" t="n">
        <v>0.0</v>
      </c>
      <c r="AO386" t="n">
        <v>607759.0</v>
      </c>
      <c r="AP386" t="n">
        <v>60776.0</v>
      </c>
      <c r="AQ386" t="n">
        <v>48298.3</v>
      </c>
      <c r="CH386">
        <f>IFERROR(U386*1,0)</f>
      </c>
    </row>
    <row r="387">
      <c r="A387" t="n">
        <v>6.0</v>
      </c>
      <c r="B387">
        <f>IF((K387-G387-H387&gt;2400000),10,(L387/(K387-G387-H387)*100))</f>
      </c>
      <c r="C387">
        <f>IF(N387&gt;2400000,240000,(N387*S387)/100)</f>
      </c>
      <c r="D387">
        <f>IF(S387=0,0,IF((N387-I387)&gt;2400000,((((((N387-I387-J387)-240000))*0.1+(I387+J387)*0.1)))-7000,((((((N387-I387-J387)-(N387-I387-J387)*S387/100)))*0.1+(I387+J387)*0.1)-7000)))</f>
      </c>
      <c r="E387">
        <f>C387-O387</f>
      </c>
      <c r="F387">
        <f>D387-P387</f>
      </c>
      <c r="G387">
        <f>SUMIF(negtgel!U$2:BL$2,'Tsalin uzuulelt'!B$1,negtgel!U387:BL387) + SUMIF(negtgel!U$2:BL$2,'Tsalin uzuulelt'!B$2,negtgel!U387:BL387)+SUMIF(negtgel!U$2:BL$2,'Tsalin uzuulelt'!B$3,negtgel!U387:BL387)+SUMIF(negtgel!U$2:BL$2,'Tsalin uzuulelt'!B$4,negtgel!U387:BL387)+SUMIF(negtgel!U$2:BL$2,'Tsalin uzuulelt'!B$5,negtgel!U387:BL387)</f>
      </c>
      <c r="H387">
        <f>SUMIF(negtgel!U$2:BL$2,'Tsalin uzuulelt'!F$1,negtgel!U387:BL387) + SUMIF(negtgel!U$2:BL$2,'Tsalin uzuulelt'!F$2,negtgel!U387:BL387)+SUMIF(negtgel!U$2:BL$2,'Tsalin uzuulelt'!F$3,negtgel!U387:BL387)+SUMIF(negtgel!U$2:BL$2,'Tsalin uzuulelt'!F$4,negtgel!U387:BL387)+SUMIF(negtgel!U$2:BL$2,'Tsalin uzuulelt'!F$5,negtgel!U387:BL387)</f>
      </c>
      <c r="I387">
        <f>SUMIF(negtgel!U$2:BL$2,'Tsalin uzuulelt'!H$1,negtgel!U387:BL387) + SUMIF(negtgel!U$2:BL$2,'Tsalin uzuulelt'!H$2,negtgel!U387:BL387)+SUMIF(negtgel!U$2:BL$2,'Tsalin uzuulelt'!H$3,negtgel!U387:BL387)+SUMIF(negtgel!U$2:BL$2,'Tsalin uzuulelt'!H$4,negtgel!U387:BL387)+SUMIF(negtgel!U$2:BL$2,'Tsalin uzuulelt'!H$5,negtgel!U387:BL387)</f>
      </c>
      <c r="J387">
        <f>SUMIF(negtgel!U$2:BL$2,'Tsalin uzuulelt'!J$1,negtgel!U387:BL387) + SUMIF(negtgel!U$2:BL$2,'Tsalin uzuulelt'!J$2,negtgel!U387:BL387)+SUMIF(negtgel!U$2:BL$2,'Tsalin uzuulelt'!J$3,negtgel!U387:BL387)+SUMIF(negtgel!U$2:BL$2,'Tsalin uzuulelt'!J$4,negtgel!U387:BL387)+SUMIF(negtgel!U$2:BL$2,'Tsalin uzuulelt'!J$5,negtgel!U387:BL387)</f>
      </c>
      <c r="K387">
        <f>SUMIF(negtgel!U$2:BL$2,'Tsalin uzuulelt'!L$1,negtgel!U387:BL387) + SUMIF(negtgel!U$2:BL$2,'Tsalin uzuulelt'!L$2,negtgel!U387:BL387)+SUMIF(negtgel!U$2:BL$2,'Tsalin uzuulelt'!L$3,negtgel!U387:BL387)+SUMIF(negtgel!U$2:BL$2,'Tsalin uzuulelt'!L$4,negtgel!U387:BL387)+SUMIF(negtgel!U$2:BL$2,'Tsalin uzuulelt'!L$5,negtgel!U387:BL387)</f>
      </c>
      <c r="L387">
        <f>SUMIF(negtgel!U$2:BL$2,'Tsalin uzuulelt'!N$1,negtgel!U387:BL387) + SUMIF(negtgel!U$2:BL$2,'Tsalin uzuulelt'!N$2,negtgel!U387:BL387)+SUMIF(negtgel!U$2:BL$2,'Tsalin uzuulelt'!N$3,negtgel!U387:BL387)+SUMIF(negtgel!U$2:BL$2,'Tsalin uzuulelt'!N$4,negtgel!U387:BL387)+SUMIF(negtgel!U$2:BL$2,'Tsalin uzuulelt'!N$5,negtgel!U387:BL387)</f>
      </c>
      <c r="M387">
        <f>SUMIF(negtgel!U$2:BL$2,'Tsalin uzuulelt'!P$1,negtgel!U387:BL387) + SUMIF(negtgel!U$2:BL$2,'Tsalin uzuulelt'!P$2,negtgel!U387:BL387)+ SUMIF(negtgel!U$2:BL$2,'Tsalin uzuulelt'!P$3,negtgel!U387:BL387)+ SUMIF(negtgel!U$2:BL$2,'Tsalin uzuulelt'!P$4,negtgel!U387:BL387)+ SUMIF(negtgel!U$2:BL$2,'Tsalin uzuulelt'!P$5,negtgel!U387:BL387)</f>
      </c>
      <c r="N387">
        <f>IF(ISNUMBER(U387*1)=CF387,0,K387-H387-G387)</f>
      </c>
      <c r="O387">
        <f>IF(ISNUMBER(U387*1)=CF387,0,L387)</f>
      </c>
      <c r="P387">
        <f>IF(ISNUMBER(U387*1)=CF387,0,M387)</f>
      </c>
      <c r="Q387">
        <f>IF(N387&gt;2400000,N387,0)</f>
      </c>
      <c r="R387">
        <f>IF(L387/Q387*100&lt;3,2,10)</f>
      </c>
      <c r="S387">
        <f>IF(CH387=0,0,IF(B387&gt;9,10,IF(B387&gt;8,B387,IF(B387&gt;7.7,7.8,IF(B387&gt;3,B387,IF(B387&gt;1.5,2))))))</f>
      </c>
      <c r="T387">
        <f>IF(Q387=0,S387,R387)</f>
      </c>
      <c r="U387" t="n">
        <v>75.0</v>
      </c>
      <c r="V387" t="s">
        <v>3828</v>
      </c>
      <c r="W387" t="s">
        <v>3792</v>
      </c>
      <c r="X387" t="n">
        <v>500784.0</v>
      </c>
      <c r="Y387" t="n">
        <v>0.0</v>
      </c>
      <c r="Z387" t="n">
        <v>0.0</v>
      </c>
      <c r="AA387" t="n">
        <v>0.0</v>
      </c>
      <c r="AB387" t="n">
        <v>0.0</v>
      </c>
      <c r="AC387" t="n">
        <v>0.0</v>
      </c>
      <c r="AD387" t="n">
        <v>0.0</v>
      </c>
      <c r="AE387" t="n">
        <v>0.0</v>
      </c>
      <c r="AF387" t="n">
        <v>0.0</v>
      </c>
      <c r="AG387" t="n">
        <v>0.0</v>
      </c>
      <c r="AH387" t="n">
        <v>0.0</v>
      </c>
      <c r="AI387" t="n">
        <v>0.0</v>
      </c>
      <c r="AJ387" t="n">
        <v>0.0</v>
      </c>
      <c r="AK387" t="n">
        <v>0.0</v>
      </c>
      <c r="AL387" t="n">
        <v>79474.0</v>
      </c>
      <c r="AM387" t="n">
        <v>0.0</v>
      </c>
      <c r="AN387" t="n">
        <v>0.0</v>
      </c>
      <c r="AO387" t="n">
        <v>79474.0</v>
      </c>
      <c r="AP387" t="n">
        <v>0.0</v>
      </c>
      <c r="AQ387" t="n">
        <v>0.0</v>
      </c>
      <c r="CH387">
        <f>IFERROR(U387*1,0)</f>
      </c>
    </row>
    <row r="388">
      <c r="A388" t="n">
        <v>6.0</v>
      </c>
      <c r="B388">
        <f>IF((K388-G388-H388&gt;2400000),10,(L388/(K388-G388-H388)*100))</f>
      </c>
      <c r="C388">
        <f>IF(N388&gt;2400000,240000,(N388*S388)/100)</f>
      </c>
      <c r="D388">
        <f>IF(S388=0,0,IF((N388-I388)&gt;2400000,((((((N388-I388-J388)-240000))*0.1+(I388+J388)*0.1)))-7000,((((((N388-I388-J388)-(N388-I388-J388)*S388/100)))*0.1+(I388+J388)*0.1)-7000)))</f>
      </c>
      <c r="E388">
        <f>C388-O388</f>
      </c>
      <c r="F388">
        <f>D388-P388</f>
      </c>
      <c r="G388">
        <f>SUMIF(negtgel!U$2:BL$2,'Tsalin uzuulelt'!B$1,negtgel!U388:BL388) + SUMIF(negtgel!U$2:BL$2,'Tsalin uzuulelt'!B$2,negtgel!U388:BL388)+SUMIF(negtgel!U$2:BL$2,'Tsalin uzuulelt'!B$3,negtgel!U388:BL388)+SUMIF(negtgel!U$2:BL$2,'Tsalin uzuulelt'!B$4,negtgel!U388:BL388)+SUMIF(negtgel!U$2:BL$2,'Tsalin uzuulelt'!B$5,negtgel!U388:BL388)</f>
      </c>
      <c r="H388">
        <f>SUMIF(negtgel!U$2:BL$2,'Tsalin uzuulelt'!F$1,negtgel!U388:BL388) + SUMIF(negtgel!U$2:BL$2,'Tsalin uzuulelt'!F$2,negtgel!U388:BL388)+SUMIF(negtgel!U$2:BL$2,'Tsalin uzuulelt'!F$3,negtgel!U388:BL388)+SUMIF(negtgel!U$2:BL$2,'Tsalin uzuulelt'!F$4,negtgel!U388:BL388)+SUMIF(negtgel!U$2:BL$2,'Tsalin uzuulelt'!F$5,negtgel!U388:BL388)</f>
      </c>
      <c r="I388">
        <f>SUMIF(negtgel!U$2:BL$2,'Tsalin uzuulelt'!H$1,negtgel!U388:BL388) + SUMIF(negtgel!U$2:BL$2,'Tsalin uzuulelt'!H$2,negtgel!U388:BL388)+SUMIF(negtgel!U$2:BL$2,'Tsalin uzuulelt'!H$3,negtgel!U388:BL388)+SUMIF(negtgel!U$2:BL$2,'Tsalin uzuulelt'!H$4,negtgel!U388:BL388)+SUMIF(negtgel!U$2:BL$2,'Tsalin uzuulelt'!H$5,negtgel!U388:BL388)</f>
      </c>
      <c r="J388">
        <f>SUMIF(negtgel!U$2:BL$2,'Tsalin uzuulelt'!J$1,negtgel!U388:BL388) + SUMIF(negtgel!U$2:BL$2,'Tsalin uzuulelt'!J$2,negtgel!U388:BL388)+SUMIF(negtgel!U$2:BL$2,'Tsalin uzuulelt'!J$3,negtgel!U388:BL388)+SUMIF(negtgel!U$2:BL$2,'Tsalin uzuulelt'!J$4,negtgel!U388:BL388)+SUMIF(negtgel!U$2:BL$2,'Tsalin uzuulelt'!J$5,negtgel!U388:BL388)</f>
      </c>
      <c r="K388">
        <f>SUMIF(negtgel!U$2:BL$2,'Tsalin uzuulelt'!L$1,negtgel!U388:BL388) + SUMIF(negtgel!U$2:BL$2,'Tsalin uzuulelt'!L$2,negtgel!U388:BL388)+SUMIF(negtgel!U$2:BL$2,'Tsalin uzuulelt'!L$3,negtgel!U388:BL388)+SUMIF(negtgel!U$2:BL$2,'Tsalin uzuulelt'!L$4,negtgel!U388:BL388)+SUMIF(negtgel!U$2:BL$2,'Tsalin uzuulelt'!L$5,negtgel!U388:BL388)</f>
      </c>
      <c r="L388">
        <f>SUMIF(negtgel!U$2:BL$2,'Tsalin uzuulelt'!N$1,negtgel!U388:BL388) + SUMIF(negtgel!U$2:BL$2,'Tsalin uzuulelt'!N$2,negtgel!U388:BL388)+SUMIF(negtgel!U$2:BL$2,'Tsalin uzuulelt'!N$3,negtgel!U388:BL388)+SUMIF(negtgel!U$2:BL$2,'Tsalin uzuulelt'!N$4,negtgel!U388:BL388)+SUMIF(negtgel!U$2:BL$2,'Tsalin uzuulelt'!N$5,negtgel!U388:BL388)</f>
      </c>
      <c r="M388">
        <f>SUMIF(negtgel!U$2:BL$2,'Tsalin uzuulelt'!P$1,negtgel!U388:BL388) + SUMIF(negtgel!U$2:BL$2,'Tsalin uzuulelt'!P$2,negtgel!U388:BL388)+ SUMIF(negtgel!U$2:BL$2,'Tsalin uzuulelt'!P$3,negtgel!U388:BL388)+ SUMIF(negtgel!U$2:BL$2,'Tsalin uzuulelt'!P$4,negtgel!U388:BL388)+ SUMIF(negtgel!U$2:BL$2,'Tsalin uzuulelt'!P$5,negtgel!U388:BL388)</f>
      </c>
      <c r="N388">
        <f>IF(ISNUMBER(U388*1)=CF388,0,K388-H388-G388)</f>
      </c>
      <c r="O388">
        <f>IF(ISNUMBER(U388*1)=CF388,0,L388)</f>
      </c>
      <c r="P388">
        <f>IF(ISNUMBER(U388*1)=CF388,0,M388)</f>
      </c>
      <c r="Q388">
        <f>IF(N388&gt;2400000,N388,0)</f>
      </c>
      <c r="R388">
        <f>IF(L388/Q388*100&lt;3,2,10)</f>
      </c>
      <c r="S388">
        <f>IF(CH388=0,0,IF(B388&gt;9,10,IF(B388&gt;8,B388,IF(B388&gt;7.7,7.8,IF(B388&gt;3,B388,IF(B388&gt;1.5,2))))))</f>
      </c>
      <c r="T388">
        <f>IF(Q388=0,S388,R388)</f>
      </c>
      <c r="U388" t="n">
        <v>76.0</v>
      </c>
      <c r="V388" t="s">
        <v>3829</v>
      </c>
      <c r="W388" t="s">
        <v>3792</v>
      </c>
      <c r="X388" t="n">
        <v>496912.0</v>
      </c>
      <c r="Y388" t="n">
        <v>496912.0</v>
      </c>
      <c r="Z388" t="n">
        <v>0.0</v>
      </c>
      <c r="AA388" t="n">
        <v>0.0</v>
      </c>
      <c r="AB388" t="n">
        <v>0.0</v>
      </c>
      <c r="AC388" t="n">
        <v>0.0</v>
      </c>
      <c r="AD388" t="n">
        <v>0.0</v>
      </c>
      <c r="AE388" t="n">
        <v>0.0</v>
      </c>
      <c r="AF388" t="n">
        <v>60000.0</v>
      </c>
      <c r="AG388" t="n">
        <v>0.0</v>
      </c>
      <c r="AH388" t="n">
        <v>0.0</v>
      </c>
      <c r="AI388" t="n">
        <v>0.0</v>
      </c>
      <c r="AJ388" t="n">
        <v>0.0</v>
      </c>
      <c r="AK388" t="n">
        <v>0.0</v>
      </c>
      <c r="AL388" t="n">
        <v>0.0</v>
      </c>
      <c r="AM388" t="n">
        <v>0.0</v>
      </c>
      <c r="AN388" t="n">
        <v>0.0</v>
      </c>
      <c r="AO388" t="n">
        <v>556912.0</v>
      </c>
      <c r="AP388" t="n">
        <v>55691.0</v>
      </c>
      <c r="AQ388" t="n">
        <v>43722.1</v>
      </c>
      <c r="CH388">
        <f>IFERROR(U388*1,0)</f>
      </c>
    </row>
    <row r="389">
      <c r="A389" t="n">
        <v>6.0</v>
      </c>
      <c r="B389">
        <f>IF((K389-G389-H389&gt;2400000),10,(L389/(K389-G389-H389)*100))</f>
      </c>
      <c r="C389">
        <f>IF(N389&gt;2400000,240000,(N389*S389)/100)</f>
      </c>
      <c r="D389">
        <f>IF(S389=0,0,IF((N389-I389)&gt;2400000,((((((N389-I389-J389)-240000))*0.1+(I389+J389)*0.1)))-7000,((((((N389-I389-J389)-(N389-I389-J389)*S389/100)))*0.1+(I389+J389)*0.1)-7000)))</f>
      </c>
      <c r="E389">
        <f>C389-O389</f>
      </c>
      <c r="F389">
        <f>D389-P389</f>
      </c>
      <c r="G389">
        <f>SUMIF(negtgel!U$2:BL$2,'Tsalin uzuulelt'!B$1,negtgel!U389:BL389) + SUMIF(negtgel!U$2:BL$2,'Tsalin uzuulelt'!B$2,negtgel!U389:BL389)+SUMIF(negtgel!U$2:BL$2,'Tsalin uzuulelt'!B$3,negtgel!U389:BL389)+SUMIF(negtgel!U$2:BL$2,'Tsalin uzuulelt'!B$4,negtgel!U389:BL389)+SUMIF(negtgel!U$2:BL$2,'Tsalin uzuulelt'!B$5,negtgel!U389:BL389)</f>
      </c>
      <c r="H389">
        <f>SUMIF(negtgel!U$2:BL$2,'Tsalin uzuulelt'!F$1,negtgel!U389:BL389) + SUMIF(negtgel!U$2:BL$2,'Tsalin uzuulelt'!F$2,negtgel!U389:BL389)+SUMIF(negtgel!U$2:BL$2,'Tsalin uzuulelt'!F$3,negtgel!U389:BL389)+SUMIF(negtgel!U$2:BL$2,'Tsalin uzuulelt'!F$4,negtgel!U389:BL389)+SUMIF(negtgel!U$2:BL$2,'Tsalin uzuulelt'!F$5,negtgel!U389:BL389)</f>
      </c>
      <c r="I389">
        <f>SUMIF(negtgel!U$2:BL$2,'Tsalin uzuulelt'!H$1,negtgel!U389:BL389) + SUMIF(negtgel!U$2:BL$2,'Tsalin uzuulelt'!H$2,negtgel!U389:BL389)+SUMIF(negtgel!U$2:BL$2,'Tsalin uzuulelt'!H$3,negtgel!U389:BL389)+SUMIF(negtgel!U$2:BL$2,'Tsalin uzuulelt'!H$4,negtgel!U389:BL389)+SUMIF(negtgel!U$2:BL$2,'Tsalin uzuulelt'!H$5,negtgel!U389:BL389)</f>
      </c>
      <c r="J389">
        <f>SUMIF(negtgel!U$2:BL$2,'Tsalin uzuulelt'!J$1,negtgel!U389:BL389) + SUMIF(negtgel!U$2:BL$2,'Tsalin uzuulelt'!J$2,negtgel!U389:BL389)+SUMIF(negtgel!U$2:BL$2,'Tsalin uzuulelt'!J$3,negtgel!U389:BL389)+SUMIF(negtgel!U$2:BL$2,'Tsalin uzuulelt'!J$4,negtgel!U389:BL389)+SUMIF(negtgel!U$2:BL$2,'Tsalin uzuulelt'!J$5,negtgel!U389:BL389)</f>
      </c>
      <c r="K389">
        <f>SUMIF(negtgel!U$2:BL$2,'Tsalin uzuulelt'!L$1,negtgel!U389:BL389) + SUMIF(negtgel!U$2:BL$2,'Tsalin uzuulelt'!L$2,negtgel!U389:BL389)+SUMIF(negtgel!U$2:BL$2,'Tsalin uzuulelt'!L$3,negtgel!U389:BL389)+SUMIF(negtgel!U$2:BL$2,'Tsalin uzuulelt'!L$4,negtgel!U389:BL389)+SUMIF(negtgel!U$2:BL$2,'Tsalin uzuulelt'!L$5,negtgel!U389:BL389)</f>
      </c>
      <c r="L389">
        <f>SUMIF(negtgel!U$2:BL$2,'Tsalin uzuulelt'!N$1,negtgel!U389:BL389) + SUMIF(negtgel!U$2:BL$2,'Tsalin uzuulelt'!N$2,negtgel!U389:BL389)+SUMIF(negtgel!U$2:BL$2,'Tsalin uzuulelt'!N$3,negtgel!U389:BL389)+SUMIF(negtgel!U$2:BL$2,'Tsalin uzuulelt'!N$4,negtgel!U389:BL389)+SUMIF(negtgel!U$2:BL$2,'Tsalin uzuulelt'!N$5,negtgel!U389:BL389)</f>
      </c>
      <c r="M389">
        <f>SUMIF(negtgel!U$2:BL$2,'Tsalin uzuulelt'!P$1,negtgel!U389:BL389) + SUMIF(negtgel!U$2:BL$2,'Tsalin uzuulelt'!P$2,negtgel!U389:BL389)+ SUMIF(negtgel!U$2:BL$2,'Tsalin uzuulelt'!P$3,negtgel!U389:BL389)+ SUMIF(negtgel!U$2:BL$2,'Tsalin uzuulelt'!P$4,negtgel!U389:BL389)+ SUMIF(negtgel!U$2:BL$2,'Tsalin uzuulelt'!P$5,negtgel!U389:BL389)</f>
      </c>
      <c r="N389">
        <f>IF(ISNUMBER(U389*1)=CF389,0,K389-H389-G389)</f>
      </c>
      <c r="O389">
        <f>IF(ISNUMBER(U389*1)=CF389,0,L389)</f>
      </c>
      <c r="P389">
        <f>IF(ISNUMBER(U389*1)=CF389,0,M389)</f>
      </c>
      <c r="Q389">
        <f>IF(N389&gt;2400000,N389,0)</f>
      </c>
      <c r="R389">
        <f>IF(L389/Q389*100&lt;3,2,10)</f>
      </c>
      <c r="S389">
        <f>IF(CH389=0,0,IF(B389&gt;9,10,IF(B389&gt;8,B389,IF(B389&gt;7.7,7.8,IF(B389&gt;3,B389,IF(B389&gt;1.5,2))))))</f>
      </c>
      <c r="T389">
        <f>IF(Q389=0,S389,R389)</f>
      </c>
      <c r="U389" t="n">
        <v>77.0</v>
      </c>
      <c r="V389" t="s">
        <v>3831</v>
      </c>
      <c r="W389" t="s">
        <v>3820</v>
      </c>
      <c r="X389" t="n">
        <v>627465.0</v>
      </c>
      <c r="Y389" t="n">
        <v>627465.0</v>
      </c>
      <c r="Z389" t="n">
        <v>62746.0</v>
      </c>
      <c r="AA389" t="n">
        <v>94120.0</v>
      </c>
      <c r="AB389" t="n">
        <v>0.0</v>
      </c>
      <c r="AC389" t="n">
        <v>0.0</v>
      </c>
      <c r="AD389" t="n">
        <v>0.0</v>
      </c>
      <c r="AE389" t="n">
        <v>0.0</v>
      </c>
      <c r="AF389" t="n">
        <v>60000.0</v>
      </c>
      <c r="AG389" t="n">
        <v>0.0</v>
      </c>
      <c r="AH389" t="n">
        <v>0.0</v>
      </c>
      <c r="AI389" t="n">
        <v>0.0</v>
      </c>
      <c r="AJ389" t="n">
        <v>0.0</v>
      </c>
      <c r="AK389" t="n">
        <v>0.0</v>
      </c>
      <c r="AL389" t="n">
        <v>0.0</v>
      </c>
      <c r="AM389" t="n">
        <v>0.0</v>
      </c>
      <c r="AN389" t="n">
        <v>0.0</v>
      </c>
      <c r="AO389" t="n">
        <v>844331.0</v>
      </c>
      <c r="AP389" t="n">
        <v>84434.0</v>
      </c>
      <c r="AQ389" t="n">
        <v>69589.8</v>
      </c>
      <c r="CH389">
        <f>IFERROR(U389*1,0)</f>
      </c>
    </row>
    <row r="390">
      <c r="A390" t="n">
        <v>6.0</v>
      </c>
      <c r="B390">
        <f>IF((K390-G390-H390&gt;2400000),10,(L390/(K390-G390-H390)*100))</f>
      </c>
      <c r="C390">
        <f>IF(N390&gt;2400000,240000,(N390*S390)/100)</f>
      </c>
      <c r="D390">
        <f>IF(S390=0,0,IF((N390-I390)&gt;2400000,((((((N390-I390-J390)-240000))*0.1+(I390+J390)*0.1)))-7000,((((((N390-I390-J390)-(N390-I390-J390)*S390/100)))*0.1+(I390+J390)*0.1)-7000)))</f>
      </c>
      <c r="E390">
        <f>C390-O390</f>
      </c>
      <c r="F390">
        <f>D390-P390</f>
      </c>
      <c r="G390">
        <f>SUMIF(negtgel!U$2:BL$2,'Tsalin uzuulelt'!B$1,negtgel!U390:BL390) + SUMIF(negtgel!U$2:BL$2,'Tsalin uzuulelt'!B$2,negtgel!U390:BL390)+SUMIF(negtgel!U$2:BL$2,'Tsalin uzuulelt'!B$3,negtgel!U390:BL390)+SUMIF(negtgel!U$2:BL$2,'Tsalin uzuulelt'!B$4,negtgel!U390:BL390)+SUMIF(negtgel!U$2:BL$2,'Tsalin uzuulelt'!B$5,negtgel!U390:BL390)</f>
      </c>
      <c r="H390">
        <f>SUMIF(negtgel!U$2:BL$2,'Tsalin uzuulelt'!F$1,negtgel!U390:BL390) + SUMIF(negtgel!U$2:BL$2,'Tsalin uzuulelt'!F$2,negtgel!U390:BL390)+SUMIF(negtgel!U$2:BL$2,'Tsalin uzuulelt'!F$3,negtgel!U390:BL390)+SUMIF(negtgel!U$2:BL$2,'Tsalin uzuulelt'!F$4,negtgel!U390:BL390)+SUMIF(negtgel!U$2:BL$2,'Tsalin uzuulelt'!F$5,negtgel!U390:BL390)</f>
      </c>
      <c r="I390">
        <f>SUMIF(negtgel!U$2:BL$2,'Tsalin uzuulelt'!H$1,negtgel!U390:BL390) + SUMIF(negtgel!U$2:BL$2,'Tsalin uzuulelt'!H$2,negtgel!U390:BL390)+SUMIF(negtgel!U$2:BL$2,'Tsalin uzuulelt'!H$3,negtgel!U390:BL390)+SUMIF(negtgel!U$2:BL$2,'Tsalin uzuulelt'!H$4,negtgel!U390:BL390)+SUMIF(negtgel!U$2:BL$2,'Tsalin uzuulelt'!H$5,negtgel!U390:BL390)</f>
      </c>
      <c r="J390">
        <f>SUMIF(negtgel!U$2:BL$2,'Tsalin uzuulelt'!J$1,negtgel!U390:BL390) + SUMIF(negtgel!U$2:BL$2,'Tsalin uzuulelt'!J$2,negtgel!U390:BL390)+SUMIF(negtgel!U$2:BL$2,'Tsalin uzuulelt'!J$3,negtgel!U390:BL390)+SUMIF(negtgel!U$2:BL$2,'Tsalin uzuulelt'!J$4,negtgel!U390:BL390)+SUMIF(negtgel!U$2:BL$2,'Tsalin uzuulelt'!J$5,negtgel!U390:BL390)</f>
      </c>
      <c r="K390">
        <f>SUMIF(negtgel!U$2:BL$2,'Tsalin uzuulelt'!L$1,negtgel!U390:BL390) + SUMIF(negtgel!U$2:BL$2,'Tsalin uzuulelt'!L$2,negtgel!U390:BL390)+SUMIF(negtgel!U$2:BL$2,'Tsalin uzuulelt'!L$3,negtgel!U390:BL390)+SUMIF(negtgel!U$2:BL$2,'Tsalin uzuulelt'!L$4,negtgel!U390:BL390)+SUMIF(negtgel!U$2:BL$2,'Tsalin uzuulelt'!L$5,negtgel!U390:BL390)</f>
      </c>
      <c r="L390">
        <f>SUMIF(negtgel!U$2:BL$2,'Tsalin uzuulelt'!N$1,negtgel!U390:BL390) + SUMIF(negtgel!U$2:BL$2,'Tsalin uzuulelt'!N$2,negtgel!U390:BL390)+SUMIF(negtgel!U$2:BL$2,'Tsalin uzuulelt'!N$3,negtgel!U390:BL390)+SUMIF(negtgel!U$2:BL$2,'Tsalin uzuulelt'!N$4,negtgel!U390:BL390)+SUMIF(negtgel!U$2:BL$2,'Tsalin uzuulelt'!N$5,negtgel!U390:BL390)</f>
      </c>
      <c r="M390">
        <f>SUMIF(negtgel!U$2:BL$2,'Tsalin uzuulelt'!P$1,negtgel!U390:BL390) + SUMIF(negtgel!U$2:BL$2,'Tsalin uzuulelt'!P$2,negtgel!U390:BL390)+ SUMIF(negtgel!U$2:BL$2,'Tsalin uzuulelt'!P$3,negtgel!U390:BL390)+ SUMIF(negtgel!U$2:BL$2,'Tsalin uzuulelt'!P$4,negtgel!U390:BL390)+ SUMIF(negtgel!U$2:BL$2,'Tsalin uzuulelt'!P$5,negtgel!U390:BL390)</f>
      </c>
      <c r="N390">
        <f>IF(ISNUMBER(U390*1)=CF390,0,K390-H390-G390)</f>
      </c>
      <c r="O390">
        <f>IF(ISNUMBER(U390*1)=CF390,0,L390)</f>
      </c>
      <c r="P390">
        <f>IF(ISNUMBER(U390*1)=CF390,0,M390)</f>
      </c>
      <c r="Q390">
        <f>IF(N390&gt;2400000,N390,0)</f>
      </c>
      <c r="R390">
        <f>IF(L390/Q390*100&lt;3,2,10)</f>
      </c>
      <c r="S390">
        <f>IF(CH390=0,0,IF(B390&gt;9,10,IF(B390&gt;8,B390,IF(B390&gt;7.7,7.8,IF(B390&gt;3,B390,IF(B390&gt;1.5,2))))))</f>
      </c>
      <c r="T390">
        <f>IF(Q390=0,S390,R390)</f>
      </c>
      <c r="U390" t="n">
        <v>78.0</v>
      </c>
      <c r="V390" t="s">
        <v>3868</v>
      </c>
      <c r="W390" t="s">
        <v>3790</v>
      </c>
      <c r="X390" t="n">
        <v>645556.0</v>
      </c>
      <c r="Y390" t="n">
        <v>645556.0</v>
      </c>
      <c r="Z390" t="n">
        <v>0.0</v>
      </c>
      <c r="AA390" t="n">
        <v>0.0</v>
      </c>
      <c r="AB390" t="n">
        <v>0.0</v>
      </c>
      <c r="AC390" t="n">
        <v>0.0</v>
      </c>
      <c r="AD390" t="n">
        <v>0.0</v>
      </c>
      <c r="AE390" t="n">
        <v>0.0</v>
      </c>
      <c r="AF390" t="n">
        <v>60000.0</v>
      </c>
      <c r="AG390" t="n">
        <v>0.0</v>
      </c>
      <c r="AH390" t="n">
        <v>0.0</v>
      </c>
      <c r="AI390" t="n">
        <v>0.0</v>
      </c>
      <c r="AJ390" t="n">
        <v>0.0</v>
      </c>
      <c r="AK390" t="n">
        <v>0.0</v>
      </c>
      <c r="AL390" t="n">
        <v>0.0</v>
      </c>
      <c r="AM390" t="n">
        <v>0.0</v>
      </c>
      <c r="AN390" t="n">
        <v>0.0</v>
      </c>
      <c r="AO390" t="n">
        <v>705556.0</v>
      </c>
      <c r="AP390" t="n">
        <v>70555.0</v>
      </c>
      <c r="AQ390" t="n">
        <v>57100.0</v>
      </c>
      <c r="CH390">
        <f>IFERROR(U390*1,0)</f>
      </c>
    </row>
    <row r="391">
      <c r="A391" t="n">
        <v>6.0</v>
      </c>
      <c r="B391">
        <f>IF((K391-G391-H391&gt;2400000),10,(L391/(K391-G391-H391)*100))</f>
      </c>
      <c r="C391">
        <f>IF(N391&gt;2400000,240000,(N391*S391)/100)</f>
      </c>
      <c r="D391">
        <f>IF(S391=0,0,IF((N391-I391)&gt;2400000,((((((N391-I391-J391)-240000))*0.1+(I391+J391)*0.1)))-7000,((((((N391-I391-J391)-(N391-I391-J391)*S391/100)))*0.1+(I391+J391)*0.1)-7000)))</f>
      </c>
      <c r="E391">
        <f>C391-O391</f>
      </c>
      <c r="F391">
        <f>D391-P391</f>
      </c>
      <c r="G391">
        <f>SUMIF(negtgel!U$2:BL$2,'Tsalin uzuulelt'!B$1,negtgel!U391:BL391) + SUMIF(negtgel!U$2:BL$2,'Tsalin uzuulelt'!B$2,negtgel!U391:BL391)+SUMIF(negtgel!U$2:BL$2,'Tsalin uzuulelt'!B$3,negtgel!U391:BL391)+SUMIF(negtgel!U$2:BL$2,'Tsalin uzuulelt'!B$4,negtgel!U391:BL391)+SUMIF(negtgel!U$2:BL$2,'Tsalin uzuulelt'!B$5,negtgel!U391:BL391)</f>
      </c>
      <c r="H391">
        <f>SUMIF(negtgel!U$2:BL$2,'Tsalin uzuulelt'!F$1,negtgel!U391:BL391) + SUMIF(negtgel!U$2:BL$2,'Tsalin uzuulelt'!F$2,negtgel!U391:BL391)+SUMIF(negtgel!U$2:BL$2,'Tsalin uzuulelt'!F$3,negtgel!U391:BL391)+SUMIF(negtgel!U$2:BL$2,'Tsalin uzuulelt'!F$4,negtgel!U391:BL391)+SUMIF(negtgel!U$2:BL$2,'Tsalin uzuulelt'!F$5,negtgel!U391:BL391)</f>
      </c>
      <c r="I391">
        <f>SUMIF(negtgel!U$2:BL$2,'Tsalin uzuulelt'!H$1,negtgel!U391:BL391) + SUMIF(negtgel!U$2:BL$2,'Tsalin uzuulelt'!H$2,negtgel!U391:BL391)+SUMIF(negtgel!U$2:BL$2,'Tsalin uzuulelt'!H$3,negtgel!U391:BL391)+SUMIF(negtgel!U$2:BL$2,'Tsalin uzuulelt'!H$4,negtgel!U391:BL391)+SUMIF(negtgel!U$2:BL$2,'Tsalin uzuulelt'!H$5,negtgel!U391:BL391)</f>
      </c>
      <c r="J391">
        <f>SUMIF(negtgel!U$2:BL$2,'Tsalin uzuulelt'!J$1,negtgel!U391:BL391) + SUMIF(negtgel!U$2:BL$2,'Tsalin uzuulelt'!J$2,negtgel!U391:BL391)+SUMIF(negtgel!U$2:BL$2,'Tsalin uzuulelt'!J$3,negtgel!U391:BL391)+SUMIF(negtgel!U$2:BL$2,'Tsalin uzuulelt'!J$4,negtgel!U391:BL391)+SUMIF(negtgel!U$2:BL$2,'Tsalin uzuulelt'!J$5,negtgel!U391:BL391)</f>
      </c>
      <c r="K391">
        <f>SUMIF(negtgel!U$2:BL$2,'Tsalin uzuulelt'!L$1,negtgel!U391:BL391) + SUMIF(negtgel!U$2:BL$2,'Tsalin uzuulelt'!L$2,negtgel!U391:BL391)+SUMIF(negtgel!U$2:BL$2,'Tsalin uzuulelt'!L$3,negtgel!U391:BL391)+SUMIF(negtgel!U$2:BL$2,'Tsalin uzuulelt'!L$4,negtgel!U391:BL391)+SUMIF(negtgel!U$2:BL$2,'Tsalin uzuulelt'!L$5,negtgel!U391:BL391)</f>
      </c>
      <c r="L391">
        <f>SUMIF(negtgel!U$2:BL$2,'Tsalin uzuulelt'!N$1,negtgel!U391:BL391) + SUMIF(negtgel!U$2:BL$2,'Tsalin uzuulelt'!N$2,negtgel!U391:BL391)+SUMIF(negtgel!U$2:BL$2,'Tsalin uzuulelt'!N$3,negtgel!U391:BL391)+SUMIF(negtgel!U$2:BL$2,'Tsalin uzuulelt'!N$4,negtgel!U391:BL391)+SUMIF(negtgel!U$2:BL$2,'Tsalin uzuulelt'!N$5,negtgel!U391:BL391)</f>
      </c>
      <c r="M391">
        <f>SUMIF(negtgel!U$2:BL$2,'Tsalin uzuulelt'!P$1,negtgel!U391:BL391) + SUMIF(negtgel!U$2:BL$2,'Tsalin uzuulelt'!P$2,negtgel!U391:BL391)+ SUMIF(negtgel!U$2:BL$2,'Tsalin uzuulelt'!P$3,negtgel!U391:BL391)+ SUMIF(negtgel!U$2:BL$2,'Tsalin uzuulelt'!P$4,negtgel!U391:BL391)+ SUMIF(negtgel!U$2:BL$2,'Tsalin uzuulelt'!P$5,negtgel!U391:BL391)</f>
      </c>
      <c r="N391">
        <f>IF(ISNUMBER(U391*1)=CF391,0,K391-H391-G391)</f>
      </c>
      <c r="O391">
        <f>IF(ISNUMBER(U391*1)=CF391,0,L391)</f>
      </c>
      <c r="P391">
        <f>IF(ISNUMBER(U391*1)=CF391,0,M391)</f>
      </c>
      <c r="Q391">
        <f>IF(N391&gt;2400000,N391,0)</f>
      </c>
      <c r="R391">
        <f>IF(L391/Q391*100&lt;3,2,10)</f>
      </c>
      <c r="S391">
        <f>IF(CH391=0,0,IF(B391&gt;9,10,IF(B391&gt;8,B391,IF(B391&gt;7.7,7.8,IF(B391&gt;3,B391,IF(B391&gt;1.5,2))))))</f>
      </c>
      <c r="T391">
        <f>IF(Q391=0,S391,R391)</f>
      </c>
      <c r="U391" t="n">
        <v>79.0</v>
      </c>
      <c r="V391" t="s">
        <v>3833</v>
      </c>
      <c r="W391" t="s">
        <v>3790</v>
      </c>
      <c r="X391" t="n">
        <v>613669.0</v>
      </c>
      <c r="Y391" t="n">
        <v>613669.0</v>
      </c>
      <c r="Z391" t="n">
        <v>92050.0</v>
      </c>
      <c r="AA391" t="n">
        <v>104324.0</v>
      </c>
      <c r="AB391" t="n">
        <v>0.0</v>
      </c>
      <c r="AC391" t="n">
        <v>0.0</v>
      </c>
      <c r="AD391" t="n">
        <v>0.0</v>
      </c>
      <c r="AE391" t="n">
        <v>0.0</v>
      </c>
      <c r="AF391" t="n">
        <v>60000.0</v>
      </c>
      <c r="AG391" t="n">
        <v>0.0</v>
      </c>
      <c r="AH391" t="n">
        <v>0.0</v>
      </c>
      <c r="AI391" t="n">
        <v>0.0</v>
      </c>
      <c r="AJ391" t="n">
        <v>0.0</v>
      </c>
      <c r="AK391" t="n">
        <v>0.0</v>
      </c>
      <c r="AL391" t="n">
        <v>0.0</v>
      </c>
      <c r="AM391" t="n">
        <v>0.0</v>
      </c>
      <c r="AN391" t="n">
        <v>0.0</v>
      </c>
      <c r="AO391" t="n">
        <v>870043.0</v>
      </c>
      <c r="AP391" t="n">
        <v>87004.0</v>
      </c>
      <c r="AQ391" t="n">
        <v>71903.9</v>
      </c>
      <c r="CH391">
        <f>IFERROR(U391*1,0)</f>
      </c>
    </row>
    <row r="392">
      <c r="A392" t="n">
        <v>6.0</v>
      </c>
      <c r="B392">
        <f>IF((K392-G392-H392&gt;2400000),10,(L392/(K392-G392-H392)*100))</f>
      </c>
      <c r="C392">
        <f>IF(N392&gt;2400000,240000,(N392*S392)/100)</f>
      </c>
      <c r="D392">
        <f>IF(S392=0,0,IF((N392-I392)&gt;2400000,((((((N392-I392-J392)-240000))*0.1+(I392+J392)*0.1)))-7000,((((((N392-I392-J392)-(N392-I392-J392)*S392/100)))*0.1+(I392+J392)*0.1)-7000)))</f>
      </c>
      <c r="E392">
        <f>C392-O392</f>
      </c>
      <c r="F392">
        <f>D392-P392</f>
      </c>
      <c r="G392">
        <f>SUMIF(negtgel!U$2:BL$2,'Tsalin uzuulelt'!B$1,negtgel!U392:BL392) + SUMIF(negtgel!U$2:BL$2,'Tsalin uzuulelt'!B$2,negtgel!U392:BL392)+SUMIF(negtgel!U$2:BL$2,'Tsalin uzuulelt'!B$3,negtgel!U392:BL392)+SUMIF(negtgel!U$2:BL$2,'Tsalin uzuulelt'!B$4,negtgel!U392:BL392)+SUMIF(negtgel!U$2:BL$2,'Tsalin uzuulelt'!B$5,negtgel!U392:BL392)</f>
      </c>
      <c r="H392">
        <f>SUMIF(negtgel!U$2:BL$2,'Tsalin uzuulelt'!F$1,negtgel!U392:BL392) + SUMIF(negtgel!U$2:BL$2,'Tsalin uzuulelt'!F$2,negtgel!U392:BL392)+SUMIF(negtgel!U$2:BL$2,'Tsalin uzuulelt'!F$3,negtgel!U392:BL392)+SUMIF(negtgel!U$2:BL$2,'Tsalin uzuulelt'!F$4,negtgel!U392:BL392)+SUMIF(negtgel!U$2:BL$2,'Tsalin uzuulelt'!F$5,negtgel!U392:BL392)</f>
      </c>
      <c r="I392">
        <f>SUMIF(negtgel!U$2:BL$2,'Tsalin uzuulelt'!H$1,negtgel!U392:BL392) + SUMIF(negtgel!U$2:BL$2,'Tsalin uzuulelt'!H$2,negtgel!U392:BL392)+SUMIF(negtgel!U$2:BL$2,'Tsalin uzuulelt'!H$3,negtgel!U392:BL392)+SUMIF(negtgel!U$2:BL$2,'Tsalin uzuulelt'!H$4,negtgel!U392:BL392)+SUMIF(negtgel!U$2:BL$2,'Tsalin uzuulelt'!H$5,negtgel!U392:BL392)</f>
      </c>
      <c r="J392">
        <f>SUMIF(negtgel!U$2:BL$2,'Tsalin uzuulelt'!J$1,negtgel!U392:BL392) + SUMIF(negtgel!U$2:BL$2,'Tsalin uzuulelt'!J$2,negtgel!U392:BL392)+SUMIF(negtgel!U$2:BL$2,'Tsalin uzuulelt'!J$3,negtgel!U392:BL392)+SUMIF(negtgel!U$2:BL$2,'Tsalin uzuulelt'!J$4,negtgel!U392:BL392)+SUMIF(negtgel!U$2:BL$2,'Tsalin uzuulelt'!J$5,negtgel!U392:BL392)</f>
      </c>
      <c r="K392">
        <f>SUMIF(negtgel!U$2:BL$2,'Tsalin uzuulelt'!L$1,negtgel!U392:BL392) + SUMIF(negtgel!U$2:BL$2,'Tsalin uzuulelt'!L$2,negtgel!U392:BL392)+SUMIF(negtgel!U$2:BL$2,'Tsalin uzuulelt'!L$3,negtgel!U392:BL392)+SUMIF(negtgel!U$2:BL$2,'Tsalin uzuulelt'!L$4,negtgel!U392:BL392)+SUMIF(negtgel!U$2:BL$2,'Tsalin uzuulelt'!L$5,negtgel!U392:BL392)</f>
      </c>
      <c r="L392">
        <f>SUMIF(negtgel!U$2:BL$2,'Tsalin uzuulelt'!N$1,negtgel!U392:BL392) + SUMIF(negtgel!U$2:BL$2,'Tsalin uzuulelt'!N$2,negtgel!U392:BL392)+SUMIF(negtgel!U$2:BL$2,'Tsalin uzuulelt'!N$3,negtgel!U392:BL392)+SUMIF(negtgel!U$2:BL$2,'Tsalin uzuulelt'!N$4,negtgel!U392:BL392)+SUMIF(negtgel!U$2:BL$2,'Tsalin uzuulelt'!N$5,negtgel!U392:BL392)</f>
      </c>
      <c r="M392">
        <f>SUMIF(negtgel!U$2:BL$2,'Tsalin uzuulelt'!P$1,negtgel!U392:BL392) + SUMIF(negtgel!U$2:BL$2,'Tsalin uzuulelt'!P$2,negtgel!U392:BL392)+ SUMIF(negtgel!U$2:BL$2,'Tsalin uzuulelt'!P$3,negtgel!U392:BL392)+ SUMIF(negtgel!U$2:BL$2,'Tsalin uzuulelt'!P$4,negtgel!U392:BL392)+ SUMIF(negtgel!U$2:BL$2,'Tsalin uzuulelt'!P$5,negtgel!U392:BL392)</f>
      </c>
      <c r="N392">
        <f>IF(ISNUMBER(U392*1)=CF392,0,K392-H392-G392)</f>
      </c>
      <c r="O392">
        <f>IF(ISNUMBER(U392*1)=CF392,0,L392)</f>
      </c>
      <c r="P392">
        <f>IF(ISNUMBER(U392*1)=CF392,0,M392)</f>
      </c>
      <c r="Q392">
        <f>IF(N392&gt;2400000,N392,0)</f>
      </c>
      <c r="R392">
        <f>IF(L392/Q392*100&lt;3,2,10)</f>
      </c>
      <c r="S392">
        <f>IF(CH392=0,0,IF(B392&gt;9,10,IF(B392&gt;8,B392,IF(B392&gt;7.7,7.8,IF(B392&gt;3,B392,IF(B392&gt;1.5,2))))))</f>
      </c>
      <c r="T392">
        <f>IF(Q392=0,S392,R392)</f>
      </c>
      <c r="U392" t="n">
        <v>80.0</v>
      </c>
      <c r="V392" t="s">
        <v>3835</v>
      </c>
      <c r="W392" t="s">
        <v>3790</v>
      </c>
      <c r="X392" t="n">
        <v>580710.0</v>
      </c>
      <c r="Y392" t="n">
        <v>551674.0</v>
      </c>
      <c r="Z392" t="n">
        <v>27584.0</v>
      </c>
      <c r="AA392" t="n">
        <v>0.0</v>
      </c>
      <c r="AB392" t="n">
        <v>0.0</v>
      </c>
      <c r="AC392" t="n">
        <v>0.0</v>
      </c>
      <c r="AD392" t="n">
        <v>0.0</v>
      </c>
      <c r="AE392" t="n">
        <v>0.0</v>
      </c>
      <c r="AF392" t="n">
        <v>57000.0</v>
      </c>
      <c r="AG392" t="n">
        <v>0.0</v>
      </c>
      <c r="AH392" t="n">
        <v>0.0</v>
      </c>
      <c r="AI392" t="n">
        <v>0.0</v>
      </c>
      <c r="AJ392" t="n">
        <v>0.0</v>
      </c>
      <c r="AK392" t="n">
        <v>0.0</v>
      </c>
      <c r="AL392" t="n">
        <v>0.0</v>
      </c>
      <c r="AM392" t="n">
        <v>0.0</v>
      </c>
      <c r="AN392" t="n">
        <v>0.0</v>
      </c>
      <c r="AO392" t="n">
        <v>636258.0</v>
      </c>
      <c r="AP392" t="n">
        <v>63626.0</v>
      </c>
      <c r="AQ392" t="n">
        <v>50833.2</v>
      </c>
      <c r="CH392">
        <f>IFERROR(U392*1,0)</f>
      </c>
    </row>
    <row r="393">
      <c r="A393" t="n">
        <v>6.0</v>
      </c>
      <c r="B393">
        <f>IF((K393-G393-H393&gt;2400000),10,(L393/(K393-G393-H393)*100))</f>
      </c>
      <c r="C393">
        <f>IF(N393&gt;2400000,240000,(N393*S393)/100)</f>
      </c>
      <c r="D393">
        <f>IF(S393=0,0,IF((N393-I393)&gt;2400000,((((((N393-I393-J393)-240000))*0.1+(I393+J393)*0.1)))-7000,((((((N393-I393-J393)-(N393-I393-J393)*S393/100)))*0.1+(I393+J393)*0.1)-7000)))</f>
      </c>
      <c r="E393">
        <f>C393-O393</f>
      </c>
      <c r="F393">
        <f>D393-P393</f>
      </c>
      <c r="G393">
        <f>SUMIF(negtgel!U$2:BL$2,'Tsalin uzuulelt'!B$1,negtgel!U393:BL393) + SUMIF(negtgel!U$2:BL$2,'Tsalin uzuulelt'!B$2,negtgel!U393:BL393)+SUMIF(negtgel!U$2:BL$2,'Tsalin uzuulelt'!B$3,negtgel!U393:BL393)+SUMIF(negtgel!U$2:BL$2,'Tsalin uzuulelt'!B$4,negtgel!U393:BL393)+SUMIF(negtgel!U$2:BL$2,'Tsalin uzuulelt'!B$5,negtgel!U393:BL393)</f>
      </c>
      <c r="H393">
        <f>SUMIF(negtgel!U$2:BL$2,'Tsalin uzuulelt'!F$1,negtgel!U393:BL393) + SUMIF(negtgel!U$2:BL$2,'Tsalin uzuulelt'!F$2,negtgel!U393:BL393)+SUMIF(negtgel!U$2:BL$2,'Tsalin uzuulelt'!F$3,negtgel!U393:BL393)+SUMIF(negtgel!U$2:BL$2,'Tsalin uzuulelt'!F$4,negtgel!U393:BL393)+SUMIF(negtgel!U$2:BL$2,'Tsalin uzuulelt'!F$5,negtgel!U393:BL393)</f>
      </c>
      <c r="I393">
        <f>SUMIF(negtgel!U$2:BL$2,'Tsalin uzuulelt'!H$1,negtgel!U393:BL393) + SUMIF(negtgel!U$2:BL$2,'Tsalin uzuulelt'!H$2,negtgel!U393:BL393)+SUMIF(negtgel!U$2:BL$2,'Tsalin uzuulelt'!H$3,negtgel!U393:BL393)+SUMIF(negtgel!U$2:BL$2,'Tsalin uzuulelt'!H$4,negtgel!U393:BL393)+SUMIF(negtgel!U$2:BL$2,'Tsalin uzuulelt'!H$5,negtgel!U393:BL393)</f>
      </c>
      <c r="J393">
        <f>SUMIF(negtgel!U$2:BL$2,'Tsalin uzuulelt'!J$1,negtgel!U393:BL393) + SUMIF(negtgel!U$2:BL$2,'Tsalin uzuulelt'!J$2,negtgel!U393:BL393)+SUMIF(negtgel!U$2:BL$2,'Tsalin uzuulelt'!J$3,negtgel!U393:BL393)+SUMIF(negtgel!U$2:BL$2,'Tsalin uzuulelt'!J$4,negtgel!U393:BL393)+SUMIF(negtgel!U$2:BL$2,'Tsalin uzuulelt'!J$5,negtgel!U393:BL393)</f>
      </c>
      <c r="K393">
        <f>SUMIF(negtgel!U$2:BL$2,'Tsalin uzuulelt'!L$1,negtgel!U393:BL393) + SUMIF(negtgel!U$2:BL$2,'Tsalin uzuulelt'!L$2,negtgel!U393:BL393)+SUMIF(negtgel!U$2:BL$2,'Tsalin uzuulelt'!L$3,negtgel!U393:BL393)+SUMIF(negtgel!U$2:BL$2,'Tsalin uzuulelt'!L$4,negtgel!U393:BL393)+SUMIF(negtgel!U$2:BL$2,'Tsalin uzuulelt'!L$5,negtgel!U393:BL393)</f>
      </c>
      <c r="L393">
        <f>SUMIF(negtgel!U$2:BL$2,'Tsalin uzuulelt'!N$1,negtgel!U393:BL393) + SUMIF(negtgel!U$2:BL$2,'Tsalin uzuulelt'!N$2,negtgel!U393:BL393)+SUMIF(negtgel!U$2:BL$2,'Tsalin uzuulelt'!N$3,negtgel!U393:BL393)+SUMIF(negtgel!U$2:BL$2,'Tsalin uzuulelt'!N$4,negtgel!U393:BL393)+SUMIF(negtgel!U$2:BL$2,'Tsalin uzuulelt'!N$5,negtgel!U393:BL393)</f>
      </c>
      <c r="M393">
        <f>SUMIF(negtgel!U$2:BL$2,'Tsalin uzuulelt'!P$1,negtgel!U393:BL393) + SUMIF(negtgel!U$2:BL$2,'Tsalin uzuulelt'!P$2,negtgel!U393:BL393)+ SUMIF(negtgel!U$2:BL$2,'Tsalin uzuulelt'!P$3,negtgel!U393:BL393)+ SUMIF(negtgel!U$2:BL$2,'Tsalin uzuulelt'!P$4,negtgel!U393:BL393)+ SUMIF(negtgel!U$2:BL$2,'Tsalin uzuulelt'!P$5,negtgel!U393:BL393)</f>
      </c>
      <c r="N393">
        <f>IF(ISNUMBER(U393*1)=CF393,0,K393-H393-G393)</f>
      </c>
      <c r="O393">
        <f>IF(ISNUMBER(U393*1)=CF393,0,L393)</f>
      </c>
      <c r="P393">
        <f>IF(ISNUMBER(U393*1)=CF393,0,M393)</f>
      </c>
      <c r="Q393">
        <f>IF(N393&gt;2400000,N393,0)</f>
      </c>
      <c r="R393">
        <f>IF(L393/Q393*100&lt;3,2,10)</f>
      </c>
      <c r="S393">
        <f>IF(CH393=0,0,IF(B393&gt;9,10,IF(B393&gt;8,B393,IF(B393&gt;7.7,7.8,IF(B393&gt;3,B393,IF(B393&gt;1.5,2))))))</f>
      </c>
      <c r="T393">
        <f>IF(Q393=0,S393,R393)</f>
      </c>
      <c r="U393" t="s">
        <v>3787</v>
      </c>
      <c r="V393"/>
      <c r="W393"/>
      <c r="X393" t="n">
        <v>4012855.0</v>
      </c>
      <c r="Y393" t="n">
        <v>3483035.0</v>
      </c>
      <c r="Z393" t="n">
        <v>182380.0</v>
      </c>
      <c r="AA393" t="n">
        <v>198444.0</v>
      </c>
      <c r="AB393" t="n">
        <v>0.0</v>
      </c>
      <c r="AC393" t="n">
        <v>0.0</v>
      </c>
      <c r="AD393" t="n">
        <v>0.0</v>
      </c>
      <c r="AE393" t="n">
        <v>0.0</v>
      </c>
      <c r="AF393" t="n">
        <v>357000.0</v>
      </c>
      <c r="AG393" t="n">
        <v>0.0</v>
      </c>
      <c r="AH393" t="n">
        <v>0.0</v>
      </c>
      <c r="AI393" t="n">
        <v>0.0</v>
      </c>
      <c r="AJ393" t="n">
        <v>0.0</v>
      </c>
      <c r="AK393" t="n">
        <v>0.0</v>
      </c>
      <c r="AL393" t="n">
        <v>79474.0</v>
      </c>
      <c r="AM393" t="n">
        <v>0.0</v>
      </c>
      <c r="AN393" t="n">
        <v>0.0</v>
      </c>
      <c r="AO393" t="n">
        <v>4300333.0</v>
      </c>
      <c r="AP393" t="n">
        <v>422086.0</v>
      </c>
      <c r="AQ393" t="n">
        <v>341447.3</v>
      </c>
      <c r="CH393">
        <f>IFERROR(U393*1,0)</f>
      </c>
    </row>
    <row r="394">
      <c r="A394" t="n">
        <v>6.0</v>
      </c>
      <c r="B394">
        <f>IF((K394-G394-H394&gt;2400000),10,(L394/(K394-G394-H394)*100))</f>
      </c>
      <c r="C394">
        <f>IF(N394&gt;2400000,240000,(N394*S394)/100)</f>
      </c>
      <c r="D394">
        <f>IF(S394=0,0,IF((N394-I394)&gt;2400000,((((((N394-I394-J394)-240000))*0.1+(I394+J394)*0.1)))-7000,((((((N394-I394-J394)-(N394-I394-J394)*S394/100)))*0.1+(I394+J394)*0.1)-7000)))</f>
      </c>
      <c r="E394">
        <f>C394-O394</f>
      </c>
      <c r="F394">
        <f>D394-P394</f>
      </c>
      <c r="G394">
        <f>SUMIF(negtgel!U$2:BL$2,'Tsalin uzuulelt'!B$1,negtgel!U394:BL394) + SUMIF(negtgel!U$2:BL$2,'Tsalin uzuulelt'!B$2,negtgel!U394:BL394)+SUMIF(negtgel!U$2:BL$2,'Tsalin uzuulelt'!B$3,negtgel!U394:BL394)+SUMIF(negtgel!U$2:BL$2,'Tsalin uzuulelt'!B$4,negtgel!U394:BL394)+SUMIF(negtgel!U$2:BL$2,'Tsalin uzuulelt'!B$5,negtgel!U394:BL394)</f>
      </c>
      <c r="H394">
        <f>SUMIF(negtgel!U$2:BL$2,'Tsalin uzuulelt'!F$1,negtgel!U394:BL394) + SUMIF(negtgel!U$2:BL$2,'Tsalin uzuulelt'!F$2,negtgel!U394:BL394)+SUMIF(negtgel!U$2:BL$2,'Tsalin uzuulelt'!F$3,negtgel!U394:BL394)+SUMIF(negtgel!U$2:BL$2,'Tsalin uzuulelt'!F$4,negtgel!U394:BL394)+SUMIF(negtgel!U$2:BL$2,'Tsalin uzuulelt'!F$5,negtgel!U394:BL394)</f>
      </c>
      <c r="I394">
        <f>SUMIF(negtgel!U$2:BL$2,'Tsalin uzuulelt'!H$1,negtgel!U394:BL394) + SUMIF(negtgel!U$2:BL$2,'Tsalin uzuulelt'!H$2,negtgel!U394:BL394)+SUMIF(negtgel!U$2:BL$2,'Tsalin uzuulelt'!H$3,negtgel!U394:BL394)+SUMIF(negtgel!U$2:BL$2,'Tsalin uzuulelt'!H$4,negtgel!U394:BL394)+SUMIF(negtgel!U$2:BL$2,'Tsalin uzuulelt'!H$5,negtgel!U394:BL394)</f>
      </c>
      <c r="J394">
        <f>SUMIF(negtgel!U$2:BL$2,'Tsalin uzuulelt'!J$1,negtgel!U394:BL394) + SUMIF(negtgel!U$2:BL$2,'Tsalin uzuulelt'!J$2,negtgel!U394:BL394)+SUMIF(negtgel!U$2:BL$2,'Tsalin uzuulelt'!J$3,negtgel!U394:BL394)+SUMIF(negtgel!U$2:BL$2,'Tsalin uzuulelt'!J$4,negtgel!U394:BL394)+SUMIF(negtgel!U$2:BL$2,'Tsalin uzuulelt'!J$5,negtgel!U394:BL394)</f>
      </c>
      <c r="K394">
        <f>SUMIF(negtgel!U$2:BL$2,'Tsalin uzuulelt'!L$1,negtgel!U394:BL394) + SUMIF(negtgel!U$2:BL$2,'Tsalin uzuulelt'!L$2,negtgel!U394:BL394)+SUMIF(negtgel!U$2:BL$2,'Tsalin uzuulelt'!L$3,negtgel!U394:BL394)+SUMIF(negtgel!U$2:BL$2,'Tsalin uzuulelt'!L$4,negtgel!U394:BL394)+SUMIF(negtgel!U$2:BL$2,'Tsalin uzuulelt'!L$5,negtgel!U394:BL394)</f>
      </c>
      <c r="L394">
        <f>SUMIF(negtgel!U$2:BL$2,'Tsalin uzuulelt'!N$1,negtgel!U394:BL394) + SUMIF(negtgel!U$2:BL$2,'Tsalin uzuulelt'!N$2,negtgel!U394:BL394)+SUMIF(negtgel!U$2:BL$2,'Tsalin uzuulelt'!N$3,negtgel!U394:BL394)+SUMIF(negtgel!U$2:BL$2,'Tsalin uzuulelt'!N$4,negtgel!U394:BL394)+SUMIF(negtgel!U$2:BL$2,'Tsalin uzuulelt'!N$5,negtgel!U394:BL394)</f>
      </c>
      <c r="M394">
        <f>SUMIF(negtgel!U$2:BL$2,'Tsalin uzuulelt'!P$1,negtgel!U394:BL394) + SUMIF(negtgel!U$2:BL$2,'Tsalin uzuulelt'!P$2,negtgel!U394:BL394)+ SUMIF(negtgel!U$2:BL$2,'Tsalin uzuulelt'!P$3,negtgel!U394:BL394)+ SUMIF(negtgel!U$2:BL$2,'Tsalin uzuulelt'!P$4,negtgel!U394:BL394)+ SUMIF(negtgel!U$2:BL$2,'Tsalin uzuulelt'!P$5,negtgel!U394:BL394)</f>
      </c>
      <c r="N394">
        <f>IF(ISNUMBER(U394*1)=CF394,0,K394-H394-G394)</f>
      </c>
      <c r="O394">
        <f>IF(ISNUMBER(U394*1)=CF394,0,L394)</f>
      </c>
      <c r="P394">
        <f>IF(ISNUMBER(U394*1)=CF394,0,M394)</f>
      </c>
      <c r="Q394">
        <f>IF(N394&gt;2400000,N394,0)</f>
      </c>
      <c r="R394">
        <f>IF(L394/Q394*100&lt;3,2,10)</f>
      </c>
      <c r="S394">
        <f>IF(CH394=0,0,IF(B394&gt;9,10,IF(B394&gt;8,B394,IF(B394&gt;7.7,7.8,IF(B394&gt;3,B394,IF(B394&gt;1.5,2))))))</f>
      </c>
      <c r="T394">
        <f>IF(Q394=0,S394,R394)</f>
      </c>
      <c r="U394" t="s">
        <v>3836</v>
      </c>
      <c r="V394"/>
      <c r="W394"/>
      <c r="X394"/>
      <c r="Y394"/>
      <c r="Z394"/>
      <c r="AA394"/>
      <c r="AB394"/>
      <c r="AC394"/>
      <c r="AD394"/>
      <c r="AE394"/>
      <c r="AF394"/>
      <c r="AG394"/>
      <c r="AH394"/>
      <c r="AI394"/>
      <c r="AJ394"/>
      <c r="AK394"/>
      <c r="AL394"/>
      <c r="AM394"/>
      <c r="AN394"/>
      <c r="AO394"/>
      <c r="AP394"/>
      <c r="AQ394"/>
      <c r="CH394">
        <f>IFERROR(U394*1,0)</f>
      </c>
    </row>
    <row r="395">
      <c r="A395" t="n">
        <v>6.0</v>
      </c>
      <c r="B395">
        <f>IF((K395-G395-H395&gt;2400000),10,(L395/(K395-G395-H395)*100))</f>
      </c>
      <c r="C395">
        <f>IF(N395&gt;2400000,240000,(N395*S395)/100)</f>
      </c>
      <c r="D395">
        <f>IF(S395=0,0,IF((N395-I395)&gt;2400000,((((((N395-I395-J395)-240000))*0.1+(I395+J395)*0.1)))-7000,((((((N395-I395-J395)-(N395-I395-J395)*S395/100)))*0.1+(I395+J395)*0.1)-7000)))</f>
      </c>
      <c r="E395">
        <f>C395-O395</f>
      </c>
      <c r="F395">
        <f>D395-P395</f>
      </c>
      <c r="G395">
        <f>SUMIF(negtgel!U$2:BL$2,'Tsalin uzuulelt'!B$1,negtgel!U395:BL395) + SUMIF(negtgel!U$2:BL$2,'Tsalin uzuulelt'!B$2,negtgel!U395:BL395)+SUMIF(negtgel!U$2:BL$2,'Tsalin uzuulelt'!B$3,negtgel!U395:BL395)+SUMIF(negtgel!U$2:BL$2,'Tsalin uzuulelt'!B$4,negtgel!U395:BL395)+SUMIF(negtgel!U$2:BL$2,'Tsalin uzuulelt'!B$5,negtgel!U395:BL395)</f>
      </c>
      <c r="H395">
        <f>SUMIF(negtgel!U$2:BL$2,'Tsalin uzuulelt'!F$1,negtgel!U395:BL395) + SUMIF(negtgel!U$2:BL$2,'Tsalin uzuulelt'!F$2,negtgel!U395:BL395)+SUMIF(negtgel!U$2:BL$2,'Tsalin uzuulelt'!F$3,negtgel!U395:BL395)+SUMIF(negtgel!U$2:BL$2,'Tsalin uzuulelt'!F$4,negtgel!U395:BL395)+SUMIF(negtgel!U$2:BL$2,'Tsalin uzuulelt'!F$5,negtgel!U395:BL395)</f>
      </c>
      <c r="I395">
        <f>SUMIF(negtgel!U$2:BL$2,'Tsalin uzuulelt'!H$1,negtgel!U395:BL395) + SUMIF(negtgel!U$2:BL$2,'Tsalin uzuulelt'!H$2,negtgel!U395:BL395)+SUMIF(negtgel!U$2:BL$2,'Tsalin uzuulelt'!H$3,negtgel!U395:BL395)+SUMIF(negtgel!U$2:BL$2,'Tsalin uzuulelt'!H$4,negtgel!U395:BL395)+SUMIF(negtgel!U$2:BL$2,'Tsalin uzuulelt'!H$5,negtgel!U395:BL395)</f>
      </c>
      <c r="J395">
        <f>SUMIF(negtgel!U$2:BL$2,'Tsalin uzuulelt'!J$1,negtgel!U395:BL395) + SUMIF(negtgel!U$2:BL$2,'Tsalin uzuulelt'!J$2,negtgel!U395:BL395)+SUMIF(negtgel!U$2:BL$2,'Tsalin uzuulelt'!J$3,negtgel!U395:BL395)+SUMIF(negtgel!U$2:BL$2,'Tsalin uzuulelt'!J$4,negtgel!U395:BL395)+SUMIF(negtgel!U$2:BL$2,'Tsalin uzuulelt'!J$5,negtgel!U395:BL395)</f>
      </c>
      <c r="K395">
        <f>SUMIF(negtgel!U$2:BL$2,'Tsalin uzuulelt'!L$1,negtgel!U395:BL395) + SUMIF(negtgel!U$2:BL$2,'Tsalin uzuulelt'!L$2,negtgel!U395:BL395)+SUMIF(negtgel!U$2:BL$2,'Tsalin uzuulelt'!L$3,negtgel!U395:BL395)+SUMIF(negtgel!U$2:BL$2,'Tsalin uzuulelt'!L$4,negtgel!U395:BL395)+SUMIF(negtgel!U$2:BL$2,'Tsalin uzuulelt'!L$5,negtgel!U395:BL395)</f>
      </c>
      <c r="L395">
        <f>SUMIF(negtgel!U$2:BL$2,'Tsalin uzuulelt'!N$1,negtgel!U395:BL395) + SUMIF(negtgel!U$2:BL$2,'Tsalin uzuulelt'!N$2,negtgel!U395:BL395)+SUMIF(negtgel!U$2:BL$2,'Tsalin uzuulelt'!N$3,negtgel!U395:BL395)+SUMIF(negtgel!U$2:BL$2,'Tsalin uzuulelt'!N$4,negtgel!U395:BL395)+SUMIF(negtgel!U$2:BL$2,'Tsalin uzuulelt'!N$5,negtgel!U395:BL395)</f>
      </c>
      <c r="M395">
        <f>SUMIF(negtgel!U$2:BL$2,'Tsalin uzuulelt'!P$1,negtgel!U395:BL395) + SUMIF(negtgel!U$2:BL$2,'Tsalin uzuulelt'!P$2,negtgel!U395:BL395)+ SUMIF(negtgel!U$2:BL$2,'Tsalin uzuulelt'!P$3,negtgel!U395:BL395)+ SUMIF(negtgel!U$2:BL$2,'Tsalin uzuulelt'!P$4,negtgel!U395:BL395)+ SUMIF(negtgel!U$2:BL$2,'Tsalin uzuulelt'!P$5,negtgel!U395:BL395)</f>
      </c>
      <c r="N395">
        <f>IF(ISNUMBER(U395*1)=CF395,0,K395-H395-G395)</f>
      </c>
      <c r="O395">
        <f>IF(ISNUMBER(U395*1)=CF395,0,L395)</f>
      </c>
      <c r="P395">
        <f>IF(ISNUMBER(U395*1)=CF395,0,M395)</f>
      </c>
      <c r="Q395">
        <f>IF(N395&gt;2400000,N395,0)</f>
      </c>
      <c r="R395">
        <f>IF(L395/Q395*100&lt;3,2,10)</f>
      </c>
      <c r="S395">
        <f>IF(CH395=0,0,IF(B395&gt;9,10,IF(B395&gt;8,B395,IF(B395&gt;7.7,7.8,IF(B395&gt;3,B395,IF(B395&gt;1.5,2))))))</f>
      </c>
      <c r="T395">
        <f>IF(Q395=0,S395,R395)</f>
      </c>
      <c r="U395" t="n">
        <v>81.0</v>
      </c>
      <c r="V395" t="s">
        <v>3837</v>
      </c>
      <c r="W395" t="s">
        <v>3820</v>
      </c>
      <c r="X395" t="n">
        <v>645556.0</v>
      </c>
      <c r="Y395" t="n">
        <v>645556.0</v>
      </c>
      <c r="Z395" t="n">
        <v>96833.0</v>
      </c>
      <c r="AA395" t="n">
        <v>129111.0</v>
      </c>
      <c r="AB395" t="n">
        <v>0.0</v>
      </c>
      <c r="AC395" t="n">
        <v>0.0</v>
      </c>
      <c r="AD395" t="n">
        <v>0.0</v>
      </c>
      <c r="AE395" t="n">
        <v>0.0</v>
      </c>
      <c r="AF395" t="n">
        <v>60000.0</v>
      </c>
      <c r="AG395" t="n">
        <v>0.0</v>
      </c>
      <c r="AH395" t="n">
        <v>0.0</v>
      </c>
      <c r="AI395" t="n">
        <v>0.0</v>
      </c>
      <c r="AJ395" t="n">
        <v>0.0</v>
      </c>
      <c r="AK395" t="n">
        <v>0.0</v>
      </c>
      <c r="AL395" t="n">
        <v>0.0</v>
      </c>
      <c r="AM395" t="n">
        <v>0.0</v>
      </c>
      <c r="AN395" t="n">
        <v>0.0</v>
      </c>
      <c r="AO395" t="n">
        <v>931500.0</v>
      </c>
      <c r="AP395" t="n">
        <v>93150.0</v>
      </c>
      <c r="AQ395" t="n">
        <v>77435.0</v>
      </c>
      <c r="CH395">
        <f>IFERROR(U395*1,0)</f>
      </c>
    </row>
    <row r="396">
      <c r="A396" t="n">
        <v>6.0</v>
      </c>
      <c r="B396">
        <f>IF((K396-G396-H396&gt;2400000),10,(L396/(K396-G396-H396)*100))</f>
      </c>
      <c r="C396">
        <f>IF(N396&gt;2400000,240000,(N396*S396)/100)</f>
      </c>
      <c r="D396">
        <f>IF(S396=0,0,IF((N396-I396)&gt;2400000,((((((N396-I396-J396)-240000))*0.1+(I396+J396)*0.1)))-7000,((((((N396-I396-J396)-(N396-I396-J396)*S396/100)))*0.1+(I396+J396)*0.1)-7000)))</f>
      </c>
      <c r="E396">
        <f>C396-O396</f>
      </c>
      <c r="F396">
        <f>D396-P396</f>
      </c>
      <c r="G396">
        <f>SUMIF(negtgel!U$2:BL$2,'Tsalin uzuulelt'!B$1,negtgel!U396:BL396) + SUMIF(negtgel!U$2:BL$2,'Tsalin uzuulelt'!B$2,negtgel!U396:BL396)+SUMIF(negtgel!U$2:BL$2,'Tsalin uzuulelt'!B$3,negtgel!U396:BL396)+SUMIF(negtgel!U$2:BL$2,'Tsalin uzuulelt'!B$4,negtgel!U396:BL396)+SUMIF(negtgel!U$2:BL$2,'Tsalin uzuulelt'!B$5,negtgel!U396:BL396)</f>
      </c>
      <c r="H396">
        <f>SUMIF(negtgel!U$2:BL$2,'Tsalin uzuulelt'!F$1,negtgel!U396:BL396) + SUMIF(negtgel!U$2:BL$2,'Tsalin uzuulelt'!F$2,negtgel!U396:BL396)+SUMIF(negtgel!U$2:BL$2,'Tsalin uzuulelt'!F$3,negtgel!U396:BL396)+SUMIF(negtgel!U$2:BL$2,'Tsalin uzuulelt'!F$4,negtgel!U396:BL396)+SUMIF(negtgel!U$2:BL$2,'Tsalin uzuulelt'!F$5,negtgel!U396:BL396)</f>
      </c>
      <c r="I396">
        <f>SUMIF(negtgel!U$2:BL$2,'Tsalin uzuulelt'!H$1,negtgel!U396:BL396) + SUMIF(negtgel!U$2:BL$2,'Tsalin uzuulelt'!H$2,negtgel!U396:BL396)+SUMIF(negtgel!U$2:BL$2,'Tsalin uzuulelt'!H$3,negtgel!U396:BL396)+SUMIF(negtgel!U$2:BL$2,'Tsalin uzuulelt'!H$4,negtgel!U396:BL396)+SUMIF(negtgel!U$2:BL$2,'Tsalin uzuulelt'!H$5,negtgel!U396:BL396)</f>
      </c>
      <c r="J396">
        <f>SUMIF(negtgel!U$2:BL$2,'Tsalin uzuulelt'!J$1,negtgel!U396:BL396) + SUMIF(negtgel!U$2:BL$2,'Tsalin uzuulelt'!J$2,negtgel!U396:BL396)+SUMIF(negtgel!U$2:BL$2,'Tsalin uzuulelt'!J$3,negtgel!U396:BL396)+SUMIF(negtgel!U$2:BL$2,'Tsalin uzuulelt'!J$4,negtgel!U396:BL396)+SUMIF(negtgel!U$2:BL$2,'Tsalin uzuulelt'!J$5,negtgel!U396:BL396)</f>
      </c>
      <c r="K396">
        <f>SUMIF(negtgel!U$2:BL$2,'Tsalin uzuulelt'!L$1,negtgel!U396:BL396) + SUMIF(negtgel!U$2:BL$2,'Tsalin uzuulelt'!L$2,negtgel!U396:BL396)+SUMIF(negtgel!U$2:BL$2,'Tsalin uzuulelt'!L$3,negtgel!U396:BL396)+SUMIF(negtgel!U$2:BL$2,'Tsalin uzuulelt'!L$4,negtgel!U396:BL396)+SUMIF(negtgel!U$2:BL$2,'Tsalin uzuulelt'!L$5,negtgel!U396:BL396)</f>
      </c>
      <c r="L396">
        <f>SUMIF(negtgel!U$2:BL$2,'Tsalin uzuulelt'!N$1,negtgel!U396:BL396) + SUMIF(negtgel!U$2:BL$2,'Tsalin uzuulelt'!N$2,negtgel!U396:BL396)+SUMIF(negtgel!U$2:BL$2,'Tsalin uzuulelt'!N$3,negtgel!U396:BL396)+SUMIF(negtgel!U$2:BL$2,'Tsalin uzuulelt'!N$4,negtgel!U396:BL396)+SUMIF(negtgel!U$2:BL$2,'Tsalin uzuulelt'!N$5,negtgel!U396:BL396)</f>
      </c>
      <c r="M396">
        <f>SUMIF(negtgel!U$2:BL$2,'Tsalin uzuulelt'!P$1,negtgel!U396:BL396) + SUMIF(negtgel!U$2:BL$2,'Tsalin uzuulelt'!P$2,negtgel!U396:BL396)+ SUMIF(negtgel!U$2:BL$2,'Tsalin uzuulelt'!P$3,negtgel!U396:BL396)+ SUMIF(negtgel!U$2:BL$2,'Tsalin uzuulelt'!P$4,negtgel!U396:BL396)+ SUMIF(negtgel!U$2:BL$2,'Tsalin uzuulelt'!P$5,negtgel!U396:BL396)</f>
      </c>
      <c r="N396">
        <f>IF(ISNUMBER(U396*1)=CF396,0,K396-H396-G396)</f>
      </c>
      <c r="O396">
        <f>IF(ISNUMBER(U396*1)=CF396,0,L396)</f>
      </c>
      <c r="P396">
        <f>IF(ISNUMBER(U396*1)=CF396,0,M396)</f>
      </c>
      <c r="Q396">
        <f>IF(N396&gt;2400000,N396,0)</f>
      </c>
      <c r="R396">
        <f>IF(L396/Q396*100&lt;3,2,10)</f>
      </c>
      <c r="S396">
        <f>IF(CH396=0,0,IF(B396&gt;9,10,IF(B396&gt;8,B396,IF(B396&gt;7.7,7.8,IF(B396&gt;3,B396,IF(B396&gt;1.5,2))))))</f>
      </c>
      <c r="T396">
        <f>IF(Q396=0,S396,R396)</f>
      </c>
      <c r="U396" t="n">
        <v>82.0</v>
      </c>
      <c r="V396" t="s">
        <v>3838</v>
      </c>
      <c r="W396" t="s">
        <v>3790</v>
      </c>
      <c r="X396" t="n">
        <v>677436.0</v>
      </c>
      <c r="Y396" t="n">
        <v>677436.0</v>
      </c>
      <c r="Z396" t="n">
        <v>169359.0</v>
      </c>
      <c r="AA396" t="n">
        <v>135487.0</v>
      </c>
      <c r="AB396" t="n">
        <v>0.0</v>
      </c>
      <c r="AC396" t="n">
        <v>0.0</v>
      </c>
      <c r="AD396" t="n">
        <v>0.0</v>
      </c>
      <c r="AE396" t="n">
        <v>0.0</v>
      </c>
      <c r="AF396" t="n">
        <v>60000.0</v>
      </c>
      <c r="AG396" t="n">
        <v>0.0</v>
      </c>
      <c r="AH396" t="n">
        <v>0.0</v>
      </c>
      <c r="AI396" t="n">
        <v>0.0</v>
      </c>
      <c r="AJ396" t="n">
        <v>0.0</v>
      </c>
      <c r="AK396" t="n">
        <v>0.0</v>
      </c>
      <c r="AL396" t="n">
        <v>0.0</v>
      </c>
      <c r="AM396" t="n">
        <v>0.0</v>
      </c>
      <c r="AN396" t="n">
        <v>0.0</v>
      </c>
      <c r="AO396" t="n">
        <v>1042282.0</v>
      </c>
      <c r="AP396" t="n">
        <v>104229.0</v>
      </c>
      <c r="AQ396" t="n">
        <v>87405.4</v>
      </c>
      <c r="CH396">
        <f>IFERROR(U396*1,0)</f>
      </c>
    </row>
    <row r="397">
      <c r="A397" t="n">
        <v>6.0</v>
      </c>
      <c r="B397">
        <f>IF((K397-G397-H397&gt;2400000),10,(L397/(K397-G397-H397)*100))</f>
      </c>
      <c r="C397">
        <f>IF(N397&gt;2400000,240000,(N397*S397)/100)</f>
      </c>
      <c r="D397">
        <f>IF(S397=0,0,IF((N397-I397)&gt;2400000,((((((N397-I397-J397)-240000))*0.1+(I397+J397)*0.1)))-7000,((((((N397-I397-J397)-(N397-I397-J397)*S397/100)))*0.1+(I397+J397)*0.1)-7000)))</f>
      </c>
      <c r="E397">
        <f>C397-O397</f>
      </c>
      <c r="F397">
        <f>D397-P397</f>
      </c>
      <c r="G397">
        <f>SUMIF(negtgel!U$2:BL$2,'Tsalin uzuulelt'!B$1,negtgel!U397:BL397) + SUMIF(negtgel!U$2:BL$2,'Tsalin uzuulelt'!B$2,negtgel!U397:BL397)+SUMIF(negtgel!U$2:BL$2,'Tsalin uzuulelt'!B$3,negtgel!U397:BL397)+SUMIF(negtgel!U$2:BL$2,'Tsalin uzuulelt'!B$4,negtgel!U397:BL397)+SUMIF(negtgel!U$2:BL$2,'Tsalin uzuulelt'!B$5,negtgel!U397:BL397)</f>
      </c>
      <c r="H397">
        <f>SUMIF(negtgel!U$2:BL$2,'Tsalin uzuulelt'!F$1,negtgel!U397:BL397) + SUMIF(negtgel!U$2:BL$2,'Tsalin uzuulelt'!F$2,negtgel!U397:BL397)+SUMIF(negtgel!U$2:BL$2,'Tsalin uzuulelt'!F$3,negtgel!U397:BL397)+SUMIF(negtgel!U$2:BL$2,'Tsalin uzuulelt'!F$4,negtgel!U397:BL397)+SUMIF(negtgel!U$2:BL$2,'Tsalin uzuulelt'!F$5,negtgel!U397:BL397)</f>
      </c>
      <c r="I397">
        <f>SUMIF(negtgel!U$2:BL$2,'Tsalin uzuulelt'!H$1,negtgel!U397:BL397) + SUMIF(negtgel!U$2:BL$2,'Tsalin uzuulelt'!H$2,negtgel!U397:BL397)+SUMIF(negtgel!U$2:BL$2,'Tsalin uzuulelt'!H$3,negtgel!U397:BL397)+SUMIF(negtgel!U$2:BL$2,'Tsalin uzuulelt'!H$4,negtgel!U397:BL397)+SUMIF(negtgel!U$2:BL$2,'Tsalin uzuulelt'!H$5,negtgel!U397:BL397)</f>
      </c>
      <c r="J397">
        <f>SUMIF(negtgel!U$2:BL$2,'Tsalin uzuulelt'!J$1,negtgel!U397:BL397) + SUMIF(negtgel!U$2:BL$2,'Tsalin uzuulelt'!J$2,negtgel!U397:BL397)+SUMIF(negtgel!U$2:BL$2,'Tsalin uzuulelt'!J$3,negtgel!U397:BL397)+SUMIF(negtgel!U$2:BL$2,'Tsalin uzuulelt'!J$4,negtgel!U397:BL397)+SUMIF(negtgel!U$2:BL$2,'Tsalin uzuulelt'!J$5,negtgel!U397:BL397)</f>
      </c>
      <c r="K397">
        <f>SUMIF(negtgel!U$2:BL$2,'Tsalin uzuulelt'!L$1,negtgel!U397:BL397) + SUMIF(negtgel!U$2:BL$2,'Tsalin uzuulelt'!L$2,negtgel!U397:BL397)+SUMIF(negtgel!U$2:BL$2,'Tsalin uzuulelt'!L$3,negtgel!U397:BL397)+SUMIF(negtgel!U$2:BL$2,'Tsalin uzuulelt'!L$4,negtgel!U397:BL397)+SUMIF(negtgel!U$2:BL$2,'Tsalin uzuulelt'!L$5,negtgel!U397:BL397)</f>
      </c>
      <c r="L397">
        <f>SUMIF(negtgel!U$2:BL$2,'Tsalin uzuulelt'!N$1,negtgel!U397:BL397) + SUMIF(negtgel!U$2:BL$2,'Tsalin uzuulelt'!N$2,negtgel!U397:BL397)+SUMIF(negtgel!U$2:BL$2,'Tsalin uzuulelt'!N$3,negtgel!U397:BL397)+SUMIF(negtgel!U$2:BL$2,'Tsalin uzuulelt'!N$4,negtgel!U397:BL397)+SUMIF(negtgel!U$2:BL$2,'Tsalin uzuulelt'!N$5,negtgel!U397:BL397)</f>
      </c>
      <c r="M397">
        <f>SUMIF(negtgel!U$2:BL$2,'Tsalin uzuulelt'!P$1,negtgel!U397:BL397) + SUMIF(negtgel!U$2:BL$2,'Tsalin uzuulelt'!P$2,negtgel!U397:BL397)+ SUMIF(negtgel!U$2:BL$2,'Tsalin uzuulelt'!P$3,negtgel!U397:BL397)+ SUMIF(negtgel!U$2:BL$2,'Tsalin uzuulelt'!P$4,negtgel!U397:BL397)+ SUMIF(negtgel!U$2:BL$2,'Tsalin uzuulelt'!P$5,negtgel!U397:BL397)</f>
      </c>
      <c r="N397">
        <f>IF(ISNUMBER(U397*1)=CF397,0,K397-H397-G397)</f>
      </c>
      <c r="O397">
        <f>IF(ISNUMBER(U397*1)=CF397,0,L397)</f>
      </c>
      <c r="P397">
        <f>IF(ISNUMBER(U397*1)=CF397,0,M397)</f>
      </c>
      <c r="Q397">
        <f>IF(N397&gt;2400000,N397,0)</f>
      </c>
      <c r="R397">
        <f>IF(L397/Q397*100&lt;3,2,10)</f>
      </c>
      <c r="S397">
        <f>IF(CH397=0,0,IF(B397&gt;9,10,IF(B397&gt;8,B397,IF(B397&gt;7.7,7.8,IF(B397&gt;3,B397,IF(B397&gt;1.5,2))))))</f>
      </c>
      <c r="T397">
        <f>IF(Q397=0,S397,R397)</f>
      </c>
      <c r="U397" t="n">
        <v>83.0</v>
      </c>
      <c r="V397" t="s">
        <v>3839</v>
      </c>
      <c r="W397" t="s">
        <v>3790</v>
      </c>
      <c r="X397" t="n">
        <v>677436.0</v>
      </c>
      <c r="Y397" t="n">
        <v>440333.0</v>
      </c>
      <c r="Z397" t="n">
        <v>88067.0</v>
      </c>
      <c r="AA397" t="n">
        <v>96873.0</v>
      </c>
      <c r="AB397" t="n">
        <v>0.0</v>
      </c>
      <c r="AC397" t="n">
        <v>0.0</v>
      </c>
      <c r="AD397" t="n">
        <v>0.0</v>
      </c>
      <c r="AE397" t="n">
        <v>0.0</v>
      </c>
      <c r="AF397" t="n">
        <v>39000.0</v>
      </c>
      <c r="AG397" t="n">
        <v>0.0</v>
      </c>
      <c r="AH397" t="n">
        <v>0.0</v>
      </c>
      <c r="AI397" t="n">
        <v>0.0</v>
      </c>
      <c r="AJ397" t="n">
        <v>0.0</v>
      </c>
      <c r="AK397" t="n">
        <v>0.0</v>
      </c>
      <c r="AL397" t="n">
        <v>211475.0</v>
      </c>
      <c r="AM397" t="n">
        <v>0.0</v>
      </c>
      <c r="AN397" t="n">
        <v>0.0</v>
      </c>
      <c r="AO397" t="n">
        <v>875748.0</v>
      </c>
      <c r="AP397" t="n">
        <v>66427.0</v>
      </c>
      <c r="AQ397" t="n">
        <v>53174.6</v>
      </c>
      <c r="CH397">
        <f>IFERROR(U397*1,0)</f>
      </c>
    </row>
    <row r="398">
      <c r="A398" t="n">
        <v>6.0</v>
      </c>
      <c r="B398">
        <f>IF((K398-G398-H398&gt;2400000),10,(L398/(K398-G398-H398)*100))</f>
      </c>
      <c r="C398">
        <f>IF(N398&gt;2400000,240000,(N398*S398)/100)</f>
      </c>
      <c r="D398">
        <f>IF(S398=0,0,IF((N398-I398)&gt;2400000,((((((N398-I398-J398)-240000))*0.1+(I398+J398)*0.1)))-7000,((((((N398-I398-J398)-(N398-I398-J398)*S398/100)))*0.1+(I398+J398)*0.1)-7000)))</f>
      </c>
      <c r="E398">
        <f>C398-O398</f>
      </c>
      <c r="F398">
        <f>D398-P398</f>
      </c>
      <c r="G398">
        <f>SUMIF(negtgel!U$2:BL$2,'Tsalin uzuulelt'!B$1,negtgel!U398:BL398) + SUMIF(negtgel!U$2:BL$2,'Tsalin uzuulelt'!B$2,negtgel!U398:BL398)+SUMIF(negtgel!U$2:BL$2,'Tsalin uzuulelt'!B$3,negtgel!U398:BL398)+SUMIF(negtgel!U$2:BL$2,'Tsalin uzuulelt'!B$4,negtgel!U398:BL398)+SUMIF(negtgel!U$2:BL$2,'Tsalin uzuulelt'!B$5,negtgel!U398:BL398)</f>
      </c>
      <c r="H398">
        <f>SUMIF(negtgel!U$2:BL$2,'Tsalin uzuulelt'!F$1,negtgel!U398:BL398) + SUMIF(negtgel!U$2:BL$2,'Tsalin uzuulelt'!F$2,negtgel!U398:BL398)+SUMIF(negtgel!U$2:BL$2,'Tsalin uzuulelt'!F$3,negtgel!U398:BL398)+SUMIF(negtgel!U$2:BL$2,'Tsalin uzuulelt'!F$4,negtgel!U398:BL398)+SUMIF(negtgel!U$2:BL$2,'Tsalin uzuulelt'!F$5,negtgel!U398:BL398)</f>
      </c>
      <c r="I398">
        <f>SUMIF(negtgel!U$2:BL$2,'Tsalin uzuulelt'!H$1,negtgel!U398:BL398) + SUMIF(negtgel!U$2:BL$2,'Tsalin uzuulelt'!H$2,negtgel!U398:BL398)+SUMIF(negtgel!U$2:BL$2,'Tsalin uzuulelt'!H$3,negtgel!U398:BL398)+SUMIF(negtgel!U$2:BL$2,'Tsalin uzuulelt'!H$4,negtgel!U398:BL398)+SUMIF(negtgel!U$2:BL$2,'Tsalin uzuulelt'!H$5,negtgel!U398:BL398)</f>
      </c>
      <c r="J398">
        <f>SUMIF(negtgel!U$2:BL$2,'Tsalin uzuulelt'!J$1,negtgel!U398:BL398) + SUMIF(negtgel!U$2:BL$2,'Tsalin uzuulelt'!J$2,negtgel!U398:BL398)+SUMIF(negtgel!U$2:BL$2,'Tsalin uzuulelt'!J$3,negtgel!U398:BL398)+SUMIF(negtgel!U$2:BL$2,'Tsalin uzuulelt'!J$4,negtgel!U398:BL398)+SUMIF(negtgel!U$2:BL$2,'Tsalin uzuulelt'!J$5,negtgel!U398:BL398)</f>
      </c>
      <c r="K398">
        <f>SUMIF(negtgel!U$2:BL$2,'Tsalin uzuulelt'!L$1,negtgel!U398:BL398) + SUMIF(negtgel!U$2:BL$2,'Tsalin uzuulelt'!L$2,negtgel!U398:BL398)+SUMIF(negtgel!U$2:BL$2,'Tsalin uzuulelt'!L$3,negtgel!U398:BL398)+SUMIF(negtgel!U$2:BL$2,'Tsalin uzuulelt'!L$4,negtgel!U398:BL398)+SUMIF(negtgel!U$2:BL$2,'Tsalin uzuulelt'!L$5,negtgel!U398:BL398)</f>
      </c>
      <c r="L398">
        <f>SUMIF(negtgel!U$2:BL$2,'Tsalin uzuulelt'!N$1,negtgel!U398:BL398) + SUMIF(negtgel!U$2:BL$2,'Tsalin uzuulelt'!N$2,negtgel!U398:BL398)+SUMIF(negtgel!U$2:BL$2,'Tsalin uzuulelt'!N$3,negtgel!U398:BL398)+SUMIF(negtgel!U$2:BL$2,'Tsalin uzuulelt'!N$4,negtgel!U398:BL398)+SUMIF(negtgel!U$2:BL$2,'Tsalin uzuulelt'!N$5,negtgel!U398:BL398)</f>
      </c>
      <c r="M398">
        <f>SUMIF(negtgel!U$2:BL$2,'Tsalin uzuulelt'!P$1,negtgel!U398:BL398) + SUMIF(negtgel!U$2:BL$2,'Tsalin uzuulelt'!P$2,negtgel!U398:BL398)+ SUMIF(negtgel!U$2:BL$2,'Tsalin uzuulelt'!P$3,negtgel!U398:BL398)+ SUMIF(negtgel!U$2:BL$2,'Tsalin uzuulelt'!P$4,negtgel!U398:BL398)+ SUMIF(negtgel!U$2:BL$2,'Tsalin uzuulelt'!P$5,negtgel!U398:BL398)</f>
      </c>
      <c r="N398">
        <f>IF(ISNUMBER(U398*1)=CF398,0,K398-H398-G398)</f>
      </c>
      <c r="O398">
        <f>IF(ISNUMBER(U398*1)=CF398,0,L398)</f>
      </c>
      <c r="P398">
        <f>IF(ISNUMBER(U398*1)=CF398,0,M398)</f>
      </c>
      <c r="Q398">
        <f>IF(N398&gt;2400000,N398,0)</f>
      </c>
      <c r="R398">
        <f>IF(L398/Q398*100&lt;3,2,10)</f>
      </c>
      <c r="S398">
        <f>IF(CH398=0,0,IF(B398&gt;9,10,IF(B398&gt;8,B398,IF(B398&gt;7.7,7.8,IF(B398&gt;3,B398,IF(B398&gt;1.5,2))))))</f>
      </c>
      <c r="T398">
        <f>IF(Q398=0,S398,R398)</f>
      </c>
      <c r="U398" t="n">
        <v>84.0</v>
      </c>
      <c r="V398" t="s">
        <v>3840</v>
      </c>
      <c r="W398" t="s">
        <v>3820</v>
      </c>
      <c r="X398" t="n">
        <v>677436.0</v>
      </c>
      <c r="Y398" t="n">
        <v>677436.0</v>
      </c>
      <c r="Z398" t="n">
        <v>135487.0</v>
      </c>
      <c r="AA398" t="n">
        <v>135487.0</v>
      </c>
      <c r="AB398" t="n">
        <v>33872.0</v>
      </c>
      <c r="AC398" t="n">
        <v>0.0</v>
      </c>
      <c r="AD398" t="n">
        <v>0.0</v>
      </c>
      <c r="AE398" t="n">
        <v>0.0</v>
      </c>
      <c r="AF398" t="n">
        <v>60000.0</v>
      </c>
      <c r="AG398" t="n">
        <v>0.0</v>
      </c>
      <c r="AH398" t="n">
        <v>0.0</v>
      </c>
      <c r="AI398" t="n">
        <v>0.0</v>
      </c>
      <c r="AJ398" t="n">
        <v>0.0</v>
      </c>
      <c r="AK398" t="n">
        <v>0.0</v>
      </c>
      <c r="AL398" t="n">
        <v>0.0</v>
      </c>
      <c r="AM398" t="n">
        <v>0.0</v>
      </c>
      <c r="AN398" t="n">
        <v>0.0</v>
      </c>
      <c r="AO398" t="n">
        <v>1042282.0</v>
      </c>
      <c r="AP398" t="n">
        <v>104229.0</v>
      </c>
      <c r="AQ398" t="n">
        <v>87405.4</v>
      </c>
      <c r="CH398">
        <f>IFERROR(U398*1,0)</f>
      </c>
    </row>
    <row r="399">
      <c r="A399" t="n">
        <v>6.0</v>
      </c>
      <c r="B399">
        <f>IF((K399-G399-H399&gt;2400000),10,(L399/(K399-G399-H399)*100))</f>
      </c>
      <c r="C399">
        <f>IF(N399&gt;2400000,240000,(N399*S399)/100)</f>
      </c>
      <c r="D399">
        <f>IF(S399=0,0,IF((N399-I399)&gt;2400000,((((((N399-I399-J399)-240000))*0.1+(I399+J399)*0.1)))-7000,((((((N399-I399-J399)-(N399-I399-J399)*S399/100)))*0.1+(I399+J399)*0.1)-7000)))</f>
      </c>
      <c r="E399">
        <f>C399-O399</f>
      </c>
      <c r="F399">
        <f>D399-P399</f>
      </c>
      <c r="G399">
        <f>SUMIF(negtgel!U$2:BL$2,'Tsalin uzuulelt'!B$1,negtgel!U399:BL399) + SUMIF(negtgel!U$2:BL$2,'Tsalin uzuulelt'!B$2,negtgel!U399:BL399)+SUMIF(negtgel!U$2:BL$2,'Tsalin uzuulelt'!B$3,negtgel!U399:BL399)+SUMIF(negtgel!U$2:BL$2,'Tsalin uzuulelt'!B$4,negtgel!U399:BL399)+SUMIF(negtgel!U$2:BL$2,'Tsalin uzuulelt'!B$5,negtgel!U399:BL399)</f>
      </c>
      <c r="H399">
        <f>SUMIF(negtgel!U$2:BL$2,'Tsalin uzuulelt'!F$1,negtgel!U399:BL399) + SUMIF(negtgel!U$2:BL$2,'Tsalin uzuulelt'!F$2,negtgel!U399:BL399)+SUMIF(negtgel!U$2:BL$2,'Tsalin uzuulelt'!F$3,negtgel!U399:BL399)+SUMIF(negtgel!U$2:BL$2,'Tsalin uzuulelt'!F$4,negtgel!U399:BL399)+SUMIF(negtgel!U$2:BL$2,'Tsalin uzuulelt'!F$5,negtgel!U399:BL399)</f>
      </c>
      <c r="I399">
        <f>SUMIF(negtgel!U$2:BL$2,'Tsalin uzuulelt'!H$1,negtgel!U399:BL399) + SUMIF(negtgel!U$2:BL$2,'Tsalin uzuulelt'!H$2,negtgel!U399:BL399)+SUMIF(negtgel!U$2:BL$2,'Tsalin uzuulelt'!H$3,negtgel!U399:BL399)+SUMIF(negtgel!U$2:BL$2,'Tsalin uzuulelt'!H$4,negtgel!U399:BL399)+SUMIF(negtgel!U$2:BL$2,'Tsalin uzuulelt'!H$5,negtgel!U399:BL399)</f>
      </c>
      <c r="J399">
        <f>SUMIF(negtgel!U$2:BL$2,'Tsalin uzuulelt'!J$1,negtgel!U399:BL399) + SUMIF(negtgel!U$2:BL$2,'Tsalin uzuulelt'!J$2,negtgel!U399:BL399)+SUMIF(negtgel!U$2:BL$2,'Tsalin uzuulelt'!J$3,negtgel!U399:BL399)+SUMIF(negtgel!U$2:BL$2,'Tsalin uzuulelt'!J$4,negtgel!U399:BL399)+SUMIF(negtgel!U$2:BL$2,'Tsalin uzuulelt'!J$5,negtgel!U399:BL399)</f>
      </c>
      <c r="K399">
        <f>SUMIF(negtgel!U$2:BL$2,'Tsalin uzuulelt'!L$1,negtgel!U399:BL399) + SUMIF(negtgel!U$2:BL$2,'Tsalin uzuulelt'!L$2,negtgel!U399:BL399)+SUMIF(negtgel!U$2:BL$2,'Tsalin uzuulelt'!L$3,negtgel!U399:BL399)+SUMIF(negtgel!U$2:BL$2,'Tsalin uzuulelt'!L$4,negtgel!U399:BL399)+SUMIF(negtgel!U$2:BL$2,'Tsalin uzuulelt'!L$5,negtgel!U399:BL399)</f>
      </c>
      <c r="L399">
        <f>SUMIF(negtgel!U$2:BL$2,'Tsalin uzuulelt'!N$1,negtgel!U399:BL399) + SUMIF(negtgel!U$2:BL$2,'Tsalin uzuulelt'!N$2,negtgel!U399:BL399)+SUMIF(negtgel!U$2:BL$2,'Tsalin uzuulelt'!N$3,negtgel!U399:BL399)+SUMIF(negtgel!U$2:BL$2,'Tsalin uzuulelt'!N$4,negtgel!U399:BL399)+SUMIF(negtgel!U$2:BL$2,'Tsalin uzuulelt'!N$5,negtgel!U399:BL399)</f>
      </c>
      <c r="M399">
        <f>SUMIF(negtgel!U$2:BL$2,'Tsalin uzuulelt'!P$1,negtgel!U399:BL399) + SUMIF(negtgel!U$2:BL$2,'Tsalin uzuulelt'!P$2,negtgel!U399:BL399)+ SUMIF(negtgel!U$2:BL$2,'Tsalin uzuulelt'!P$3,negtgel!U399:BL399)+ SUMIF(negtgel!U$2:BL$2,'Tsalin uzuulelt'!P$4,negtgel!U399:BL399)+ SUMIF(negtgel!U$2:BL$2,'Tsalin uzuulelt'!P$5,negtgel!U399:BL399)</f>
      </c>
      <c r="N399">
        <f>IF(ISNUMBER(U399*1)=CF399,0,K399-H399-G399)</f>
      </c>
      <c r="O399">
        <f>IF(ISNUMBER(U399*1)=CF399,0,L399)</f>
      </c>
      <c r="P399">
        <f>IF(ISNUMBER(U399*1)=CF399,0,M399)</f>
      </c>
      <c r="Q399">
        <f>IF(N399&gt;2400000,N399,0)</f>
      </c>
      <c r="R399">
        <f>IF(L399/Q399*100&lt;3,2,10)</f>
      </c>
      <c r="S399">
        <f>IF(CH399=0,0,IF(B399&gt;9,10,IF(B399&gt;8,B399,IF(B399&gt;7.7,7.8,IF(B399&gt;3,B399,IF(B399&gt;1.5,2))))))</f>
      </c>
      <c r="T399">
        <f>IF(Q399=0,S399,R399)</f>
      </c>
      <c r="U399" t="n">
        <v>85.0</v>
      </c>
      <c r="V399" t="s">
        <v>3841</v>
      </c>
      <c r="W399" t="s">
        <v>3790</v>
      </c>
      <c r="X399" t="n">
        <v>613669.0</v>
      </c>
      <c r="Y399" t="n">
        <v>613669.0</v>
      </c>
      <c r="Z399" t="n">
        <v>30683.0</v>
      </c>
      <c r="AA399" t="n">
        <v>110460.0</v>
      </c>
      <c r="AB399" t="n">
        <v>0.0</v>
      </c>
      <c r="AC399" t="n">
        <v>0.0</v>
      </c>
      <c r="AD399" t="n">
        <v>0.0</v>
      </c>
      <c r="AE399" t="n">
        <v>0.0</v>
      </c>
      <c r="AF399" t="n">
        <v>60000.0</v>
      </c>
      <c r="AG399" t="n">
        <v>0.0</v>
      </c>
      <c r="AH399" t="n">
        <v>0.0</v>
      </c>
      <c r="AI399" t="n">
        <v>0.0</v>
      </c>
      <c r="AJ399" t="n">
        <v>0.0</v>
      </c>
      <c r="AK399" t="n">
        <v>0.0</v>
      </c>
      <c r="AL399" t="n">
        <v>0.0</v>
      </c>
      <c r="AM399" t="n">
        <v>0.0</v>
      </c>
      <c r="AN399" t="n">
        <v>0.0</v>
      </c>
      <c r="AO399" t="n">
        <v>814812.0</v>
      </c>
      <c r="AP399" t="n">
        <v>81481.0</v>
      </c>
      <c r="AQ399" t="n">
        <v>66933.1</v>
      </c>
      <c r="CH399">
        <f>IFERROR(U399*1,0)</f>
      </c>
    </row>
    <row r="400">
      <c r="A400" t="n">
        <v>6.0</v>
      </c>
      <c r="B400">
        <f>IF((K400-G400-H400&gt;2400000),10,(L400/(K400-G400-H400)*100))</f>
      </c>
      <c r="C400">
        <f>IF(N400&gt;2400000,240000,(N400*S400)/100)</f>
      </c>
      <c r="D400">
        <f>IF(S400=0,0,IF((N400-I400)&gt;2400000,((((((N400-I400-J400)-240000))*0.1+(I400+J400)*0.1)))-7000,((((((N400-I400-J400)-(N400-I400-J400)*S400/100)))*0.1+(I400+J400)*0.1)-7000)))</f>
      </c>
      <c r="E400">
        <f>C400-O400</f>
      </c>
      <c r="F400">
        <f>D400-P400</f>
      </c>
      <c r="G400">
        <f>SUMIF(negtgel!U$2:BL$2,'Tsalin uzuulelt'!B$1,negtgel!U400:BL400) + SUMIF(negtgel!U$2:BL$2,'Tsalin uzuulelt'!B$2,negtgel!U400:BL400)+SUMIF(negtgel!U$2:BL$2,'Tsalin uzuulelt'!B$3,negtgel!U400:BL400)+SUMIF(negtgel!U$2:BL$2,'Tsalin uzuulelt'!B$4,negtgel!U400:BL400)+SUMIF(negtgel!U$2:BL$2,'Tsalin uzuulelt'!B$5,negtgel!U400:BL400)</f>
      </c>
      <c r="H400">
        <f>SUMIF(negtgel!U$2:BL$2,'Tsalin uzuulelt'!F$1,negtgel!U400:BL400) + SUMIF(negtgel!U$2:BL$2,'Tsalin uzuulelt'!F$2,negtgel!U400:BL400)+SUMIF(negtgel!U$2:BL$2,'Tsalin uzuulelt'!F$3,negtgel!U400:BL400)+SUMIF(negtgel!U$2:BL$2,'Tsalin uzuulelt'!F$4,negtgel!U400:BL400)+SUMIF(negtgel!U$2:BL$2,'Tsalin uzuulelt'!F$5,negtgel!U400:BL400)</f>
      </c>
      <c r="I400">
        <f>SUMIF(negtgel!U$2:BL$2,'Tsalin uzuulelt'!H$1,negtgel!U400:BL400) + SUMIF(negtgel!U$2:BL$2,'Tsalin uzuulelt'!H$2,negtgel!U400:BL400)+SUMIF(negtgel!U$2:BL$2,'Tsalin uzuulelt'!H$3,negtgel!U400:BL400)+SUMIF(negtgel!U$2:BL$2,'Tsalin uzuulelt'!H$4,negtgel!U400:BL400)+SUMIF(negtgel!U$2:BL$2,'Tsalin uzuulelt'!H$5,negtgel!U400:BL400)</f>
      </c>
      <c r="J400">
        <f>SUMIF(negtgel!U$2:BL$2,'Tsalin uzuulelt'!J$1,negtgel!U400:BL400) + SUMIF(negtgel!U$2:BL$2,'Tsalin uzuulelt'!J$2,negtgel!U400:BL400)+SUMIF(negtgel!U$2:BL$2,'Tsalin uzuulelt'!J$3,negtgel!U400:BL400)+SUMIF(negtgel!U$2:BL$2,'Tsalin uzuulelt'!J$4,negtgel!U400:BL400)+SUMIF(negtgel!U$2:BL$2,'Tsalin uzuulelt'!J$5,negtgel!U400:BL400)</f>
      </c>
      <c r="K400">
        <f>SUMIF(negtgel!U$2:BL$2,'Tsalin uzuulelt'!L$1,negtgel!U400:BL400) + SUMIF(negtgel!U$2:BL$2,'Tsalin uzuulelt'!L$2,negtgel!U400:BL400)+SUMIF(negtgel!U$2:BL$2,'Tsalin uzuulelt'!L$3,negtgel!U400:BL400)+SUMIF(negtgel!U$2:BL$2,'Tsalin uzuulelt'!L$4,negtgel!U400:BL400)+SUMIF(negtgel!U$2:BL$2,'Tsalin uzuulelt'!L$5,negtgel!U400:BL400)</f>
      </c>
      <c r="L400">
        <f>SUMIF(negtgel!U$2:BL$2,'Tsalin uzuulelt'!N$1,negtgel!U400:BL400) + SUMIF(negtgel!U$2:BL$2,'Tsalin uzuulelt'!N$2,negtgel!U400:BL400)+SUMIF(negtgel!U$2:BL$2,'Tsalin uzuulelt'!N$3,negtgel!U400:BL400)+SUMIF(negtgel!U$2:BL$2,'Tsalin uzuulelt'!N$4,negtgel!U400:BL400)+SUMIF(negtgel!U$2:BL$2,'Tsalin uzuulelt'!N$5,negtgel!U400:BL400)</f>
      </c>
      <c r="M400">
        <f>SUMIF(negtgel!U$2:BL$2,'Tsalin uzuulelt'!P$1,negtgel!U400:BL400) + SUMIF(negtgel!U$2:BL$2,'Tsalin uzuulelt'!P$2,negtgel!U400:BL400)+ SUMIF(negtgel!U$2:BL$2,'Tsalin uzuulelt'!P$3,negtgel!U400:BL400)+ SUMIF(negtgel!U$2:BL$2,'Tsalin uzuulelt'!P$4,negtgel!U400:BL400)+ SUMIF(negtgel!U$2:BL$2,'Tsalin uzuulelt'!P$5,negtgel!U400:BL400)</f>
      </c>
      <c r="N400">
        <f>IF(ISNUMBER(U400*1)=CF400,0,K400-H400-G400)</f>
      </c>
      <c r="O400">
        <f>IF(ISNUMBER(U400*1)=CF400,0,L400)</f>
      </c>
      <c r="P400">
        <f>IF(ISNUMBER(U400*1)=CF400,0,M400)</f>
      </c>
      <c r="Q400">
        <f>IF(N400&gt;2400000,N400,0)</f>
      </c>
      <c r="R400">
        <f>IF(L400/Q400*100&lt;3,2,10)</f>
      </c>
      <c r="S400">
        <f>IF(CH400=0,0,IF(B400&gt;9,10,IF(B400&gt;8,B400,IF(B400&gt;7.7,7.8,IF(B400&gt;3,B400,IF(B400&gt;1.5,2))))))</f>
      </c>
      <c r="T400">
        <f>IF(Q400=0,S400,R400)</f>
      </c>
      <c r="U400" t="n">
        <v>86.0</v>
      </c>
      <c r="V400" t="s">
        <v>3842</v>
      </c>
      <c r="W400" t="s">
        <v>3790</v>
      </c>
      <c r="X400" t="n">
        <v>645556.0</v>
      </c>
      <c r="Y400" t="n">
        <v>645556.0</v>
      </c>
      <c r="Z400" t="n">
        <v>109745.0</v>
      </c>
      <c r="AA400" t="n">
        <v>64556.0</v>
      </c>
      <c r="AB400" t="n">
        <v>0.0</v>
      </c>
      <c r="AC400" t="n">
        <v>0.0</v>
      </c>
      <c r="AD400" t="n">
        <v>0.0</v>
      </c>
      <c r="AE400" t="n">
        <v>0.0</v>
      </c>
      <c r="AF400" t="n">
        <v>60000.0</v>
      </c>
      <c r="AG400" t="n">
        <v>0.0</v>
      </c>
      <c r="AH400" t="n">
        <v>0.0</v>
      </c>
      <c r="AI400" t="n">
        <v>0.0</v>
      </c>
      <c r="AJ400" t="n">
        <v>0.0</v>
      </c>
      <c r="AK400" t="n">
        <v>0.0</v>
      </c>
      <c r="AL400" t="n">
        <v>0.0</v>
      </c>
      <c r="AM400" t="n">
        <v>0.0</v>
      </c>
      <c r="AN400" t="n">
        <v>0.0</v>
      </c>
      <c r="AO400" t="n">
        <v>879857.0</v>
      </c>
      <c r="AP400" t="n">
        <v>87986.0</v>
      </c>
      <c r="AQ400" t="n">
        <v>72787.1</v>
      </c>
      <c r="CH400">
        <f>IFERROR(U400*1,0)</f>
      </c>
    </row>
    <row r="401">
      <c r="A401" t="n">
        <v>6.0</v>
      </c>
      <c r="B401">
        <f>IF((K401-G401-H401&gt;2400000),10,(L401/(K401-G401-H401)*100))</f>
      </c>
      <c r="C401">
        <f>IF(N401&gt;2400000,240000,(N401*S401)/100)</f>
      </c>
      <c r="D401">
        <f>IF(S401=0,0,IF((N401-I401)&gt;2400000,((((((N401-I401-J401)-240000))*0.1+(I401+J401)*0.1)))-7000,((((((N401-I401-J401)-(N401-I401-J401)*S401/100)))*0.1+(I401+J401)*0.1)-7000)))</f>
      </c>
      <c r="E401">
        <f>C401-O401</f>
      </c>
      <c r="F401">
        <f>D401-P401</f>
      </c>
      <c r="G401">
        <f>SUMIF(negtgel!U$2:BL$2,'Tsalin uzuulelt'!B$1,negtgel!U401:BL401) + SUMIF(negtgel!U$2:BL$2,'Tsalin uzuulelt'!B$2,negtgel!U401:BL401)+SUMIF(negtgel!U$2:BL$2,'Tsalin uzuulelt'!B$3,negtgel!U401:BL401)+SUMIF(negtgel!U$2:BL$2,'Tsalin uzuulelt'!B$4,negtgel!U401:BL401)+SUMIF(negtgel!U$2:BL$2,'Tsalin uzuulelt'!B$5,negtgel!U401:BL401)</f>
      </c>
      <c r="H401">
        <f>SUMIF(negtgel!U$2:BL$2,'Tsalin uzuulelt'!F$1,negtgel!U401:BL401) + SUMIF(negtgel!U$2:BL$2,'Tsalin uzuulelt'!F$2,negtgel!U401:BL401)+SUMIF(negtgel!U$2:BL$2,'Tsalin uzuulelt'!F$3,negtgel!U401:BL401)+SUMIF(negtgel!U$2:BL$2,'Tsalin uzuulelt'!F$4,negtgel!U401:BL401)+SUMIF(negtgel!U$2:BL$2,'Tsalin uzuulelt'!F$5,negtgel!U401:BL401)</f>
      </c>
      <c r="I401">
        <f>SUMIF(negtgel!U$2:BL$2,'Tsalin uzuulelt'!H$1,negtgel!U401:BL401) + SUMIF(negtgel!U$2:BL$2,'Tsalin uzuulelt'!H$2,negtgel!U401:BL401)+SUMIF(negtgel!U$2:BL$2,'Tsalin uzuulelt'!H$3,negtgel!U401:BL401)+SUMIF(negtgel!U$2:BL$2,'Tsalin uzuulelt'!H$4,negtgel!U401:BL401)+SUMIF(negtgel!U$2:BL$2,'Tsalin uzuulelt'!H$5,negtgel!U401:BL401)</f>
      </c>
      <c r="J401">
        <f>SUMIF(negtgel!U$2:BL$2,'Tsalin uzuulelt'!J$1,negtgel!U401:BL401) + SUMIF(negtgel!U$2:BL$2,'Tsalin uzuulelt'!J$2,negtgel!U401:BL401)+SUMIF(negtgel!U$2:BL$2,'Tsalin uzuulelt'!J$3,negtgel!U401:BL401)+SUMIF(negtgel!U$2:BL$2,'Tsalin uzuulelt'!J$4,negtgel!U401:BL401)+SUMIF(negtgel!U$2:BL$2,'Tsalin uzuulelt'!J$5,negtgel!U401:BL401)</f>
      </c>
      <c r="K401">
        <f>SUMIF(negtgel!U$2:BL$2,'Tsalin uzuulelt'!L$1,negtgel!U401:BL401) + SUMIF(negtgel!U$2:BL$2,'Tsalin uzuulelt'!L$2,negtgel!U401:BL401)+SUMIF(negtgel!U$2:BL$2,'Tsalin uzuulelt'!L$3,negtgel!U401:BL401)+SUMIF(negtgel!U$2:BL$2,'Tsalin uzuulelt'!L$4,negtgel!U401:BL401)+SUMIF(negtgel!U$2:BL$2,'Tsalin uzuulelt'!L$5,negtgel!U401:BL401)</f>
      </c>
      <c r="L401">
        <f>SUMIF(negtgel!U$2:BL$2,'Tsalin uzuulelt'!N$1,negtgel!U401:BL401) + SUMIF(negtgel!U$2:BL$2,'Tsalin uzuulelt'!N$2,negtgel!U401:BL401)+SUMIF(negtgel!U$2:BL$2,'Tsalin uzuulelt'!N$3,negtgel!U401:BL401)+SUMIF(negtgel!U$2:BL$2,'Tsalin uzuulelt'!N$4,negtgel!U401:BL401)+SUMIF(negtgel!U$2:BL$2,'Tsalin uzuulelt'!N$5,negtgel!U401:BL401)</f>
      </c>
      <c r="M401">
        <f>SUMIF(negtgel!U$2:BL$2,'Tsalin uzuulelt'!P$1,negtgel!U401:BL401) + SUMIF(negtgel!U$2:BL$2,'Tsalin uzuulelt'!P$2,negtgel!U401:BL401)+ SUMIF(negtgel!U$2:BL$2,'Tsalin uzuulelt'!P$3,negtgel!U401:BL401)+ SUMIF(negtgel!U$2:BL$2,'Tsalin uzuulelt'!P$4,negtgel!U401:BL401)+ SUMIF(negtgel!U$2:BL$2,'Tsalin uzuulelt'!P$5,negtgel!U401:BL401)</f>
      </c>
      <c r="N401">
        <f>IF(ISNUMBER(U401*1)=CF401,0,K401-H401-G401)</f>
      </c>
      <c r="O401">
        <f>IF(ISNUMBER(U401*1)=CF401,0,L401)</f>
      </c>
      <c r="P401">
        <f>IF(ISNUMBER(U401*1)=CF401,0,M401)</f>
      </c>
      <c r="Q401">
        <f>IF(N401&gt;2400000,N401,0)</f>
      </c>
      <c r="R401">
        <f>IF(L401/Q401*100&lt;3,2,10)</f>
      </c>
      <c r="S401">
        <f>IF(CH401=0,0,IF(B401&gt;9,10,IF(B401&gt;8,B401,IF(B401&gt;7.7,7.8,IF(B401&gt;3,B401,IF(B401&gt;1.5,2))))))</f>
      </c>
      <c r="T401">
        <f>IF(Q401=0,S401,R401)</f>
      </c>
      <c r="U401" t="n">
        <v>87.0</v>
      </c>
      <c r="V401" t="s">
        <v>3843</v>
      </c>
      <c r="W401" t="s">
        <v>3820</v>
      </c>
      <c r="X401" t="n">
        <v>698795.0</v>
      </c>
      <c r="Y401" t="n">
        <v>698795.0</v>
      </c>
      <c r="Z401" t="n">
        <v>139759.0</v>
      </c>
      <c r="AA401" t="n">
        <v>125783.0</v>
      </c>
      <c r="AB401" t="n">
        <v>0.0</v>
      </c>
      <c r="AC401" t="n">
        <v>0.0</v>
      </c>
      <c r="AD401" t="n">
        <v>0.0</v>
      </c>
      <c r="AE401" t="n">
        <v>0.0</v>
      </c>
      <c r="AF401" t="n">
        <v>60000.0</v>
      </c>
      <c r="AG401" t="n">
        <v>0.0</v>
      </c>
      <c r="AH401" t="n">
        <v>0.0</v>
      </c>
      <c r="AI401" t="n">
        <v>0.0</v>
      </c>
      <c r="AJ401" t="n">
        <v>0.0</v>
      </c>
      <c r="AK401" t="n">
        <v>0.0</v>
      </c>
      <c r="AL401" t="n">
        <v>0.0</v>
      </c>
      <c r="AM401" t="n">
        <v>0.0</v>
      </c>
      <c r="AN401" t="n">
        <v>0.0</v>
      </c>
      <c r="AO401" t="n">
        <v>1024337.0</v>
      </c>
      <c r="AP401" t="n">
        <v>102435.0</v>
      </c>
      <c r="AQ401" t="n">
        <v>85790.3</v>
      </c>
      <c r="CH401">
        <f>IFERROR(U401*1,0)</f>
      </c>
    </row>
    <row r="402">
      <c r="A402" t="n">
        <v>6.0</v>
      </c>
      <c r="B402">
        <f>IF((K402-G402-H402&gt;2400000),10,(L402/(K402-G402-H402)*100))</f>
      </c>
      <c r="C402">
        <f>IF(N402&gt;2400000,240000,(N402*S402)/100)</f>
      </c>
      <c r="D402">
        <f>IF(S402=0,0,IF((N402-I402)&gt;2400000,((((((N402-I402-J402)-240000))*0.1+(I402+J402)*0.1)))-7000,((((((N402-I402-J402)-(N402-I402-J402)*S402/100)))*0.1+(I402+J402)*0.1)-7000)))</f>
      </c>
      <c r="E402">
        <f>C402-O402</f>
      </c>
      <c r="F402">
        <f>D402-P402</f>
      </c>
      <c r="G402">
        <f>SUMIF(negtgel!U$2:BL$2,'Tsalin uzuulelt'!B$1,negtgel!U402:BL402) + SUMIF(negtgel!U$2:BL$2,'Tsalin uzuulelt'!B$2,negtgel!U402:BL402)+SUMIF(negtgel!U$2:BL$2,'Tsalin uzuulelt'!B$3,negtgel!U402:BL402)+SUMIF(negtgel!U$2:BL$2,'Tsalin uzuulelt'!B$4,negtgel!U402:BL402)+SUMIF(negtgel!U$2:BL$2,'Tsalin uzuulelt'!B$5,negtgel!U402:BL402)</f>
      </c>
      <c r="H402">
        <f>SUMIF(negtgel!U$2:BL$2,'Tsalin uzuulelt'!F$1,negtgel!U402:BL402) + SUMIF(negtgel!U$2:BL$2,'Tsalin uzuulelt'!F$2,negtgel!U402:BL402)+SUMIF(negtgel!U$2:BL$2,'Tsalin uzuulelt'!F$3,negtgel!U402:BL402)+SUMIF(negtgel!U$2:BL$2,'Tsalin uzuulelt'!F$4,negtgel!U402:BL402)+SUMIF(negtgel!U$2:BL$2,'Tsalin uzuulelt'!F$5,negtgel!U402:BL402)</f>
      </c>
      <c r="I402">
        <f>SUMIF(negtgel!U$2:BL$2,'Tsalin uzuulelt'!H$1,negtgel!U402:BL402) + SUMIF(negtgel!U$2:BL$2,'Tsalin uzuulelt'!H$2,negtgel!U402:BL402)+SUMIF(negtgel!U$2:BL$2,'Tsalin uzuulelt'!H$3,negtgel!U402:BL402)+SUMIF(negtgel!U$2:BL$2,'Tsalin uzuulelt'!H$4,negtgel!U402:BL402)+SUMIF(negtgel!U$2:BL$2,'Tsalin uzuulelt'!H$5,negtgel!U402:BL402)</f>
      </c>
      <c r="J402">
        <f>SUMIF(negtgel!U$2:BL$2,'Tsalin uzuulelt'!J$1,negtgel!U402:BL402) + SUMIF(negtgel!U$2:BL$2,'Tsalin uzuulelt'!J$2,negtgel!U402:BL402)+SUMIF(negtgel!U$2:BL$2,'Tsalin uzuulelt'!J$3,negtgel!U402:BL402)+SUMIF(negtgel!U$2:BL$2,'Tsalin uzuulelt'!J$4,negtgel!U402:BL402)+SUMIF(negtgel!U$2:BL$2,'Tsalin uzuulelt'!J$5,negtgel!U402:BL402)</f>
      </c>
      <c r="K402">
        <f>SUMIF(negtgel!U$2:BL$2,'Tsalin uzuulelt'!L$1,negtgel!U402:BL402) + SUMIF(negtgel!U$2:BL$2,'Tsalin uzuulelt'!L$2,negtgel!U402:BL402)+SUMIF(negtgel!U$2:BL$2,'Tsalin uzuulelt'!L$3,negtgel!U402:BL402)+SUMIF(negtgel!U$2:BL$2,'Tsalin uzuulelt'!L$4,negtgel!U402:BL402)+SUMIF(negtgel!U$2:BL$2,'Tsalin uzuulelt'!L$5,negtgel!U402:BL402)</f>
      </c>
      <c r="L402">
        <f>SUMIF(negtgel!U$2:BL$2,'Tsalin uzuulelt'!N$1,negtgel!U402:BL402) + SUMIF(negtgel!U$2:BL$2,'Tsalin uzuulelt'!N$2,negtgel!U402:BL402)+SUMIF(negtgel!U$2:BL$2,'Tsalin uzuulelt'!N$3,negtgel!U402:BL402)+SUMIF(negtgel!U$2:BL$2,'Tsalin uzuulelt'!N$4,negtgel!U402:BL402)+SUMIF(negtgel!U$2:BL$2,'Tsalin uzuulelt'!N$5,negtgel!U402:BL402)</f>
      </c>
      <c r="M402">
        <f>SUMIF(negtgel!U$2:BL$2,'Tsalin uzuulelt'!P$1,negtgel!U402:BL402) + SUMIF(negtgel!U$2:BL$2,'Tsalin uzuulelt'!P$2,negtgel!U402:BL402)+ SUMIF(negtgel!U$2:BL$2,'Tsalin uzuulelt'!P$3,negtgel!U402:BL402)+ SUMIF(negtgel!U$2:BL$2,'Tsalin uzuulelt'!P$4,negtgel!U402:BL402)+ SUMIF(negtgel!U$2:BL$2,'Tsalin uzuulelt'!P$5,negtgel!U402:BL402)</f>
      </c>
      <c r="N402">
        <f>IF(ISNUMBER(U402*1)=CF402,0,K402-H402-G402)</f>
      </c>
      <c r="O402">
        <f>IF(ISNUMBER(U402*1)=CF402,0,L402)</f>
      </c>
      <c r="P402">
        <f>IF(ISNUMBER(U402*1)=CF402,0,M402)</f>
      </c>
      <c r="Q402">
        <f>IF(N402&gt;2400000,N402,0)</f>
      </c>
      <c r="R402">
        <f>IF(L402/Q402*100&lt;3,2,10)</f>
      </c>
      <c r="S402">
        <f>IF(CH402=0,0,IF(B402&gt;9,10,IF(B402&gt;8,B402,IF(B402&gt;7.7,7.8,IF(B402&gt;3,B402,IF(B402&gt;1.5,2))))))</f>
      </c>
      <c r="T402">
        <f>IF(Q402=0,S402,R402)</f>
      </c>
      <c r="U402" t="n">
        <v>88.0</v>
      </c>
      <c r="V402" t="s">
        <v>3853</v>
      </c>
      <c r="W402" t="s">
        <v>3790</v>
      </c>
      <c r="X402" t="n">
        <v>613669.0</v>
      </c>
      <c r="Y402" t="n">
        <v>613669.0</v>
      </c>
      <c r="Z402" t="n">
        <v>30683.0</v>
      </c>
      <c r="AA402" t="n">
        <v>92050.0</v>
      </c>
      <c r="AB402" t="n">
        <v>0.0</v>
      </c>
      <c r="AC402" t="n">
        <v>0.0</v>
      </c>
      <c r="AD402" t="n">
        <v>0.0</v>
      </c>
      <c r="AE402" t="n">
        <v>0.0</v>
      </c>
      <c r="AF402" t="n">
        <v>60000.0</v>
      </c>
      <c r="AG402" t="n">
        <v>0.0</v>
      </c>
      <c r="AH402" t="n">
        <v>0.0</v>
      </c>
      <c r="AI402" t="n">
        <v>0.0</v>
      </c>
      <c r="AJ402" t="n">
        <v>0.0</v>
      </c>
      <c r="AK402" t="n">
        <v>0.0</v>
      </c>
      <c r="AL402" t="n">
        <v>0.0</v>
      </c>
      <c r="AM402" t="n">
        <v>0.0</v>
      </c>
      <c r="AN402" t="n">
        <v>0.0</v>
      </c>
      <c r="AO402" t="n">
        <v>796402.0</v>
      </c>
      <c r="AP402" t="n">
        <v>79640.0</v>
      </c>
      <c r="AQ402" t="n">
        <v>65276.2</v>
      </c>
      <c r="CH402">
        <f>IFERROR(U402*1,0)</f>
      </c>
    </row>
    <row r="403">
      <c r="A403" t="n">
        <v>6.0</v>
      </c>
      <c r="B403">
        <f>IF((K403-G403-H403&gt;2400000),10,(L403/(K403-G403-H403)*100))</f>
      </c>
      <c r="C403">
        <f>IF(N403&gt;2400000,240000,(N403*S403)/100)</f>
      </c>
      <c r="D403">
        <f>IF(S403=0,0,IF((N403-I403)&gt;2400000,((((((N403-I403-J403)-240000))*0.1+(I403+J403)*0.1)))-7000,((((((N403-I403-J403)-(N403-I403-J403)*S403/100)))*0.1+(I403+J403)*0.1)-7000)))</f>
      </c>
      <c r="E403">
        <f>C403-O403</f>
      </c>
      <c r="F403">
        <f>D403-P403</f>
      </c>
      <c r="G403">
        <f>SUMIF(negtgel!U$2:BL$2,'Tsalin uzuulelt'!B$1,negtgel!U403:BL403) + SUMIF(negtgel!U$2:BL$2,'Tsalin uzuulelt'!B$2,negtgel!U403:BL403)+SUMIF(negtgel!U$2:BL$2,'Tsalin uzuulelt'!B$3,negtgel!U403:BL403)+SUMIF(negtgel!U$2:BL$2,'Tsalin uzuulelt'!B$4,negtgel!U403:BL403)+SUMIF(negtgel!U$2:BL$2,'Tsalin uzuulelt'!B$5,negtgel!U403:BL403)</f>
      </c>
      <c r="H403">
        <f>SUMIF(negtgel!U$2:BL$2,'Tsalin uzuulelt'!F$1,negtgel!U403:BL403) + SUMIF(negtgel!U$2:BL$2,'Tsalin uzuulelt'!F$2,negtgel!U403:BL403)+SUMIF(negtgel!U$2:BL$2,'Tsalin uzuulelt'!F$3,negtgel!U403:BL403)+SUMIF(negtgel!U$2:BL$2,'Tsalin uzuulelt'!F$4,negtgel!U403:BL403)+SUMIF(negtgel!U$2:BL$2,'Tsalin uzuulelt'!F$5,negtgel!U403:BL403)</f>
      </c>
      <c r="I403">
        <f>SUMIF(negtgel!U$2:BL$2,'Tsalin uzuulelt'!H$1,negtgel!U403:BL403) + SUMIF(negtgel!U$2:BL$2,'Tsalin uzuulelt'!H$2,negtgel!U403:BL403)+SUMIF(negtgel!U$2:BL$2,'Tsalin uzuulelt'!H$3,negtgel!U403:BL403)+SUMIF(negtgel!U$2:BL$2,'Tsalin uzuulelt'!H$4,negtgel!U403:BL403)+SUMIF(negtgel!U$2:BL$2,'Tsalin uzuulelt'!H$5,negtgel!U403:BL403)</f>
      </c>
      <c r="J403">
        <f>SUMIF(negtgel!U$2:BL$2,'Tsalin uzuulelt'!J$1,negtgel!U403:BL403) + SUMIF(negtgel!U$2:BL$2,'Tsalin uzuulelt'!J$2,negtgel!U403:BL403)+SUMIF(negtgel!U$2:BL$2,'Tsalin uzuulelt'!J$3,negtgel!U403:BL403)+SUMIF(negtgel!U$2:BL$2,'Tsalin uzuulelt'!J$4,negtgel!U403:BL403)+SUMIF(negtgel!U$2:BL$2,'Tsalin uzuulelt'!J$5,negtgel!U403:BL403)</f>
      </c>
      <c r="K403">
        <f>SUMIF(negtgel!U$2:BL$2,'Tsalin uzuulelt'!L$1,negtgel!U403:BL403) + SUMIF(negtgel!U$2:BL$2,'Tsalin uzuulelt'!L$2,negtgel!U403:BL403)+SUMIF(negtgel!U$2:BL$2,'Tsalin uzuulelt'!L$3,negtgel!U403:BL403)+SUMIF(negtgel!U$2:BL$2,'Tsalin uzuulelt'!L$4,negtgel!U403:BL403)+SUMIF(negtgel!U$2:BL$2,'Tsalin uzuulelt'!L$5,negtgel!U403:BL403)</f>
      </c>
      <c r="L403">
        <f>SUMIF(negtgel!U$2:BL$2,'Tsalin uzuulelt'!N$1,negtgel!U403:BL403) + SUMIF(negtgel!U$2:BL$2,'Tsalin uzuulelt'!N$2,negtgel!U403:BL403)+SUMIF(negtgel!U$2:BL$2,'Tsalin uzuulelt'!N$3,negtgel!U403:BL403)+SUMIF(negtgel!U$2:BL$2,'Tsalin uzuulelt'!N$4,negtgel!U403:BL403)+SUMIF(negtgel!U$2:BL$2,'Tsalin uzuulelt'!N$5,negtgel!U403:BL403)</f>
      </c>
      <c r="M403">
        <f>SUMIF(negtgel!U$2:BL$2,'Tsalin uzuulelt'!P$1,negtgel!U403:BL403) + SUMIF(negtgel!U$2:BL$2,'Tsalin uzuulelt'!P$2,negtgel!U403:BL403)+ SUMIF(negtgel!U$2:BL$2,'Tsalin uzuulelt'!P$3,negtgel!U403:BL403)+ SUMIF(negtgel!U$2:BL$2,'Tsalin uzuulelt'!P$4,negtgel!U403:BL403)+ SUMIF(negtgel!U$2:BL$2,'Tsalin uzuulelt'!P$5,negtgel!U403:BL403)</f>
      </c>
      <c r="N403">
        <f>IF(ISNUMBER(U403*1)=CF403,0,K403-H403-G403)</f>
      </c>
      <c r="O403">
        <f>IF(ISNUMBER(U403*1)=CF403,0,L403)</f>
      </c>
      <c r="P403">
        <f>IF(ISNUMBER(U403*1)=CF403,0,M403)</f>
      </c>
      <c r="Q403">
        <f>IF(N403&gt;2400000,N403,0)</f>
      </c>
      <c r="R403">
        <f>IF(L403/Q403*100&lt;3,2,10)</f>
      </c>
      <c r="S403">
        <f>IF(CH403=0,0,IF(B403&gt;9,10,IF(B403&gt;8,B403,IF(B403&gt;7.7,7.8,IF(B403&gt;3,B403,IF(B403&gt;1.5,2))))))</f>
      </c>
      <c r="T403">
        <f>IF(Q403=0,S403,R403)</f>
      </c>
      <c r="U403" t="n">
        <v>89.0</v>
      </c>
      <c r="V403" t="s">
        <v>3854</v>
      </c>
      <c r="W403" t="s">
        <v>3785</v>
      </c>
      <c r="X403" t="n">
        <v>795935.0</v>
      </c>
      <c r="Y403" t="n">
        <v>795935.0</v>
      </c>
      <c r="Z403" t="n">
        <v>159187.0</v>
      </c>
      <c r="AA403" t="n">
        <v>175106.0</v>
      </c>
      <c r="AB403" t="n">
        <v>0.0</v>
      </c>
      <c r="AC403" t="n">
        <v>0.0</v>
      </c>
      <c r="AD403" t="n">
        <v>0.0</v>
      </c>
      <c r="AE403" t="n">
        <v>0.0</v>
      </c>
      <c r="AF403" t="n">
        <v>60000.0</v>
      </c>
      <c r="AG403" t="n">
        <v>0.0</v>
      </c>
      <c r="AH403" t="n">
        <v>0.0</v>
      </c>
      <c r="AI403" t="n">
        <v>0.0</v>
      </c>
      <c r="AJ403" t="n">
        <v>0.0</v>
      </c>
      <c r="AK403" t="n">
        <v>0.0</v>
      </c>
      <c r="AL403" t="n">
        <v>0.0</v>
      </c>
      <c r="AM403" t="n">
        <v>0.0</v>
      </c>
      <c r="AN403" t="n">
        <v>0.0</v>
      </c>
      <c r="AO403" t="n">
        <v>1190228.0</v>
      </c>
      <c r="AP403" t="n">
        <v>119023.0</v>
      </c>
      <c r="AQ403" t="n">
        <v>100720.5</v>
      </c>
      <c r="CH403">
        <f>IFERROR(U403*1,0)</f>
      </c>
    </row>
    <row r="404">
      <c r="A404" t="n">
        <v>6.0</v>
      </c>
      <c r="B404">
        <f>IF((K404-G404-H404&gt;2400000),10,(L404/(K404-G404-H404)*100))</f>
      </c>
      <c r="C404">
        <f>IF(N404&gt;2400000,240000,(N404*S404)/100)</f>
      </c>
      <c r="D404">
        <f>IF(S404=0,0,IF((N404-I404)&gt;2400000,((((((N404-I404-J404)-240000))*0.1+(I404+J404)*0.1)))-7000,((((((N404-I404-J404)-(N404-I404-J404)*S404/100)))*0.1+(I404+J404)*0.1)-7000)))</f>
      </c>
      <c r="E404">
        <f>C404-O404</f>
      </c>
      <c r="F404">
        <f>D404-P404</f>
      </c>
      <c r="G404">
        <f>SUMIF(negtgel!U$2:BL$2,'Tsalin uzuulelt'!B$1,negtgel!U404:BL404) + SUMIF(negtgel!U$2:BL$2,'Tsalin uzuulelt'!B$2,negtgel!U404:BL404)+SUMIF(negtgel!U$2:BL$2,'Tsalin uzuulelt'!B$3,negtgel!U404:BL404)+SUMIF(negtgel!U$2:BL$2,'Tsalin uzuulelt'!B$4,negtgel!U404:BL404)+SUMIF(negtgel!U$2:BL$2,'Tsalin uzuulelt'!B$5,negtgel!U404:BL404)</f>
      </c>
      <c r="H404">
        <f>SUMIF(negtgel!U$2:BL$2,'Tsalin uzuulelt'!F$1,negtgel!U404:BL404) + SUMIF(negtgel!U$2:BL$2,'Tsalin uzuulelt'!F$2,negtgel!U404:BL404)+SUMIF(negtgel!U$2:BL$2,'Tsalin uzuulelt'!F$3,negtgel!U404:BL404)+SUMIF(negtgel!U$2:BL$2,'Tsalin uzuulelt'!F$4,negtgel!U404:BL404)+SUMIF(negtgel!U$2:BL$2,'Tsalin uzuulelt'!F$5,negtgel!U404:BL404)</f>
      </c>
      <c r="I404">
        <f>SUMIF(negtgel!U$2:BL$2,'Tsalin uzuulelt'!H$1,negtgel!U404:BL404) + SUMIF(negtgel!U$2:BL$2,'Tsalin uzuulelt'!H$2,negtgel!U404:BL404)+SUMIF(negtgel!U$2:BL$2,'Tsalin uzuulelt'!H$3,negtgel!U404:BL404)+SUMIF(negtgel!U$2:BL$2,'Tsalin uzuulelt'!H$4,negtgel!U404:BL404)+SUMIF(negtgel!U$2:BL$2,'Tsalin uzuulelt'!H$5,negtgel!U404:BL404)</f>
      </c>
      <c r="J404">
        <f>SUMIF(negtgel!U$2:BL$2,'Tsalin uzuulelt'!J$1,negtgel!U404:BL404) + SUMIF(negtgel!U$2:BL$2,'Tsalin uzuulelt'!J$2,negtgel!U404:BL404)+SUMIF(negtgel!U$2:BL$2,'Tsalin uzuulelt'!J$3,negtgel!U404:BL404)+SUMIF(negtgel!U$2:BL$2,'Tsalin uzuulelt'!J$4,negtgel!U404:BL404)+SUMIF(negtgel!U$2:BL$2,'Tsalin uzuulelt'!J$5,negtgel!U404:BL404)</f>
      </c>
      <c r="K404">
        <f>SUMIF(negtgel!U$2:BL$2,'Tsalin uzuulelt'!L$1,negtgel!U404:BL404) + SUMIF(negtgel!U$2:BL$2,'Tsalin uzuulelt'!L$2,negtgel!U404:BL404)+SUMIF(negtgel!U$2:BL$2,'Tsalin uzuulelt'!L$3,negtgel!U404:BL404)+SUMIF(negtgel!U$2:BL$2,'Tsalin uzuulelt'!L$4,negtgel!U404:BL404)+SUMIF(negtgel!U$2:BL$2,'Tsalin uzuulelt'!L$5,negtgel!U404:BL404)</f>
      </c>
      <c r="L404">
        <f>SUMIF(negtgel!U$2:BL$2,'Tsalin uzuulelt'!N$1,negtgel!U404:BL404) + SUMIF(negtgel!U$2:BL$2,'Tsalin uzuulelt'!N$2,negtgel!U404:BL404)+SUMIF(negtgel!U$2:BL$2,'Tsalin uzuulelt'!N$3,negtgel!U404:BL404)+SUMIF(negtgel!U$2:BL$2,'Tsalin uzuulelt'!N$4,negtgel!U404:BL404)+SUMIF(negtgel!U$2:BL$2,'Tsalin uzuulelt'!N$5,negtgel!U404:BL404)</f>
      </c>
      <c r="M404">
        <f>SUMIF(negtgel!U$2:BL$2,'Tsalin uzuulelt'!P$1,negtgel!U404:BL404) + SUMIF(negtgel!U$2:BL$2,'Tsalin uzuulelt'!P$2,negtgel!U404:BL404)+ SUMIF(negtgel!U$2:BL$2,'Tsalin uzuulelt'!P$3,negtgel!U404:BL404)+ SUMIF(negtgel!U$2:BL$2,'Tsalin uzuulelt'!P$4,negtgel!U404:BL404)+ SUMIF(negtgel!U$2:BL$2,'Tsalin uzuulelt'!P$5,negtgel!U404:BL404)</f>
      </c>
      <c r="N404">
        <f>IF(ISNUMBER(U404*1)=CF404,0,K404-H404-G404)</f>
      </c>
      <c r="O404">
        <f>IF(ISNUMBER(U404*1)=CF404,0,L404)</f>
      </c>
      <c r="P404">
        <f>IF(ISNUMBER(U404*1)=CF404,0,M404)</f>
      </c>
      <c r="Q404">
        <f>IF(N404&gt;2400000,N404,0)</f>
      </c>
      <c r="R404">
        <f>IF(L404/Q404*100&lt;3,2,10)</f>
      </c>
      <c r="S404">
        <f>IF(CH404=0,0,IF(B404&gt;9,10,IF(B404&gt;8,B404,IF(B404&gt;7.7,7.8,IF(B404&gt;3,B404,IF(B404&gt;1.5,2))))))</f>
      </c>
      <c r="T404">
        <f>IF(Q404=0,S404,R404)</f>
      </c>
      <c r="U404" t="n">
        <v>90.0</v>
      </c>
      <c r="V404" t="s">
        <v>3855</v>
      </c>
      <c r="W404" t="s">
        <v>3790</v>
      </c>
      <c r="X404" t="n">
        <v>580710.0</v>
      </c>
      <c r="Y404" t="n">
        <v>0.0</v>
      </c>
      <c r="Z404" t="n">
        <v>0.0</v>
      </c>
      <c r="AA404" t="n">
        <v>0.0</v>
      </c>
      <c r="AB404" t="n">
        <v>0.0</v>
      </c>
      <c r="AC404" t="n">
        <v>0.0</v>
      </c>
      <c r="AD404" t="n">
        <v>0.0</v>
      </c>
      <c r="AE404" t="n">
        <v>0.0</v>
      </c>
      <c r="AF404" t="n">
        <v>0.0</v>
      </c>
      <c r="AG404" t="n">
        <v>0.0</v>
      </c>
      <c r="AH404" t="n">
        <v>0.0</v>
      </c>
      <c r="AI404" t="n">
        <v>0.0</v>
      </c>
      <c r="AJ404" t="n">
        <v>473137.0</v>
      </c>
      <c r="AK404" t="n">
        <v>0.0</v>
      </c>
      <c r="AL404" t="n">
        <v>0.0</v>
      </c>
      <c r="AM404" t="n">
        <v>0.0</v>
      </c>
      <c r="AN404" t="n">
        <v>0.0</v>
      </c>
      <c r="AO404" t="n">
        <v>473137.0</v>
      </c>
      <c r="AP404" t="n">
        <v>47314.0</v>
      </c>
      <c r="AQ404" t="n">
        <v>35582.3</v>
      </c>
      <c r="CH404">
        <f>IFERROR(U404*1,0)</f>
      </c>
    </row>
    <row r="405">
      <c r="A405" t="n">
        <v>6.0</v>
      </c>
      <c r="B405">
        <f>IF((K405-G405-H405&gt;2400000),10,(L405/(K405-G405-H405)*100))</f>
      </c>
      <c r="C405">
        <f>IF(N405&gt;2400000,240000,(N405*S405)/100)</f>
      </c>
      <c r="D405">
        <f>IF(S405=0,0,IF((N405-I405)&gt;2400000,((((((N405-I405-J405)-240000))*0.1+(I405+J405)*0.1)))-7000,((((((N405-I405-J405)-(N405-I405-J405)*S405/100)))*0.1+(I405+J405)*0.1)-7000)))</f>
      </c>
      <c r="E405">
        <f>C405-O405</f>
      </c>
      <c r="F405">
        <f>D405-P405</f>
      </c>
      <c r="G405">
        <f>SUMIF(negtgel!U$2:BL$2,'Tsalin uzuulelt'!B$1,negtgel!U405:BL405) + SUMIF(negtgel!U$2:BL$2,'Tsalin uzuulelt'!B$2,negtgel!U405:BL405)+SUMIF(negtgel!U$2:BL$2,'Tsalin uzuulelt'!B$3,negtgel!U405:BL405)+SUMIF(negtgel!U$2:BL$2,'Tsalin uzuulelt'!B$4,negtgel!U405:BL405)+SUMIF(negtgel!U$2:BL$2,'Tsalin uzuulelt'!B$5,negtgel!U405:BL405)</f>
      </c>
      <c r="H405">
        <f>SUMIF(negtgel!U$2:BL$2,'Tsalin uzuulelt'!F$1,negtgel!U405:BL405) + SUMIF(negtgel!U$2:BL$2,'Tsalin uzuulelt'!F$2,negtgel!U405:BL405)+SUMIF(negtgel!U$2:BL$2,'Tsalin uzuulelt'!F$3,negtgel!U405:BL405)+SUMIF(negtgel!U$2:BL$2,'Tsalin uzuulelt'!F$4,negtgel!U405:BL405)+SUMIF(negtgel!U$2:BL$2,'Tsalin uzuulelt'!F$5,negtgel!U405:BL405)</f>
      </c>
      <c r="I405">
        <f>SUMIF(negtgel!U$2:BL$2,'Tsalin uzuulelt'!H$1,negtgel!U405:BL405) + SUMIF(negtgel!U$2:BL$2,'Tsalin uzuulelt'!H$2,negtgel!U405:BL405)+SUMIF(negtgel!U$2:BL$2,'Tsalin uzuulelt'!H$3,negtgel!U405:BL405)+SUMIF(negtgel!U$2:BL$2,'Tsalin uzuulelt'!H$4,negtgel!U405:BL405)+SUMIF(negtgel!U$2:BL$2,'Tsalin uzuulelt'!H$5,negtgel!U405:BL405)</f>
      </c>
      <c r="J405">
        <f>SUMIF(negtgel!U$2:BL$2,'Tsalin uzuulelt'!J$1,negtgel!U405:BL405) + SUMIF(negtgel!U$2:BL$2,'Tsalin uzuulelt'!J$2,negtgel!U405:BL405)+SUMIF(negtgel!U$2:BL$2,'Tsalin uzuulelt'!J$3,negtgel!U405:BL405)+SUMIF(negtgel!U$2:BL$2,'Tsalin uzuulelt'!J$4,negtgel!U405:BL405)+SUMIF(negtgel!U$2:BL$2,'Tsalin uzuulelt'!J$5,negtgel!U405:BL405)</f>
      </c>
      <c r="K405">
        <f>SUMIF(negtgel!U$2:BL$2,'Tsalin uzuulelt'!L$1,negtgel!U405:BL405) + SUMIF(negtgel!U$2:BL$2,'Tsalin uzuulelt'!L$2,negtgel!U405:BL405)+SUMIF(negtgel!U$2:BL$2,'Tsalin uzuulelt'!L$3,negtgel!U405:BL405)+SUMIF(negtgel!U$2:BL$2,'Tsalin uzuulelt'!L$4,negtgel!U405:BL405)+SUMIF(negtgel!U$2:BL$2,'Tsalin uzuulelt'!L$5,negtgel!U405:BL405)</f>
      </c>
      <c r="L405">
        <f>SUMIF(negtgel!U$2:BL$2,'Tsalin uzuulelt'!N$1,negtgel!U405:BL405) + SUMIF(negtgel!U$2:BL$2,'Tsalin uzuulelt'!N$2,negtgel!U405:BL405)+SUMIF(negtgel!U$2:BL$2,'Tsalin uzuulelt'!N$3,negtgel!U405:BL405)+SUMIF(negtgel!U$2:BL$2,'Tsalin uzuulelt'!N$4,negtgel!U405:BL405)+SUMIF(negtgel!U$2:BL$2,'Tsalin uzuulelt'!N$5,negtgel!U405:BL405)</f>
      </c>
      <c r="M405">
        <f>SUMIF(negtgel!U$2:BL$2,'Tsalin uzuulelt'!P$1,negtgel!U405:BL405) + SUMIF(negtgel!U$2:BL$2,'Tsalin uzuulelt'!P$2,negtgel!U405:BL405)+ SUMIF(negtgel!U$2:BL$2,'Tsalin uzuulelt'!P$3,negtgel!U405:BL405)+ SUMIF(negtgel!U$2:BL$2,'Tsalin uzuulelt'!P$4,negtgel!U405:BL405)+ SUMIF(negtgel!U$2:BL$2,'Tsalin uzuulelt'!P$5,negtgel!U405:BL405)</f>
      </c>
      <c r="N405">
        <f>IF(ISNUMBER(U405*1)=CF405,0,K405-H405-G405)</f>
      </c>
      <c r="O405">
        <f>IF(ISNUMBER(U405*1)=CF405,0,L405)</f>
      </c>
      <c r="P405">
        <f>IF(ISNUMBER(U405*1)=CF405,0,M405)</f>
      </c>
      <c r="Q405">
        <f>IF(N405&gt;2400000,N405,0)</f>
      </c>
      <c r="R405">
        <f>IF(L405/Q405*100&lt;3,2,10)</f>
      </c>
      <c r="S405">
        <f>IF(CH405=0,0,IF(B405&gt;9,10,IF(B405&gt;8,B405,IF(B405&gt;7.7,7.8,IF(B405&gt;3,B405,IF(B405&gt;1.5,2))))))</f>
      </c>
      <c r="T405">
        <f>IF(Q405=0,S405,R405)</f>
      </c>
      <c r="U405" t="n">
        <v>91.0</v>
      </c>
      <c r="V405" t="s">
        <v>3856</v>
      </c>
      <c r="W405" t="s">
        <v>3820</v>
      </c>
      <c r="X405" t="n">
        <v>613669.0</v>
      </c>
      <c r="Y405" t="n">
        <v>613669.0</v>
      </c>
      <c r="Z405" t="n">
        <v>61367.0</v>
      </c>
      <c r="AA405" t="n">
        <v>104324.0</v>
      </c>
      <c r="AB405" t="n">
        <v>0.0</v>
      </c>
      <c r="AC405" t="n">
        <v>0.0</v>
      </c>
      <c r="AD405" t="n">
        <v>0.0</v>
      </c>
      <c r="AE405" t="n">
        <v>0.0</v>
      </c>
      <c r="AF405" t="n">
        <v>60000.0</v>
      </c>
      <c r="AG405" t="n">
        <v>0.0</v>
      </c>
      <c r="AH405" t="n">
        <v>0.0</v>
      </c>
      <c r="AI405" t="n">
        <v>0.0</v>
      </c>
      <c r="AJ405" t="n">
        <v>0.0</v>
      </c>
      <c r="AK405" t="n">
        <v>0.0</v>
      </c>
      <c r="AL405" t="n">
        <v>0.0</v>
      </c>
      <c r="AM405" t="n">
        <v>0.0</v>
      </c>
      <c r="AN405" t="n">
        <v>0.0</v>
      </c>
      <c r="AO405" t="n">
        <v>839360.0</v>
      </c>
      <c r="AP405" t="n">
        <v>83936.0</v>
      </c>
      <c r="AQ405" t="n">
        <v>69142.4</v>
      </c>
      <c r="CH405">
        <f>IFERROR(U405*1,0)</f>
      </c>
    </row>
    <row r="406">
      <c r="A406" t="n">
        <v>6.0</v>
      </c>
      <c r="B406">
        <f>IF((K406-G406-H406&gt;2400000),10,(L406/(K406-G406-H406)*100))</f>
      </c>
      <c r="C406">
        <f>IF(N406&gt;2400000,240000,(N406*S406)/100)</f>
      </c>
      <c r="D406">
        <f>IF(S406=0,0,IF((N406-I406)&gt;2400000,((((((N406-I406-J406)-240000))*0.1+(I406+J406)*0.1)))-7000,((((((N406-I406-J406)-(N406-I406-J406)*S406/100)))*0.1+(I406+J406)*0.1)-7000)))</f>
      </c>
      <c r="E406">
        <f>C406-O406</f>
      </c>
      <c r="F406">
        <f>D406-P406</f>
      </c>
      <c r="G406">
        <f>SUMIF(negtgel!U$2:BL$2,'Tsalin uzuulelt'!B$1,negtgel!U406:BL406) + SUMIF(negtgel!U$2:BL$2,'Tsalin uzuulelt'!B$2,negtgel!U406:BL406)+SUMIF(negtgel!U$2:BL$2,'Tsalin uzuulelt'!B$3,negtgel!U406:BL406)+SUMIF(negtgel!U$2:BL$2,'Tsalin uzuulelt'!B$4,negtgel!U406:BL406)+SUMIF(negtgel!U$2:BL$2,'Tsalin uzuulelt'!B$5,negtgel!U406:BL406)</f>
      </c>
      <c r="H406">
        <f>SUMIF(negtgel!U$2:BL$2,'Tsalin uzuulelt'!F$1,negtgel!U406:BL406) + SUMIF(negtgel!U$2:BL$2,'Tsalin uzuulelt'!F$2,negtgel!U406:BL406)+SUMIF(negtgel!U$2:BL$2,'Tsalin uzuulelt'!F$3,negtgel!U406:BL406)+SUMIF(negtgel!U$2:BL$2,'Tsalin uzuulelt'!F$4,negtgel!U406:BL406)+SUMIF(negtgel!U$2:BL$2,'Tsalin uzuulelt'!F$5,negtgel!U406:BL406)</f>
      </c>
      <c r="I406">
        <f>SUMIF(negtgel!U$2:BL$2,'Tsalin uzuulelt'!H$1,negtgel!U406:BL406) + SUMIF(negtgel!U$2:BL$2,'Tsalin uzuulelt'!H$2,negtgel!U406:BL406)+SUMIF(negtgel!U$2:BL$2,'Tsalin uzuulelt'!H$3,negtgel!U406:BL406)+SUMIF(negtgel!U$2:BL$2,'Tsalin uzuulelt'!H$4,negtgel!U406:BL406)+SUMIF(negtgel!U$2:BL$2,'Tsalin uzuulelt'!H$5,negtgel!U406:BL406)</f>
      </c>
      <c r="J406">
        <f>SUMIF(negtgel!U$2:BL$2,'Tsalin uzuulelt'!J$1,negtgel!U406:BL406) + SUMIF(negtgel!U$2:BL$2,'Tsalin uzuulelt'!J$2,negtgel!U406:BL406)+SUMIF(negtgel!U$2:BL$2,'Tsalin uzuulelt'!J$3,negtgel!U406:BL406)+SUMIF(negtgel!U$2:BL$2,'Tsalin uzuulelt'!J$4,negtgel!U406:BL406)+SUMIF(negtgel!U$2:BL$2,'Tsalin uzuulelt'!J$5,negtgel!U406:BL406)</f>
      </c>
      <c r="K406">
        <f>SUMIF(negtgel!U$2:BL$2,'Tsalin uzuulelt'!L$1,negtgel!U406:BL406) + SUMIF(negtgel!U$2:BL$2,'Tsalin uzuulelt'!L$2,negtgel!U406:BL406)+SUMIF(negtgel!U$2:BL$2,'Tsalin uzuulelt'!L$3,negtgel!U406:BL406)+SUMIF(negtgel!U$2:BL$2,'Tsalin uzuulelt'!L$4,negtgel!U406:BL406)+SUMIF(negtgel!U$2:BL$2,'Tsalin uzuulelt'!L$5,negtgel!U406:BL406)</f>
      </c>
      <c r="L406">
        <f>SUMIF(negtgel!U$2:BL$2,'Tsalin uzuulelt'!N$1,negtgel!U406:BL406) + SUMIF(negtgel!U$2:BL$2,'Tsalin uzuulelt'!N$2,negtgel!U406:BL406)+SUMIF(negtgel!U$2:BL$2,'Tsalin uzuulelt'!N$3,negtgel!U406:BL406)+SUMIF(negtgel!U$2:BL$2,'Tsalin uzuulelt'!N$4,negtgel!U406:BL406)+SUMIF(negtgel!U$2:BL$2,'Tsalin uzuulelt'!N$5,negtgel!U406:BL406)</f>
      </c>
      <c r="M406">
        <f>SUMIF(negtgel!U$2:BL$2,'Tsalin uzuulelt'!P$1,negtgel!U406:BL406) + SUMIF(negtgel!U$2:BL$2,'Tsalin uzuulelt'!P$2,negtgel!U406:BL406)+ SUMIF(negtgel!U$2:BL$2,'Tsalin uzuulelt'!P$3,negtgel!U406:BL406)+ SUMIF(negtgel!U$2:BL$2,'Tsalin uzuulelt'!P$4,negtgel!U406:BL406)+ SUMIF(negtgel!U$2:BL$2,'Tsalin uzuulelt'!P$5,negtgel!U406:BL406)</f>
      </c>
      <c r="N406">
        <f>IF(ISNUMBER(U406*1)=CF406,0,K406-H406-G406)</f>
      </c>
      <c r="O406">
        <f>IF(ISNUMBER(U406*1)=CF406,0,L406)</f>
      </c>
      <c r="P406">
        <f>IF(ISNUMBER(U406*1)=CF406,0,M406)</f>
      </c>
      <c r="Q406">
        <f>IF(N406&gt;2400000,N406,0)</f>
      </c>
      <c r="R406">
        <f>IF(L406/Q406*100&lt;3,2,10)</f>
      </c>
      <c r="S406">
        <f>IF(CH406=0,0,IF(B406&gt;9,10,IF(B406&gt;8,B406,IF(B406&gt;7.7,7.8,IF(B406&gt;3,B406,IF(B406&gt;1.5,2))))))</f>
      </c>
      <c r="T406">
        <f>IF(Q406=0,S406,R406)</f>
      </c>
      <c r="U406" t="n">
        <v>92.0</v>
      </c>
      <c r="V406" t="s">
        <v>3857</v>
      </c>
      <c r="W406" t="s">
        <v>3790</v>
      </c>
      <c r="X406" t="n">
        <v>613669.0</v>
      </c>
      <c r="Y406" t="n">
        <v>613669.0</v>
      </c>
      <c r="Z406" t="n">
        <v>61367.0</v>
      </c>
      <c r="AA406" t="n">
        <v>104324.0</v>
      </c>
      <c r="AB406" t="n">
        <v>0.0</v>
      </c>
      <c r="AC406" t="n">
        <v>0.0</v>
      </c>
      <c r="AD406" t="n">
        <v>0.0</v>
      </c>
      <c r="AE406" t="n">
        <v>0.0</v>
      </c>
      <c r="AF406" t="n">
        <v>60000.0</v>
      </c>
      <c r="AG406" t="n">
        <v>0.0</v>
      </c>
      <c r="AH406" t="n">
        <v>0.0</v>
      </c>
      <c r="AI406" t="n">
        <v>0.0</v>
      </c>
      <c r="AJ406" t="n">
        <v>0.0</v>
      </c>
      <c r="AK406" t="n">
        <v>0.0</v>
      </c>
      <c r="AL406" t="n">
        <v>0.0</v>
      </c>
      <c r="AM406" t="n">
        <v>0.0</v>
      </c>
      <c r="AN406" t="n">
        <v>0.0</v>
      </c>
      <c r="AO406" t="n">
        <v>839360.0</v>
      </c>
      <c r="AP406" t="n">
        <v>83936.0</v>
      </c>
      <c r="AQ406" t="n">
        <v>69142.4</v>
      </c>
      <c r="CH406">
        <f>IFERROR(U406*1,0)</f>
      </c>
    </row>
    <row r="407">
      <c r="A407" t="n">
        <v>6.0</v>
      </c>
      <c r="B407">
        <f>IF((K407-G407-H407&gt;2400000),10,(L407/(K407-G407-H407)*100))</f>
      </c>
      <c r="C407">
        <f>IF(N407&gt;2400000,240000,(N407*S407)/100)</f>
      </c>
      <c r="D407">
        <f>IF(S407=0,0,IF((N407-I407)&gt;2400000,((((((N407-I407-J407)-240000))*0.1+(I407+J407)*0.1)))-7000,((((((N407-I407-J407)-(N407-I407-J407)*S407/100)))*0.1+(I407+J407)*0.1)-7000)))</f>
      </c>
      <c r="E407">
        <f>C407-O407</f>
      </c>
      <c r="F407">
        <f>D407-P407</f>
      </c>
      <c r="G407">
        <f>SUMIF(negtgel!U$2:BL$2,'Tsalin uzuulelt'!B$1,negtgel!U407:BL407) + SUMIF(negtgel!U$2:BL$2,'Tsalin uzuulelt'!B$2,negtgel!U407:BL407)+SUMIF(negtgel!U$2:BL$2,'Tsalin uzuulelt'!B$3,negtgel!U407:BL407)+SUMIF(negtgel!U$2:BL$2,'Tsalin uzuulelt'!B$4,negtgel!U407:BL407)+SUMIF(negtgel!U$2:BL$2,'Tsalin uzuulelt'!B$5,negtgel!U407:BL407)</f>
      </c>
      <c r="H407">
        <f>SUMIF(negtgel!U$2:BL$2,'Tsalin uzuulelt'!F$1,negtgel!U407:BL407) + SUMIF(negtgel!U$2:BL$2,'Tsalin uzuulelt'!F$2,negtgel!U407:BL407)+SUMIF(negtgel!U$2:BL$2,'Tsalin uzuulelt'!F$3,negtgel!U407:BL407)+SUMIF(negtgel!U$2:BL$2,'Tsalin uzuulelt'!F$4,negtgel!U407:BL407)+SUMIF(negtgel!U$2:BL$2,'Tsalin uzuulelt'!F$5,negtgel!U407:BL407)</f>
      </c>
      <c r="I407">
        <f>SUMIF(negtgel!U$2:BL$2,'Tsalin uzuulelt'!H$1,negtgel!U407:BL407) + SUMIF(negtgel!U$2:BL$2,'Tsalin uzuulelt'!H$2,negtgel!U407:BL407)+SUMIF(negtgel!U$2:BL$2,'Tsalin uzuulelt'!H$3,negtgel!U407:BL407)+SUMIF(negtgel!U$2:BL$2,'Tsalin uzuulelt'!H$4,negtgel!U407:BL407)+SUMIF(negtgel!U$2:BL$2,'Tsalin uzuulelt'!H$5,negtgel!U407:BL407)</f>
      </c>
      <c r="J407">
        <f>SUMIF(negtgel!U$2:BL$2,'Tsalin uzuulelt'!J$1,negtgel!U407:BL407) + SUMIF(negtgel!U$2:BL$2,'Tsalin uzuulelt'!J$2,negtgel!U407:BL407)+SUMIF(negtgel!U$2:BL$2,'Tsalin uzuulelt'!J$3,negtgel!U407:BL407)+SUMIF(negtgel!U$2:BL$2,'Tsalin uzuulelt'!J$4,negtgel!U407:BL407)+SUMIF(negtgel!U$2:BL$2,'Tsalin uzuulelt'!J$5,negtgel!U407:BL407)</f>
      </c>
      <c r="K407">
        <f>SUMIF(negtgel!U$2:BL$2,'Tsalin uzuulelt'!L$1,negtgel!U407:BL407) + SUMIF(negtgel!U$2:BL$2,'Tsalin uzuulelt'!L$2,negtgel!U407:BL407)+SUMIF(negtgel!U$2:BL$2,'Tsalin uzuulelt'!L$3,negtgel!U407:BL407)+SUMIF(negtgel!U$2:BL$2,'Tsalin uzuulelt'!L$4,negtgel!U407:BL407)+SUMIF(negtgel!U$2:BL$2,'Tsalin uzuulelt'!L$5,negtgel!U407:BL407)</f>
      </c>
      <c r="L407">
        <f>SUMIF(negtgel!U$2:BL$2,'Tsalin uzuulelt'!N$1,negtgel!U407:BL407) + SUMIF(negtgel!U$2:BL$2,'Tsalin uzuulelt'!N$2,negtgel!U407:BL407)+SUMIF(negtgel!U$2:BL$2,'Tsalin uzuulelt'!N$3,negtgel!U407:BL407)+SUMIF(negtgel!U$2:BL$2,'Tsalin uzuulelt'!N$4,negtgel!U407:BL407)+SUMIF(negtgel!U$2:BL$2,'Tsalin uzuulelt'!N$5,negtgel!U407:BL407)</f>
      </c>
      <c r="M407">
        <f>SUMIF(negtgel!U$2:BL$2,'Tsalin uzuulelt'!P$1,negtgel!U407:BL407) + SUMIF(negtgel!U$2:BL$2,'Tsalin uzuulelt'!P$2,negtgel!U407:BL407)+ SUMIF(negtgel!U$2:BL$2,'Tsalin uzuulelt'!P$3,negtgel!U407:BL407)+ SUMIF(negtgel!U$2:BL$2,'Tsalin uzuulelt'!P$4,negtgel!U407:BL407)+ SUMIF(negtgel!U$2:BL$2,'Tsalin uzuulelt'!P$5,negtgel!U407:BL407)</f>
      </c>
      <c r="N407">
        <f>IF(ISNUMBER(U407*1)=CF407,0,K407-H407-G407)</f>
      </c>
      <c r="O407">
        <f>IF(ISNUMBER(U407*1)=CF407,0,L407)</f>
      </c>
      <c r="P407">
        <f>IF(ISNUMBER(U407*1)=CF407,0,M407)</f>
      </c>
      <c r="Q407">
        <f>IF(N407&gt;2400000,N407,0)</f>
      </c>
      <c r="R407">
        <f>IF(L407/Q407*100&lt;3,2,10)</f>
      </c>
      <c r="S407">
        <f>IF(CH407=0,0,IF(B407&gt;9,10,IF(B407&gt;8,B407,IF(B407&gt;7.7,7.8,IF(B407&gt;3,B407,IF(B407&gt;1.5,2))))))</f>
      </c>
      <c r="T407">
        <f>IF(Q407=0,S407,R407)</f>
      </c>
      <c r="U407" t="s">
        <v>3787</v>
      </c>
      <c r="V407"/>
      <c r="W407"/>
      <c r="X407" t="n">
        <v>7853536.0</v>
      </c>
      <c r="Y407" t="n">
        <v>7035723.0</v>
      </c>
      <c r="Z407" t="n">
        <v>1082537.0</v>
      </c>
      <c r="AA407" t="n">
        <v>1273561.0</v>
      </c>
      <c r="AB407" t="n">
        <v>33872.0</v>
      </c>
      <c r="AC407" t="n">
        <v>0.0</v>
      </c>
      <c r="AD407" t="n">
        <v>0.0</v>
      </c>
      <c r="AE407" t="n">
        <v>0.0</v>
      </c>
      <c r="AF407" t="n">
        <v>639000.0</v>
      </c>
      <c r="AG407" t="n">
        <v>0.0</v>
      </c>
      <c r="AH407" t="n">
        <v>0.0</v>
      </c>
      <c r="AI407" t="n">
        <v>0.0</v>
      </c>
      <c r="AJ407" t="n">
        <v>473137.0</v>
      </c>
      <c r="AK407" t="n">
        <v>0.0</v>
      </c>
      <c r="AL407" t="n">
        <v>211475.0</v>
      </c>
      <c r="AM407" t="n">
        <v>0.0</v>
      </c>
      <c r="AN407" t="n">
        <v>0.0</v>
      </c>
      <c r="AO407" t="n">
        <v>1.0749305E7</v>
      </c>
      <c r="AP407" t="n">
        <v>1053786.0</v>
      </c>
      <c r="AQ407" t="n">
        <v>870794.7</v>
      </c>
      <c r="CH407">
        <f>IFERROR(U407*1,0)</f>
      </c>
    </row>
    <row r="408">
      <c r="A408" t="n">
        <v>6.0</v>
      </c>
      <c r="B408">
        <f>IF((K408-G408-H408&gt;2400000),10,(L408/(K408-G408-H408)*100))</f>
      </c>
      <c r="C408">
        <f>IF(N408&gt;2400000,240000,(N408*S408)/100)</f>
      </c>
      <c r="D408">
        <f>IF(S408=0,0,IF((N408-I408)&gt;2400000,((((((N408-I408-J408)-240000))*0.1+(I408+J408)*0.1)))-7000,((((((N408-I408-J408)-(N408-I408-J408)*S408/100)))*0.1+(I408+J408)*0.1)-7000)))</f>
      </c>
      <c r="E408">
        <f>C408-O408</f>
      </c>
      <c r="F408">
        <f>D408-P408</f>
      </c>
      <c r="G408">
        <f>SUMIF(negtgel!U$2:BL$2,'Tsalin uzuulelt'!B$1,negtgel!U408:BL408) + SUMIF(negtgel!U$2:BL$2,'Tsalin uzuulelt'!B$2,negtgel!U408:BL408)+SUMIF(negtgel!U$2:BL$2,'Tsalin uzuulelt'!B$3,negtgel!U408:BL408)+SUMIF(negtgel!U$2:BL$2,'Tsalin uzuulelt'!B$4,negtgel!U408:BL408)+SUMIF(negtgel!U$2:BL$2,'Tsalin uzuulelt'!B$5,negtgel!U408:BL408)</f>
      </c>
      <c r="H408">
        <f>SUMIF(negtgel!U$2:BL$2,'Tsalin uzuulelt'!F$1,negtgel!U408:BL408) + SUMIF(negtgel!U$2:BL$2,'Tsalin uzuulelt'!F$2,negtgel!U408:BL408)+SUMIF(negtgel!U$2:BL$2,'Tsalin uzuulelt'!F$3,negtgel!U408:BL408)+SUMIF(negtgel!U$2:BL$2,'Tsalin uzuulelt'!F$4,negtgel!U408:BL408)+SUMIF(negtgel!U$2:BL$2,'Tsalin uzuulelt'!F$5,negtgel!U408:BL408)</f>
      </c>
      <c r="I408">
        <f>SUMIF(negtgel!U$2:BL$2,'Tsalin uzuulelt'!H$1,negtgel!U408:BL408) + SUMIF(negtgel!U$2:BL$2,'Tsalin uzuulelt'!H$2,negtgel!U408:BL408)+SUMIF(negtgel!U$2:BL$2,'Tsalin uzuulelt'!H$3,negtgel!U408:BL408)+SUMIF(negtgel!U$2:BL$2,'Tsalin uzuulelt'!H$4,negtgel!U408:BL408)+SUMIF(negtgel!U$2:BL$2,'Tsalin uzuulelt'!H$5,negtgel!U408:BL408)</f>
      </c>
      <c r="J408">
        <f>SUMIF(negtgel!U$2:BL$2,'Tsalin uzuulelt'!J$1,negtgel!U408:BL408) + SUMIF(negtgel!U$2:BL$2,'Tsalin uzuulelt'!J$2,negtgel!U408:BL408)+SUMIF(negtgel!U$2:BL$2,'Tsalin uzuulelt'!J$3,negtgel!U408:BL408)+SUMIF(negtgel!U$2:BL$2,'Tsalin uzuulelt'!J$4,negtgel!U408:BL408)+SUMIF(negtgel!U$2:BL$2,'Tsalin uzuulelt'!J$5,negtgel!U408:BL408)</f>
      </c>
      <c r="K408">
        <f>SUMIF(negtgel!U$2:BL$2,'Tsalin uzuulelt'!L$1,negtgel!U408:BL408) + SUMIF(negtgel!U$2:BL$2,'Tsalin uzuulelt'!L$2,negtgel!U408:BL408)+SUMIF(negtgel!U$2:BL$2,'Tsalin uzuulelt'!L$3,negtgel!U408:BL408)+SUMIF(negtgel!U$2:BL$2,'Tsalin uzuulelt'!L$4,negtgel!U408:BL408)+SUMIF(negtgel!U$2:BL$2,'Tsalin uzuulelt'!L$5,negtgel!U408:BL408)</f>
      </c>
      <c r="L408">
        <f>SUMIF(negtgel!U$2:BL$2,'Tsalin uzuulelt'!N$1,negtgel!U408:BL408) + SUMIF(negtgel!U$2:BL$2,'Tsalin uzuulelt'!N$2,negtgel!U408:BL408)+SUMIF(negtgel!U$2:BL$2,'Tsalin uzuulelt'!N$3,negtgel!U408:BL408)+SUMIF(negtgel!U$2:BL$2,'Tsalin uzuulelt'!N$4,negtgel!U408:BL408)+SUMIF(negtgel!U$2:BL$2,'Tsalin uzuulelt'!N$5,negtgel!U408:BL408)</f>
      </c>
      <c r="M408">
        <f>SUMIF(negtgel!U$2:BL$2,'Tsalin uzuulelt'!P$1,negtgel!U408:BL408) + SUMIF(negtgel!U$2:BL$2,'Tsalin uzuulelt'!P$2,negtgel!U408:BL408)+ SUMIF(negtgel!U$2:BL$2,'Tsalin uzuulelt'!P$3,negtgel!U408:BL408)+ SUMIF(negtgel!U$2:BL$2,'Tsalin uzuulelt'!P$4,negtgel!U408:BL408)+ SUMIF(negtgel!U$2:BL$2,'Tsalin uzuulelt'!P$5,negtgel!U408:BL408)</f>
      </c>
      <c r="N408">
        <f>IF(ISNUMBER(U408*1)=CF408,0,K408-H408-G408)</f>
      </c>
      <c r="O408">
        <f>IF(ISNUMBER(U408*1)=CF408,0,L408)</f>
      </c>
      <c r="P408">
        <f>IF(ISNUMBER(U408*1)=CF408,0,M408)</f>
      </c>
      <c r="Q408">
        <f>IF(N408&gt;2400000,N408,0)</f>
      </c>
      <c r="R408">
        <f>IF(L408/Q408*100&lt;3,2,10)</f>
      </c>
      <c r="S408">
        <f>IF(CH408=0,0,IF(B408&gt;9,10,IF(B408&gt;8,B408,IF(B408&gt;7.7,7.8,IF(B408&gt;3,B408,IF(B408&gt;1.5,2))))))</f>
      </c>
      <c r="T408">
        <f>IF(Q408=0,S408,R408)</f>
      </c>
      <c r="U408" t="s">
        <v>3858</v>
      </c>
      <c r="V408"/>
      <c r="W408"/>
      <c r="X408"/>
      <c r="Y408"/>
      <c r="Z408"/>
      <c r="AA408"/>
      <c r="AB408"/>
      <c r="AC408"/>
      <c r="AD408"/>
      <c r="AE408"/>
      <c r="AF408"/>
      <c r="AG408"/>
      <c r="AH408"/>
      <c r="AI408"/>
      <c r="AJ408"/>
      <c r="AK408"/>
      <c r="AL408"/>
      <c r="AM408"/>
      <c r="AN408"/>
      <c r="AO408"/>
      <c r="AP408"/>
      <c r="AQ408"/>
      <c r="CH408">
        <f>IFERROR(U408*1,0)</f>
      </c>
    </row>
    <row r="409">
      <c r="A409" t="n">
        <v>6.0</v>
      </c>
      <c r="B409">
        <f>IF((K409-G409-H409&gt;2400000),10,(L409/(K409-G409-H409)*100))</f>
      </c>
      <c r="C409">
        <f>IF(N409&gt;2400000,240000,(N409*S409)/100)</f>
      </c>
      <c r="D409">
        <f>IF(S409=0,0,IF((N409-I409)&gt;2400000,((((((N409-I409-J409)-240000))*0.1+(I409+J409)*0.1)))-7000,((((((N409-I409-J409)-(N409-I409-J409)*S409/100)))*0.1+(I409+J409)*0.1)-7000)))</f>
      </c>
      <c r="E409">
        <f>C409-O409</f>
      </c>
      <c r="F409">
        <f>D409-P409</f>
      </c>
      <c r="G409">
        <f>SUMIF(negtgel!U$2:BL$2,'Tsalin uzuulelt'!B$1,negtgel!U409:BL409) + SUMIF(negtgel!U$2:BL$2,'Tsalin uzuulelt'!B$2,negtgel!U409:BL409)+SUMIF(negtgel!U$2:BL$2,'Tsalin uzuulelt'!B$3,negtgel!U409:BL409)+SUMIF(negtgel!U$2:BL$2,'Tsalin uzuulelt'!B$4,negtgel!U409:BL409)+SUMIF(negtgel!U$2:BL$2,'Tsalin uzuulelt'!B$5,negtgel!U409:BL409)</f>
      </c>
      <c r="H409">
        <f>SUMIF(negtgel!U$2:BL$2,'Tsalin uzuulelt'!F$1,negtgel!U409:BL409) + SUMIF(negtgel!U$2:BL$2,'Tsalin uzuulelt'!F$2,negtgel!U409:BL409)+SUMIF(negtgel!U$2:BL$2,'Tsalin uzuulelt'!F$3,negtgel!U409:BL409)+SUMIF(negtgel!U$2:BL$2,'Tsalin uzuulelt'!F$4,negtgel!U409:BL409)+SUMIF(negtgel!U$2:BL$2,'Tsalin uzuulelt'!F$5,negtgel!U409:BL409)</f>
      </c>
      <c r="I409">
        <f>SUMIF(negtgel!U$2:BL$2,'Tsalin uzuulelt'!H$1,negtgel!U409:BL409) + SUMIF(negtgel!U$2:BL$2,'Tsalin uzuulelt'!H$2,negtgel!U409:BL409)+SUMIF(negtgel!U$2:BL$2,'Tsalin uzuulelt'!H$3,negtgel!U409:BL409)+SUMIF(negtgel!U$2:BL$2,'Tsalin uzuulelt'!H$4,negtgel!U409:BL409)+SUMIF(negtgel!U$2:BL$2,'Tsalin uzuulelt'!H$5,negtgel!U409:BL409)</f>
      </c>
      <c r="J409">
        <f>SUMIF(negtgel!U$2:BL$2,'Tsalin uzuulelt'!J$1,negtgel!U409:BL409) + SUMIF(negtgel!U$2:BL$2,'Tsalin uzuulelt'!J$2,negtgel!U409:BL409)+SUMIF(negtgel!U$2:BL$2,'Tsalin uzuulelt'!J$3,negtgel!U409:BL409)+SUMIF(negtgel!U$2:BL$2,'Tsalin uzuulelt'!J$4,negtgel!U409:BL409)+SUMIF(negtgel!U$2:BL$2,'Tsalin uzuulelt'!J$5,negtgel!U409:BL409)</f>
      </c>
      <c r="K409">
        <f>SUMIF(negtgel!U$2:BL$2,'Tsalin uzuulelt'!L$1,negtgel!U409:BL409) + SUMIF(negtgel!U$2:BL$2,'Tsalin uzuulelt'!L$2,negtgel!U409:BL409)+SUMIF(negtgel!U$2:BL$2,'Tsalin uzuulelt'!L$3,negtgel!U409:BL409)+SUMIF(negtgel!U$2:BL$2,'Tsalin uzuulelt'!L$4,negtgel!U409:BL409)+SUMIF(negtgel!U$2:BL$2,'Tsalin uzuulelt'!L$5,negtgel!U409:BL409)</f>
      </c>
      <c r="L409">
        <f>SUMIF(negtgel!U$2:BL$2,'Tsalin uzuulelt'!N$1,negtgel!U409:BL409) + SUMIF(negtgel!U$2:BL$2,'Tsalin uzuulelt'!N$2,negtgel!U409:BL409)+SUMIF(negtgel!U$2:BL$2,'Tsalin uzuulelt'!N$3,negtgel!U409:BL409)+SUMIF(negtgel!U$2:BL$2,'Tsalin uzuulelt'!N$4,negtgel!U409:BL409)+SUMIF(negtgel!U$2:BL$2,'Tsalin uzuulelt'!N$5,negtgel!U409:BL409)</f>
      </c>
      <c r="M409">
        <f>SUMIF(negtgel!U$2:BL$2,'Tsalin uzuulelt'!P$1,negtgel!U409:BL409) + SUMIF(negtgel!U$2:BL$2,'Tsalin uzuulelt'!P$2,negtgel!U409:BL409)+ SUMIF(negtgel!U$2:BL$2,'Tsalin uzuulelt'!P$3,negtgel!U409:BL409)+ SUMIF(negtgel!U$2:BL$2,'Tsalin uzuulelt'!P$4,negtgel!U409:BL409)+ SUMIF(negtgel!U$2:BL$2,'Tsalin uzuulelt'!P$5,negtgel!U409:BL409)</f>
      </c>
      <c r="N409">
        <f>IF(ISNUMBER(U409*1)=CF409,0,K409-H409-G409)</f>
      </c>
      <c r="O409">
        <f>IF(ISNUMBER(U409*1)=CF409,0,L409)</f>
      </c>
      <c r="P409">
        <f>IF(ISNUMBER(U409*1)=CF409,0,M409)</f>
      </c>
      <c r="Q409">
        <f>IF(N409&gt;2400000,N409,0)</f>
      </c>
      <c r="R409">
        <f>IF(L409/Q409*100&lt;3,2,10)</f>
      </c>
      <c r="S409">
        <f>IF(CH409=0,0,IF(B409&gt;9,10,IF(B409&gt;8,B409,IF(B409&gt;7.7,7.8,IF(B409&gt;3,B409,IF(B409&gt;1.5,2))))))</f>
      </c>
      <c r="T409">
        <f>IF(Q409=0,S409,R409)</f>
      </c>
      <c r="U409" t="n">
        <v>93.0</v>
      </c>
      <c r="V409" t="s">
        <v>3859</v>
      </c>
      <c r="W409" t="s">
        <v>3790</v>
      </c>
      <c r="X409" t="n">
        <v>580710.0</v>
      </c>
      <c r="Y409" t="n">
        <v>0.0</v>
      </c>
      <c r="Z409" t="n">
        <v>0.0</v>
      </c>
      <c r="AA409" t="n">
        <v>0.0</v>
      </c>
      <c r="AB409" t="n">
        <v>0.0</v>
      </c>
      <c r="AC409" t="n">
        <v>0.0</v>
      </c>
      <c r="AD409" t="n">
        <v>0.0</v>
      </c>
      <c r="AE409" t="n">
        <v>0.0</v>
      </c>
      <c r="AF409" t="n">
        <v>0.0</v>
      </c>
      <c r="AG409" t="n">
        <v>0.0</v>
      </c>
      <c r="AH409" t="n">
        <v>0.0</v>
      </c>
      <c r="AI409" t="n">
        <v>0.0</v>
      </c>
      <c r="AJ409" t="n">
        <v>0.0</v>
      </c>
      <c r="AK409" t="n">
        <v>0.0</v>
      </c>
      <c r="AL409" t="n">
        <v>0.0</v>
      </c>
      <c r="AM409" t="n">
        <v>0.0</v>
      </c>
      <c r="AN409" t="n">
        <v>0.0</v>
      </c>
      <c r="AO409" t="n">
        <v>0.0</v>
      </c>
      <c r="AP409" t="n">
        <v>0.0</v>
      </c>
      <c r="AQ409" t="n">
        <v>0.0</v>
      </c>
      <c r="CH409">
        <f>IFERROR(U409*1,0)</f>
      </c>
    </row>
    <row r="410">
      <c r="A410" t="n">
        <v>6.0</v>
      </c>
      <c r="B410">
        <f>IF((K410-G410-H410&gt;2400000),10,(L410/(K410-G410-H410)*100))</f>
      </c>
      <c r="C410">
        <f>IF(N410&gt;2400000,240000,(N410*S410)/100)</f>
      </c>
      <c r="D410">
        <f>IF(S410=0,0,IF((N410-I410)&gt;2400000,((((((N410-I410-J410)-240000))*0.1+(I410+J410)*0.1)))-7000,((((((N410-I410-J410)-(N410-I410-J410)*S410/100)))*0.1+(I410+J410)*0.1)-7000)))</f>
      </c>
      <c r="E410">
        <f>C410-O410</f>
      </c>
      <c r="F410">
        <f>D410-P410</f>
      </c>
      <c r="G410">
        <f>SUMIF(negtgel!U$2:BL$2,'Tsalin uzuulelt'!B$1,negtgel!U410:BL410) + SUMIF(negtgel!U$2:BL$2,'Tsalin uzuulelt'!B$2,negtgel!U410:BL410)+SUMIF(negtgel!U$2:BL$2,'Tsalin uzuulelt'!B$3,negtgel!U410:BL410)+SUMIF(negtgel!U$2:BL$2,'Tsalin uzuulelt'!B$4,negtgel!U410:BL410)+SUMIF(negtgel!U$2:BL$2,'Tsalin uzuulelt'!B$5,negtgel!U410:BL410)</f>
      </c>
      <c r="H410">
        <f>SUMIF(negtgel!U$2:BL$2,'Tsalin uzuulelt'!F$1,negtgel!U410:BL410) + SUMIF(negtgel!U$2:BL$2,'Tsalin uzuulelt'!F$2,negtgel!U410:BL410)+SUMIF(negtgel!U$2:BL$2,'Tsalin uzuulelt'!F$3,negtgel!U410:BL410)+SUMIF(negtgel!U$2:BL$2,'Tsalin uzuulelt'!F$4,negtgel!U410:BL410)+SUMIF(negtgel!U$2:BL$2,'Tsalin uzuulelt'!F$5,negtgel!U410:BL410)</f>
      </c>
      <c r="I410">
        <f>SUMIF(negtgel!U$2:BL$2,'Tsalin uzuulelt'!H$1,negtgel!U410:BL410) + SUMIF(negtgel!U$2:BL$2,'Tsalin uzuulelt'!H$2,negtgel!U410:BL410)+SUMIF(negtgel!U$2:BL$2,'Tsalin uzuulelt'!H$3,negtgel!U410:BL410)+SUMIF(negtgel!U$2:BL$2,'Tsalin uzuulelt'!H$4,negtgel!U410:BL410)+SUMIF(negtgel!U$2:BL$2,'Tsalin uzuulelt'!H$5,negtgel!U410:BL410)</f>
      </c>
      <c r="J410">
        <f>SUMIF(negtgel!U$2:BL$2,'Tsalin uzuulelt'!J$1,negtgel!U410:BL410) + SUMIF(negtgel!U$2:BL$2,'Tsalin uzuulelt'!J$2,negtgel!U410:BL410)+SUMIF(negtgel!U$2:BL$2,'Tsalin uzuulelt'!J$3,negtgel!U410:BL410)+SUMIF(negtgel!U$2:BL$2,'Tsalin uzuulelt'!J$4,negtgel!U410:BL410)+SUMIF(negtgel!U$2:BL$2,'Tsalin uzuulelt'!J$5,negtgel!U410:BL410)</f>
      </c>
      <c r="K410">
        <f>SUMIF(negtgel!U$2:BL$2,'Tsalin uzuulelt'!L$1,negtgel!U410:BL410) + SUMIF(negtgel!U$2:BL$2,'Tsalin uzuulelt'!L$2,negtgel!U410:BL410)+SUMIF(negtgel!U$2:BL$2,'Tsalin uzuulelt'!L$3,negtgel!U410:BL410)+SUMIF(negtgel!U$2:BL$2,'Tsalin uzuulelt'!L$4,negtgel!U410:BL410)+SUMIF(negtgel!U$2:BL$2,'Tsalin uzuulelt'!L$5,negtgel!U410:BL410)</f>
      </c>
      <c r="L410">
        <f>SUMIF(negtgel!U$2:BL$2,'Tsalin uzuulelt'!N$1,negtgel!U410:BL410) + SUMIF(negtgel!U$2:BL$2,'Tsalin uzuulelt'!N$2,negtgel!U410:BL410)+SUMIF(negtgel!U$2:BL$2,'Tsalin uzuulelt'!N$3,negtgel!U410:BL410)+SUMIF(negtgel!U$2:BL$2,'Tsalin uzuulelt'!N$4,negtgel!U410:BL410)+SUMIF(negtgel!U$2:BL$2,'Tsalin uzuulelt'!N$5,negtgel!U410:BL410)</f>
      </c>
      <c r="M410">
        <f>SUMIF(negtgel!U$2:BL$2,'Tsalin uzuulelt'!P$1,negtgel!U410:BL410) + SUMIF(negtgel!U$2:BL$2,'Tsalin uzuulelt'!P$2,negtgel!U410:BL410)+ SUMIF(negtgel!U$2:BL$2,'Tsalin uzuulelt'!P$3,negtgel!U410:BL410)+ SUMIF(negtgel!U$2:BL$2,'Tsalin uzuulelt'!P$4,negtgel!U410:BL410)+ SUMIF(negtgel!U$2:BL$2,'Tsalin uzuulelt'!P$5,negtgel!U410:BL410)</f>
      </c>
      <c r="N410">
        <f>IF(ISNUMBER(U410*1)=CF410,0,K410-H410-G410)</f>
      </c>
      <c r="O410">
        <f>IF(ISNUMBER(U410*1)=CF410,0,L410)</f>
      </c>
      <c r="P410">
        <f>IF(ISNUMBER(U410*1)=CF410,0,M410)</f>
      </c>
      <c r="Q410">
        <f>IF(N410&gt;2400000,N410,0)</f>
      </c>
      <c r="R410">
        <f>IF(L410/Q410*100&lt;3,2,10)</f>
      </c>
      <c r="S410">
        <f>IF(CH410=0,0,IF(B410&gt;9,10,IF(B410&gt;8,B410,IF(B410&gt;7.7,7.8,IF(B410&gt;3,B410,IF(B410&gt;1.5,2))))))</f>
      </c>
      <c r="T410">
        <f>IF(Q410=0,S410,R410)</f>
      </c>
      <c r="U410" t="n">
        <v>94.0</v>
      </c>
      <c r="V410" t="s">
        <v>3873</v>
      </c>
      <c r="W410" t="s">
        <v>3792</v>
      </c>
      <c r="X410" t="n">
        <v>496912.0</v>
      </c>
      <c r="Y410" t="n">
        <v>0.0</v>
      </c>
      <c r="Z410" t="n">
        <v>0.0</v>
      </c>
      <c r="AA410" t="n">
        <v>0.0</v>
      </c>
      <c r="AB410" t="n">
        <v>0.0</v>
      </c>
      <c r="AC410" t="n">
        <v>0.0</v>
      </c>
      <c r="AD410" t="n">
        <v>0.0</v>
      </c>
      <c r="AE410" t="n">
        <v>0.0</v>
      </c>
      <c r="AF410" t="n">
        <v>0.0</v>
      </c>
      <c r="AG410" t="n">
        <v>0.0</v>
      </c>
      <c r="AH410" t="n">
        <v>0.0</v>
      </c>
      <c r="AI410" t="n">
        <v>0.0</v>
      </c>
      <c r="AJ410" t="n">
        <v>0.0</v>
      </c>
      <c r="AK410" t="n">
        <v>0.0</v>
      </c>
      <c r="AL410" t="n">
        <v>0.0</v>
      </c>
      <c r="AM410" t="n">
        <v>0.0</v>
      </c>
      <c r="AN410" t="n">
        <v>0.0</v>
      </c>
      <c r="AO410" t="n">
        <v>0.0</v>
      </c>
      <c r="AP410" t="n">
        <v>0.0</v>
      </c>
      <c r="AQ410" t="n">
        <v>0.0</v>
      </c>
      <c r="CH410">
        <f>IFERROR(U410*1,0)</f>
      </c>
    </row>
    <row r="411">
      <c r="A411" t="n">
        <v>6.0</v>
      </c>
      <c r="B411">
        <f>IF((K411-G411-H411&gt;2400000),10,(L411/(K411-G411-H411)*100))</f>
      </c>
      <c r="C411">
        <f>IF(N411&gt;2400000,240000,(N411*S411)/100)</f>
      </c>
      <c r="D411">
        <f>IF(S411=0,0,IF((N411-I411)&gt;2400000,((((((N411-I411-J411)-240000))*0.1+(I411+J411)*0.1)))-7000,((((((N411-I411-J411)-(N411-I411-J411)*S411/100)))*0.1+(I411+J411)*0.1)-7000)))</f>
      </c>
      <c r="E411">
        <f>C411-O411</f>
      </c>
      <c r="F411">
        <f>D411-P411</f>
      </c>
      <c r="G411">
        <f>SUMIF(negtgel!U$2:BL$2,'Tsalin uzuulelt'!B$1,negtgel!U411:BL411) + SUMIF(negtgel!U$2:BL$2,'Tsalin uzuulelt'!B$2,negtgel!U411:BL411)+SUMIF(negtgel!U$2:BL$2,'Tsalin uzuulelt'!B$3,negtgel!U411:BL411)+SUMIF(negtgel!U$2:BL$2,'Tsalin uzuulelt'!B$4,negtgel!U411:BL411)+SUMIF(negtgel!U$2:BL$2,'Tsalin uzuulelt'!B$5,negtgel!U411:BL411)</f>
      </c>
      <c r="H411">
        <f>SUMIF(negtgel!U$2:BL$2,'Tsalin uzuulelt'!F$1,negtgel!U411:BL411) + SUMIF(negtgel!U$2:BL$2,'Tsalin uzuulelt'!F$2,negtgel!U411:BL411)+SUMIF(negtgel!U$2:BL$2,'Tsalin uzuulelt'!F$3,negtgel!U411:BL411)+SUMIF(negtgel!U$2:BL$2,'Tsalin uzuulelt'!F$4,negtgel!U411:BL411)+SUMIF(negtgel!U$2:BL$2,'Tsalin uzuulelt'!F$5,negtgel!U411:BL411)</f>
      </c>
      <c r="I411">
        <f>SUMIF(negtgel!U$2:BL$2,'Tsalin uzuulelt'!H$1,negtgel!U411:BL411) + SUMIF(negtgel!U$2:BL$2,'Tsalin uzuulelt'!H$2,negtgel!U411:BL411)+SUMIF(negtgel!U$2:BL$2,'Tsalin uzuulelt'!H$3,negtgel!U411:BL411)+SUMIF(negtgel!U$2:BL$2,'Tsalin uzuulelt'!H$4,negtgel!U411:BL411)+SUMIF(negtgel!U$2:BL$2,'Tsalin uzuulelt'!H$5,negtgel!U411:BL411)</f>
      </c>
      <c r="J411">
        <f>SUMIF(negtgel!U$2:BL$2,'Tsalin uzuulelt'!J$1,negtgel!U411:BL411) + SUMIF(negtgel!U$2:BL$2,'Tsalin uzuulelt'!J$2,negtgel!U411:BL411)+SUMIF(negtgel!U$2:BL$2,'Tsalin uzuulelt'!J$3,negtgel!U411:BL411)+SUMIF(negtgel!U$2:BL$2,'Tsalin uzuulelt'!J$4,negtgel!U411:BL411)+SUMIF(negtgel!U$2:BL$2,'Tsalin uzuulelt'!J$5,negtgel!U411:BL411)</f>
      </c>
      <c r="K411">
        <f>SUMIF(negtgel!U$2:BL$2,'Tsalin uzuulelt'!L$1,negtgel!U411:BL411) + SUMIF(negtgel!U$2:BL$2,'Tsalin uzuulelt'!L$2,negtgel!U411:BL411)+SUMIF(negtgel!U$2:BL$2,'Tsalin uzuulelt'!L$3,negtgel!U411:BL411)+SUMIF(negtgel!U$2:BL$2,'Tsalin uzuulelt'!L$4,negtgel!U411:BL411)+SUMIF(negtgel!U$2:BL$2,'Tsalin uzuulelt'!L$5,negtgel!U411:BL411)</f>
      </c>
      <c r="L411">
        <f>SUMIF(negtgel!U$2:BL$2,'Tsalin uzuulelt'!N$1,negtgel!U411:BL411) + SUMIF(negtgel!U$2:BL$2,'Tsalin uzuulelt'!N$2,negtgel!U411:BL411)+SUMIF(negtgel!U$2:BL$2,'Tsalin uzuulelt'!N$3,negtgel!U411:BL411)+SUMIF(negtgel!U$2:BL$2,'Tsalin uzuulelt'!N$4,negtgel!U411:BL411)+SUMIF(negtgel!U$2:BL$2,'Tsalin uzuulelt'!N$5,negtgel!U411:BL411)</f>
      </c>
      <c r="M411">
        <f>SUMIF(negtgel!U$2:BL$2,'Tsalin uzuulelt'!P$1,negtgel!U411:BL411) + SUMIF(negtgel!U$2:BL$2,'Tsalin uzuulelt'!P$2,negtgel!U411:BL411)+ SUMIF(negtgel!U$2:BL$2,'Tsalin uzuulelt'!P$3,negtgel!U411:BL411)+ SUMIF(negtgel!U$2:BL$2,'Tsalin uzuulelt'!P$4,negtgel!U411:BL411)+ SUMIF(negtgel!U$2:BL$2,'Tsalin uzuulelt'!P$5,negtgel!U411:BL411)</f>
      </c>
      <c r="N411">
        <f>IF(ISNUMBER(U411*1)=CF411,0,K411-H411-G411)</f>
      </c>
      <c r="O411">
        <f>IF(ISNUMBER(U411*1)=CF411,0,L411)</f>
      </c>
      <c r="P411">
        <f>IF(ISNUMBER(U411*1)=CF411,0,M411)</f>
      </c>
      <c r="Q411">
        <f>IF(N411&gt;2400000,N411,0)</f>
      </c>
      <c r="R411">
        <f>IF(L411/Q411*100&lt;3,2,10)</f>
      </c>
      <c r="S411">
        <f>IF(CH411=0,0,IF(B411&gt;9,10,IF(B411&gt;8,B411,IF(B411&gt;7.7,7.8,IF(B411&gt;3,B411,IF(B411&gt;1.5,2))))))</f>
      </c>
      <c r="T411">
        <f>IF(Q411=0,S411,R411)</f>
      </c>
      <c r="U411" t="n">
        <v>95.0</v>
      </c>
      <c r="V411" t="s">
        <v>3874</v>
      </c>
      <c r="W411" t="s">
        <v>3790</v>
      </c>
      <c r="X411" t="n">
        <v>677436.0</v>
      </c>
      <c r="Y411" t="n">
        <v>0.0</v>
      </c>
      <c r="Z411" t="n">
        <v>0.0</v>
      </c>
      <c r="AA411" t="n">
        <v>0.0</v>
      </c>
      <c r="AB411" t="n">
        <v>0.0</v>
      </c>
      <c r="AC411" t="n">
        <v>0.0</v>
      </c>
      <c r="AD411" t="n">
        <v>0.0</v>
      </c>
      <c r="AE411" t="n">
        <v>0.0</v>
      </c>
      <c r="AF411" t="n">
        <v>0.0</v>
      </c>
      <c r="AG411" t="n">
        <v>0.0</v>
      </c>
      <c r="AH411" t="n">
        <v>0.0</v>
      </c>
      <c r="AI411" t="n">
        <v>0.0</v>
      </c>
      <c r="AJ411" t="n">
        <v>0.0</v>
      </c>
      <c r="AK411" t="n">
        <v>0.0</v>
      </c>
      <c r="AL411" t="n">
        <v>0.0</v>
      </c>
      <c r="AM411" t="n">
        <v>0.0</v>
      </c>
      <c r="AN411" t="n">
        <v>0.0</v>
      </c>
      <c r="AO411" t="n">
        <v>0.0</v>
      </c>
      <c r="AP411" t="n">
        <v>0.0</v>
      </c>
      <c r="AQ411" t="n">
        <v>0.0</v>
      </c>
      <c r="CH411">
        <f>IFERROR(U411*1,0)</f>
      </c>
    </row>
    <row r="412">
      <c r="A412" t="n">
        <v>6.0</v>
      </c>
      <c r="B412">
        <f>IF((K412-G412-H412&gt;2400000),10,(L412/(K412-G412-H412)*100))</f>
      </c>
      <c r="C412">
        <f>IF(N412&gt;2400000,240000,(N412*S412)/100)</f>
      </c>
      <c r="D412">
        <f>IF(S412=0,0,IF((N412-I412)&gt;2400000,((((((N412-I412-J412)-240000))*0.1+(I412+J412)*0.1)))-7000,((((((N412-I412-J412)-(N412-I412-J412)*S412/100)))*0.1+(I412+J412)*0.1)-7000)))</f>
      </c>
      <c r="E412">
        <f>C412-O412</f>
      </c>
      <c r="F412">
        <f>D412-P412</f>
      </c>
      <c r="G412">
        <f>SUMIF(negtgel!U$2:BL$2,'Tsalin uzuulelt'!B$1,negtgel!U412:BL412) + SUMIF(negtgel!U$2:BL$2,'Tsalin uzuulelt'!B$2,negtgel!U412:BL412)+SUMIF(negtgel!U$2:BL$2,'Tsalin uzuulelt'!B$3,negtgel!U412:BL412)+SUMIF(negtgel!U$2:BL$2,'Tsalin uzuulelt'!B$4,negtgel!U412:BL412)+SUMIF(negtgel!U$2:BL$2,'Tsalin uzuulelt'!B$5,negtgel!U412:BL412)</f>
      </c>
      <c r="H412">
        <f>SUMIF(negtgel!U$2:BL$2,'Tsalin uzuulelt'!F$1,negtgel!U412:BL412) + SUMIF(negtgel!U$2:BL$2,'Tsalin uzuulelt'!F$2,negtgel!U412:BL412)+SUMIF(negtgel!U$2:BL$2,'Tsalin uzuulelt'!F$3,negtgel!U412:BL412)+SUMIF(negtgel!U$2:BL$2,'Tsalin uzuulelt'!F$4,negtgel!U412:BL412)+SUMIF(negtgel!U$2:BL$2,'Tsalin uzuulelt'!F$5,negtgel!U412:BL412)</f>
      </c>
      <c r="I412">
        <f>SUMIF(negtgel!U$2:BL$2,'Tsalin uzuulelt'!H$1,negtgel!U412:BL412) + SUMIF(negtgel!U$2:BL$2,'Tsalin uzuulelt'!H$2,negtgel!U412:BL412)+SUMIF(negtgel!U$2:BL$2,'Tsalin uzuulelt'!H$3,negtgel!U412:BL412)+SUMIF(negtgel!U$2:BL$2,'Tsalin uzuulelt'!H$4,negtgel!U412:BL412)+SUMIF(negtgel!U$2:BL$2,'Tsalin uzuulelt'!H$5,negtgel!U412:BL412)</f>
      </c>
      <c r="J412">
        <f>SUMIF(negtgel!U$2:BL$2,'Tsalin uzuulelt'!J$1,negtgel!U412:BL412) + SUMIF(negtgel!U$2:BL$2,'Tsalin uzuulelt'!J$2,negtgel!U412:BL412)+SUMIF(negtgel!U$2:BL$2,'Tsalin uzuulelt'!J$3,negtgel!U412:BL412)+SUMIF(negtgel!U$2:BL$2,'Tsalin uzuulelt'!J$4,negtgel!U412:BL412)+SUMIF(negtgel!U$2:BL$2,'Tsalin uzuulelt'!J$5,negtgel!U412:BL412)</f>
      </c>
      <c r="K412">
        <f>SUMIF(negtgel!U$2:BL$2,'Tsalin uzuulelt'!L$1,negtgel!U412:BL412) + SUMIF(negtgel!U$2:BL$2,'Tsalin uzuulelt'!L$2,negtgel!U412:BL412)+SUMIF(negtgel!U$2:BL$2,'Tsalin uzuulelt'!L$3,negtgel!U412:BL412)+SUMIF(negtgel!U$2:BL$2,'Tsalin uzuulelt'!L$4,negtgel!U412:BL412)+SUMIF(negtgel!U$2:BL$2,'Tsalin uzuulelt'!L$5,negtgel!U412:BL412)</f>
      </c>
      <c r="L412">
        <f>SUMIF(negtgel!U$2:BL$2,'Tsalin uzuulelt'!N$1,negtgel!U412:BL412) + SUMIF(negtgel!U$2:BL$2,'Tsalin uzuulelt'!N$2,negtgel!U412:BL412)+SUMIF(negtgel!U$2:BL$2,'Tsalin uzuulelt'!N$3,negtgel!U412:BL412)+SUMIF(negtgel!U$2:BL$2,'Tsalin uzuulelt'!N$4,negtgel!U412:BL412)+SUMIF(negtgel!U$2:BL$2,'Tsalin uzuulelt'!N$5,negtgel!U412:BL412)</f>
      </c>
      <c r="M412">
        <f>SUMIF(negtgel!U$2:BL$2,'Tsalin uzuulelt'!P$1,negtgel!U412:BL412) + SUMIF(negtgel!U$2:BL$2,'Tsalin uzuulelt'!P$2,negtgel!U412:BL412)+ SUMIF(negtgel!U$2:BL$2,'Tsalin uzuulelt'!P$3,negtgel!U412:BL412)+ SUMIF(negtgel!U$2:BL$2,'Tsalin uzuulelt'!P$4,negtgel!U412:BL412)+ SUMIF(negtgel!U$2:BL$2,'Tsalin uzuulelt'!P$5,negtgel!U412:BL412)</f>
      </c>
      <c r="N412">
        <f>IF(ISNUMBER(U412*1)=CF412,0,K412-H412-G412)</f>
      </c>
      <c r="O412">
        <f>IF(ISNUMBER(U412*1)=CF412,0,L412)</f>
      </c>
      <c r="P412">
        <f>IF(ISNUMBER(U412*1)=CF412,0,M412)</f>
      </c>
      <c r="Q412">
        <f>IF(N412&gt;2400000,N412,0)</f>
      </c>
      <c r="R412">
        <f>IF(L412/Q412*100&lt;3,2,10)</f>
      </c>
      <c r="S412">
        <f>IF(CH412=0,0,IF(B412&gt;9,10,IF(B412&gt;8,B412,IF(B412&gt;7.7,7.8,IF(B412&gt;3,B412,IF(B412&gt;1.5,2))))))</f>
      </c>
      <c r="T412">
        <f>IF(Q412=0,S412,R412)</f>
      </c>
      <c r="U412" t="n">
        <v>96.0</v>
      </c>
      <c r="V412" t="s">
        <v>3875</v>
      </c>
      <c r="W412" t="s">
        <v>3790</v>
      </c>
      <c r="X412" t="n">
        <v>580710.0</v>
      </c>
      <c r="Y412" t="n">
        <v>0.0</v>
      </c>
      <c r="Z412" t="n">
        <v>0.0</v>
      </c>
      <c r="AA412" t="n">
        <v>0.0</v>
      </c>
      <c r="AB412" t="n">
        <v>0.0</v>
      </c>
      <c r="AC412" t="n">
        <v>0.0</v>
      </c>
      <c r="AD412" t="n">
        <v>0.0</v>
      </c>
      <c r="AE412" t="n">
        <v>0.0</v>
      </c>
      <c r="AF412" t="n">
        <v>0.0</v>
      </c>
      <c r="AG412" t="n">
        <v>0.0</v>
      </c>
      <c r="AH412" t="n">
        <v>0.0</v>
      </c>
      <c r="AI412" t="n">
        <v>0.0</v>
      </c>
      <c r="AJ412" t="n">
        <v>0.0</v>
      </c>
      <c r="AK412" t="n">
        <v>0.0</v>
      </c>
      <c r="AL412" t="n">
        <v>0.0</v>
      </c>
      <c r="AM412" t="n">
        <v>0.0</v>
      </c>
      <c r="AN412" t="n">
        <v>0.0</v>
      </c>
      <c r="AO412" t="n">
        <v>0.0</v>
      </c>
      <c r="AP412" t="n">
        <v>0.0</v>
      </c>
      <c r="AQ412" t="n">
        <v>0.0</v>
      </c>
      <c r="CH412">
        <f>IFERROR(U412*1,0)</f>
      </c>
    </row>
    <row r="413">
      <c r="A413" t="n">
        <v>6.0</v>
      </c>
      <c r="B413">
        <f>IF((K413-G413-H413&gt;2400000),10,(L413/(K413-G413-H413)*100))</f>
      </c>
      <c r="C413">
        <f>IF(N413&gt;2400000,240000,(N413*S413)/100)</f>
      </c>
      <c r="D413">
        <f>IF(S413=0,0,IF((N413-I413)&gt;2400000,((((((N413-I413-J413)-240000))*0.1+(I413+J413)*0.1)))-7000,((((((N413-I413-J413)-(N413-I413-J413)*S413/100)))*0.1+(I413+J413)*0.1)-7000)))</f>
      </c>
      <c r="E413">
        <f>C413-O413</f>
      </c>
      <c r="F413">
        <f>D413-P413</f>
      </c>
      <c r="G413">
        <f>SUMIF(negtgel!U$2:BL$2,'Tsalin uzuulelt'!B$1,negtgel!U413:BL413) + SUMIF(negtgel!U$2:BL$2,'Tsalin uzuulelt'!B$2,negtgel!U413:BL413)+SUMIF(negtgel!U$2:BL$2,'Tsalin uzuulelt'!B$3,negtgel!U413:BL413)+SUMIF(negtgel!U$2:BL$2,'Tsalin uzuulelt'!B$4,negtgel!U413:BL413)+SUMIF(negtgel!U$2:BL$2,'Tsalin uzuulelt'!B$5,negtgel!U413:BL413)</f>
      </c>
      <c r="H413">
        <f>SUMIF(negtgel!U$2:BL$2,'Tsalin uzuulelt'!F$1,negtgel!U413:BL413) + SUMIF(negtgel!U$2:BL$2,'Tsalin uzuulelt'!F$2,negtgel!U413:BL413)+SUMIF(negtgel!U$2:BL$2,'Tsalin uzuulelt'!F$3,negtgel!U413:BL413)+SUMIF(negtgel!U$2:BL$2,'Tsalin uzuulelt'!F$4,negtgel!U413:BL413)+SUMIF(negtgel!U$2:BL$2,'Tsalin uzuulelt'!F$5,negtgel!U413:BL413)</f>
      </c>
      <c r="I413">
        <f>SUMIF(negtgel!U$2:BL$2,'Tsalin uzuulelt'!H$1,negtgel!U413:BL413) + SUMIF(negtgel!U$2:BL$2,'Tsalin uzuulelt'!H$2,negtgel!U413:BL413)+SUMIF(negtgel!U$2:BL$2,'Tsalin uzuulelt'!H$3,negtgel!U413:BL413)+SUMIF(negtgel!U$2:BL$2,'Tsalin uzuulelt'!H$4,negtgel!U413:BL413)+SUMIF(negtgel!U$2:BL$2,'Tsalin uzuulelt'!H$5,negtgel!U413:BL413)</f>
      </c>
      <c r="J413">
        <f>SUMIF(negtgel!U$2:BL$2,'Tsalin uzuulelt'!J$1,negtgel!U413:BL413) + SUMIF(negtgel!U$2:BL$2,'Tsalin uzuulelt'!J$2,negtgel!U413:BL413)+SUMIF(negtgel!U$2:BL$2,'Tsalin uzuulelt'!J$3,negtgel!U413:BL413)+SUMIF(negtgel!U$2:BL$2,'Tsalin uzuulelt'!J$4,negtgel!U413:BL413)+SUMIF(negtgel!U$2:BL$2,'Tsalin uzuulelt'!J$5,negtgel!U413:BL413)</f>
      </c>
      <c r="K413">
        <f>SUMIF(negtgel!U$2:BL$2,'Tsalin uzuulelt'!L$1,negtgel!U413:BL413) + SUMIF(negtgel!U$2:BL$2,'Tsalin uzuulelt'!L$2,negtgel!U413:BL413)+SUMIF(negtgel!U$2:BL$2,'Tsalin uzuulelt'!L$3,negtgel!U413:BL413)+SUMIF(negtgel!U$2:BL$2,'Tsalin uzuulelt'!L$4,negtgel!U413:BL413)+SUMIF(negtgel!U$2:BL$2,'Tsalin uzuulelt'!L$5,negtgel!U413:BL413)</f>
      </c>
      <c r="L413">
        <f>SUMIF(negtgel!U$2:BL$2,'Tsalin uzuulelt'!N$1,negtgel!U413:BL413) + SUMIF(negtgel!U$2:BL$2,'Tsalin uzuulelt'!N$2,negtgel!U413:BL413)+SUMIF(negtgel!U$2:BL$2,'Tsalin uzuulelt'!N$3,negtgel!U413:BL413)+SUMIF(negtgel!U$2:BL$2,'Tsalin uzuulelt'!N$4,negtgel!U413:BL413)+SUMIF(negtgel!U$2:BL$2,'Tsalin uzuulelt'!N$5,negtgel!U413:BL413)</f>
      </c>
      <c r="M413">
        <f>SUMIF(negtgel!U$2:BL$2,'Tsalin uzuulelt'!P$1,negtgel!U413:BL413) + SUMIF(negtgel!U$2:BL$2,'Tsalin uzuulelt'!P$2,negtgel!U413:BL413)+ SUMIF(negtgel!U$2:BL$2,'Tsalin uzuulelt'!P$3,negtgel!U413:BL413)+ SUMIF(negtgel!U$2:BL$2,'Tsalin uzuulelt'!P$4,negtgel!U413:BL413)+ SUMIF(negtgel!U$2:BL$2,'Tsalin uzuulelt'!P$5,negtgel!U413:BL413)</f>
      </c>
      <c r="N413">
        <f>IF(ISNUMBER(U413*1)=CF413,0,K413-H413-G413)</f>
      </c>
      <c r="O413">
        <f>IF(ISNUMBER(U413*1)=CF413,0,L413)</f>
      </c>
      <c r="P413">
        <f>IF(ISNUMBER(U413*1)=CF413,0,M413)</f>
      </c>
      <c r="Q413">
        <f>IF(N413&gt;2400000,N413,0)</f>
      </c>
      <c r="R413">
        <f>IF(L413/Q413*100&lt;3,2,10)</f>
      </c>
      <c r="S413">
        <f>IF(CH413=0,0,IF(B413&gt;9,10,IF(B413&gt;8,B413,IF(B413&gt;7.7,7.8,IF(B413&gt;3,B413,IF(B413&gt;1.5,2))))))</f>
      </c>
      <c r="T413">
        <f>IF(Q413=0,S413,R413)</f>
      </c>
      <c r="U413" t="n">
        <v>97.0</v>
      </c>
      <c r="V413" t="s">
        <v>3876</v>
      </c>
      <c r="W413" t="s">
        <v>3790</v>
      </c>
      <c r="X413" t="n">
        <v>613669.0</v>
      </c>
      <c r="Y413" t="n">
        <v>0.0</v>
      </c>
      <c r="Z413" t="n">
        <v>0.0</v>
      </c>
      <c r="AA413" t="n">
        <v>0.0</v>
      </c>
      <c r="AB413" t="n">
        <v>0.0</v>
      </c>
      <c r="AC413" t="n">
        <v>0.0</v>
      </c>
      <c r="AD413" t="n">
        <v>0.0</v>
      </c>
      <c r="AE413" t="n">
        <v>0.0</v>
      </c>
      <c r="AF413" t="n">
        <v>0.0</v>
      </c>
      <c r="AG413" t="n">
        <v>0.0</v>
      </c>
      <c r="AH413" t="n">
        <v>0.0</v>
      </c>
      <c r="AI413" t="n">
        <v>0.0</v>
      </c>
      <c r="AJ413" t="n">
        <v>0.0</v>
      </c>
      <c r="AK413" t="n">
        <v>0.0</v>
      </c>
      <c r="AL413" t="n">
        <v>0.0</v>
      </c>
      <c r="AM413" t="n">
        <v>0.0</v>
      </c>
      <c r="AN413" t="n">
        <v>0.0</v>
      </c>
      <c r="AO413" t="n">
        <v>0.0</v>
      </c>
      <c r="AP413" t="n">
        <v>0.0</v>
      </c>
      <c r="AQ413" t="n">
        <v>0.0</v>
      </c>
      <c r="CH413">
        <f>IFERROR(U413*1,0)</f>
      </c>
    </row>
    <row r="414">
      <c r="A414" t="n">
        <v>6.0</v>
      </c>
      <c r="B414">
        <f>IF((K414-G414-H414&gt;2400000),10,(L414/(K414-G414-H414)*100))</f>
      </c>
      <c r="C414">
        <f>IF(N414&gt;2400000,240000,(N414*S414)/100)</f>
      </c>
      <c r="D414">
        <f>IF(S414=0,0,IF((N414-I414)&gt;2400000,((((((N414-I414-J414)-240000))*0.1+(I414+J414)*0.1)))-7000,((((((N414-I414-J414)-(N414-I414-J414)*S414/100)))*0.1+(I414+J414)*0.1)-7000)))</f>
      </c>
      <c r="E414">
        <f>C414-O414</f>
      </c>
      <c r="F414">
        <f>D414-P414</f>
      </c>
      <c r="G414">
        <f>SUMIF(negtgel!U$2:BL$2,'Tsalin uzuulelt'!B$1,negtgel!U414:BL414) + SUMIF(negtgel!U$2:BL$2,'Tsalin uzuulelt'!B$2,negtgel!U414:BL414)+SUMIF(negtgel!U$2:BL$2,'Tsalin uzuulelt'!B$3,negtgel!U414:BL414)+SUMIF(negtgel!U$2:BL$2,'Tsalin uzuulelt'!B$4,negtgel!U414:BL414)+SUMIF(negtgel!U$2:BL$2,'Tsalin uzuulelt'!B$5,negtgel!U414:BL414)</f>
      </c>
      <c r="H414">
        <f>SUMIF(negtgel!U$2:BL$2,'Tsalin uzuulelt'!F$1,negtgel!U414:BL414) + SUMIF(negtgel!U$2:BL$2,'Tsalin uzuulelt'!F$2,negtgel!U414:BL414)+SUMIF(negtgel!U$2:BL$2,'Tsalin uzuulelt'!F$3,negtgel!U414:BL414)+SUMIF(negtgel!U$2:BL$2,'Tsalin uzuulelt'!F$4,negtgel!U414:BL414)+SUMIF(negtgel!U$2:BL$2,'Tsalin uzuulelt'!F$5,negtgel!U414:BL414)</f>
      </c>
      <c r="I414">
        <f>SUMIF(negtgel!U$2:BL$2,'Tsalin uzuulelt'!H$1,negtgel!U414:BL414) + SUMIF(negtgel!U$2:BL$2,'Tsalin uzuulelt'!H$2,negtgel!U414:BL414)+SUMIF(negtgel!U$2:BL$2,'Tsalin uzuulelt'!H$3,negtgel!U414:BL414)+SUMIF(negtgel!U$2:BL$2,'Tsalin uzuulelt'!H$4,negtgel!U414:BL414)+SUMIF(negtgel!U$2:BL$2,'Tsalin uzuulelt'!H$5,negtgel!U414:BL414)</f>
      </c>
      <c r="J414">
        <f>SUMIF(negtgel!U$2:BL$2,'Tsalin uzuulelt'!J$1,negtgel!U414:BL414) + SUMIF(negtgel!U$2:BL$2,'Tsalin uzuulelt'!J$2,negtgel!U414:BL414)+SUMIF(negtgel!U$2:BL$2,'Tsalin uzuulelt'!J$3,negtgel!U414:BL414)+SUMIF(negtgel!U$2:BL$2,'Tsalin uzuulelt'!J$4,negtgel!U414:BL414)+SUMIF(negtgel!U$2:BL$2,'Tsalin uzuulelt'!J$5,negtgel!U414:BL414)</f>
      </c>
      <c r="K414">
        <f>SUMIF(negtgel!U$2:BL$2,'Tsalin uzuulelt'!L$1,negtgel!U414:BL414) + SUMIF(negtgel!U$2:BL$2,'Tsalin uzuulelt'!L$2,negtgel!U414:BL414)+SUMIF(negtgel!U$2:BL$2,'Tsalin uzuulelt'!L$3,negtgel!U414:BL414)+SUMIF(negtgel!U$2:BL$2,'Tsalin uzuulelt'!L$4,negtgel!U414:BL414)+SUMIF(negtgel!U$2:BL$2,'Tsalin uzuulelt'!L$5,negtgel!U414:BL414)</f>
      </c>
      <c r="L414">
        <f>SUMIF(negtgel!U$2:BL$2,'Tsalin uzuulelt'!N$1,negtgel!U414:BL414) + SUMIF(negtgel!U$2:BL$2,'Tsalin uzuulelt'!N$2,negtgel!U414:BL414)+SUMIF(negtgel!U$2:BL$2,'Tsalin uzuulelt'!N$3,negtgel!U414:BL414)+SUMIF(negtgel!U$2:BL$2,'Tsalin uzuulelt'!N$4,negtgel!U414:BL414)+SUMIF(negtgel!U$2:BL$2,'Tsalin uzuulelt'!N$5,negtgel!U414:BL414)</f>
      </c>
      <c r="M414">
        <f>SUMIF(negtgel!U$2:BL$2,'Tsalin uzuulelt'!P$1,negtgel!U414:BL414) + SUMIF(negtgel!U$2:BL$2,'Tsalin uzuulelt'!P$2,negtgel!U414:BL414)+ SUMIF(negtgel!U$2:BL$2,'Tsalin uzuulelt'!P$3,negtgel!U414:BL414)+ SUMIF(negtgel!U$2:BL$2,'Tsalin uzuulelt'!P$4,negtgel!U414:BL414)+ SUMIF(negtgel!U$2:BL$2,'Tsalin uzuulelt'!P$5,negtgel!U414:BL414)</f>
      </c>
      <c r="N414">
        <f>IF(ISNUMBER(U414*1)=CF414,0,K414-H414-G414)</f>
      </c>
      <c r="O414">
        <f>IF(ISNUMBER(U414*1)=CF414,0,L414)</f>
      </c>
      <c r="P414">
        <f>IF(ISNUMBER(U414*1)=CF414,0,M414)</f>
      </c>
      <c r="Q414">
        <f>IF(N414&gt;2400000,N414,0)</f>
      </c>
      <c r="R414">
        <f>IF(L414/Q414*100&lt;3,2,10)</f>
      </c>
      <c r="S414">
        <f>IF(CH414=0,0,IF(B414&gt;9,10,IF(B414&gt;8,B414,IF(B414&gt;7.7,7.8,IF(B414&gt;3,B414,IF(B414&gt;1.5,2))))))</f>
      </c>
      <c r="T414">
        <f>IF(Q414=0,S414,R414)</f>
      </c>
      <c r="U414" t="n">
        <v>151.0</v>
      </c>
      <c r="V414" t="s">
        <v>3871</v>
      </c>
      <c r="W414" t="s">
        <v>3790</v>
      </c>
      <c r="X414" t="n">
        <v>613669.0</v>
      </c>
      <c r="Y414" t="n">
        <v>0.0</v>
      </c>
      <c r="Z414" t="n">
        <v>0.0</v>
      </c>
      <c r="AA414" t="n">
        <v>0.0</v>
      </c>
      <c r="AB414" t="n">
        <v>0.0</v>
      </c>
      <c r="AC414" t="n">
        <v>0.0</v>
      </c>
      <c r="AD414" t="n">
        <v>0.0</v>
      </c>
      <c r="AE414" t="n">
        <v>0.0</v>
      </c>
      <c r="AF414" t="n">
        <v>0.0</v>
      </c>
      <c r="AG414" t="n">
        <v>0.0</v>
      </c>
      <c r="AH414" t="n">
        <v>0.0</v>
      </c>
      <c r="AI414" t="n">
        <v>0.0</v>
      </c>
      <c r="AJ414" t="n">
        <v>0.0</v>
      </c>
      <c r="AK414" t="n">
        <v>0.0</v>
      </c>
      <c r="AL414" t="n">
        <v>0.0</v>
      </c>
      <c r="AM414" t="n">
        <v>0.0</v>
      </c>
      <c r="AN414" t="n">
        <v>0.0</v>
      </c>
      <c r="AO414" t="n">
        <v>0.0</v>
      </c>
      <c r="AP414" t="n">
        <v>0.0</v>
      </c>
      <c r="AQ414" t="n">
        <v>0.0</v>
      </c>
      <c r="CH414">
        <f>IFERROR(U414*1,0)</f>
      </c>
    </row>
    <row r="415">
      <c r="A415" t="n">
        <v>6.0</v>
      </c>
      <c r="B415">
        <f>IF((K415-G415-H415&gt;2400000),10,(L415/(K415-G415-H415)*100))</f>
      </c>
      <c r="C415">
        <f>IF(N415&gt;2400000,240000,(N415*S415)/100)</f>
      </c>
      <c r="D415">
        <f>IF(S415=0,0,IF((N415-I415)&gt;2400000,((((((N415-I415-J415)-240000))*0.1+(I415+J415)*0.1)))-7000,((((((N415-I415-J415)-(N415-I415-J415)*S415/100)))*0.1+(I415+J415)*0.1)-7000)))</f>
      </c>
      <c r="E415">
        <f>C415-O415</f>
      </c>
      <c r="F415">
        <f>D415-P415</f>
      </c>
      <c r="G415">
        <f>SUMIF(negtgel!U$2:BL$2,'Tsalin uzuulelt'!B$1,negtgel!U415:BL415) + SUMIF(negtgel!U$2:BL$2,'Tsalin uzuulelt'!B$2,negtgel!U415:BL415)+SUMIF(negtgel!U$2:BL$2,'Tsalin uzuulelt'!B$3,negtgel!U415:BL415)+SUMIF(negtgel!U$2:BL$2,'Tsalin uzuulelt'!B$4,negtgel!U415:BL415)+SUMIF(negtgel!U$2:BL$2,'Tsalin uzuulelt'!B$5,negtgel!U415:BL415)</f>
      </c>
      <c r="H415">
        <f>SUMIF(negtgel!U$2:BL$2,'Tsalin uzuulelt'!F$1,negtgel!U415:BL415) + SUMIF(negtgel!U$2:BL$2,'Tsalin uzuulelt'!F$2,negtgel!U415:BL415)+SUMIF(negtgel!U$2:BL$2,'Tsalin uzuulelt'!F$3,negtgel!U415:BL415)+SUMIF(negtgel!U$2:BL$2,'Tsalin uzuulelt'!F$4,negtgel!U415:BL415)+SUMIF(negtgel!U$2:BL$2,'Tsalin uzuulelt'!F$5,negtgel!U415:BL415)</f>
      </c>
      <c r="I415">
        <f>SUMIF(negtgel!U$2:BL$2,'Tsalin uzuulelt'!H$1,negtgel!U415:BL415) + SUMIF(negtgel!U$2:BL$2,'Tsalin uzuulelt'!H$2,negtgel!U415:BL415)+SUMIF(negtgel!U$2:BL$2,'Tsalin uzuulelt'!H$3,negtgel!U415:BL415)+SUMIF(negtgel!U$2:BL$2,'Tsalin uzuulelt'!H$4,negtgel!U415:BL415)+SUMIF(negtgel!U$2:BL$2,'Tsalin uzuulelt'!H$5,negtgel!U415:BL415)</f>
      </c>
      <c r="J415">
        <f>SUMIF(negtgel!U$2:BL$2,'Tsalin uzuulelt'!J$1,negtgel!U415:BL415) + SUMIF(negtgel!U$2:BL$2,'Tsalin uzuulelt'!J$2,negtgel!U415:BL415)+SUMIF(negtgel!U$2:BL$2,'Tsalin uzuulelt'!J$3,negtgel!U415:BL415)+SUMIF(negtgel!U$2:BL$2,'Tsalin uzuulelt'!J$4,negtgel!U415:BL415)+SUMIF(negtgel!U$2:BL$2,'Tsalin uzuulelt'!J$5,negtgel!U415:BL415)</f>
      </c>
      <c r="K415">
        <f>SUMIF(negtgel!U$2:BL$2,'Tsalin uzuulelt'!L$1,negtgel!U415:BL415) + SUMIF(negtgel!U$2:BL$2,'Tsalin uzuulelt'!L$2,negtgel!U415:BL415)+SUMIF(negtgel!U$2:BL$2,'Tsalin uzuulelt'!L$3,negtgel!U415:BL415)+SUMIF(negtgel!U$2:BL$2,'Tsalin uzuulelt'!L$4,negtgel!U415:BL415)+SUMIF(negtgel!U$2:BL$2,'Tsalin uzuulelt'!L$5,negtgel!U415:BL415)</f>
      </c>
      <c r="L415">
        <f>SUMIF(negtgel!U$2:BL$2,'Tsalin uzuulelt'!N$1,negtgel!U415:BL415) + SUMIF(negtgel!U$2:BL$2,'Tsalin uzuulelt'!N$2,negtgel!U415:BL415)+SUMIF(negtgel!U$2:BL$2,'Tsalin uzuulelt'!N$3,negtgel!U415:BL415)+SUMIF(negtgel!U$2:BL$2,'Tsalin uzuulelt'!N$4,negtgel!U415:BL415)+SUMIF(negtgel!U$2:BL$2,'Tsalin uzuulelt'!N$5,negtgel!U415:BL415)</f>
      </c>
      <c r="M415">
        <f>SUMIF(negtgel!U$2:BL$2,'Tsalin uzuulelt'!P$1,negtgel!U415:BL415) + SUMIF(negtgel!U$2:BL$2,'Tsalin uzuulelt'!P$2,negtgel!U415:BL415)+ SUMIF(negtgel!U$2:BL$2,'Tsalin uzuulelt'!P$3,negtgel!U415:BL415)+ SUMIF(negtgel!U$2:BL$2,'Tsalin uzuulelt'!P$4,negtgel!U415:BL415)+ SUMIF(negtgel!U$2:BL$2,'Tsalin uzuulelt'!P$5,negtgel!U415:BL415)</f>
      </c>
      <c r="N415">
        <f>IF(ISNUMBER(U415*1)=CF415,0,K415-H415-G415)</f>
      </c>
      <c r="O415">
        <f>IF(ISNUMBER(U415*1)=CF415,0,L415)</f>
      </c>
      <c r="P415">
        <f>IF(ISNUMBER(U415*1)=CF415,0,M415)</f>
      </c>
      <c r="Q415">
        <f>IF(N415&gt;2400000,N415,0)</f>
      </c>
      <c r="R415">
        <f>IF(L415/Q415*100&lt;3,2,10)</f>
      </c>
      <c r="S415">
        <f>IF(CH415=0,0,IF(B415&gt;9,10,IF(B415&gt;8,B415,IF(B415&gt;7.7,7.8,IF(B415&gt;3,B415,IF(B415&gt;1.5,2))))))</f>
      </c>
      <c r="T415">
        <f>IF(Q415=0,S415,R415)</f>
      </c>
      <c r="U415" t="n">
        <v>152.0</v>
      </c>
      <c r="V415" t="s">
        <v>3863</v>
      </c>
      <c r="W415" t="s">
        <v>3790</v>
      </c>
      <c r="X415" t="n">
        <v>577826.0</v>
      </c>
      <c r="Y415" t="n">
        <v>0.0</v>
      </c>
      <c r="Z415" t="n">
        <v>0.0</v>
      </c>
      <c r="AA415" t="n">
        <v>0.0</v>
      </c>
      <c r="AB415" t="n">
        <v>0.0</v>
      </c>
      <c r="AC415" t="n">
        <v>0.0</v>
      </c>
      <c r="AD415" t="n">
        <v>0.0</v>
      </c>
      <c r="AE415" t="n">
        <v>0.0</v>
      </c>
      <c r="AF415" t="n">
        <v>0.0</v>
      </c>
      <c r="AG415" t="n">
        <v>0.0</v>
      </c>
      <c r="AH415" t="n">
        <v>0.0</v>
      </c>
      <c r="AI415" t="n">
        <v>0.0</v>
      </c>
      <c r="AJ415" t="n">
        <v>0.0</v>
      </c>
      <c r="AK415" t="n">
        <v>0.0</v>
      </c>
      <c r="AL415" t="n">
        <v>0.0</v>
      </c>
      <c r="AM415" t="n">
        <v>0.0</v>
      </c>
      <c r="AN415" t="n">
        <v>0.0</v>
      </c>
      <c r="AO415" t="n">
        <v>0.0</v>
      </c>
      <c r="AP415" t="n">
        <v>0.0</v>
      </c>
      <c r="AQ415" t="n">
        <v>0.0</v>
      </c>
      <c r="CH415">
        <f>IFERROR(U415*1,0)</f>
      </c>
    </row>
    <row r="416">
      <c r="A416" t="n">
        <v>6.0</v>
      </c>
      <c r="B416">
        <f>IF((K416-G416-H416&gt;2400000),10,(L416/(K416-G416-H416)*100))</f>
      </c>
      <c r="C416">
        <f>IF(N416&gt;2400000,240000,(N416*S416)/100)</f>
      </c>
      <c r="D416">
        <f>IF(S416=0,0,IF((N416-I416)&gt;2400000,((((((N416-I416-J416)-240000))*0.1+(I416+J416)*0.1)))-7000,((((((N416-I416-J416)-(N416-I416-J416)*S416/100)))*0.1+(I416+J416)*0.1)-7000)))</f>
      </c>
      <c r="E416">
        <f>C416-O416</f>
      </c>
      <c r="F416">
        <f>D416-P416</f>
      </c>
      <c r="G416">
        <f>SUMIF(negtgel!U$2:BL$2,'Tsalin uzuulelt'!B$1,negtgel!U416:BL416) + SUMIF(negtgel!U$2:BL$2,'Tsalin uzuulelt'!B$2,negtgel!U416:BL416)+SUMIF(negtgel!U$2:BL$2,'Tsalin uzuulelt'!B$3,negtgel!U416:BL416)+SUMIF(negtgel!U$2:BL$2,'Tsalin uzuulelt'!B$4,negtgel!U416:BL416)+SUMIF(negtgel!U$2:BL$2,'Tsalin uzuulelt'!B$5,negtgel!U416:BL416)</f>
      </c>
      <c r="H416">
        <f>SUMIF(negtgel!U$2:BL$2,'Tsalin uzuulelt'!F$1,negtgel!U416:BL416) + SUMIF(negtgel!U$2:BL$2,'Tsalin uzuulelt'!F$2,negtgel!U416:BL416)+SUMIF(negtgel!U$2:BL$2,'Tsalin uzuulelt'!F$3,negtgel!U416:BL416)+SUMIF(negtgel!U$2:BL$2,'Tsalin uzuulelt'!F$4,negtgel!U416:BL416)+SUMIF(negtgel!U$2:BL$2,'Tsalin uzuulelt'!F$5,negtgel!U416:BL416)</f>
      </c>
      <c r="I416">
        <f>SUMIF(negtgel!U$2:BL$2,'Tsalin uzuulelt'!H$1,negtgel!U416:BL416) + SUMIF(negtgel!U$2:BL$2,'Tsalin uzuulelt'!H$2,negtgel!U416:BL416)+SUMIF(negtgel!U$2:BL$2,'Tsalin uzuulelt'!H$3,negtgel!U416:BL416)+SUMIF(negtgel!U$2:BL$2,'Tsalin uzuulelt'!H$4,negtgel!U416:BL416)+SUMIF(negtgel!U$2:BL$2,'Tsalin uzuulelt'!H$5,negtgel!U416:BL416)</f>
      </c>
      <c r="J416">
        <f>SUMIF(negtgel!U$2:BL$2,'Tsalin uzuulelt'!J$1,negtgel!U416:BL416) + SUMIF(negtgel!U$2:BL$2,'Tsalin uzuulelt'!J$2,negtgel!U416:BL416)+SUMIF(negtgel!U$2:BL$2,'Tsalin uzuulelt'!J$3,negtgel!U416:BL416)+SUMIF(negtgel!U$2:BL$2,'Tsalin uzuulelt'!J$4,negtgel!U416:BL416)+SUMIF(negtgel!U$2:BL$2,'Tsalin uzuulelt'!J$5,negtgel!U416:BL416)</f>
      </c>
      <c r="K416">
        <f>SUMIF(negtgel!U$2:BL$2,'Tsalin uzuulelt'!L$1,negtgel!U416:BL416) + SUMIF(negtgel!U$2:BL$2,'Tsalin uzuulelt'!L$2,negtgel!U416:BL416)+SUMIF(negtgel!U$2:BL$2,'Tsalin uzuulelt'!L$3,negtgel!U416:BL416)+SUMIF(negtgel!U$2:BL$2,'Tsalin uzuulelt'!L$4,negtgel!U416:BL416)+SUMIF(negtgel!U$2:BL$2,'Tsalin uzuulelt'!L$5,negtgel!U416:BL416)</f>
      </c>
      <c r="L416">
        <f>SUMIF(negtgel!U$2:BL$2,'Tsalin uzuulelt'!N$1,negtgel!U416:BL416) + SUMIF(negtgel!U$2:BL$2,'Tsalin uzuulelt'!N$2,negtgel!U416:BL416)+SUMIF(negtgel!U$2:BL$2,'Tsalin uzuulelt'!N$3,negtgel!U416:BL416)+SUMIF(negtgel!U$2:BL$2,'Tsalin uzuulelt'!N$4,negtgel!U416:BL416)+SUMIF(negtgel!U$2:BL$2,'Tsalin uzuulelt'!N$5,negtgel!U416:BL416)</f>
      </c>
      <c r="M416">
        <f>SUMIF(negtgel!U$2:BL$2,'Tsalin uzuulelt'!P$1,negtgel!U416:BL416) + SUMIF(negtgel!U$2:BL$2,'Tsalin uzuulelt'!P$2,negtgel!U416:BL416)+ SUMIF(negtgel!U$2:BL$2,'Tsalin uzuulelt'!P$3,negtgel!U416:BL416)+ SUMIF(negtgel!U$2:BL$2,'Tsalin uzuulelt'!P$4,negtgel!U416:BL416)+ SUMIF(negtgel!U$2:BL$2,'Tsalin uzuulelt'!P$5,negtgel!U416:BL416)</f>
      </c>
      <c r="N416">
        <f>IF(ISNUMBER(U416*1)=CF416,0,K416-H416-G416)</f>
      </c>
      <c r="O416">
        <f>IF(ISNUMBER(U416*1)=CF416,0,L416)</f>
      </c>
      <c r="P416">
        <f>IF(ISNUMBER(U416*1)=CF416,0,M416)</f>
      </c>
      <c r="Q416">
        <f>IF(N416&gt;2400000,N416,0)</f>
      </c>
      <c r="R416">
        <f>IF(L416/Q416*100&lt;3,2,10)</f>
      </c>
      <c r="S416">
        <f>IF(CH416=0,0,IF(B416&gt;9,10,IF(B416&gt;8,B416,IF(B416&gt;7.7,7.8,IF(B416&gt;3,B416,IF(B416&gt;1.5,2))))))</f>
      </c>
      <c r="T416">
        <f>IF(Q416=0,S416,R416)</f>
      </c>
      <c r="U416" t="n">
        <v>153.0</v>
      </c>
      <c r="V416" t="s">
        <v>3786</v>
      </c>
      <c r="W416" t="s">
        <v>3785</v>
      </c>
      <c r="X416" t="n">
        <v>627465.0</v>
      </c>
      <c r="Y416" t="n">
        <v>0.0</v>
      </c>
      <c r="Z416" t="n">
        <v>0.0</v>
      </c>
      <c r="AA416" t="n">
        <v>0.0</v>
      </c>
      <c r="AB416" t="n">
        <v>0.0</v>
      </c>
      <c r="AC416" t="n">
        <v>0.0</v>
      </c>
      <c r="AD416" t="n">
        <v>0.0</v>
      </c>
      <c r="AE416" t="n">
        <v>0.0</v>
      </c>
      <c r="AF416" t="n">
        <v>0.0</v>
      </c>
      <c r="AG416" t="n">
        <v>0.0</v>
      </c>
      <c r="AH416" t="n">
        <v>0.0</v>
      </c>
      <c r="AI416" t="n">
        <v>0.0</v>
      </c>
      <c r="AJ416" t="n">
        <v>0.0</v>
      </c>
      <c r="AK416" t="n">
        <v>0.0</v>
      </c>
      <c r="AL416" t="n">
        <v>0.0</v>
      </c>
      <c r="AM416" t="n">
        <v>0.0</v>
      </c>
      <c r="AN416" t="n">
        <v>0.0</v>
      </c>
      <c r="AO416" t="n">
        <v>0.0</v>
      </c>
      <c r="AP416" t="n">
        <v>0.0</v>
      </c>
      <c r="AQ416" t="n">
        <v>0.0</v>
      </c>
      <c r="CH416">
        <f>IFERROR(U416*1,0)</f>
      </c>
    </row>
    <row r="417">
      <c r="A417" t="n">
        <v>6.0</v>
      </c>
      <c r="B417">
        <f>IF((K417-G417-H417&gt;2400000),10,(L417/(K417-G417-H417)*100))</f>
      </c>
      <c r="C417">
        <f>IF(N417&gt;2400000,240000,(N417*S417)/100)</f>
      </c>
      <c r="D417">
        <f>IF(S417=0,0,IF((N417-I417)&gt;2400000,((((((N417-I417-J417)-240000))*0.1+(I417+J417)*0.1)))-7000,((((((N417-I417-J417)-(N417-I417-J417)*S417/100)))*0.1+(I417+J417)*0.1)-7000)))</f>
      </c>
      <c r="E417">
        <f>C417-O417</f>
      </c>
      <c r="F417">
        <f>D417-P417</f>
      </c>
      <c r="G417">
        <f>SUMIF(negtgel!U$2:BL$2,'Tsalin uzuulelt'!B$1,negtgel!U417:BL417) + SUMIF(negtgel!U$2:BL$2,'Tsalin uzuulelt'!B$2,negtgel!U417:BL417)+SUMIF(negtgel!U$2:BL$2,'Tsalin uzuulelt'!B$3,negtgel!U417:BL417)+SUMIF(negtgel!U$2:BL$2,'Tsalin uzuulelt'!B$4,negtgel!U417:BL417)+SUMIF(negtgel!U$2:BL$2,'Tsalin uzuulelt'!B$5,negtgel!U417:BL417)</f>
      </c>
      <c r="H417">
        <f>SUMIF(negtgel!U$2:BL$2,'Tsalin uzuulelt'!F$1,negtgel!U417:BL417) + SUMIF(negtgel!U$2:BL$2,'Tsalin uzuulelt'!F$2,negtgel!U417:BL417)+SUMIF(negtgel!U$2:BL$2,'Tsalin uzuulelt'!F$3,negtgel!U417:BL417)+SUMIF(negtgel!U$2:BL$2,'Tsalin uzuulelt'!F$4,negtgel!U417:BL417)+SUMIF(negtgel!U$2:BL$2,'Tsalin uzuulelt'!F$5,negtgel!U417:BL417)</f>
      </c>
      <c r="I417">
        <f>SUMIF(negtgel!U$2:BL$2,'Tsalin uzuulelt'!H$1,negtgel!U417:BL417) + SUMIF(negtgel!U$2:BL$2,'Tsalin uzuulelt'!H$2,negtgel!U417:BL417)+SUMIF(negtgel!U$2:BL$2,'Tsalin uzuulelt'!H$3,negtgel!U417:BL417)+SUMIF(negtgel!U$2:BL$2,'Tsalin uzuulelt'!H$4,negtgel!U417:BL417)+SUMIF(negtgel!U$2:BL$2,'Tsalin uzuulelt'!H$5,negtgel!U417:BL417)</f>
      </c>
      <c r="J417">
        <f>SUMIF(negtgel!U$2:BL$2,'Tsalin uzuulelt'!J$1,negtgel!U417:BL417) + SUMIF(negtgel!U$2:BL$2,'Tsalin uzuulelt'!J$2,negtgel!U417:BL417)+SUMIF(negtgel!U$2:BL$2,'Tsalin uzuulelt'!J$3,negtgel!U417:BL417)+SUMIF(negtgel!U$2:BL$2,'Tsalin uzuulelt'!J$4,negtgel!U417:BL417)+SUMIF(negtgel!U$2:BL$2,'Tsalin uzuulelt'!J$5,negtgel!U417:BL417)</f>
      </c>
      <c r="K417">
        <f>SUMIF(negtgel!U$2:BL$2,'Tsalin uzuulelt'!L$1,negtgel!U417:BL417) + SUMIF(negtgel!U$2:BL$2,'Tsalin uzuulelt'!L$2,negtgel!U417:BL417)+SUMIF(negtgel!U$2:BL$2,'Tsalin uzuulelt'!L$3,negtgel!U417:BL417)+SUMIF(negtgel!U$2:BL$2,'Tsalin uzuulelt'!L$4,negtgel!U417:BL417)+SUMIF(negtgel!U$2:BL$2,'Tsalin uzuulelt'!L$5,negtgel!U417:BL417)</f>
      </c>
      <c r="L417">
        <f>SUMIF(negtgel!U$2:BL$2,'Tsalin uzuulelt'!N$1,negtgel!U417:BL417) + SUMIF(negtgel!U$2:BL$2,'Tsalin uzuulelt'!N$2,negtgel!U417:BL417)+SUMIF(negtgel!U$2:BL$2,'Tsalin uzuulelt'!N$3,negtgel!U417:BL417)+SUMIF(negtgel!U$2:BL$2,'Tsalin uzuulelt'!N$4,negtgel!U417:BL417)+SUMIF(negtgel!U$2:BL$2,'Tsalin uzuulelt'!N$5,negtgel!U417:BL417)</f>
      </c>
      <c r="M417">
        <f>SUMIF(negtgel!U$2:BL$2,'Tsalin uzuulelt'!P$1,negtgel!U417:BL417) + SUMIF(negtgel!U$2:BL$2,'Tsalin uzuulelt'!P$2,negtgel!U417:BL417)+ SUMIF(negtgel!U$2:BL$2,'Tsalin uzuulelt'!P$3,negtgel!U417:BL417)+ SUMIF(negtgel!U$2:BL$2,'Tsalin uzuulelt'!P$4,negtgel!U417:BL417)+ SUMIF(negtgel!U$2:BL$2,'Tsalin uzuulelt'!P$5,negtgel!U417:BL417)</f>
      </c>
      <c r="N417">
        <f>IF(ISNUMBER(U417*1)=CF417,0,K417-H417-G417)</f>
      </c>
      <c r="O417">
        <f>IF(ISNUMBER(U417*1)=CF417,0,L417)</f>
      </c>
      <c r="P417">
        <f>IF(ISNUMBER(U417*1)=CF417,0,M417)</f>
      </c>
      <c r="Q417">
        <f>IF(N417&gt;2400000,N417,0)</f>
      </c>
      <c r="R417">
        <f>IF(L417/Q417*100&lt;3,2,10)</f>
      </c>
      <c r="S417">
        <f>IF(CH417=0,0,IF(B417&gt;9,10,IF(B417&gt;8,B417,IF(B417&gt;7.7,7.8,IF(B417&gt;3,B417,IF(B417&gt;1.5,2))))))</f>
      </c>
      <c r="T417">
        <f>IF(Q417=0,S417,R417)</f>
      </c>
      <c r="U417" t="n">
        <v>154.0</v>
      </c>
      <c r="V417" t="s">
        <v>3860</v>
      </c>
      <c r="W417" t="s">
        <v>3790</v>
      </c>
      <c r="X417" t="n">
        <v>547759.0</v>
      </c>
      <c r="Y417" t="n">
        <v>0.0</v>
      </c>
      <c r="Z417" t="n">
        <v>0.0</v>
      </c>
      <c r="AA417" t="n">
        <v>0.0</v>
      </c>
      <c r="AB417" t="n">
        <v>0.0</v>
      </c>
      <c r="AC417" t="n">
        <v>0.0</v>
      </c>
      <c r="AD417" t="n">
        <v>0.0</v>
      </c>
      <c r="AE417" t="n">
        <v>0.0</v>
      </c>
      <c r="AF417" t="n">
        <v>0.0</v>
      </c>
      <c r="AG417" t="n">
        <v>0.0</v>
      </c>
      <c r="AH417" t="n">
        <v>0.0</v>
      </c>
      <c r="AI417" t="n">
        <v>0.0</v>
      </c>
      <c r="AJ417" t="n">
        <v>0.0</v>
      </c>
      <c r="AK417" t="n">
        <v>0.0</v>
      </c>
      <c r="AL417" t="n">
        <v>0.0</v>
      </c>
      <c r="AM417" t="n">
        <v>0.0</v>
      </c>
      <c r="AN417" t="n">
        <v>0.0</v>
      </c>
      <c r="AO417" t="n">
        <v>0.0</v>
      </c>
      <c r="AP417" t="n">
        <v>0.0</v>
      </c>
      <c r="AQ417" t="n">
        <v>0.0</v>
      </c>
      <c r="CH417">
        <f>IFERROR(U417*1,0)</f>
      </c>
    </row>
    <row r="418">
      <c r="A418" t="n">
        <v>6.0</v>
      </c>
      <c r="B418">
        <f>IF((K418-G418-H418&gt;2400000),10,(L418/(K418-G418-H418)*100))</f>
      </c>
      <c r="C418">
        <f>IF(N418&gt;2400000,240000,(N418*S418)/100)</f>
      </c>
      <c r="D418">
        <f>IF(S418=0,0,IF((N418-I418)&gt;2400000,((((((N418-I418-J418)-240000))*0.1+(I418+J418)*0.1)))-7000,((((((N418-I418-J418)-(N418-I418-J418)*S418/100)))*0.1+(I418+J418)*0.1)-7000)))</f>
      </c>
      <c r="E418">
        <f>C418-O418</f>
      </c>
      <c r="F418">
        <f>D418-P418</f>
      </c>
      <c r="G418">
        <f>SUMIF(negtgel!U$2:BL$2,'Tsalin uzuulelt'!B$1,negtgel!U418:BL418) + SUMIF(negtgel!U$2:BL$2,'Tsalin uzuulelt'!B$2,negtgel!U418:BL418)+SUMIF(negtgel!U$2:BL$2,'Tsalin uzuulelt'!B$3,negtgel!U418:BL418)+SUMIF(negtgel!U$2:BL$2,'Tsalin uzuulelt'!B$4,negtgel!U418:BL418)+SUMIF(negtgel!U$2:BL$2,'Tsalin uzuulelt'!B$5,negtgel!U418:BL418)</f>
      </c>
      <c r="H418">
        <f>SUMIF(negtgel!U$2:BL$2,'Tsalin uzuulelt'!F$1,negtgel!U418:BL418) + SUMIF(negtgel!U$2:BL$2,'Tsalin uzuulelt'!F$2,negtgel!U418:BL418)+SUMIF(negtgel!U$2:BL$2,'Tsalin uzuulelt'!F$3,negtgel!U418:BL418)+SUMIF(negtgel!U$2:BL$2,'Tsalin uzuulelt'!F$4,negtgel!U418:BL418)+SUMIF(negtgel!U$2:BL$2,'Tsalin uzuulelt'!F$5,negtgel!U418:BL418)</f>
      </c>
      <c r="I418">
        <f>SUMIF(negtgel!U$2:BL$2,'Tsalin uzuulelt'!H$1,negtgel!U418:BL418) + SUMIF(negtgel!U$2:BL$2,'Tsalin uzuulelt'!H$2,negtgel!U418:BL418)+SUMIF(negtgel!U$2:BL$2,'Tsalin uzuulelt'!H$3,negtgel!U418:BL418)+SUMIF(negtgel!U$2:BL$2,'Tsalin uzuulelt'!H$4,negtgel!U418:BL418)+SUMIF(negtgel!U$2:BL$2,'Tsalin uzuulelt'!H$5,negtgel!U418:BL418)</f>
      </c>
      <c r="J418">
        <f>SUMIF(negtgel!U$2:BL$2,'Tsalin uzuulelt'!J$1,negtgel!U418:BL418) + SUMIF(negtgel!U$2:BL$2,'Tsalin uzuulelt'!J$2,negtgel!U418:BL418)+SUMIF(negtgel!U$2:BL$2,'Tsalin uzuulelt'!J$3,negtgel!U418:BL418)+SUMIF(negtgel!U$2:BL$2,'Tsalin uzuulelt'!J$4,negtgel!U418:BL418)+SUMIF(negtgel!U$2:BL$2,'Tsalin uzuulelt'!J$5,negtgel!U418:BL418)</f>
      </c>
      <c r="K418">
        <f>SUMIF(negtgel!U$2:BL$2,'Tsalin uzuulelt'!L$1,negtgel!U418:BL418) + SUMIF(negtgel!U$2:BL$2,'Tsalin uzuulelt'!L$2,negtgel!U418:BL418)+SUMIF(negtgel!U$2:BL$2,'Tsalin uzuulelt'!L$3,negtgel!U418:BL418)+SUMIF(negtgel!U$2:BL$2,'Tsalin uzuulelt'!L$4,negtgel!U418:BL418)+SUMIF(negtgel!U$2:BL$2,'Tsalin uzuulelt'!L$5,negtgel!U418:BL418)</f>
      </c>
      <c r="L418">
        <f>SUMIF(negtgel!U$2:BL$2,'Tsalin uzuulelt'!N$1,negtgel!U418:BL418) + SUMIF(negtgel!U$2:BL$2,'Tsalin uzuulelt'!N$2,negtgel!U418:BL418)+SUMIF(negtgel!U$2:BL$2,'Tsalin uzuulelt'!N$3,negtgel!U418:BL418)+SUMIF(negtgel!U$2:BL$2,'Tsalin uzuulelt'!N$4,negtgel!U418:BL418)+SUMIF(negtgel!U$2:BL$2,'Tsalin uzuulelt'!N$5,negtgel!U418:BL418)</f>
      </c>
      <c r="M418">
        <f>SUMIF(negtgel!U$2:BL$2,'Tsalin uzuulelt'!P$1,negtgel!U418:BL418) + SUMIF(negtgel!U$2:BL$2,'Tsalin uzuulelt'!P$2,negtgel!U418:BL418)+ SUMIF(negtgel!U$2:BL$2,'Tsalin uzuulelt'!P$3,negtgel!U418:BL418)+ SUMIF(negtgel!U$2:BL$2,'Tsalin uzuulelt'!P$4,negtgel!U418:BL418)+ SUMIF(negtgel!U$2:BL$2,'Tsalin uzuulelt'!P$5,negtgel!U418:BL418)</f>
      </c>
      <c r="N418">
        <f>IF(ISNUMBER(U418*1)=CF418,0,K418-H418-G418)</f>
      </c>
      <c r="O418">
        <f>IF(ISNUMBER(U418*1)=CF418,0,L418)</f>
      </c>
      <c r="P418">
        <f>IF(ISNUMBER(U418*1)=CF418,0,M418)</f>
      </c>
      <c r="Q418">
        <f>IF(N418&gt;2400000,N418,0)</f>
      </c>
      <c r="R418">
        <f>IF(L418/Q418*100&lt;3,2,10)</f>
      </c>
      <c r="S418">
        <f>IF(CH418=0,0,IF(B418&gt;9,10,IF(B418&gt;8,B418,IF(B418&gt;7.7,7.8,IF(B418&gt;3,B418,IF(B418&gt;1.5,2))))))</f>
      </c>
      <c r="T418">
        <f>IF(Q418=0,S418,R418)</f>
      </c>
      <c r="U418" t="n">
        <v>155.0</v>
      </c>
      <c r="V418" t="s">
        <v>3844</v>
      </c>
      <c r="W418" t="s">
        <v>3790</v>
      </c>
      <c r="X418" t="n">
        <v>677436.0</v>
      </c>
      <c r="Y418" t="n">
        <v>0.0</v>
      </c>
      <c r="Z418" t="n">
        <v>0.0</v>
      </c>
      <c r="AA418" t="n">
        <v>0.0</v>
      </c>
      <c r="AB418" t="n">
        <v>0.0</v>
      </c>
      <c r="AC418" t="n">
        <v>0.0</v>
      </c>
      <c r="AD418" t="n">
        <v>0.0</v>
      </c>
      <c r="AE418" t="n">
        <v>0.0</v>
      </c>
      <c r="AF418" t="n">
        <v>0.0</v>
      </c>
      <c r="AG418" t="n">
        <v>0.0</v>
      </c>
      <c r="AH418" t="n">
        <v>0.0</v>
      </c>
      <c r="AI418" t="n">
        <v>0.0</v>
      </c>
      <c r="AJ418" t="n">
        <v>0.0</v>
      </c>
      <c r="AK418" t="n">
        <v>0.0</v>
      </c>
      <c r="AL418" t="n">
        <v>0.0</v>
      </c>
      <c r="AM418" t="n">
        <v>0.0</v>
      </c>
      <c r="AN418" t="n">
        <v>0.0</v>
      </c>
      <c r="AO418" t="n">
        <v>0.0</v>
      </c>
      <c r="AP418" t="n">
        <v>0.0</v>
      </c>
      <c r="AQ418" t="n">
        <v>0.0</v>
      </c>
      <c r="CH418">
        <f>IFERROR(U418*1,0)</f>
      </c>
    </row>
    <row r="419">
      <c r="A419" t="n">
        <v>6.0</v>
      </c>
      <c r="B419">
        <f>IF((K419-G419-H419&gt;2400000),10,(L419/(K419-G419-H419)*100))</f>
      </c>
      <c r="C419">
        <f>IF(N419&gt;2400000,240000,(N419*S419)/100)</f>
      </c>
      <c r="D419">
        <f>IF(S419=0,0,IF((N419-I419)&gt;2400000,((((((N419-I419-J419)-240000))*0.1+(I419+J419)*0.1)))-7000,((((((N419-I419-J419)-(N419-I419-J419)*S419/100)))*0.1+(I419+J419)*0.1)-7000)))</f>
      </c>
      <c r="E419">
        <f>C419-O419</f>
      </c>
      <c r="F419">
        <f>D419-P419</f>
      </c>
      <c r="G419">
        <f>SUMIF(negtgel!U$2:BL$2,'Tsalin uzuulelt'!B$1,negtgel!U419:BL419) + SUMIF(negtgel!U$2:BL$2,'Tsalin uzuulelt'!B$2,negtgel!U419:BL419)+SUMIF(negtgel!U$2:BL$2,'Tsalin uzuulelt'!B$3,negtgel!U419:BL419)+SUMIF(negtgel!U$2:BL$2,'Tsalin uzuulelt'!B$4,negtgel!U419:BL419)+SUMIF(negtgel!U$2:BL$2,'Tsalin uzuulelt'!B$5,negtgel!U419:BL419)</f>
      </c>
      <c r="H419">
        <f>SUMIF(negtgel!U$2:BL$2,'Tsalin uzuulelt'!F$1,negtgel!U419:BL419) + SUMIF(negtgel!U$2:BL$2,'Tsalin uzuulelt'!F$2,negtgel!U419:BL419)+SUMIF(negtgel!U$2:BL$2,'Tsalin uzuulelt'!F$3,negtgel!U419:BL419)+SUMIF(negtgel!U$2:BL$2,'Tsalin uzuulelt'!F$4,negtgel!U419:BL419)+SUMIF(negtgel!U$2:BL$2,'Tsalin uzuulelt'!F$5,negtgel!U419:BL419)</f>
      </c>
      <c r="I419">
        <f>SUMIF(negtgel!U$2:BL$2,'Tsalin uzuulelt'!H$1,negtgel!U419:BL419) + SUMIF(negtgel!U$2:BL$2,'Tsalin uzuulelt'!H$2,negtgel!U419:BL419)+SUMIF(negtgel!U$2:BL$2,'Tsalin uzuulelt'!H$3,negtgel!U419:BL419)+SUMIF(negtgel!U$2:BL$2,'Tsalin uzuulelt'!H$4,negtgel!U419:BL419)+SUMIF(negtgel!U$2:BL$2,'Tsalin uzuulelt'!H$5,negtgel!U419:BL419)</f>
      </c>
      <c r="J419">
        <f>SUMIF(negtgel!U$2:BL$2,'Tsalin uzuulelt'!J$1,negtgel!U419:BL419) + SUMIF(negtgel!U$2:BL$2,'Tsalin uzuulelt'!J$2,negtgel!U419:BL419)+SUMIF(negtgel!U$2:BL$2,'Tsalin uzuulelt'!J$3,negtgel!U419:BL419)+SUMIF(negtgel!U$2:BL$2,'Tsalin uzuulelt'!J$4,negtgel!U419:BL419)+SUMIF(negtgel!U$2:BL$2,'Tsalin uzuulelt'!J$5,negtgel!U419:BL419)</f>
      </c>
      <c r="K419">
        <f>SUMIF(negtgel!U$2:BL$2,'Tsalin uzuulelt'!L$1,negtgel!U419:BL419) + SUMIF(negtgel!U$2:BL$2,'Tsalin uzuulelt'!L$2,negtgel!U419:BL419)+SUMIF(negtgel!U$2:BL$2,'Tsalin uzuulelt'!L$3,negtgel!U419:BL419)+SUMIF(negtgel!U$2:BL$2,'Tsalin uzuulelt'!L$4,negtgel!U419:BL419)+SUMIF(negtgel!U$2:BL$2,'Tsalin uzuulelt'!L$5,negtgel!U419:BL419)</f>
      </c>
      <c r="L419">
        <f>SUMIF(negtgel!U$2:BL$2,'Tsalin uzuulelt'!N$1,negtgel!U419:BL419) + SUMIF(negtgel!U$2:BL$2,'Tsalin uzuulelt'!N$2,negtgel!U419:BL419)+SUMIF(negtgel!U$2:BL$2,'Tsalin uzuulelt'!N$3,negtgel!U419:BL419)+SUMIF(negtgel!U$2:BL$2,'Tsalin uzuulelt'!N$4,negtgel!U419:BL419)+SUMIF(negtgel!U$2:BL$2,'Tsalin uzuulelt'!N$5,negtgel!U419:BL419)</f>
      </c>
      <c r="M419">
        <f>SUMIF(negtgel!U$2:BL$2,'Tsalin uzuulelt'!P$1,negtgel!U419:BL419) + SUMIF(negtgel!U$2:BL$2,'Tsalin uzuulelt'!P$2,negtgel!U419:BL419)+ SUMIF(negtgel!U$2:BL$2,'Tsalin uzuulelt'!P$3,negtgel!U419:BL419)+ SUMIF(negtgel!U$2:BL$2,'Tsalin uzuulelt'!P$4,negtgel!U419:BL419)+ SUMIF(negtgel!U$2:BL$2,'Tsalin uzuulelt'!P$5,negtgel!U419:BL419)</f>
      </c>
      <c r="N419">
        <f>IF(ISNUMBER(U419*1)=CF419,0,K419-H419-G419)</f>
      </c>
      <c r="O419">
        <f>IF(ISNUMBER(U419*1)=CF419,0,L419)</f>
      </c>
      <c r="P419">
        <f>IF(ISNUMBER(U419*1)=CF419,0,M419)</f>
      </c>
      <c r="Q419">
        <f>IF(N419&gt;2400000,N419,0)</f>
      </c>
      <c r="R419">
        <f>IF(L419/Q419*100&lt;3,2,10)</f>
      </c>
      <c r="S419">
        <f>IF(CH419=0,0,IF(B419&gt;9,10,IF(B419&gt;8,B419,IF(B419&gt;7.7,7.8,IF(B419&gt;3,B419,IF(B419&gt;1.5,2))))))</f>
      </c>
      <c r="T419">
        <f>IF(Q419=0,S419,R419)</f>
      </c>
      <c r="U419" t="n">
        <v>156.0</v>
      </c>
      <c r="V419" t="s">
        <v>3845</v>
      </c>
      <c r="W419" t="s">
        <v>3790</v>
      </c>
      <c r="X419" t="n">
        <v>677436.0</v>
      </c>
      <c r="Y419" t="n">
        <v>0.0</v>
      </c>
      <c r="Z419" t="n">
        <v>0.0</v>
      </c>
      <c r="AA419" t="n">
        <v>0.0</v>
      </c>
      <c r="AB419" t="n">
        <v>0.0</v>
      </c>
      <c r="AC419" t="n">
        <v>0.0</v>
      </c>
      <c r="AD419" t="n">
        <v>0.0</v>
      </c>
      <c r="AE419" t="n">
        <v>0.0</v>
      </c>
      <c r="AF419" t="n">
        <v>0.0</v>
      </c>
      <c r="AG419" t="n">
        <v>0.0</v>
      </c>
      <c r="AH419" t="n">
        <v>0.0</v>
      </c>
      <c r="AI419" t="n">
        <v>0.0</v>
      </c>
      <c r="AJ419" t="n">
        <v>0.0</v>
      </c>
      <c r="AK419" t="n">
        <v>0.0</v>
      </c>
      <c r="AL419" t="n">
        <v>0.0</v>
      </c>
      <c r="AM419" t="n">
        <v>0.0</v>
      </c>
      <c r="AN419" t="n">
        <v>0.0</v>
      </c>
      <c r="AO419" t="n">
        <v>0.0</v>
      </c>
      <c r="AP419" t="n">
        <v>0.0</v>
      </c>
      <c r="AQ419" t="n">
        <v>0.0</v>
      </c>
      <c r="CH419">
        <f>IFERROR(U419*1,0)</f>
      </c>
    </row>
    <row r="420">
      <c r="A420" t="n">
        <v>6.0</v>
      </c>
      <c r="B420">
        <f>IF((K420-G420-H420&gt;2400000),10,(L420/(K420-G420-H420)*100))</f>
      </c>
      <c r="C420">
        <f>IF(N420&gt;2400000,240000,(N420*S420)/100)</f>
      </c>
      <c r="D420">
        <f>IF(S420=0,0,IF((N420-I420)&gt;2400000,((((((N420-I420-J420)-240000))*0.1+(I420+J420)*0.1)))-7000,((((((N420-I420-J420)-(N420-I420-J420)*S420/100)))*0.1+(I420+J420)*0.1)-7000)))</f>
      </c>
      <c r="E420">
        <f>C420-O420</f>
      </c>
      <c r="F420">
        <f>D420-P420</f>
      </c>
      <c r="G420">
        <f>SUMIF(negtgel!U$2:BL$2,'Tsalin uzuulelt'!B$1,negtgel!U420:BL420) + SUMIF(negtgel!U$2:BL$2,'Tsalin uzuulelt'!B$2,negtgel!U420:BL420)+SUMIF(negtgel!U$2:BL$2,'Tsalin uzuulelt'!B$3,negtgel!U420:BL420)+SUMIF(negtgel!U$2:BL$2,'Tsalin uzuulelt'!B$4,negtgel!U420:BL420)+SUMIF(negtgel!U$2:BL$2,'Tsalin uzuulelt'!B$5,negtgel!U420:BL420)</f>
      </c>
      <c r="H420">
        <f>SUMIF(negtgel!U$2:BL$2,'Tsalin uzuulelt'!F$1,negtgel!U420:BL420) + SUMIF(negtgel!U$2:BL$2,'Tsalin uzuulelt'!F$2,negtgel!U420:BL420)+SUMIF(negtgel!U$2:BL$2,'Tsalin uzuulelt'!F$3,negtgel!U420:BL420)+SUMIF(negtgel!U$2:BL$2,'Tsalin uzuulelt'!F$4,negtgel!U420:BL420)+SUMIF(negtgel!U$2:BL$2,'Tsalin uzuulelt'!F$5,negtgel!U420:BL420)</f>
      </c>
      <c r="I420">
        <f>SUMIF(negtgel!U$2:BL$2,'Tsalin uzuulelt'!H$1,negtgel!U420:BL420) + SUMIF(negtgel!U$2:BL$2,'Tsalin uzuulelt'!H$2,negtgel!U420:BL420)+SUMIF(negtgel!U$2:BL$2,'Tsalin uzuulelt'!H$3,negtgel!U420:BL420)+SUMIF(negtgel!U$2:BL$2,'Tsalin uzuulelt'!H$4,negtgel!U420:BL420)+SUMIF(negtgel!U$2:BL$2,'Tsalin uzuulelt'!H$5,negtgel!U420:BL420)</f>
      </c>
      <c r="J420">
        <f>SUMIF(negtgel!U$2:BL$2,'Tsalin uzuulelt'!J$1,negtgel!U420:BL420) + SUMIF(negtgel!U$2:BL$2,'Tsalin uzuulelt'!J$2,negtgel!U420:BL420)+SUMIF(negtgel!U$2:BL$2,'Tsalin uzuulelt'!J$3,negtgel!U420:BL420)+SUMIF(negtgel!U$2:BL$2,'Tsalin uzuulelt'!J$4,negtgel!U420:BL420)+SUMIF(negtgel!U$2:BL$2,'Tsalin uzuulelt'!J$5,negtgel!U420:BL420)</f>
      </c>
      <c r="K420">
        <f>SUMIF(negtgel!U$2:BL$2,'Tsalin uzuulelt'!L$1,negtgel!U420:BL420) + SUMIF(negtgel!U$2:BL$2,'Tsalin uzuulelt'!L$2,negtgel!U420:BL420)+SUMIF(negtgel!U$2:BL$2,'Tsalin uzuulelt'!L$3,negtgel!U420:BL420)+SUMIF(negtgel!U$2:BL$2,'Tsalin uzuulelt'!L$4,negtgel!U420:BL420)+SUMIF(negtgel!U$2:BL$2,'Tsalin uzuulelt'!L$5,negtgel!U420:BL420)</f>
      </c>
      <c r="L420">
        <f>SUMIF(negtgel!U$2:BL$2,'Tsalin uzuulelt'!N$1,negtgel!U420:BL420) + SUMIF(negtgel!U$2:BL$2,'Tsalin uzuulelt'!N$2,negtgel!U420:BL420)+SUMIF(negtgel!U$2:BL$2,'Tsalin uzuulelt'!N$3,negtgel!U420:BL420)+SUMIF(negtgel!U$2:BL$2,'Tsalin uzuulelt'!N$4,negtgel!U420:BL420)+SUMIF(negtgel!U$2:BL$2,'Tsalin uzuulelt'!N$5,negtgel!U420:BL420)</f>
      </c>
      <c r="M420">
        <f>SUMIF(negtgel!U$2:BL$2,'Tsalin uzuulelt'!P$1,negtgel!U420:BL420) + SUMIF(negtgel!U$2:BL$2,'Tsalin uzuulelt'!P$2,negtgel!U420:BL420)+ SUMIF(negtgel!U$2:BL$2,'Tsalin uzuulelt'!P$3,negtgel!U420:BL420)+ SUMIF(negtgel!U$2:BL$2,'Tsalin uzuulelt'!P$4,negtgel!U420:BL420)+ SUMIF(negtgel!U$2:BL$2,'Tsalin uzuulelt'!P$5,negtgel!U420:BL420)</f>
      </c>
      <c r="N420">
        <f>IF(ISNUMBER(U420*1)=CF420,0,K420-H420-G420)</f>
      </c>
      <c r="O420">
        <f>IF(ISNUMBER(U420*1)=CF420,0,L420)</f>
      </c>
      <c r="P420">
        <f>IF(ISNUMBER(U420*1)=CF420,0,M420)</f>
      </c>
      <c r="Q420">
        <f>IF(N420&gt;2400000,N420,0)</f>
      </c>
      <c r="R420">
        <f>IF(L420/Q420*100&lt;3,2,10)</f>
      </c>
      <c r="S420">
        <f>IF(CH420=0,0,IF(B420&gt;9,10,IF(B420&gt;8,B420,IF(B420&gt;7.7,7.8,IF(B420&gt;3,B420,IF(B420&gt;1.5,2))))))</f>
      </c>
      <c r="T420">
        <f>IF(Q420=0,S420,R420)</f>
      </c>
      <c r="U420" t="n">
        <v>157.0</v>
      </c>
      <c r="V420" t="s">
        <v>3846</v>
      </c>
      <c r="W420" t="s">
        <v>3790</v>
      </c>
      <c r="X420" t="n">
        <v>645556.0</v>
      </c>
      <c r="Y420" t="n">
        <v>0.0</v>
      </c>
      <c r="Z420" t="n">
        <v>0.0</v>
      </c>
      <c r="AA420" t="n">
        <v>0.0</v>
      </c>
      <c r="AB420" t="n">
        <v>0.0</v>
      </c>
      <c r="AC420" t="n">
        <v>0.0</v>
      </c>
      <c r="AD420" t="n">
        <v>0.0</v>
      </c>
      <c r="AE420" t="n">
        <v>0.0</v>
      </c>
      <c r="AF420" t="n">
        <v>0.0</v>
      </c>
      <c r="AG420" t="n">
        <v>0.0</v>
      </c>
      <c r="AH420" t="n">
        <v>0.0</v>
      </c>
      <c r="AI420" t="n">
        <v>0.0</v>
      </c>
      <c r="AJ420" t="n">
        <v>0.0</v>
      </c>
      <c r="AK420" t="n">
        <v>0.0</v>
      </c>
      <c r="AL420" t="n">
        <v>0.0</v>
      </c>
      <c r="AM420" t="n">
        <v>0.0</v>
      </c>
      <c r="AN420" t="n">
        <v>0.0</v>
      </c>
      <c r="AO420" t="n">
        <v>0.0</v>
      </c>
      <c r="AP420" t="n">
        <v>0.0</v>
      </c>
      <c r="AQ420" t="n">
        <v>0.0</v>
      </c>
      <c r="CH420">
        <f>IFERROR(U420*1,0)</f>
      </c>
    </row>
    <row r="423">
      <c r="A423" t="n">
        <v>7.0</v>
      </c>
      <c r="B423">
        <f>IF((K423-G423-H423&gt;2400000),10,(L423/(K423-G423-H423)*100))</f>
      </c>
      <c r="C423">
        <f>IF(N423&gt;2400000,240000,(N423*S423)/100)</f>
      </c>
      <c r="D423">
        <f>IF(S423=0,0,IF((N423-I423)&gt;2400000,((((((N423-I423-J423)-240000))*0.1+(I423+J423)*0.1)))-7000,((((((N423-I423-J423)-(N423-I423-J423)*S423/100)))*0.1+(I423+J423)*0.1)-7000)))</f>
      </c>
      <c r="E423">
        <f>C423-O423</f>
      </c>
      <c r="F423">
        <f>D423-P423</f>
      </c>
      <c r="G423">
        <f>SUMIF(negtgel!U$2:BL$2,'Tsalin uzuulelt'!B$1,negtgel!U423:BL423) + SUMIF(negtgel!U$2:BL$2,'Tsalin uzuulelt'!B$2,negtgel!U423:BL423)+SUMIF(negtgel!U$2:BL$2,'Tsalin uzuulelt'!B$3,negtgel!U423:BL423)+SUMIF(negtgel!U$2:BL$2,'Tsalin uzuulelt'!B$4,negtgel!U423:BL423)+SUMIF(negtgel!U$2:BL$2,'Tsalin uzuulelt'!B$5,negtgel!U423:BL423)</f>
      </c>
      <c r="H423">
        <f>SUMIF(negtgel!U$2:BL$2,'Tsalin uzuulelt'!F$1,negtgel!U423:BL423) + SUMIF(negtgel!U$2:BL$2,'Tsalin uzuulelt'!F$2,negtgel!U423:BL423)+SUMIF(negtgel!U$2:BL$2,'Tsalin uzuulelt'!F$3,negtgel!U423:BL423)+SUMIF(negtgel!U$2:BL$2,'Tsalin uzuulelt'!F$4,negtgel!U423:BL423)+SUMIF(negtgel!U$2:BL$2,'Tsalin uzuulelt'!F$5,negtgel!U423:BL423)</f>
      </c>
      <c r="I423">
        <f>SUMIF(negtgel!U$2:BL$2,'Tsalin uzuulelt'!H$1,negtgel!U423:BL423) + SUMIF(negtgel!U$2:BL$2,'Tsalin uzuulelt'!H$2,negtgel!U423:BL423)+SUMIF(negtgel!U$2:BL$2,'Tsalin uzuulelt'!H$3,negtgel!U423:BL423)+SUMIF(negtgel!U$2:BL$2,'Tsalin uzuulelt'!H$4,negtgel!U423:BL423)+SUMIF(negtgel!U$2:BL$2,'Tsalin uzuulelt'!H$5,negtgel!U423:BL423)</f>
      </c>
      <c r="J423">
        <f>SUMIF(negtgel!U$2:BL$2,'Tsalin uzuulelt'!J$1,negtgel!U423:BL423) + SUMIF(negtgel!U$2:BL$2,'Tsalin uzuulelt'!J$2,negtgel!U423:BL423)+SUMIF(negtgel!U$2:BL$2,'Tsalin uzuulelt'!J$3,negtgel!U423:BL423)+SUMIF(negtgel!U$2:BL$2,'Tsalin uzuulelt'!J$4,negtgel!U423:BL423)+SUMIF(negtgel!U$2:BL$2,'Tsalin uzuulelt'!J$5,negtgel!U423:BL423)</f>
      </c>
      <c r="K423">
        <f>SUMIF(negtgel!U$2:BL$2,'Tsalin uzuulelt'!L$1,negtgel!U423:BL423) + SUMIF(negtgel!U$2:BL$2,'Tsalin uzuulelt'!L$2,negtgel!U423:BL423)+SUMIF(negtgel!U$2:BL$2,'Tsalin uzuulelt'!L$3,negtgel!U423:BL423)+SUMIF(negtgel!U$2:BL$2,'Tsalin uzuulelt'!L$4,negtgel!U423:BL423)+SUMIF(negtgel!U$2:BL$2,'Tsalin uzuulelt'!L$5,negtgel!U423:BL423)</f>
      </c>
      <c r="L423">
        <f>SUMIF(negtgel!U$2:BL$2,'Tsalin uzuulelt'!N$1,negtgel!U423:BL423) + SUMIF(negtgel!U$2:BL$2,'Tsalin uzuulelt'!N$2,negtgel!U423:BL423)+SUMIF(negtgel!U$2:BL$2,'Tsalin uzuulelt'!N$3,negtgel!U423:BL423)+SUMIF(negtgel!U$2:BL$2,'Tsalin uzuulelt'!N$4,negtgel!U423:BL423)+SUMIF(negtgel!U$2:BL$2,'Tsalin uzuulelt'!N$5,negtgel!U423:BL423)</f>
      </c>
      <c r="M423">
        <f>SUMIF(negtgel!U$2:BL$2,'Tsalin uzuulelt'!P$1,negtgel!U423:BL423) + SUMIF(negtgel!U$2:BL$2,'Tsalin uzuulelt'!P$2,negtgel!U423:BL423)+ SUMIF(negtgel!U$2:BL$2,'Tsalin uzuulelt'!P$3,negtgel!U423:BL423)+ SUMIF(negtgel!U$2:BL$2,'Tsalin uzuulelt'!P$4,negtgel!U423:BL423)+ SUMIF(negtgel!U$2:BL$2,'Tsalin uzuulelt'!P$5,negtgel!U423:BL423)</f>
      </c>
      <c r="N423">
        <f>IF(ISNUMBER(U423*1)=CF423,0,K423-H423-G423)</f>
      </c>
      <c r="O423">
        <f>IF(ISNUMBER(U423*1)=CF423,0,L423)</f>
      </c>
      <c r="P423">
        <f>IF(ISNUMBER(U423*1)=CF423,0,M423)</f>
      </c>
      <c r="Q423">
        <f>IF(N423&gt;2400000,N423,0)</f>
      </c>
      <c r="R423">
        <f>IF(L423/Q423*100&lt;3,2,10)</f>
      </c>
      <c r="S423">
        <f>IF(CH423=0,0,IF(B423&gt;9,10,IF(B423&gt;8,B423,IF(B423&gt;7.7,7.8,IF(B423&gt;3,B423,IF(B423&gt;1.5,2))))))</f>
      </c>
      <c r="T423">
        <f>IF(Q423=0,S423,R423)</f>
      </c>
      <c r="U423" t="s">
        <v>3781</v>
      </c>
      <c r="V423"/>
      <c r="W423"/>
      <c r="X423"/>
      <c r="Y423"/>
      <c r="Z423"/>
      <c r="AA423"/>
      <c r="AB423"/>
      <c r="AC423"/>
      <c r="AD423"/>
      <c r="AE423"/>
      <c r="AF423"/>
      <c r="AG423"/>
      <c r="AH423"/>
      <c r="AI423"/>
      <c r="AJ423"/>
      <c r="AK423"/>
      <c r="AL423"/>
      <c r="AM423"/>
      <c r="AN423"/>
      <c r="AO423"/>
      <c r="AP423"/>
      <c r="AQ423"/>
      <c r="CH423">
        <f>IFERROR(U423*1,0)</f>
      </c>
    </row>
    <row r="424">
      <c r="A424" t="n">
        <v>7.0</v>
      </c>
      <c r="B424">
        <f>IF((K424-G424-H424&gt;2400000),10,(L424/(K424-G424-H424)*100))</f>
      </c>
      <c r="C424">
        <f>IF(N424&gt;2400000,240000,(N424*S424)/100)</f>
      </c>
      <c r="D424">
        <f>IF(S424=0,0,IF((N424-I424)&gt;2400000,((((((N424-I424-J424)-240000))*0.1+(I424+J424)*0.1)))-7000,((((((N424-I424-J424)-(N424-I424-J424)*S424/100)))*0.1+(I424+J424)*0.1)-7000)))</f>
      </c>
      <c r="E424">
        <f>C424-O424</f>
      </c>
      <c r="F424">
        <f>D424-P424</f>
      </c>
      <c r="G424">
        <f>SUMIF(negtgel!U$2:BL$2,'Tsalin uzuulelt'!B$1,negtgel!U424:BL424) + SUMIF(negtgel!U$2:BL$2,'Tsalin uzuulelt'!B$2,negtgel!U424:BL424)+SUMIF(negtgel!U$2:BL$2,'Tsalin uzuulelt'!B$3,negtgel!U424:BL424)+SUMIF(negtgel!U$2:BL$2,'Tsalin uzuulelt'!B$4,negtgel!U424:BL424)+SUMIF(negtgel!U$2:BL$2,'Tsalin uzuulelt'!B$5,negtgel!U424:BL424)</f>
      </c>
      <c r="H424">
        <f>SUMIF(negtgel!U$2:BL$2,'Tsalin uzuulelt'!F$1,negtgel!U424:BL424) + SUMIF(negtgel!U$2:BL$2,'Tsalin uzuulelt'!F$2,negtgel!U424:BL424)+SUMIF(negtgel!U$2:BL$2,'Tsalin uzuulelt'!F$3,negtgel!U424:BL424)+SUMIF(negtgel!U$2:BL$2,'Tsalin uzuulelt'!F$4,negtgel!U424:BL424)+SUMIF(negtgel!U$2:BL$2,'Tsalin uzuulelt'!F$5,negtgel!U424:BL424)</f>
      </c>
      <c r="I424">
        <f>SUMIF(negtgel!U$2:BL$2,'Tsalin uzuulelt'!H$1,negtgel!U424:BL424) + SUMIF(negtgel!U$2:BL$2,'Tsalin uzuulelt'!H$2,negtgel!U424:BL424)+SUMIF(negtgel!U$2:BL$2,'Tsalin uzuulelt'!H$3,negtgel!U424:BL424)+SUMIF(negtgel!U$2:BL$2,'Tsalin uzuulelt'!H$4,negtgel!U424:BL424)+SUMIF(negtgel!U$2:BL$2,'Tsalin uzuulelt'!H$5,negtgel!U424:BL424)</f>
      </c>
      <c r="J424">
        <f>SUMIF(negtgel!U$2:BL$2,'Tsalin uzuulelt'!J$1,negtgel!U424:BL424) + SUMIF(negtgel!U$2:BL$2,'Tsalin uzuulelt'!J$2,negtgel!U424:BL424)+SUMIF(negtgel!U$2:BL$2,'Tsalin uzuulelt'!J$3,negtgel!U424:BL424)+SUMIF(negtgel!U$2:BL$2,'Tsalin uzuulelt'!J$4,negtgel!U424:BL424)+SUMIF(negtgel!U$2:BL$2,'Tsalin uzuulelt'!J$5,negtgel!U424:BL424)</f>
      </c>
      <c r="K424">
        <f>SUMIF(negtgel!U$2:BL$2,'Tsalin uzuulelt'!L$1,negtgel!U424:BL424) + SUMIF(negtgel!U$2:BL$2,'Tsalin uzuulelt'!L$2,negtgel!U424:BL424)+SUMIF(negtgel!U$2:BL$2,'Tsalin uzuulelt'!L$3,negtgel!U424:BL424)+SUMIF(negtgel!U$2:BL$2,'Tsalin uzuulelt'!L$4,negtgel!U424:BL424)+SUMIF(negtgel!U$2:BL$2,'Tsalin uzuulelt'!L$5,negtgel!U424:BL424)</f>
      </c>
      <c r="L424">
        <f>SUMIF(negtgel!U$2:BL$2,'Tsalin uzuulelt'!N$1,negtgel!U424:BL424) + SUMIF(negtgel!U$2:BL$2,'Tsalin uzuulelt'!N$2,negtgel!U424:BL424)+SUMIF(negtgel!U$2:BL$2,'Tsalin uzuulelt'!N$3,negtgel!U424:BL424)+SUMIF(negtgel!U$2:BL$2,'Tsalin uzuulelt'!N$4,negtgel!U424:BL424)+SUMIF(negtgel!U$2:BL$2,'Tsalin uzuulelt'!N$5,negtgel!U424:BL424)</f>
      </c>
      <c r="M424">
        <f>SUMIF(negtgel!U$2:BL$2,'Tsalin uzuulelt'!P$1,negtgel!U424:BL424) + SUMIF(negtgel!U$2:BL$2,'Tsalin uzuulelt'!P$2,negtgel!U424:BL424)+ SUMIF(negtgel!U$2:BL$2,'Tsalin uzuulelt'!P$3,negtgel!U424:BL424)+ SUMIF(negtgel!U$2:BL$2,'Tsalin uzuulelt'!P$4,negtgel!U424:BL424)+ SUMIF(negtgel!U$2:BL$2,'Tsalin uzuulelt'!P$5,negtgel!U424:BL424)</f>
      </c>
      <c r="N424">
        <f>IF(ISNUMBER(U424*1)=CF424,0,K424-H424-G424)</f>
      </c>
      <c r="O424">
        <f>IF(ISNUMBER(U424*1)=CF424,0,L424)</f>
      </c>
      <c r="P424">
        <f>IF(ISNUMBER(U424*1)=CF424,0,M424)</f>
      </c>
      <c r="Q424">
        <f>IF(N424&gt;2400000,N424,0)</f>
      </c>
      <c r="R424">
        <f>IF(L424/Q424*100&lt;3,2,10)</f>
      </c>
      <c r="S424">
        <f>IF(CH424=0,0,IF(B424&gt;9,10,IF(B424&gt;8,B424,IF(B424&gt;7.7,7.8,IF(B424&gt;3,B424,IF(B424&gt;1.5,2))))))</f>
      </c>
      <c r="T424">
        <f>IF(Q424=0,S424,R424)</f>
      </c>
      <c r="U424" t="n">
        <v>20.0</v>
      </c>
      <c r="V424" t="s">
        <v>3864</v>
      </c>
      <c r="W424" t="s">
        <v>3865</v>
      </c>
      <c r="X424" t="n">
        <v>371016.0</v>
      </c>
      <c r="Y424" t="n">
        <v>371016.0</v>
      </c>
      <c r="Z424" t="n">
        <v>0.0</v>
      </c>
      <c r="AA424" t="n">
        <v>0.0</v>
      </c>
      <c r="AB424" t="n">
        <v>0.0</v>
      </c>
      <c r="AC424" t="n">
        <v>0.0</v>
      </c>
      <c r="AD424" t="n">
        <v>0.0</v>
      </c>
      <c r="AE424" t="n">
        <v>0.0</v>
      </c>
      <c r="AF424" t="n">
        <v>48000.0</v>
      </c>
      <c r="AG424" t="n">
        <v>0.0</v>
      </c>
      <c r="AH424" t="n">
        <v>0.0</v>
      </c>
      <c r="AI424" t="n">
        <v>0.0</v>
      </c>
      <c r="AJ424" t="n">
        <v>0.0</v>
      </c>
      <c r="AK424" t="n">
        <v>0.0</v>
      </c>
      <c r="AL424" t="n">
        <v>0.0</v>
      </c>
      <c r="AM424" t="n">
        <v>0.0</v>
      </c>
      <c r="AN424" t="n">
        <v>0.0</v>
      </c>
      <c r="AO424" t="n">
        <v>419016.0</v>
      </c>
      <c r="AP424" t="n">
        <v>41901.0</v>
      </c>
      <c r="AQ424" t="n">
        <v>31191.4</v>
      </c>
      <c r="CH424">
        <f>IFERROR(U424*1,0)</f>
      </c>
    </row>
    <row r="425">
      <c r="A425" t="n">
        <v>7.0</v>
      </c>
      <c r="B425">
        <f>IF((K425-G425-H425&gt;2400000),10,(L425/(K425-G425-H425)*100))</f>
      </c>
      <c r="C425">
        <f>IF(N425&gt;2400000,240000,(N425*S425)/100)</f>
      </c>
      <c r="D425">
        <f>IF(S425=0,0,IF((N425-I425)&gt;2400000,((((((N425-I425-J425)-240000))*0.1+(I425+J425)*0.1)))-7000,((((((N425-I425-J425)-(N425-I425-J425)*S425/100)))*0.1+(I425+J425)*0.1)-7000)))</f>
      </c>
      <c r="E425">
        <f>C425-O425</f>
      </c>
      <c r="F425">
        <f>D425-P425</f>
      </c>
      <c r="G425">
        <f>SUMIF(negtgel!U$2:BL$2,'Tsalin uzuulelt'!B$1,negtgel!U425:BL425) + SUMIF(negtgel!U$2:BL$2,'Tsalin uzuulelt'!B$2,negtgel!U425:BL425)+SUMIF(negtgel!U$2:BL$2,'Tsalin uzuulelt'!B$3,negtgel!U425:BL425)+SUMIF(negtgel!U$2:BL$2,'Tsalin uzuulelt'!B$4,negtgel!U425:BL425)+SUMIF(negtgel!U$2:BL$2,'Tsalin uzuulelt'!B$5,negtgel!U425:BL425)</f>
      </c>
      <c r="H425">
        <f>SUMIF(negtgel!U$2:BL$2,'Tsalin uzuulelt'!F$1,negtgel!U425:BL425) + SUMIF(negtgel!U$2:BL$2,'Tsalin uzuulelt'!F$2,negtgel!U425:BL425)+SUMIF(negtgel!U$2:BL$2,'Tsalin uzuulelt'!F$3,negtgel!U425:BL425)+SUMIF(negtgel!U$2:BL$2,'Tsalin uzuulelt'!F$4,negtgel!U425:BL425)+SUMIF(negtgel!U$2:BL$2,'Tsalin uzuulelt'!F$5,negtgel!U425:BL425)</f>
      </c>
      <c r="I425">
        <f>SUMIF(negtgel!U$2:BL$2,'Tsalin uzuulelt'!H$1,negtgel!U425:BL425) + SUMIF(negtgel!U$2:BL$2,'Tsalin uzuulelt'!H$2,negtgel!U425:BL425)+SUMIF(negtgel!U$2:BL$2,'Tsalin uzuulelt'!H$3,negtgel!U425:BL425)+SUMIF(negtgel!U$2:BL$2,'Tsalin uzuulelt'!H$4,negtgel!U425:BL425)+SUMIF(negtgel!U$2:BL$2,'Tsalin uzuulelt'!H$5,negtgel!U425:BL425)</f>
      </c>
      <c r="J425">
        <f>SUMIF(negtgel!U$2:BL$2,'Tsalin uzuulelt'!J$1,negtgel!U425:BL425) + SUMIF(negtgel!U$2:BL$2,'Tsalin uzuulelt'!J$2,negtgel!U425:BL425)+SUMIF(negtgel!U$2:BL$2,'Tsalin uzuulelt'!J$3,negtgel!U425:BL425)+SUMIF(negtgel!U$2:BL$2,'Tsalin uzuulelt'!J$4,negtgel!U425:BL425)+SUMIF(negtgel!U$2:BL$2,'Tsalin uzuulelt'!J$5,negtgel!U425:BL425)</f>
      </c>
      <c r="K425">
        <f>SUMIF(negtgel!U$2:BL$2,'Tsalin uzuulelt'!L$1,negtgel!U425:BL425) + SUMIF(negtgel!U$2:BL$2,'Tsalin uzuulelt'!L$2,negtgel!U425:BL425)+SUMIF(negtgel!U$2:BL$2,'Tsalin uzuulelt'!L$3,negtgel!U425:BL425)+SUMIF(negtgel!U$2:BL$2,'Tsalin uzuulelt'!L$4,negtgel!U425:BL425)+SUMIF(negtgel!U$2:BL$2,'Tsalin uzuulelt'!L$5,negtgel!U425:BL425)</f>
      </c>
      <c r="L425">
        <f>SUMIF(negtgel!U$2:BL$2,'Tsalin uzuulelt'!N$1,negtgel!U425:BL425) + SUMIF(negtgel!U$2:BL$2,'Tsalin uzuulelt'!N$2,negtgel!U425:BL425)+SUMIF(negtgel!U$2:BL$2,'Tsalin uzuulelt'!N$3,negtgel!U425:BL425)+SUMIF(negtgel!U$2:BL$2,'Tsalin uzuulelt'!N$4,negtgel!U425:BL425)+SUMIF(negtgel!U$2:BL$2,'Tsalin uzuulelt'!N$5,negtgel!U425:BL425)</f>
      </c>
      <c r="M425">
        <f>SUMIF(negtgel!U$2:BL$2,'Tsalin uzuulelt'!P$1,negtgel!U425:BL425) + SUMIF(negtgel!U$2:BL$2,'Tsalin uzuulelt'!P$2,negtgel!U425:BL425)+ SUMIF(negtgel!U$2:BL$2,'Tsalin uzuulelt'!P$3,negtgel!U425:BL425)+ SUMIF(negtgel!U$2:BL$2,'Tsalin uzuulelt'!P$4,negtgel!U425:BL425)+ SUMIF(negtgel!U$2:BL$2,'Tsalin uzuulelt'!P$5,negtgel!U425:BL425)</f>
      </c>
      <c r="N425">
        <f>IF(ISNUMBER(U425*1)=CF425,0,K425-H425-G425)</f>
      </c>
      <c r="O425">
        <f>IF(ISNUMBER(U425*1)=CF425,0,L425)</f>
      </c>
      <c r="P425">
        <f>IF(ISNUMBER(U425*1)=CF425,0,M425)</f>
      </c>
      <c r="Q425">
        <f>IF(N425&gt;2400000,N425,0)</f>
      </c>
      <c r="R425">
        <f>IF(L425/Q425*100&lt;3,2,10)</f>
      </c>
      <c r="S425">
        <f>IF(CH425=0,0,IF(B425&gt;9,10,IF(B425&gt;8,B425,IF(B425&gt;7.7,7.8,IF(B425&gt;3,B425,IF(B425&gt;1.5,2))))))</f>
      </c>
      <c r="T425">
        <f>IF(Q425=0,S425,R425)</f>
      </c>
      <c r="U425" t="n">
        <v>21.0</v>
      </c>
      <c r="V425" t="s">
        <v>3861</v>
      </c>
      <c r="W425" t="s">
        <v>3790</v>
      </c>
      <c r="X425" t="n">
        <v>645556.0</v>
      </c>
      <c r="Y425" t="n">
        <v>201736.0</v>
      </c>
      <c r="Z425" t="n">
        <v>30260.0</v>
      </c>
      <c r="AA425" t="n">
        <v>40347.0</v>
      </c>
      <c r="AB425" t="n">
        <v>0.0</v>
      </c>
      <c r="AC425" t="n">
        <v>30260.0</v>
      </c>
      <c r="AD425" t="n">
        <v>0.0</v>
      </c>
      <c r="AE425" t="n">
        <v>0.0</v>
      </c>
      <c r="AF425" t="n">
        <v>15000.0</v>
      </c>
      <c r="AG425" t="n">
        <v>0.0</v>
      </c>
      <c r="AH425" t="n">
        <v>0.0</v>
      </c>
      <c r="AI425" t="n">
        <v>0.0</v>
      </c>
      <c r="AJ425" t="n">
        <v>1165838.0</v>
      </c>
      <c r="AK425" t="n">
        <v>0.0</v>
      </c>
      <c r="AL425" t="n">
        <v>0.0</v>
      </c>
      <c r="AM425" t="n">
        <v>0.0</v>
      </c>
      <c r="AN425" t="n">
        <v>0.0</v>
      </c>
      <c r="AO425" t="n">
        <v>1483441.0</v>
      </c>
      <c r="AP425" t="n">
        <v>148345.0</v>
      </c>
      <c r="AQ425" t="n">
        <v>126659.7</v>
      </c>
      <c r="CH425">
        <f>IFERROR(U425*1,0)</f>
      </c>
    </row>
    <row r="426">
      <c r="A426" t="n">
        <v>7.0</v>
      </c>
      <c r="B426">
        <f>IF((K426-G426-H426&gt;2400000),10,(L426/(K426-G426-H426)*100))</f>
      </c>
      <c r="C426">
        <f>IF(N426&gt;2400000,240000,(N426*S426)/100)</f>
      </c>
      <c r="D426">
        <f>IF(S426=0,0,IF((N426-I426)&gt;2400000,((((((N426-I426-J426)-240000))*0.1+(I426+J426)*0.1)))-7000,((((((N426-I426-J426)-(N426-I426-J426)*S426/100)))*0.1+(I426+J426)*0.1)-7000)))</f>
      </c>
      <c r="E426">
        <f>C426-O426</f>
      </c>
      <c r="F426">
        <f>D426-P426</f>
      </c>
      <c r="G426">
        <f>SUMIF(negtgel!U$2:BL$2,'Tsalin uzuulelt'!B$1,negtgel!U426:BL426) + SUMIF(negtgel!U$2:BL$2,'Tsalin uzuulelt'!B$2,negtgel!U426:BL426)+SUMIF(negtgel!U$2:BL$2,'Tsalin uzuulelt'!B$3,negtgel!U426:BL426)+SUMIF(negtgel!U$2:BL$2,'Tsalin uzuulelt'!B$4,negtgel!U426:BL426)+SUMIF(negtgel!U$2:BL$2,'Tsalin uzuulelt'!B$5,negtgel!U426:BL426)</f>
      </c>
      <c r="H426">
        <f>SUMIF(negtgel!U$2:BL$2,'Tsalin uzuulelt'!F$1,negtgel!U426:BL426) + SUMIF(negtgel!U$2:BL$2,'Tsalin uzuulelt'!F$2,negtgel!U426:BL426)+SUMIF(negtgel!U$2:BL$2,'Tsalin uzuulelt'!F$3,negtgel!U426:BL426)+SUMIF(negtgel!U$2:BL$2,'Tsalin uzuulelt'!F$4,negtgel!U426:BL426)+SUMIF(negtgel!U$2:BL$2,'Tsalin uzuulelt'!F$5,negtgel!U426:BL426)</f>
      </c>
      <c r="I426">
        <f>SUMIF(negtgel!U$2:BL$2,'Tsalin uzuulelt'!H$1,negtgel!U426:BL426) + SUMIF(negtgel!U$2:BL$2,'Tsalin uzuulelt'!H$2,negtgel!U426:BL426)+SUMIF(negtgel!U$2:BL$2,'Tsalin uzuulelt'!H$3,negtgel!U426:BL426)+SUMIF(negtgel!U$2:BL$2,'Tsalin uzuulelt'!H$4,negtgel!U426:BL426)+SUMIF(negtgel!U$2:BL$2,'Tsalin uzuulelt'!H$5,negtgel!U426:BL426)</f>
      </c>
      <c r="J426">
        <f>SUMIF(negtgel!U$2:BL$2,'Tsalin uzuulelt'!J$1,negtgel!U426:BL426) + SUMIF(negtgel!U$2:BL$2,'Tsalin uzuulelt'!J$2,negtgel!U426:BL426)+SUMIF(negtgel!U$2:BL$2,'Tsalin uzuulelt'!J$3,negtgel!U426:BL426)+SUMIF(negtgel!U$2:BL$2,'Tsalin uzuulelt'!J$4,negtgel!U426:BL426)+SUMIF(negtgel!U$2:BL$2,'Tsalin uzuulelt'!J$5,negtgel!U426:BL426)</f>
      </c>
      <c r="K426">
        <f>SUMIF(negtgel!U$2:BL$2,'Tsalin uzuulelt'!L$1,negtgel!U426:BL426) + SUMIF(negtgel!U$2:BL$2,'Tsalin uzuulelt'!L$2,negtgel!U426:BL426)+SUMIF(negtgel!U$2:BL$2,'Tsalin uzuulelt'!L$3,negtgel!U426:BL426)+SUMIF(negtgel!U$2:BL$2,'Tsalin uzuulelt'!L$4,negtgel!U426:BL426)+SUMIF(negtgel!U$2:BL$2,'Tsalin uzuulelt'!L$5,negtgel!U426:BL426)</f>
      </c>
      <c r="L426">
        <f>SUMIF(negtgel!U$2:BL$2,'Tsalin uzuulelt'!N$1,negtgel!U426:BL426) + SUMIF(negtgel!U$2:BL$2,'Tsalin uzuulelt'!N$2,negtgel!U426:BL426)+SUMIF(negtgel!U$2:BL$2,'Tsalin uzuulelt'!N$3,negtgel!U426:BL426)+SUMIF(negtgel!U$2:BL$2,'Tsalin uzuulelt'!N$4,negtgel!U426:BL426)+SUMIF(negtgel!U$2:BL$2,'Tsalin uzuulelt'!N$5,negtgel!U426:BL426)</f>
      </c>
      <c r="M426">
        <f>SUMIF(negtgel!U$2:BL$2,'Tsalin uzuulelt'!P$1,negtgel!U426:BL426) + SUMIF(negtgel!U$2:BL$2,'Tsalin uzuulelt'!P$2,negtgel!U426:BL426)+ SUMIF(negtgel!U$2:BL$2,'Tsalin uzuulelt'!P$3,negtgel!U426:BL426)+ SUMIF(negtgel!U$2:BL$2,'Tsalin uzuulelt'!P$4,negtgel!U426:BL426)+ SUMIF(negtgel!U$2:BL$2,'Tsalin uzuulelt'!P$5,negtgel!U426:BL426)</f>
      </c>
      <c r="N426">
        <f>IF(ISNUMBER(U426*1)=CF426,0,K426-H426-G426)</f>
      </c>
      <c r="O426">
        <f>IF(ISNUMBER(U426*1)=CF426,0,L426)</f>
      </c>
      <c r="P426">
        <f>IF(ISNUMBER(U426*1)=CF426,0,M426)</f>
      </c>
      <c r="Q426">
        <f>IF(N426&gt;2400000,N426,0)</f>
      </c>
      <c r="R426">
        <f>IF(L426/Q426*100&lt;3,2,10)</f>
      </c>
      <c r="S426">
        <f>IF(CH426=0,0,IF(B426&gt;9,10,IF(B426&gt;8,B426,IF(B426&gt;7.7,7.8,IF(B426&gt;3,B426,IF(B426&gt;1.5,2))))))</f>
      </c>
      <c r="T426">
        <f>IF(Q426=0,S426,R426)</f>
      </c>
      <c r="U426" t="s">
        <v>3787</v>
      </c>
      <c r="V426"/>
      <c r="W426"/>
      <c r="X426" t="n">
        <v>1.2309429E7</v>
      </c>
      <c r="Y426" t="n">
        <v>7800565.0</v>
      </c>
      <c r="Z426" t="n">
        <v>917755.0</v>
      </c>
      <c r="AA426" t="n">
        <v>909766.0</v>
      </c>
      <c r="AB426" t="n">
        <v>493188.0</v>
      </c>
      <c r="AC426" t="n">
        <v>210949.0</v>
      </c>
      <c r="AD426" t="n">
        <v>661841.0</v>
      </c>
      <c r="AE426" t="n">
        <v>0.0</v>
      </c>
      <c r="AF426" t="n">
        <v>642000.0</v>
      </c>
      <c r="AG426" t="n">
        <v>0.0</v>
      </c>
      <c r="AH426" t="n">
        <v>0.0</v>
      </c>
      <c r="AI426" t="n">
        <v>0.0</v>
      </c>
      <c r="AJ426" t="n">
        <v>6874620.0</v>
      </c>
      <c r="AK426" t="n">
        <v>0.0</v>
      </c>
      <c r="AL426" t="n">
        <v>0.0</v>
      </c>
      <c r="AM426" t="n">
        <v>0.0</v>
      </c>
      <c r="AN426" t="n">
        <v>0.0</v>
      </c>
      <c r="AO426" t="n">
        <v>1.8522278E7</v>
      </c>
      <c r="AP426" t="n">
        <v>1852231.0</v>
      </c>
      <c r="AQ426" t="n">
        <v>1540424.9</v>
      </c>
      <c r="CH426">
        <f>IFERROR(U426*1,0)</f>
      </c>
    </row>
    <row r="427">
      <c r="A427" t="n">
        <v>7.0</v>
      </c>
      <c r="B427">
        <f>IF((K427-G427-H427&gt;2400000),10,(L427/(K427-G427-H427)*100))</f>
      </c>
      <c r="C427">
        <f>IF(N427&gt;2400000,240000,(N427*S427)/100)</f>
      </c>
      <c r="D427">
        <f>IF(S427=0,0,IF((N427-I427)&gt;2400000,((((((N427-I427-J427)-240000))*0.1+(I427+J427)*0.1)))-7000,((((((N427-I427-J427)-(N427-I427-J427)*S427/100)))*0.1+(I427+J427)*0.1)-7000)))</f>
      </c>
      <c r="E427">
        <f>C427-O427</f>
      </c>
      <c r="F427">
        <f>D427-P427</f>
      </c>
      <c r="G427">
        <f>SUMIF(negtgel!U$2:BL$2,'Tsalin uzuulelt'!B$1,negtgel!U427:BL427) + SUMIF(negtgel!U$2:BL$2,'Tsalin uzuulelt'!B$2,negtgel!U427:BL427)+SUMIF(negtgel!U$2:BL$2,'Tsalin uzuulelt'!B$3,negtgel!U427:BL427)+SUMIF(negtgel!U$2:BL$2,'Tsalin uzuulelt'!B$4,negtgel!U427:BL427)+SUMIF(negtgel!U$2:BL$2,'Tsalin uzuulelt'!B$5,negtgel!U427:BL427)</f>
      </c>
      <c r="H427">
        <f>SUMIF(negtgel!U$2:BL$2,'Tsalin uzuulelt'!F$1,negtgel!U427:BL427) + SUMIF(negtgel!U$2:BL$2,'Tsalin uzuulelt'!F$2,negtgel!U427:BL427)+SUMIF(negtgel!U$2:BL$2,'Tsalin uzuulelt'!F$3,negtgel!U427:BL427)+SUMIF(negtgel!U$2:BL$2,'Tsalin uzuulelt'!F$4,negtgel!U427:BL427)+SUMIF(negtgel!U$2:BL$2,'Tsalin uzuulelt'!F$5,negtgel!U427:BL427)</f>
      </c>
      <c r="I427">
        <f>SUMIF(negtgel!U$2:BL$2,'Tsalin uzuulelt'!H$1,negtgel!U427:BL427) + SUMIF(negtgel!U$2:BL$2,'Tsalin uzuulelt'!H$2,negtgel!U427:BL427)+SUMIF(negtgel!U$2:BL$2,'Tsalin uzuulelt'!H$3,negtgel!U427:BL427)+SUMIF(negtgel!U$2:BL$2,'Tsalin uzuulelt'!H$4,negtgel!U427:BL427)+SUMIF(negtgel!U$2:BL$2,'Tsalin uzuulelt'!H$5,negtgel!U427:BL427)</f>
      </c>
      <c r="J427">
        <f>SUMIF(negtgel!U$2:BL$2,'Tsalin uzuulelt'!J$1,negtgel!U427:BL427) + SUMIF(negtgel!U$2:BL$2,'Tsalin uzuulelt'!J$2,negtgel!U427:BL427)+SUMIF(negtgel!U$2:BL$2,'Tsalin uzuulelt'!J$3,negtgel!U427:BL427)+SUMIF(negtgel!U$2:BL$2,'Tsalin uzuulelt'!J$4,negtgel!U427:BL427)+SUMIF(negtgel!U$2:BL$2,'Tsalin uzuulelt'!J$5,negtgel!U427:BL427)</f>
      </c>
      <c r="K427">
        <f>SUMIF(negtgel!U$2:BL$2,'Tsalin uzuulelt'!L$1,negtgel!U427:BL427) + SUMIF(negtgel!U$2:BL$2,'Tsalin uzuulelt'!L$2,negtgel!U427:BL427)+SUMIF(negtgel!U$2:BL$2,'Tsalin uzuulelt'!L$3,negtgel!U427:BL427)+SUMIF(negtgel!U$2:BL$2,'Tsalin uzuulelt'!L$4,negtgel!U427:BL427)+SUMIF(negtgel!U$2:BL$2,'Tsalin uzuulelt'!L$5,negtgel!U427:BL427)</f>
      </c>
      <c r="L427">
        <f>SUMIF(negtgel!U$2:BL$2,'Tsalin uzuulelt'!N$1,negtgel!U427:BL427) + SUMIF(negtgel!U$2:BL$2,'Tsalin uzuulelt'!N$2,negtgel!U427:BL427)+SUMIF(negtgel!U$2:BL$2,'Tsalin uzuulelt'!N$3,negtgel!U427:BL427)+SUMIF(negtgel!U$2:BL$2,'Tsalin uzuulelt'!N$4,negtgel!U427:BL427)+SUMIF(negtgel!U$2:BL$2,'Tsalin uzuulelt'!N$5,negtgel!U427:BL427)</f>
      </c>
      <c r="M427">
        <f>SUMIF(negtgel!U$2:BL$2,'Tsalin uzuulelt'!P$1,negtgel!U427:BL427) + SUMIF(negtgel!U$2:BL$2,'Tsalin uzuulelt'!P$2,negtgel!U427:BL427)+ SUMIF(negtgel!U$2:BL$2,'Tsalin uzuulelt'!P$3,negtgel!U427:BL427)+ SUMIF(negtgel!U$2:BL$2,'Tsalin uzuulelt'!P$4,negtgel!U427:BL427)+ SUMIF(negtgel!U$2:BL$2,'Tsalin uzuulelt'!P$5,negtgel!U427:BL427)</f>
      </c>
      <c r="N427">
        <f>IF(ISNUMBER(U427*1)=CF427,0,K427-H427-G427)</f>
      </c>
      <c r="O427">
        <f>IF(ISNUMBER(U427*1)=CF427,0,L427)</f>
      </c>
      <c r="P427">
        <f>IF(ISNUMBER(U427*1)=CF427,0,M427)</f>
      </c>
      <c r="Q427">
        <f>IF(N427&gt;2400000,N427,0)</f>
      </c>
      <c r="R427">
        <f>IF(L427/Q427*100&lt;3,2,10)</f>
      </c>
      <c r="S427">
        <f>IF(CH427=0,0,IF(B427&gt;9,10,IF(B427&gt;8,B427,IF(B427&gt;7.7,7.8,IF(B427&gt;3,B427,IF(B427&gt;1.5,2))))))</f>
      </c>
      <c r="T427">
        <f>IF(Q427=0,S427,R427)</f>
      </c>
      <c r="U427" t="s">
        <v>3788</v>
      </c>
      <c r="V427"/>
      <c r="W427"/>
      <c r="X427"/>
      <c r="Y427"/>
      <c r="Z427"/>
      <c r="AA427"/>
      <c r="AB427"/>
      <c r="AC427"/>
      <c r="AD427"/>
      <c r="AE427"/>
      <c r="AF427"/>
      <c r="AG427"/>
      <c r="AH427"/>
      <c r="AI427"/>
      <c r="AJ427"/>
      <c r="AK427"/>
      <c r="AL427"/>
      <c r="AM427"/>
      <c r="AN427"/>
      <c r="AO427"/>
      <c r="AP427"/>
      <c r="AQ427"/>
      <c r="CH427">
        <f>IFERROR(U427*1,0)</f>
      </c>
    </row>
    <row r="428">
      <c r="A428" t="n">
        <v>7.0</v>
      </c>
      <c r="B428">
        <f>IF((K428-G428-H428&gt;2400000),10,(L428/(K428-G428-H428)*100))</f>
      </c>
      <c r="C428">
        <f>IF(N428&gt;2400000,240000,(N428*S428)/100)</f>
      </c>
      <c r="D428">
        <f>IF(S428=0,0,IF((N428-I428)&gt;2400000,((((((N428-I428-J428)-240000))*0.1+(I428+J428)*0.1)))-7000,((((((N428-I428-J428)-(N428-I428-J428)*S428/100)))*0.1+(I428+J428)*0.1)-7000)))</f>
      </c>
      <c r="E428">
        <f>C428-O428</f>
      </c>
      <c r="F428">
        <f>D428-P428</f>
      </c>
      <c r="G428">
        <f>SUMIF(negtgel!U$2:BL$2,'Tsalin uzuulelt'!B$1,negtgel!U428:BL428) + SUMIF(negtgel!U$2:BL$2,'Tsalin uzuulelt'!B$2,negtgel!U428:BL428)+SUMIF(negtgel!U$2:BL$2,'Tsalin uzuulelt'!B$3,negtgel!U428:BL428)+SUMIF(negtgel!U$2:BL$2,'Tsalin uzuulelt'!B$4,negtgel!U428:BL428)+SUMIF(negtgel!U$2:BL$2,'Tsalin uzuulelt'!B$5,negtgel!U428:BL428)</f>
      </c>
      <c r="H428">
        <f>SUMIF(negtgel!U$2:BL$2,'Tsalin uzuulelt'!F$1,negtgel!U428:BL428) + SUMIF(negtgel!U$2:BL$2,'Tsalin uzuulelt'!F$2,negtgel!U428:BL428)+SUMIF(negtgel!U$2:BL$2,'Tsalin uzuulelt'!F$3,negtgel!U428:BL428)+SUMIF(negtgel!U$2:BL$2,'Tsalin uzuulelt'!F$4,negtgel!U428:BL428)+SUMIF(negtgel!U$2:BL$2,'Tsalin uzuulelt'!F$5,negtgel!U428:BL428)</f>
      </c>
      <c r="I428">
        <f>SUMIF(negtgel!U$2:BL$2,'Tsalin uzuulelt'!H$1,negtgel!U428:BL428) + SUMIF(negtgel!U$2:BL$2,'Tsalin uzuulelt'!H$2,negtgel!U428:BL428)+SUMIF(negtgel!U$2:BL$2,'Tsalin uzuulelt'!H$3,negtgel!U428:BL428)+SUMIF(negtgel!U$2:BL$2,'Tsalin uzuulelt'!H$4,negtgel!U428:BL428)+SUMIF(negtgel!U$2:BL$2,'Tsalin uzuulelt'!H$5,negtgel!U428:BL428)</f>
      </c>
      <c r="J428">
        <f>SUMIF(negtgel!U$2:BL$2,'Tsalin uzuulelt'!J$1,negtgel!U428:BL428) + SUMIF(negtgel!U$2:BL$2,'Tsalin uzuulelt'!J$2,negtgel!U428:BL428)+SUMIF(negtgel!U$2:BL$2,'Tsalin uzuulelt'!J$3,negtgel!U428:BL428)+SUMIF(negtgel!U$2:BL$2,'Tsalin uzuulelt'!J$4,negtgel!U428:BL428)+SUMIF(negtgel!U$2:BL$2,'Tsalin uzuulelt'!J$5,negtgel!U428:BL428)</f>
      </c>
      <c r="K428">
        <f>SUMIF(negtgel!U$2:BL$2,'Tsalin uzuulelt'!L$1,negtgel!U428:BL428) + SUMIF(negtgel!U$2:BL$2,'Tsalin uzuulelt'!L$2,negtgel!U428:BL428)+SUMIF(negtgel!U$2:BL$2,'Tsalin uzuulelt'!L$3,negtgel!U428:BL428)+SUMIF(negtgel!U$2:BL$2,'Tsalin uzuulelt'!L$4,negtgel!U428:BL428)+SUMIF(negtgel!U$2:BL$2,'Tsalin uzuulelt'!L$5,negtgel!U428:BL428)</f>
      </c>
      <c r="L428">
        <f>SUMIF(negtgel!U$2:BL$2,'Tsalin uzuulelt'!N$1,negtgel!U428:BL428) + SUMIF(negtgel!U$2:BL$2,'Tsalin uzuulelt'!N$2,negtgel!U428:BL428)+SUMIF(negtgel!U$2:BL$2,'Tsalin uzuulelt'!N$3,negtgel!U428:BL428)+SUMIF(negtgel!U$2:BL$2,'Tsalin uzuulelt'!N$4,negtgel!U428:BL428)+SUMIF(negtgel!U$2:BL$2,'Tsalin uzuulelt'!N$5,negtgel!U428:BL428)</f>
      </c>
      <c r="M428">
        <f>SUMIF(negtgel!U$2:BL$2,'Tsalin uzuulelt'!P$1,negtgel!U428:BL428) + SUMIF(negtgel!U$2:BL$2,'Tsalin uzuulelt'!P$2,negtgel!U428:BL428)+ SUMIF(negtgel!U$2:BL$2,'Tsalin uzuulelt'!P$3,negtgel!U428:BL428)+ SUMIF(negtgel!U$2:BL$2,'Tsalin uzuulelt'!P$4,negtgel!U428:BL428)+ SUMIF(negtgel!U$2:BL$2,'Tsalin uzuulelt'!P$5,negtgel!U428:BL428)</f>
      </c>
      <c r="N428">
        <f>IF(ISNUMBER(U428*1)=CF428,0,K428-H428-G428)</f>
      </c>
      <c r="O428">
        <f>IF(ISNUMBER(U428*1)=CF428,0,L428)</f>
      </c>
      <c r="P428">
        <f>IF(ISNUMBER(U428*1)=CF428,0,M428)</f>
      </c>
      <c r="Q428">
        <f>IF(N428&gt;2400000,N428,0)</f>
      </c>
      <c r="R428">
        <f>IF(L428/Q428*100&lt;3,2,10)</f>
      </c>
      <c r="S428">
        <f>IF(CH428=0,0,IF(B428&gt;9,10,IF(B428&gt;8,B428,IF(B428&gt;7.7,7.8,IF(B428&gt;3,B428,IF(B428&gt;1.5,2))))))</f>
      </c>
      <c r="T428">
        <f>IF(Q428=0,S428,R428)</f>
      </c>
      <c r="U428" t="n">
        <v>22.0</v>
      </c>
      <c r="V428" t="s">
        <v>3789</v>
      </c>
      <c r="W428" t="s">
        <v>3790</v>
      </c>
      <c r="X428" t="n">
        <v>613669.0</v>
      </c>
      <c r="Y428" t="n">
        <v>613669.0</v>
      </c>
      <c r="Z428" t="n">
        <v>61367.0</v>
      </c>
      <c r="AA428" t="n">
        <v>92050.0</v>
      </c>
      <c r="AB428" t="n">
        <v>0.0</v>
      </c>
      <c r="AC428" t="n">
        <v>0.0</v>
      </c>
      <c r="AD428" t="n">
        <v>0.0</v>
      </c>
      <c r="AE428" t="n">
        <v>0.0</v>
      </c>
      <c r="AF428" t="n">
        <v>48000.0</v>
      </c>
      <c r="AG428" t="n">
        <v>0.0</v>
      </c>
      <c r="AH428" t="n">
        <v>0.0</v>
      </c>
      <c r="AI428" t="n">
        <v>0.0</v>
      </c>
      <c r="AJ428" t="n">
        <v>0.0</v>
      </c>
      <c r="AK428" t="n">
        <v>0.0</v>
      </c>
      <c r="AL428" t="n">
        <v>0.0</v>
      </c>
      <c r="AM428" t="n">
        <v>0.0</v>
      </c>
      <c r="AN428" t="n">
        <v>0.0</v>
      </c>
      <c r="AO428" t="n">
        <v>815086.0</v>
      </c>
      <c r="AP428" t="n">
        <v>81509.0</v>
      </c>
      <c r="AQ428" t="n">
        <v>66837.7</v>
      </c>
      <c r="CH428">
        <f>IFERROR(U428*1,0)</f>
      </c>
    </row>
    <row r="429">
      <c r="A429" t="n">
        <v>7.0</v>
      </c>
      <c r="B429">
        <f>IF((K429-G429-H429&gt;2400000),10,(L429/(K429-G429-H429)*100))</f>
      </c>
      <c r="C429">
        <f>IF(N429&gt;2400000,240000,(N429*S429)/100)</f>
      </c>
      <c r="D429">
        <f>IF(S429=0,0,IF((N429-I429)&gt;2400000,((((((N429-I429-J429)-240000))*0.1+(I429+J429)*0.1)))-7000,((((((N429-I429-J429)-(N429-I429-J429)*S429/100)))*0.1+(I429+J429)*0.1)-7000)))</f>
      </c>
      <c r="E429">
        <f>C429-O429</f>
      </c>
      <c r="F429">
        <f>D429-P429</f>
      </c>
      <c r="G429">
        <f>SUMIF(negtgel!U$2:BL$2,'Tsalin uzuulelt'!B$1,negtgel!U429:BL429) + SUMIF(negtgel!U$2:BL$2,'Tsalin uzuulelt'!B$2,negtgel!U429:BL429)+SUMIF(negtgel!U$2:BL$2,'Tsalin uzuulelt'!B$3,negtgel!U429:BL429)+SUMIF(negtgel!U$2:BL$2,'Tsalin uzuulelt'!B$4,negtgel!U429:BL429)+SUMIF(negtgel!U$2:BL$2,'Tsalin uzuulelt'!B$5,negtgel!U429:BL429)</f>
      </c>
      <c r="H429">
        <f>SUMIF(negtgel!U$2:BL$2,'Tsalin uzuulelt'!F$1,negtgel!U429:BL429) + SUMIF(negtgel!U$2:BL$2,'Tsalin uzuulelt'!F$2,negtgel!U429:BL429)+SUMIF(negtgel!U$2:BL$2,'Tsalin uzuulelt'!F$3,negtgel!U429:BL429)+SUMIF(negtgel!U$2:BL$2,'Tsalin uzuulelt'!F$4,negtgel!U429:BL429)+SUMIF(negtgel!U$2:BL$2,'Tsalin uzuulelt'!F$5,negtgel!U429:BL429)</f>
      </c>
      <c r="I429">
        <f>SUMIF(negtgel!U$2:BL$2,'Tsalin uzuulelt'!H$1,negtgel!U429:BL429) + SUMIF(negtgel!U$2:BL$2,'Tsalin uzuulelt'!H$2,negtgel!U429:BL429)+SUMIF(negtgel!U$2:BL$2,'Tsalin uzuulelt'!H$3,negtgel!U429:BL429)+SUMIF(negtgel!U$2:BL$2,'Tsalin uzuulelt'!H$4,negtgel!U429:BL429)+SUMIF(negtgel!U$2:BL$2,'Tsalin uzuulelt'!H$5,negtgel!U429:BL429)</f>
      </c>
      <c r="J429">
        <f>SUMIF(negtgel!U$2:BL$2,'Tsalin uzuulelt'!J$1,negtgel!U429:BL429) + SUMIF(negtgel!U$2:BL$2,'Tsalin uzuulelt'!J$2,negtgel!U429:BL429)+SUMIF(negtgel!U$2:BL$2,'Tsalin uzuulelt'!J$3,negtgel!U429:BL429)+SUMIF(negtgel!U$2:BL$2,'Tsalin uzuulelt'!J$4,negtgel!U429:BL429)+SUMIF(negtgel!U$2:BL$2,'Tsalin uzuulelt'!J$5,negtgel!U429:BL429)</f>
      </c>
      <c r="K429">
        <f>SUMIF(negtgel!U$2:BL$2,'Tsalin uzuulelt'!L$1,negtgel!U429:BL429) + SUMIF(negtgel!U$2:BL$2,'Tsalin uzuulelt'!L$2,negtgel!U429:BL429)+SUMIF(negtgel!U$2:BL$2,'Tsalin uzuulelt'!L$3,negtgel!U429:BL429)+SUMIF(negtgel!U$2:BL$2,'Tsalin uzuulelt'!L$4,negtgel!U429:BL429)+SUMIF(negtgel!U$2:BL$2,'Tsalin uzuulelt'!L$5,negtgel!U429:BL429)</f>
      </c>
      <c r="L429">
        <f>SUMIF(negtgel!U$2:BL$2,'Tsalin uzuulelt'!N$1,negtgel!U429:BL429) + SUMIF(negtgel!U$2:BL$2,'Tsalin uzuulelt'!N$2,negtgel!U429:BL429)+SUMIF(negtgel!U$2:BL$2,'Tsalin uzuulelt'!N$3,negtgel!U429:BL429)+SUMIF(negtgel!U$2:BL$2,'Tsalin uzuulelt'!N$4,negtgel!U429:BL429)+SUMIF(negtgel!U$2:BL$2,'Tsalin uzuulelt'!N$5,negtgel!U429:BL429)</f>
      </c>
      <c r="M429">
        <f>SUMIF(negtgel!U$2:BL$2,'Tsalin uzuulelt'!P$1,negtgel!U429:BL429) + SUMIF(negtgel!U$2:BL$2,'Tsalin uzuulelt'!P$2,negtgel!U429:BL429)+ SUMIF(negtgel!U$2:BL$2,'Tsalin uzuulelt'!P$3,negtgel!U429:BL429)+ SUMIF(negtgel!U$2:BL$2,'Tsalin uzuulelt'!P$4,negtgel!U429:BL429)+ SUMIF(negtgel!U$2:BL$2,'Tsalin uzuulelt'!P$5,negtgel!U429:BL429)</f>
      </c>
      <c r="N429">
        <f>IF(ISNUMBER(U429*1)=CF429,0,K429-H429-G429)</f>
      </c>
      <c r="O429">
        <f>IF(ISNUMBER(U429*1)=CF429,0,L429)</f>
      </c>
      <c r="P429">
        <f>IF(ISNUMBER(U429*1)=CF429,0,M429)</f>
      </c>
      <c r="Q429">
        <f>IF(N429&gt;2400000,N429,0)</f>
      </c>
      <c r="R429">
        <f>IF(L429/Q429*100&lt;3,2,10)</f>
      </c>
      <c r="S429">
        <f>IF(CH429=0,0,IF(B429&gt;9,10,IF(B429&gt;8,B429,IF(B429&gt;7.7,7.8,IF(B429&gt;3,B429,IF(B429&gt;1.5,2))))))</f>
      </c>
      <c r="T429">
        <f>IF(Q429=0,S429,R429)</f>
      </c>
      <c r="U429" t="n">
        <v>23.0</v>
      </c>
      <c r="V429" t="s">
        <v>3791</v>
      </c>
      <c r="W429" t="s">
        <v>3792</v>
      </c>
      <c r="X429" t="n">
        <v>535584.0</v>
      </c>
      <c r="Y429" t="n">
        <v>167370.0</v>
      </c>
      <c r="Z429" t="n">
        <v>0.0</v>
      </c>
      <c r="AA429" t="n">
        <v>0.0</v>
      </c>
      <c r="AB429" t="n">
        <v>0.0</v>
      </c>
      <c r="AC429" t="n">
        <v>0.0</v>
      </c>
      <c r="AD429" t="n">
        <v>0.0</v>
      </c>
      <c r="AE429" t="n">
        <v>0.0</v>
      </c>
      <c r="AF429" t="n">
        <v>15000.0</v>
      </c>
      <c r="AG429" t="n">
        <v>0.0</v>
      </c>
      <c r="AH429" t="n">
        <v>0.0</v>
      </c>
      <c r="AI429" t="n">
        <v>0.0</v>
      </c>
      <c r="AJ429" t="n">
        <v>651156.0</v>
      </c>
      <c r="AK429" t="n">
        <v>0.0</v>
      </c>
      <c r="AL429" t="n">
        <v>0.0</v>
      </c>
      <c r="AM429" t="n">
        <v>0.0</v>
      </c>
      <c r="AN429" t="n">
        <v>0.0</v>
      </c>
      <c r="AO429" t="n">
        <v>833526.0</v>
      </c>
      <c r="AP429" t="n">
        <v>83353.0</v>
      </c>
      <c r="AQ429" t="n">
        <v>68167.3</v>
      </c>
      <c r="CH429">
        <f>IFERROR(U429*1,0)</f>
      </c>
    </row>
    <row r="430">
      <c r="A430" t="n">
        <v>7.0</v>
      </c>
      <c r="B430">
        <f>IF((K430-G430-H430&gt;2400000),10,(L430/(K430-G430-H430)*100))</f>
      </c>
      <c r="C430">
        <f>IF(N430&gt;2400000,240000,(N430*S430)/100)</f>
      </c>
      <c r="D430">
        <f>IF(S430=0,0,IF((N430-I430)&gt;2400000,((((((N430-I430-J430)-240000))*0.1+(I430+J430)*0.1)))-7000,((((((N430-I430-J430)-(N430-I430-J430)*S430/100)))*0.1+(I430+J430)*0.1)-7000)))</f>
      </c>
      <c r="E430">
        <f>C430-O430</f>
      </c>
      <c r="F430">
        <f>D430-P430</f>
      </c>
      <c r="G430">
        <f>SUMIF(negtgel!U$2:BL$2,'Tsalin uzuulelt'!B$1,negtgel!U430:BL430) + SUMIF(negtgel!U$2:BL$2,'Tsalin uzuulelt'!B$2,negtgel!U430:BL430)+SUMIF(negtgel!U$2:BL$2,'Tsalin uzuulelt'!B$3,negtgel!U430:BL430)+SUMIF(negtgel!U$2:BL$2,'Tsalin uzuulelt'!B$4,negtgel!U430:BL430)+SUMIF(negtgel!U$2:BL$2,'Tsalin uzuulelt'!B$5,negtgel!U430:BL430)</f>
      </c>
      <c r="H430">
        <f>SUMIF(negtgel!U$2:BL$2,'Tsalin uzuulelt'!F$1,negtgel!U430:BL430) + SUMIF(negtgel!U$2:BL$2,'Tsalin uzuulelt'!F$2,negtgel!U430:BL430)+SUMIF(negtgel!U$2:BL$2,'Tsalin uzuulelt'!F$3,negtgel!U430:BL430)+SUMIF(negtgel!U$2:BL$2,'Tsalin uzuulelt'!F$4,negtgel!U430:BL430)+SUMIF(negtgel!U$2:BL$2,'Tsalin uzuulelt'!F$5,negtgel!U430:BL430)</f>
      </c>
      <c r="I430">
        <f>SUMIF(negtgel!U$2:BL$2,'Tsalin uzuulelt'!H$1,negtgel!U430:BL430) + SUMIF(negtgel!U$2:BL$2,'Tsalin uzuulelt'!H$2,negtgel!U430:BL430)+SUMIF(negtgel!U$2:BL$2,'Tsalin uzuulelt'!H$3,negtgel!U430:BL430)+SUMIF(negtgel!U$2:BL$2,'Tsalin uzuulelt'!H$4,negtgel!U430:BL430)+SUMIF(negtgel!U$2:BL$2,'Tsalin uzuulelt'!H$5,negtgel!U430:BL430)</f>
      </c>
      <c r="J430">
        <f>SUMIF(negtgel!U$2:BL$2,'Tsalin uzuulelt'!J$1,negtgel!U430:BL430) + SUMIF(negtgel!U$2:BL$2,'Tsalin uzuulelt'!J$2,negtgel!U430:BL430)+SUMIF(negtgel!U$2:BL$2,'Tsalin uzuulelt'!J$3,negtgel!U430:BL430)+SUMIF(negtgel!U$2:BL$2,'Tsalin uzuulelt'!J$4,negtgel!U430:BL430)+SUMIF(negtgel!U$2:BL$2,'Tsalin uzuulelt'!J$5,negtgel!U430:BL430)</f>
      </c>
      <c r="K430">
        <f>SUMIF(negtgel!U$2:BL$2,'Tsalin uzuulelt'!L$1,negtgel!U430:BL430) + SUMIF(negtgel!U$2:BL$2,'Tsalin uzuulelt'!L$2,negtgel!U430:BL430)+SUMIF(negtgel!U$2:BL$2,'Tsalin uzuulelt'!L$3,negtgel!U430:BL430)+SUMIF(negtgel!U$2:BL$2,'Tsalin uzuulelt'!L$4,negtgel!U430:BL430)+SUMIF(negtgel!U$2:BL$2,'Tsalin uzuulelt'!L$5,negtgel!U430:BL430)</f>
      </c>
      <c r="L430">
        <f>SUMIF(negtgel!U$2:BL$2,'Tsalin uzuulelt'!N$1,negtgel!U430:BL430) + SUMIF(negtgel!U$2:BL$2,'Tsalin uzuulelt'!N$2,negtgel!U430:BL430)+SUMIF(negtgel!U$2:BL$2,'Tsalin uzuulelt'!N$3,negtgel!U430:BL430)+SUMIF(negtgel!U$2:BL$2,'Tsalin uzuulelt'!N$4,negtgel!U430:BL430)+SUMIF(negtgel!U$2:BL$2,'Tsalin uzuulelt'!N$5,negtgel!U430:BL430)</f>
      </c>
      <c r="M430">
        <f>SUMIF(negtgel!U$2:BL$2,'Tsalin uzuulelt'!P$1,negtgel!U430:BL430) + SUMIF(negtgel!U$2:BL$2,'Tsalin uzuulelt'!P$2,negtgel!U430:BL430)+ SUMIF(negtgel!U$2:BL$2,'Tsalin uzuulelt'!P$3,negtgel!U430:BL430)+ SUMIF(negtgel!U$2:BL$2,'Tsalin uzuulelt'!P$4,negtgel!U430:BL430)+ SUMIF(negtgel!U$2:BL$2,'Tsalin uzuulelt'!P$5,negtgel!U430:BL430)</f>
      </c>
      <c r="N430">
        <f>IF(ISNUMBER(U430*1)=CF430,0,K430-H430-G430)</f>
      </c>
      <c r="O430">
        <f>IF(ISNUMBER(U430*1)=CF430,0,L430)</f>
      </c>
      <c r="P430">
        <f>IF(ISNUMBER(U430*1)=CF430,0,M430)</f>
      </c>
      <c r="Q430">
        <f>IF(N430&gt;2400000,N430,0)</f>
      </c>
      <c r="R430">
        <f>IF(L430/Q430*100&lt;3,2,10)</f>
      </c>
      <c r="S430">
        <f>IF(CH430=0,0,IF(B430&gt;9,10,IF(B430&gt;8,B430,IF(B430&gt;7.7,7.8,IF(B430&gt;3,B430,IF(B430&gt;1.5,2))))))</f>
      </c>
      <c r="T430">
        <f>IF(Q430=0,S430,R430)</f>
      </c>
      <c r="U430" t="n">
        <v>24.0</v>
      </c>
      <c r="V430" t="s">
        <v>3793</v>
      </c>
      <c r="W430" t="s">
        <v>3790</v>
      </c>
      <c r="X430" t="n">
        <v>645556.0</v>
      </c>
      <c r="Y430" t="n">
        <v>201736.0</v>
      </c>
      <c r="Z430" t="n">
        <v>30260.0</v>
      </c>
      <c r="AA430" t="n">
        <v>0.0</v>
      </c>
      <c r="AB430" t="n">
        <v>0.0</v>
      </c>
      <c r="AC430" t="n">
        <v>0.0</v>
      </c>
      <c r="AD430" t="n">
        <v>0.0</v>
      </c>
      <c r="AE430" t="n">
        <v>0.0</v>
      </c>
      <c r="AF430" t="n">
        <v>15000.0</v>
      </c>
      <c r="AG430" t="n">
        <v>0.0</v>
      </c>
      <c r="AH430" t="n">
        <v>0.0</v>
      </c>
      <c r="AI430" t="n">
        <v>0.0</v>
      </c>
      <c r="AJ430" t="n">
        <v>959923.0</v>
      </c>
      <c r="AK430" t="n">
        <v>0.0</v>
      </c>
      <c r="AL430" t="n">
        <v>0.0</v>
      </c>
      <c r="AM430" t="n">
        <v>0.0</v>
      </c>
      <c r="AN430" t="n">
        <v>0.0</v>
      </c>
      <c r="AO430" t="n">
        <v>1206919.0</v>
      </c>
      <c r="AP430" t="n">
        <v>120691.0</v>
      </c>
      <c r="AQ430" t="n">
        <v>101772.7</v>
      </c>
      <c r="CH430">
        <f>IFERROR(U430*1,0)</f>
      </c>
    </row>
    <row r="431">
      <c r="A431" t="n">
        <v>7.0</v>
      </c>
      <c r="B431">
        <f>IF((K431-G431-H431&gt;2400000),10,(L431/(K431-G431-H431)*100))</f>
      </c>
      <c r="C431">
        <f>IF(N431&gt;2400000,240000,(N431*S431)/100)</f>
      </c>
      <c r="D431">
        <f>IF(S431=0,0,IF((N431-I431)&gt;2400000,((((((N431-I431-J431)-240000))*0.1+(I431+J431)*0.1)))-7000,((((((N431-I431-J431)-(N431-I431-J431)*S431/100)))*0.1+(I431+J431)*0.1)-7000)))</f>
      </c>
      <c r="E431">
        <f>C431-O431</f>
      </c>
      <c r="F431">
        <f>D431-P431</f>
      </c>
      <c r="G431">
        <f>SUMIF(negtgel!U$2:BL$2,'Tsalin uzuulelt'!B$1,negtgel!U431:BL431) + SUMIF(negtgel!U$2:BL$2,'Tsalin uzuulelt'!B$2,negtgel!U431:BL431)+SUMIF(negtgel!U$2:BL$2,'Tsalin uzuulelt'!B$3,negtgel!U431:BL431)+SUMIF(negtgel!U$2:BL$2,'Tsalin uzuulelt'!B$4,negtgel!U431:BL431)+SUMIF(negtgel!U$2:BL$2,'Tsalin uzuulelt'!B$5,negtgel!U431:BL431)</f>
      </c>
      <c r="H431">
        <f>SUMIF(negtgel!U$2:BL$2,'Tsalin uzuulelt'!F$1,negtgel!U431:BL431) + SUMIF(negtgel!U$2:BL$2,'Tsalin uzuulelt'!F$2,negtgel!U431:BL431)+SUMIF(negtgel!U$2:BL$2,'Tsalin uzuulelt'!F$3,negtgel!U431:BL431)+SUMIF(negtgel!U$2:BL$2,'Tsalin uzuulelt'!F$4,negtgel!U431:BL431)+SUMIF(negtgel!U$2:BL$2,'Tsalin uzuulelt'!F$5,negtgel!U431:BL431)</f>
      </c>
      <c r="I431">
        <f>SUMIF(negtgel!U$2:BL$2,'Tsalin uzuulelt'!H$1,negtgel!U431:BL431) + SUMIF(negtgel!U$2:BL$2,'Tsalin uzuulelt'!H$2,negtgel!U431:BL431)+SUMIF(negtgel!U$2:BL$2,'Tsalin uzuulelt'!H$3,negtgel!U431:BL431)+SUMIF(negtgel!U$2:BL$2,'Tsalin uzuulelt'!H$4,negtgel!U431:BL431)+SUMIF(negtgel!U$2:BL$2,'Tsalin uzuulelt'!H$5,negtgel!U431:BL431)</f>
      </c>
      <c r="J431">
        <f>SUMIF(negtgel!U$2:BL$2,'Tsalin uzuulelt'!J$1,negtgel!U431:BL431) + SUMIF(negtgel!U$2:BL$2,'Tsalin uzuulelt'!J$2,negtgel!U431:BL431)+SUMIF(negtgel!U$2:BL$2,'Tsalin uzuulelt'!J$3,negtgel!U431:BL431)+SUMIF(negtgel!U$2:BL$2,'Tsalin uzuulelt'!J$4,negtgel!U431:BL431)+SUMIF(negtgel!U$2:BL$2,'Tsalin uzuulelt'!J$5,negtgel!U431:BL431)</f>
      </c>
      <c r="K431">
        <f>SUMIF(negtgel!U$2:BL$2,'Tsalin uzuulelt'!L$1,negtgel!U431:BL431) + SUMIF(negtgel!U$2:BL$2,'Tsalin uzuulelt'!L$2,negtgel!U431:BL431)+SUMIF(negtgel!U$2:BL$2,'Tsalin uzuulelt'!L$3,negtgel!U431:BL431)+SUMIF(negtgel!U$2:BL$2,'Tsalin uzuulelt'!L$4,negtgel!U431:BL431)+SUMIF(negtgel!U$2:BL$2,'Tsalin uzuulelt'!L$5,negtgel!U431:BL431)</f>
      </c>
      <c r="L431">
        <f>SUMIF(negtgel!U$2:BL$2,'Tsalin uzuulelt'!N$1,negtgel!U431:BL431) + SUMIF(negtgel!U$2:BL$2,'Tsalin uzuulelt'!N$2,negtgel!U431:BL431)+SUMIF(negtgel!U$2:BL$2,'Tsalin uzuulelt'!N$3,negtgel!U431:BL431)+SUMIF(negtgel!U$2:BL$2,'Tsalin uzuulelt'!N$4,negtgel!U431:BL431)+SUMIF(negtgel!U$2:BL$2,'Tsalin uzuulelt'!N$5,negtgel!U431:BL431)</f>
      </c>
      <c r="M431">
        <f>SUMIF(negtgel!U$2:BL$2,'Tsalin uzuulelt'!P$1,negtgel!U431:BL431) + SUMIF(negtgel!U$2:BL$2,'Tsalin uzuulelt'!P$2,negtgel!U431:BL431)+ SUMIF(negtgel!U$2:BL$2,'Tsalin uzuulelt'!P$3,negtgel!U431:BL431)+ SUMIF(negtgel!U$2:BL$2,'Tsalin uzuulelt'!P$4,negtgel!U431:BL431)+ SUMIF(negtgel!U$2:BL$2,'Tsalin uzuulelt'!P$5,negtgel!U431:BL431)</f>
      </c>
      <c r="N431">
        <f>IF(ISNUMBER(U431*1)=CF431,0,K431-H431-G431)</f>
      </c>
      <c r="O431">
        <f>IF(ISNUMBER(U431*1)=CF431,0,L431)</f>
      </c>
      <c r="P431">
        <f>IF(ISNUMBER(U431*1)=CF431,0,M431)</f>
      </c>
      <c r="Q431">
        <f>IF(N431&gt;2400000,N431,0)</f>
      </c>
      <c r="R431">
        <f>IF(L431/Q431*100&lt;3,2,10)</f>
      </c>
      <c r="S431">
        <f>IF(CH431=0,0,IF(B431&gt;9,10,IF(B431&gt;8,B431,IF(B431&gt;7.7,7.8,IF(B431&gt;3,B431,IF(B431&gt;1.5,2))))))</f>
      </c>
      <c r="T431">
        <f>IF(Q431=0,S431,R431)</f>
      </c>
      <c r="U431" t="n">
        <v>25.0</v>
      </c>
      <c r="V431" t="s">
        <v>3794</v>
      </c>
      <c r="W431" t="s">
        <v>3792</v>
      </c>
      <c r="X431" t="n">
        <v>496912.0</v>
      </c>
      <c r="Y431" t="n">
        <v>496912.0</v>
      </c>
      <c r="Z431" t="n">
        <v>0.0</v>
      </c>
      <c r="AA431" t="n">
        <v>0.0</v>
      </c>
      <c r="AB431" t="n">
        <v>0.0</v>
      </c>
      <c r="AC431" t="n">
        <v>0.0</v>
      </c>
      <c r="AD431" t="n">
        <v>0.0</v>
      </c>
      <c r="AE431" t="n">
        <v>0.0</v>
      </c>
      <c r="AF431" t="n">
        <v>48000.0</v>
      </c>
      <c r="AG431" t="n">
        <v>0.0</v>
      </c>
      <c r="AH431" t="n">
        <v>0.0</v>
      </c>
      <c r="AI431" t="n">
        <v>0.0</v>
      </c>
      <c r="AJ431" t="n">
        <v>0.0</v>
      </c>
      <c r="AK431" t="n">
        <v>0.0</v>
      </c>
      <c r="AL431" t="n">
        <v>0.0</v>
      </c>
      <c r="AM431" t="n">
        <v>0.0</v>
      </c>
      <c r="AN431" t="n">
        <v>0.0</v>
      </c>
      <c r="AO431" t="n">
        <v>544912.0</v>
      </c>
      <c r="AP431" t="n">
        <v>54491.0</v>
      </c>
      <c r="AQ431" t="n">
        <v>42522.1</v>
      </c>
      <c r="CH431">
        <f>IFERROR(U431*1,0)</f>
      </c>
    </row>
    <row r="432">
      <c r="A432" t="n">
        <v>7.0</v>
      </c>
      <c r="B432">
        <f>IF((K432-G432-H432&gt;2400000),10,(L432/(K432-G432-H432)*100))</f>
      </c>
      <c r="C432">
        <f>IF(N432&gt;2400000,240000,(N432*S432)/100)</f>
      </c>
      <c r="D432">
        <f>IF(S432=0,0,IF((N432-I432)&gt;2400000,((((((N432-I432-J432)-240000))*0.1+(I432+J432)*0.1)))-7000,((((((N432-I432-J432)-(N432-I432-J432)*S432/100)))*0.1+(I432+J432)*0.1)-7000)))</f>
      </c>
      <c r="E432">
        <f>C432-O432</f>
      </c>
      <c r="F432">
        <f>D432-P432</f>
      </c>
      <c r="G432">
        <f>SUMIF(negtgel!U$2:BL$2,'Tsalin uzuulelt'!B$1,negtgel!U432:BL432) + SUMIF(negtgel!U$2:BL$2,'Tsalin uzuulelt'!B$2,negtgel!U432:BL432)+SUMIF(negtgel!U$2:BL$2,'Tsalin uzuulelt'!B$3,negtgel!U432:BL432)+SUMIF(negtgel!U$2:BL$2,'Tsalin uzuulelt'!B$4,negtgel!U432:BL432)+SUMIF(negtgel!U$2:BL$2,'Tsalin uzuulelt'!B$5,negtgel!U432:BL432)</f>
      </c>
      <c r="H432">
        <f>SUMIF(negtgel!U$2:BL$2,'Tsalin uzuulelt'!F$1,negtgel!U432:BL432) + SUMIF(negtgel!U$2:BL$2,'Tsalin uzuulelt'!F$2,negtgel!U432:BL432)+SUMIF(negtgel!U$2:BL$2,'Tsalin uzuulelt'!F$3,negtgel!U432:BL432)+SUMIF(negtgel!U$2:BL$2,'Tsalin uzuulelt'!F$4,negtgel!U432:BL432)+SUMIF(negtgel!U$2:BL$2,'Tsalin uzuulelt'!F$5,negtgel!U432:BL432)</f>
      </c>
      <c r="I432">
        <f>SUMIF(negtgel!U$2:BL$2,'Tsalin uzuulelt'!H$1,negtgel!U432:BL432) + SUMIF(negtgel!U$2:BL$2,'Tsalin uzuulelt'!H$2,negtgel!U432:BL432)+SUMIF(negtgel!U$2:BL$2,'Tsalin uzuulelt'!H$3,negtgel!U432:BL432)+SUMIF(negtgel!U$2:BL$2,'Tsalin uzuulelt'!H$4,negtgel!U432:BL432)+SUMIF(negtgel!U$2:BL$2,'Tsalin uzuulelt'!H$5,negtgel!U432:BL432)</f>
      </c>
      <c r="J432">
        <f>SUMIF(negtgel!U$2:BL$2,'Tsalin uzuulelt'!J$1,negtgel!U432:BL432) + SUMIF(negtgel!U$2:BL$2,'Tsalin uzuulelt'!J$2,negtgel!U432:BL432)+SUMIF(negtgel!U$2:BL$2,'Tsalin uzuulelt'!J$3,negtgel!U432:BL432)+SUMIF(negtgel!U$2:BL$2,'Tsalin uzuulelt'!J$4,negtgel!U432:BL432)+SUMIF(negtgel!U$2:BL$2,'Tsalin uzuulelt'!J$5,negtgel!U432:BL432)</f>
      </c>
      <c r="K432">
        <f>SUMIF(negtgel!U$2:BL$2,'Tsalin uzuulelt'!L$1,negtgel!U432:BL432) + SUMIF(negtgel!U$2:BL$2,'Tsalin uzuulelt'!L$2,negtgel!U432:BL432)+SUMIF(negtgel!U$2:BL$2,'Tsalin uzuulelt'!L$3,negtgel!U432:BL432)+SUMIF(negtgel!U$2:BL$2,'Tsalin uzuulelt'!L$4,negtgel!U432:BL432)+SUMIF(negtgel!U$2:BL$2,'Tsalin uzuulelt'!L$5,negtgel!U432:BL432)</f>
      </c>
      <c r="L432">
        <f>SUMIF(negtgel!U$2:BL$2,'Tsalin uzuulelt'!N$1,negtgel!U432:BL432) + SUMIF(negtgel!U$2:BL$2,'Tsalin uzuulelt'!N$2,negtgel!U432:BL432)+SUMIF(negtgel!U$2:BL$2,'Tsalin uzuulelt'!N$3,negtgel!U432:BL432)+SUMIF(negtgel!U$2:BL$2,'Tsalin uzuulelt'!N$4,negtgel!U432:BL432)+SUMIF(negtgel!U$2:BL$2,'Tsalin uzuulelt'!N$5,negtgel!U432:BL432)</f>
      </c>
      <c r="M432">
        <f>SUMIF(negtgel!U$2:BL$2,'Tsalin uzuulelt'!P$1,negtgel!U432:BL432) + SUMIF(negtgel!U$2:BL$2,'Tsalin uzuulelt'!P$2,negtgel!U432:BL432)+ SUMIF(negtgel!U$2:BL$2,'Tsalin uzuulelt'!P$3,negtgel!U432:BL432)+ SUMIF(negtgel!U$2:BL$2,'Tsalin uzuulelt'!P$4,negtgel!U432:BL432)+ SUMIF(negtgel!U$2:BL$2,'Tsalin uzuulelt'!P$5,negtgel!U432:BL432)</f>
      </c>
      <c r="N432">
        <f>IF(ISNUMBER(U432*1)=CF432,0,K432-H432-G432)</f>
      </c>
      <c r="O432">
        <f>IF(ISNUMBER(U432*1)=CF432,0,L432)</f>
      </c>
      <c r="P432">
        <f>IF(ISNUMBER(U432*1)=CF432,0,M432)</f>
      </c>
      <c r="Q432">
        <f>IF(N432&gt;2400000,N432,0)</f>
      </c>
      <c r="R432">
        <f>IF(L432/Q432*100&lt;3,2,10)</f>
      </c>
      <c r="S432">
        <f>IF(CH432=0,0,IF(B432&gt;9,10,IF(B432&gt;8,B432,IF(B432&gt;7.7,7.8,IF(B432&gt;3,B432,IF(B432&gt;1.5,2))))))</f>
      </c>
      <c r="T432">
        <f>IF(Q432=0,S432,R432)</f>
      </c>
      <c r="U432" t="n">
        <v>26.0</v>
      </c>
      <c r="V432" t="s">
        <v>3850</v>
      </c>
      <c r="W432" t="s">
        <v>3790</v>
      </c>
      <c r="X432" t="n">
        <v>547759.0</v>
      </c>
      <c r="Y432" t="n">
        <v>547759.0</v>
      </c>
      <c r="Z432" t="n">
        <v>0.0</v>
      </c>
      <c r="AA432" t="n">
        <v>0.0</v>
      </c>
      <c r="AB432" t="n">
        <v>0.0</v>
      </c>
      <c r="AC432" t="n">
        <v>0.0</v>
      </c>
      <c r="AD432" t="n">
        <v>0.0</v>
      </c>
      <c r="AE432" t="n">
        <v>0.0</v>
      </c>
      <c r="AF432" t="n">
        <v>48000.0</v>
      </c>
      <c r="AG432" t="n">
        <v>0.0</v>
      </c>
      <c r="AH432" t="n">
        <v>0.0</v>
      </c>
      <c r="AI432" t="n">
        <v>0.0</v>
      </c>
      <c r="AJ432" t="n">
        <v>0.0</v>
      </c>
      <c r="AK432" t="n">
        <v>0.0</v>
      </c>
      <c r="AL432" t="n">
        <v>0.0</v>
      </c>
      <c r="AM432" t="n">
        <v>0.0</v>
      </c>
      <c r="AN432" t="n">
        <v>0.0</v>
      </c>
      <c r="AO432" t="n">
        <v>595759.0</v>
      </c>
      <c r="AP432" t="n">
        <v>59576.0</v>
      </c>
      <c r="AQ432" t="n">
        <v>47098.3</v>
      </c>
      <c r="CH432">
        <f>IFERROR(U432*1,0)</f>
      </c>
    </row>
    <row r="433">
      <c r="A433" t="n">
        <v>7.0</v>
      </c>
      <c r="B433">
        <f>IF((K433-G433-H433&gt;2400000),10,(L433/(K433-G433-H433)*100))</f>
      </c>
      <c r="C433">
        <f>IF(N433&gt;2400000,240000,(N433*S433)/100)</f>
      </c>
      <c r="D433">
        <f>IF(S433=0,0,IF((N433-I433)&gt;2400000,((((((N433-I433-J433)-240000))*0.1+(I433+J433)*0.1)))-7000,((((((N433-I433-J433)-(N433-I433-J433)*S433/100)))*0.1+(I433+J433)*0.1)-7000)))</f>
      </c>
      <c r="E433">
        <f>C433-O433</f>
      </c>
      <c r="F433">
        <f>D433-P433</f>
      </c>
      <c r="G433">
        <f>SUMIF(negtgel!U$2:BL$2,'Tsalin uzuulelt'!B$1,negtgel!U433:BL433) + SUMIF(negtgel!U$2:BL$2,'Tsalin uzuulelt'!B$2,negtgel!U433:BL433)+SUMIF(negtgel!U$2:BL$2,'Tsalin uzuulelt'!B$3,negtgel!U433:BL433)+SUMIF(negtgel!U$2:BL$2,'Tsalin uzuulelt'!B$4,negtgel!U433:BL433)+SUMIF(negtgel!U$2:BL$2,'Tsalin uzuulelt'!B$5,negtgel!U433:BL433)</f>
      </c>
      <c r="H433">
        <f>SUMIF(negtgel!U$2:BL$2,'Tsalin uzuulelt'!F$1,negtgel!U433:BL433) + SUMIF(negtgel!U$2:BL$2,'Tsalin uzuulelt'!F$2,negtgel!U433:BL433)+SUMIF(negtgel!U$2:BL$2,'Tsalin uzuulelt'!F$3,negtgel!U433:BL433)+SUMIF(negtgel!U$2:BL$2,'Tsalin uzuulelt'!F$4,negtgel!U433:BL433)+SUMIF(negtgel!U$2:BL$2,'Tsalin uzuulelt'!F$5,negtgel!U433:BL433)</f>
      </c>
      <c r="I433">
        <f>SUMIF(negtgel!U$2:BL$2,'Tsalin uzuulelt'!H$1,negtgel!U433:BL433) + SUMIF(negtgel!U$2:BL$2,'Tsalin uzuulelt'!H$2,negtgel!U433:BL433)+SUMIF(negtgel!U$2:BL$2,'Tsalin uzuulelt'!H$3,negtgel!U433:BL433)+SUMIF(negtgel!U$2:BL$2,'Tsalin uzuulelt'!H$4,negtgel!U433:BL433)+SUMIF(negtgel!U$2:BL$2,'Tsalin uzuulelt'!H$5,negtgel!U433:BL433)</f>
      </c>
      <c r="J433">
        <f>SUMIF(negtgel!U$2:BL$2,'Tsalin uzuulelt'!J$1,negtgel!U433:BL433) + SUMIF(negtgel!U$2:BL$2,'Tsalin uzuulelt'!J$2,negtgel!U433:BL433)+SUMIF(negtgel!U$2:BL$2,'Tsalin uzuulelt'!J$3,negtgel!U433:BL433)+SUMIF(negtgel!U$2:BL$2,'Tsalin uzuulelt'!J$4,negtgel!U433:BL433)+SUMIF(negtgel!U$2:BL$2,'Tsalin uzuulelt'!J$5,negtgel!U433:BL433)</f>
      </c>
      <c r="K433">
        <f>SUMIF(negtgel!U$2:BL$2,'Tsalin uzuulelt'!L$1,negtgel!U433:BL433) + SUMIF(negtgel!U$2:BL$2,'Tsalin uzuulelt'!L$2,negtgel!U433:BL433)+SUMIF(negtgel!U$2:BL$2,'Tsalin uzuulelt'!L$3,negtgel!U433:BL433)+SUMIF(negtgel!U$2:BL$2,'Tsalin uzuulelt'!L$4,negtgel!U433:BL433)+SUMIF(negtgel!U$2:BL$2,'Tsalin uzuulelt'!L$5,negtgel!U433:BL433)</f>
      </c>
      <c r="L433">
        <f>SUMIF(negtgel!U$2:BL$2,'Tsalin uzuulelt'!N$1,negtgel!U433:BL433) + SUMIF(negtgel!U$2:BL$2,'Tsalin uzuulelt'!N$2,negtgel!U433:BL433)+SUMIF(negtgel!U$2:BL$2,'Tsalin uzuulelt'!N$3,negtgel!U433:BL433)+SUMIF(negtgel!U$2:BL$2,'Tsalin uzuulelt'!N$4,negtgel!U433:BL433)+SUMIF(negtgel!U$2:BL$2,'Tsalin uzuulelt'!N$5,negtgel!U433:BL433)</f>
      </c>
      <c r="M433">
        <f>SUMIF(negtgel!U$2:BL$2,'Tsalin uzuulelt'!P$1,negtgel!U433:BL433) + SUMIF(negtgel!U$2:BL$2,'Tsalin uzuulelt'!P$2,negtgel!U433:BL433)+ SUMIF(negtgel!U$2:BL$2,'Tsalin uzuulelt'!P$3,negtgel!U433:BL433)+ SUMIF(negtgel!U$2:BL$2,'Tsalin uzuulelt'!P$4,negtgel!U433:BL433)+ SUMIF(negtgel!U$2:BL$2,'Tsalin uzuulelt'!P$5,negtgel!U433:BL433)</f>
      </c>
      <c r="N433">
        <f>IF(ISNUMBER(U433*1)=CF433,0,K433-H433-G433)</f>
      </c>
      <c r="O433">
        <f>IF(ISNUMBER(U433*1)=CF433,0,L433)</f>
      </c>
      <c r="P433">
        <f>IF(ISNUMBER(U433*1)=CF433,0,M433)</f>
      </c>
      <c r="Q433">
        <f>IF(N433&gt;2400000,N433,0)</f>
      </c>
      <c r="R433">
        <f>IF(L433/Q433*100&lt;3,2,10)</f>
      </c>
      <c r="S433">
        <f>IF(CH433=0,0,IF(B433&gt;9,10,IF(B433&gt;8,B433,IF(B433&gt;7.7,7.8,IF(B433&gt;3,B433,IF(B433&gt;1.5,2))))))</f>
      </c>
      <c r="T433">
        <f>IF(Q433=0,S433,R433)</f>
      </c>
      <c r="U433" t="n">
        <v>49.0</v>
      </c>
      <c r="V433" t="s">
        <v>3797</v>
      </c>
      <c r="W433" t="s">
        <v>3790</v>
      </c>
      <c r="X433" t="n">
        <v>613669.0</v>
      </c>
      <c r="Y433" t="n">
        <v>191772.0</v>
      </c>
      <c r="Z433" t="n">
        <v>9589.0</v>
      </c>
      <c r="AA433" t="n">
        <v>28766.0</v>
      </c>
      <c r="AB433" t="n">
        <v>0.0</v>
      </c>
      <c r="AC433" t="n">
        <v>0.0</v>
      </c>
      <c r="AD433" t="n">
        <v>0.0</v>
      </c>
      <c r="AE433" t="n">
        <v>0.0</v>
      </c>
      <c r="AF433" t="n">
        <v>15000.0</v>
      </c>
      <c r="AG433" t="n">
        <v>0.0</v>
      </c>
      <c r="AH433" t="n">
        <v>0.0</v>
      </c>
      <c r="AI433" t="n">
        <v>0.0</v>
      </c>
      <c r="AJ433" t="n">
        <v>650083.0</v>
      </c>
      <c r="AK433" t="n">
        <v>0.0</v>
      </c>
      <c r="AL433" t="n">
        <v>0.0</v>
      </c>
      <c r="AM433" t="n">
        <v>0.0</v>
      </c>
      <c r="AN433" t="n">
        <v>0.0</v>
      </c>
      <c r="AO433" t="n">
        <v>895210.0</v>
      </c>
      <c r="AP433" t="n">
        <v>89521.0</v>
      </c>
      <c r="AQ433" t="n">
        <v>73718.9</v>
      </c>
      <c r="CH433">
        <f>IFERROR(U433*1,0)</f>
      </c>
    </row>
    <row r="434">
      <c r="A434" t="n">
        <v>7.0</v>
      </c>
      <c r="B434">
        <f>IF((K434-G434-H434&gt;2400000),10,(L434/(K434-G434-H434)*100))</f>
      </c>
      <c r="C434">
        <f>IF(N434&gt;2400000,240000,(N434*S434)/100)</f>
      </c>
      <c r="D434">
        <f>IF(S434=0,0,IF((N434-I434)&gt;2400000,((((((N434-I434-J434)-240000))*0.1+(I434+J434)*0.1)))-7000,((((((N434-I434-J434)-(N434-I434-J434)*S434/100)))*0.1+(I434+J434)*0.1)-7000)))</f>
      </c>
      <c r="E434">
        <f>C434-O434</f>
      </c>
      <c r="F434">
        <f>D434-P434</f>
      </c>
      <c r="G434">
        <f>SUMIF(negtgel!U$2:BL$2,'Tsalin uzuulelt'!B$1,negtgel!U434:BL434) + SUMIF(negtgel!U$2:BL$2,'Tsalin uzuulelt'!B$2,negtgel!U434:BL434)+SUMIF(negtgel!U$2:BL$2,'Tsalin uzuulelt'!B$3,negtgel!U434:BL434)+SUMIF(negtgel!U$2:BL$2,'Tsalin uzuulelt'!B$4,negtgel!U434:BL434)+SUMIF(negtgel!U$2:BL$2,'Tsalin uzuulelt'!B$5,negtgel!U434:BL434)</f>
      </c>
      <c r="H434">
        <f>SUMIF(negtgel!U$2:BL$2,'Tsalin uzuulelt'!F$1,negtgel!U434:BL434) + SUMIF(negtgel!U$2:BL$2,'Tsalin uzuulelt'!F$2,negtgel!U434:BL434)+SUMIF(negtgel!U$2:BL$2,'Tsalin uzuulelt'!F$3,negtgel!U434:BL434)+SUMIF(negtgel!U$2:BL$2,'Tsalin uzuulelt'!F$4,negtgel!U434:BL434)+SUMIF(negtgel!U$2:BL$2,'Tsalin uzuulelt'!F$5,negtgel!U434:BL434)</f>
      </c>
      <c r="I434">
        <f>SUMIF(negtgel!U$2:BL$2,'Tsalin uzuulelt'!H$1,negtgel!U434:BL434) + SUMIF(negtgel!U$2:BL$2,'Tsalin uzuulelt'!H$2,negtgel!U434:BL434)+SUMIF(negtgel!U$2:BL$2,'Tsalin uzuulelt'!H$3,negtgel!U434:BL434)+SUMIF(negtgel!U$2:BL$2,'Tsalin uzuulelt'!H$4,negtgel!U434:BL434)+SUMIF(negtgel!U$2:BL$2,'Tsalin uzuulelt'!H$5,negtgel!U434:BL434)</f>
      </c>
      <c r="J434">
        <f>SUMIF(negtgel!U$2:BL$2,'Tsalin uzuulelt'!J$1,negtgel!U434:BL434) + SUMIF(negtgel!U$2:BL$2,'Tsalin uzuulelt'!J$2,negtgel!U434:BL434)+SUMIF(negtgel!U$2:BL$2,'Tsalin uzuulelt'!J$3,negtgel!U434:BL434)+SUMIF(negtgel!U$2:BL$2,'Tsalin uzuulelt'!J$4,negtgel!U434:BL434)+SUMIF(negtgel!U$2:BL$2,'Tsalin uzuulelt'!J$5,negtgel!U434:BL434)</f>
      </c>
      <c r="K434">
        <f>SUMIF(negtgel!U$2:BL$2,'Tsalin uzuulelt'!L$1,negtgel!U434:BL434) + SUMIF(negtgel!U$2:BL$2,'Tsalin uzuulelt'!L$2,negtgel!U434:BL434)+SUMIF(negtgel!U$2:BL$2,'Tsalin uzuulelt'!L$3,negtgel!U434:BL434)+SUMIF(negtgel!U$2:BL$2,'Tsalin uzuulelt'!L$4,negtgel!U434:BL434)+SUMIF(negtgel!U$2:BL$2,'Tsalin uzuulelt'!L$5,negtgel!U434:BL434)</f>
      </c>
      <c r="L434">
        <f>SUMIF(negtgel!U$2:BL$2,'Tsalin uzuulelt'!N$1,negtgel!U434:BL434) + SUMIF(negtgel!U$2:BL$2,'Tsalin uzuulelt'!N$2,negtgel!U434:BL434)+SUMIF(negtgel!U$2:BL$2,'Tsalin uzuulelt'!N$3,negtgel!U434:BL434)+SUMIF(negtgel!U$2:BL$2,'Tsalin uzuulelt'!N$4,negtgel!U434:BL434)+SUMIF(negtgel!U$2:BL$2,'Tsalin uzuulelt'!N$5,negtgel!U434:BL434)</f>
      </c>
      <c r="M434">
        <f>SUMIF(negtgel!U$2:BL$2,'Tsalin uzuulelt'!P$1,negtgel!U434:BL434) + SUMIF(negtgel!U$2:BL$2,'Tsalin uzuulelt'!P$2,negtgel!U434:BL434)+ SUMIF(negtgel!U$2:BL$2,'Tsalin uzuulelt'!P$3,negtgel!U434:BL434)+ SUMIF(negtgel!U$2:BL$2,'Tsalin uzuulelt'!P$4,negtgel!U434:BL434)+ SUMIF(negtgel!U$2:BL$2,'Tsalin uzuulelt'!P$5,negtgel!U434:BL434)</f>
      </c>
      <c r="N434">
        <f>IF(ISNUMBER(U434*1)=CF434,0,K434-H434-G434)</f>
      </c>
      <c r="O434">
        <f>IF(ISNUMBER(U434*1)=CF434,0,L434)</f>
      </c>
      <c r="P434">
        <f>IF(ISNUMBER(U434*1)=CF434,0,M434)</f>
      </c>
      <c r="Q434">
        <f>IF(N434&gt;2400000,N434,0)</f>
      </c>
      <c r="R434">
        <f>IF(L434/Q434*100&lt;3,2,10)</f>
      </c>
      <c r="S434">
        <f>IF(CH434=0,0,IF(B434&gt;9,10,IF(B434&gt;8,B434,IF(B434&gt;7.7,7.8,IF(B434&gt;3,B434,IF(B434&gt;1.5,2))))))</f>
      </c>
      <c r="T434">
        <f>IF(Q434=0,S434,R434)</f>
      </c>
      <c r="U434" t="n">
        <v>50.0</v>
      </c>
      <c r="V434" t="s">
        <v>3798</v>
      </c>
      <c r="W434" t="s">
        <v>3792</v>
      </c>
      <c r="X434" t="n">
        <v>496912.0</v>
      </c>
      <c r="Y434" t="n">
        <v>496912.0</v>
      </c>
      <c r="Z434" t="n">
        <v>0.0</v>
      </c>
      <c r="AA434" t="n">
        <v>0.0</v>
      </c>
      <c r="AB434" t="n">
        <v>0.0</v>
      </c>
      <c r="AC434" t="n">
        <v>0.0</v>
      </c>
      <c r="AD434" t="n">
        <v>0.0</v>
      </c>
      <c r="AE434" t="n">
        <v>0.0</v>
      </c>
      <c r="AF434" t="n">
        <v>48000.0</v>
      </c>
      <c r="AG434" t="n">
        <v>0.0</v>
      </c>
      <c r="AH434" t="n">
        <v>0.0</v>
      </c>
      <c r="AI434" t="n">
        <v>0.0</v>
      </c>
      <c r="AJ434" t="n">
        <v>0.0</v>
      </c>
      <c r="AK434" t="n">
        <v>0.0</v>
      </c>
      <c r="AL434" t="n">
        <v>0.0</v>
      </c>
      <c r="AM434" t="n">
        <v>0.0</v>
      </c>
      <c r="AN434" t="n">
        <v>0.0</v>
      </c>
      <c r="AO434" t="n">
        <v>544912.0</v>
      </c>
      <c r="AP434" t="n">
        <v>54491.0</v>
      </c>
      <c r="AQ434" t="n">
        <v>42522.1</v>
      </c>
      <c r="CH434">
        <f>IFERROR(U434*1,0)</f>
      </c>
    </row>
    <row r="435">
      <c r="A435" t="n">
        <v>7.0</v>
      </c>
      <c r="B435">
        <f>IF((K435-G435-H435&gt;2400000),10,(L435/(K435-G435-H435)*100))</f>
      </c>
      <c r="C435">
        <f>IF(N435&gt;2400000,240000,(N435*S435)/100)</f>
      </c>
      <c r="D435">
        <f>IF(S435=0,0,IF((N435-I435)&gt;2400000,((((((N435-I435-J435)-240000))*0.1+(I435+J435)*0.1)))-7000,((((((N435-I435-J435)-(N435-I435-J435)*S435/100)))*0.1+(I435+J435)*0.1)-7000)))</f>
      </c>
      <c r="E435">
        <f>C435-O435</f>
      </c>
      <c r="F435">
        <f>D435-P435</f>
      </c>
      <c r="G435">
        <f>SUMIF(negtgel!U$2:BL$2,'Tsalin uzuulelt'!B$1,negtgel!U435:BL435) + SUMIF(negtgel!U$2:BL$2,'Tsalin uzuulelt'!B$2,negtgel!U435:BL435)+SUMIF(negtgel!U$2:BL$2,'Tsalin uzuulelt'!B$3,negtgel!U435:BL435)+SUMIF(negtgel!U$2:BL$2,'Tsalin uzuulelt'!B$4,negtgel!U435:BL435)+SUMIF(negtgel!U$2:BL$2,'Tsalin uzuulelt'!B$5,negtgel!U435:BL435)</f>
      </c>
      <c r="H435">
        <f>SUMIF(negtgel!U$2:BL$2,'Tsalin uzuulelt'!F$1,negtgel!U435:BL435) + SUMIF(negtgel!U$2:BL$2,'Tsalin uzuulelt'!F$2,negtgel!U435:BL435)+SUMIF(negtgel!U$2:BL$2,'Tsalin uzuulelt'!F$3,negtgel!U435:BL435)+SUMIF(negtgel!U$2:BL$2,'Tsalin uzuulelt'!F$4,negtgel!U435:BL435)+SUMIF(negtgel!U$2:BL$2,'Tsalin uzuulelt'!F$5,negtgel!U435:BL435)</f>
      </c>
      <c r="I435">
        <f>SUMIF(negtgel!U$2:BL$2,'Tsalin uzuulelt'!H$1,negtgel!U435:BL435) + SUMIF(negtgel!U$2:BL$2,'Tsalin uzuulelt'!H$2,negtgel!U435:BL435)+SUMIF(negtgel!U$2:BL$2,'Tsalin uzuulelt'!H$3,negtgel!U435:BL435)+SUMIF(negtgel!U$2:BL$2,'Tsalin uzuulelt'!H$4,negtgel!U435:BL435)+SUMIF(negtgel!U$2:BL$2,'Tsalin uzuulelt'!H$5,negtgel!U435:BL435)</f>
      </c>
      <c r="J435">
        <f>SUMIF(negtgel!U$2:BL$2,'Tsalin uzuulelt'!J$1,negtgel!U435:BL435) + SUMIF(negtgel!U$2:BL$2,'Tsalin uzuulelt'!J$2,negtgel!U435:BL435)+SUMIF(negtgel!U$2:BL$2,'Tsalin uzuulelt'!J$3,negtgel!U435:BL435)+SUMIF(negtgel!U$2:BL$2,'Tsalin uzuulelt'!J$4,negtgel!U435:BL435)+SUMIF(negtgel!U$2:BL$2,'Tsalin uzuulelt'!J$5,negtgel!U435:BL435)</f>
      </c>
      <c r="K435">
        <f>SUMIF(negtgel!U$2:BL$2,'Tsalin uzuulelt'!L$1,negtgel!U435:BL435) + SUMIF(negtgel!U$2:BL$2,'Tsalin uzuulelt'!L$2,negtgel!U435:BL435)+SUMIF(negtgel!U$2:BL$2,'Tsalin uzuulelt'!L$3,negtgel!U435:BL435)+SUMIF(negtgel!U$2:BL$2,'Tsalin uzuulelt'!L$4,negtgel!U435:BL435)+SUMIF(negtgel!U$2:BL$2,'Tsalin uzuulelt'!L$5,negtgel!U435:BL435)</f>
      </c>
      <c r="L435">
        <f>SUMIF(negtgel!U$2:BL$2,'Tsalin uzuulelt'!N$1,negtgel!U435:BL435) + SUMIF(negtgel!U$2:BL$2,'Tsalin uzuulelt'!N$2,negtgel!U435:BL435)+SUMIF(negtgel!U$2:BL$2,'Tsalin uzuulelt'!N$3,negtgel!U435:BL435)+SUMIF(negtgel!U$2:BL$2,'Tsalin uzuulelt'!N$4,negtgel!U435:BL435)+SUMIF(negtgel!U$2:BL$2,'Tsalin uzuulelt'!N$5,negtgel!U435:BL435)</f>
      </c>
      <c r="M435">
        <f>SUMIF(negtgel!U$2:BL$2,'Tsalin uzuulelt'!P$1,negtgel!U435:BL435) + SUMIF(negtgel!U$2:BL$2,'Tsalin uzuulelt'!P$2,negtgel!U435:BL435)+ SUMIF(negtgel!U$2:BL$2,'Tsalin uzuulelt'!P$3,negtgel!U435:BL435)+ SUMIF(negtgel!U$2:BL$2,'Tsalin uzuulelt'!P$4,negtgel!U435:BL435)+ SUMIF(negtgel!U$2:BL$2,'Tsalin uzuulelt'!P$5,negtgel!U435:BL435)</f>
      </c>
      <c r="N435">
        <f>IF(ISNUMBER(U435*1)=CF435,0,K435-H435-G435)</f>
      </c>
      <c r="O435">
        <f>IF(ISNUMBER(U435*1)=CF435,0,L435)</f>
      </c>
      <c r="P435">
        <f>IF(ISNUMBER(U435*1)=CF435,0,M435)</f>
      </c>
      <c r="Q435">
        <f>IF(N435&gt;2400000,N435,0)</f>
      </c>
      <c r="R435">
        <f>IF(L435/Q435*100&lt;3,2,10)</f>
      </c>
      <c r="S435">
        <f>IF(CH435=0,0,IF(B435&gt;9,10,IF(B435&gt;8,B435,IF(B435&gt;7.7,7.8,IF(B435&gt;3,B435,IF(B435&gt;1.5,2))))))</f>
      </c>
      <c r="T435">
        <f>IF(Q435=0,S435,R435)</f>
      </c>
      <c r="U435" t="n">
        <v>51.0</v>
      </c>
      <c r="V435" t="s">
        <v>3799</v>
      </c>
      <c r="W435" t="s">
        <v>3785</v>
      </c>
      <c r="X435" t="n">
        <v>795935.0</v>
      </c>
      <c r="Y435" t="n">
        <v>248730.0</v>
      </c>
      <c r="Z435" t="n">
        <v>37310.0</v>
      </c>
      <c r="AA435" t="n">
        <v>49746.0</v>
      </c>
      <c r="AB435" t="n">
        <v>0.0</v>
      </c>
      <c r="AC435" t="n">
        <v>0.0</v>
      </c>
      <c r="AD435" t="n">
        <v>0.0</v>
      </c>
      <c r="AE435" t="n">
        <v>0.0</v>
      </c>
      <c r="AF435" t="n">
        <v>15000.0</v>
      </c>
      <c r="AG435" t="n">
        <v>0.0</v>
      </c>
      <c r="AH435" t="n">
        <v>0.0</v>
      </c>
      <c r="AI435" t="n">
        <v>0.0</v>
      </c>
      <c r="AJ435" t="n">
        <v>1295820.0</v>
      </c>
      <c r="AK435" t="n">
        <v>0.0</v>
      </c>
      <c r="AL435" t="n">
        <v>0.0</v>
      </c>
      <c r="AM435" t="n">
        <v>0.0</v>
      </c>
      <c r="AN435" t="n">
        <v>0.0</v>
      </c>
      <c r="AO435" t="n">
        <v>1646606.0</v>
      </c>
      <c r="AP435" t="n">
        <v>164660.0</v>
      </c>
      <c r="AQ435" t="n">
        <v>141344.5</v>
      </c>
      <c r="CH435">
        <f>IFERROR(U435*1,0)</f>
      </c>
    </row>
    <row r="436">
      <c r="A436" t="n">
        <v>7.0</v>
      </c>
      <c r="B436">
        <f>IF((K436-G436-H436&gt;2400000),10,(L436/(K436-G436-H436)*100))</f>
      </c>
      <c r="C436">
        <f>IF(N436&gt;2400000,240000,(N436*S436)/100)</f>
      </c>
      <c r="D436">
        <f>IF(S436=0,0,IF((N436-I436)&gt;2400000,((((((N436-I436-J436)-240000))*0.1+(I436+J436)*0.1)))-7000,((((((N436-I436-J436)-(N436-I436-J436)*S436/100)))*0.1+(I436+J436)*0.1)-7000)))</f>
      </c>
      <c r="E436">
        <f>C436-O436</f>
      </c>
      <c r="F436">
        <f>D436-P436</f>
      </c>
      <c r="G436">
        <f>SUMIF(negtgel!U$2:BL$2,'Tsalin uzuulelt'!B$1,negtgel!U436:BL436) + SUMIF(negtgel!U$2:BL$2,'Tsalin uzuulelt'!B$2,negtgel!U436:BL436)+SUMIF(negtgel!U$2:BL$2,'Tsalin uzuulelt'!B$3,negtgel!U436:BL436)+SUMIF(negtgel!U$2:BL$2,'Tsalin uzuulelt'!B$4,negtgel!U436:BL436)+SUMIF(negtgel!U$2:BL$2,'Tsalin uzuulelt'!B$5,negtgel!U436:BL436)</f>
      </c>
      <c r="H436">
        <f>SUMIF(negtgel!U$2:BL$2,'Tsalin uzuulelt'!F$1,negtgel!U436:BL436) + SUMIF(negtgel!U$2:BL$2,'Tsalin uzuulelt'!F$2,negtgel!U436:BL436)+SUMIF(negtgel!U$2:BL$2,'Tsalin uzuulelt'!F$3,negtgel!U436:BL436)+SUMIF(negtgel!U$2:BL$2,'Tsalin uzuulelt'!F$4,negtgel!U436:BL436)+SUMIF(negtgel!U$2:BL$2,'Tsalin uzuulelt'!F$5,negtgel!U436:BL436)</f>
      </c>
      <c r="I436">
        <f>SUMIF(negtgel!U$2:BL$2,'Tsalin uzuulelt'!H$1,negtgel!U436:BL436) + SUMIF(negtgel!U$2:BL$2,'Tsalin uzuulelt'!H$2,negtgel!U436:BL436)+SUMIF(negtgel!U$2:BL$2,'Tsalin uzuulelt'!H$3,negtgel!U436:BL436)+SUMIF(negtgel!U$2:BL$2,'Tsalin uzuulelt'!H$4,negtgel!U436:BL436)+SUMIF(negtgel!U$2:BL$2,'Tsalin uzuulelt'!H$5,negtgel!U436:BL436)</f>
      </c>
      <c r="J436">
        <f>SUMIF(negtgel!U$2:BL$2,'Tsalin uzuulelt'!J$1,negtgel!U436:BL436) + SUMIF(negtgel!U$2:BL$2,'Tsalin uzuulelt'!J$2,negtgel!U436:BL436)+SUMIF(negtgel!U$2:BL$2,'Tsalin uzuulelt'!J$3,negtgel!U436:BL436)+SUMIF(negtgel!U$2:BL$2,'Tsalin uzuulelt'!J$4,negtgel!U436:BL436)+SUMIF(negtgel!U$2:BL$2,'Tsalin uzuulelt'!J$5,negtgel!U436:BL436)</f>
      </c>
      <c r="K436">
        <f>SUMIF(negtgel!U$2:BL$2,'Tsalin uzuulelt'!L$1,negtgel!U436:BL436) + SUMIF(negtgel!U$2:BL$2,'Tsalin uzuulelt'!L$2,negtgel!U436:BL436)+SUMIF(negtgel!U$2:BL$2,'Tsalin uzuulelt'!L$3,negtgel!U436:BL436)+SUMIF(negtgel!U$2:BL$2,'Tsalin uzuulelt'!L$4,negtgel!U436:BL436)+SUMIF(negtgel!U$2:BL$2,'Tsalin uzuulelt'!L$5,negtgel!U436:BL436)</f>
      </c>
      <c r="L436">
        <f>SUMIF(negtgel!U$2:BL$2,'Tsalin uzuulelt'!N$1,negtgel!U436:BL436) + SUMIF(negtgel!U$2:BL$2,'Tsalin uzuulelt'!N$2,negtgel!U436:BL436)+SUMIF(negtgel!U$2:BL$2,'Tsalin uzuulelt'!N$3,negtgel!U436:BL436)+SUMIF(negtgel!U$2:BL$2,'Tsalin uzuulelt'!N$4,negtgel!U436:BL436)+SUMIF(negtgel!U$2:BL$2,'Tsalin uzuulelt'!N$5,negtgel!U436:BL436)</f>
      </c>
      <c r="M436">
        <f>SUMIF(negtgel!U$2:BL$2,'Tsalin uzuulelt'!P$1,negtgel!U436:BL436) + SUMIF(negtgel!U$2:BL$2,'Tsalin uzuulelt'!P$2,negtgel!U436:BL436)+ SUMIF(negtgel!U$2:BL$2,'Tsalin uzuulelt'!P$3,negtgel!U436:BL436)+ SUMIF(negtgel!U$2:BL$2,'Tsalin uzuulelt'!P$4,negtgel!U436:BL436)+ SUMIF(negtgel!U$2:BL$2,'Tsalin uzuulelt'!P$5,negtgel!U436:BL436)</f>
      </c>
      <c r="N436">
        <f>IF(ISNUMBER(U436*1)=CF436,0,K436-H436-G436)</f>
      </c>
      <c r="O436">
        <f>IF(ISNUMBER(U436*1)=CF436,0,L436)</f>
      </c>
      <c r="P436">
        <f>IF(ISNUMBER(U436*1)=CF436,0,M436)</f>
      </c>
      <c r="Q436">
        <f>IF(N436&gt;2400000,N436,0)</f>
      </c>
      <c r="R436">
        <f>IF(L436/Q436*100&lt;3,2,10)</f>
      </c>
      <c r="S436">
        <f>IF(CH436=0,0,IF(B436&gt;9,10,IF(B436&gt;8,B436,IF(B436&gt;7.7,7.8,IF(B436&gt;3,B436,IF(B436&gt;1.5,2))))))</f>
      </c>
      <c r="T436">
        <f>IF(Q436=0,S436,R436)</f>
      </c>
      <c r="U436" t="n">
        <v>52.0</v>
      </c>
      <c r="V436" t="s">
        <v>3800</v>
      </c>
      <c r="W436" t="s">
        <v>3790</v>
      </c>
      <c r="X436" t="n">
        <v>613669.0</v>
      </c>
      <c r="Y436" t="n">
        <v>191772.0</v>
      </c>
      <c r="Z436" t="n">
        <v>28766.0</v>
      </c>
      <c r="AA436" t="n">
        <v>38354.0</v>
      </c>
      <c r="AB436" t="n">
        <v>0.0</v>
      </c>
      <c r="AC436" t="n">
        <v>0.0</v>
      </c>
      <c r="AD436" t="n">
        <v>0.0</v>
      </c>
      <c r="AE436" t="n">
        <v>0.0</v>
      </c>
      <c r="AF436" t="n">
        <v>15000.0</v>
      </c>
      <c r="AG436" t="n">
        <v>0.0</v>
      </c>
      <c r="AH436" t="n">
        <v>0.0</v>
      </c>
      <c r="AI436" t="n">
        <v>0.0</v>
      </c>
      <c r="AJ436" t="n">
        <v>929838.0</v>
      </c>
      <c r="AK436" t="n">
        <v>0.0</v>
      </c>
      <c r="AL436" t="n">
        <v>0.0</v>
      </c>
      <c r="AM436" t="n">
        <v>0.0</v>
      </c>
      <c r="AN436" t="n">
        <v>0.0</v>
      </c>
      <c r="AO436" t="n">
        <v>1203730.0</v>
      </c>
      <c r="AP436" t="n">
        <v>120373.0</v>
      </c>
      <c r="AQ436" t="n">
        <v>101485.7</v>
      </c>
      <c r="CH436">
        <f>IFERROR(U436*1,0)</f>
      </c>
    </row>
    <row r="437">
      <c r="A437" t="n">
        <v>7.0</v>
      </c>
      <c r="B437">
        <f>IF((K437-G437-H437&gt;2400000),10,(L437/(K437-G437-H437)*100))</f>
      </c>
      <c r="C437">
        <f>IF(N437&gt;2400000,240000,(N437*S437)/100)</f>
      </c>
      <c r="D437">
        <f>IF(S437=0,0,IF((N437-I437)&gt;2400000,((((((N437-I437-J437)-240000))*0.1+(I437+J437)*0.1)))-7000,((((((N437-I437-J437)-(N437-I437-J437)*S437/100)))*0.1+(I437+J437)*0.1)-7000)))</f>
      </c>
      <c r="E437">
        <f>C437-O437</f>
      </c>
      <c r="F437">
        <f>D437-P437</f>
      </c>
      <c r="G437">
        <f>SUMIF(negtgel!U$2:BL$2,'Tsalin uzuulelt'!B$1,negtgel!U437:BL437) + SUMIF(negtgel!U$2:BL$2,'Tsalin uzuulelt'!B$2,negtgel!U437:BL437)+SUMIF(negtgel!U$2:BL$2,'Tsalin uzuulelt'!B$3,negtgel!U437:BL437)+SUMIF(negtgel!U$2:BL$2,'Tsalin uzuulelt'!B$4,negtgel!U437:BL437)+SUMIF(negtgel!U$2:BL$2,'Tsalin uzuulelt'!B$5,negtgel!U437:BL437)</f>
      </c>
      <c r="H437">
        <f>SUMIF(negtgel!U$2:BL$2,'Tsalin uzuulelt'!F$1,negtgel!U437:BL437) + SUMIF(negtgel!U$2:BL$2,'Tsalin uzuulelt'!F$2,negtgel!U437:BL437)+SUMIF(negtgel!U$2:BL$2,'Tsalin uzuulelt'!F$3,negtgel!U437:BL437)+SUMIF(negtgel!U$2:BL$2,'Tsalin uzuulelt'!F$4,negtgel!U437:BL437)+SUMIF(negtgel!U$2:BL$2,'Tsalin uzuulelt'!F$5,negtgel!U437:BL437)</f>
      </c>
      <c r="I437">
        <f>SUMIF(negtgel!U$2:BL$2,'Tsalin uzuulelt'!H$1,negtgel!U437:BL437) + SUMIF(negtgel!U$2:BL$2,'Tsalin uzuulelt'!H$2,negtgel!U437:BL437)+SUMIF(negtgel!U$2:BL$2,'Tsalin uzuulelt'!H$3,negtgel!U437:BL437)+SUMIF(negtgel!U$2:BL$2,'Tsalin uzuulelt'!H$4,negtgel!U437:BL437)+SUMIF(negtgel!U$2:BL$2,'Tsalin uzuulelt'!H$5,negtgel!U437:BL437)</f>
      </c>
      <c r="J437">
        <f>SUMIF(negtgel!U$2:BL$2,'Tsalin uzuulelt'!J$1,negtgel!U437:BL437) + SUMIF(negtgel!U$2:BL$2,'Tsalin uzuulelt'!J$2,negtgel!U437:BL437)+SUMIF(negtgel!U$2:BL$2,'Tsalin uzuulelt'!J$3,negtgel!U437:BL437)+SUMIF(negtgel!U$2:BL$2,'Tsalin uzuulelt'!J$4,negtgel!U437:BL437)+SUMIF(negtgel!U$2:BL$2,'Tsalin uzuulelt'!J$5,negtgel!U437:BL437)</f>
      </c>
      <c r="K437">
        <f>SUMIF(negtgel!U$2:BL$2,'Tsalin uzuulelt'!L$1,negtgel!U437:BL437) + SUMIF(negtgel!U$2:BL$2,'Tsalin uzuulelt'!L$2,negtgel!U437:BL437)+SUMIF(negtgel!U$2:BL$2,'Tsalin uzuulelt'!L$3,negtgel!U437:BL437)+SUMIF(negtgel!U$2:BL$2,'Tsalin uzuulelt'!L$4,negtgel!U437:BL437)+SUMIF(negtgel!U$2:BL$2,'Tsalin uzuulelt'!L$5,negtgel!U437:BL437)</f>
      </c>
      <c r="L437">
        <f>SUMIF(negtgel!U$2:BL$2,'Tsalin uzuulelt'!N$1,negtgel!U437:BL437) + SUMIF(negtgel!U$2:BL$2,'Tsalin uzuulelt'!N$2,negtgel!U437:BL437)+SUMIF(negtgel!U$2:BL$2,'Tsalin uzuulelt'!N$3,negtgel!U437:BL437)+SUMIF(negtgel!U$2:BL$2,'Tsalin uzuulelt'!N$4,negtgel!U437:BL437)+SUMIF(negtgel!U$2:BL$2,'Tsalin uzuulelt'!N$5,negtgel!U437:BL437)</f>
      </c>
      <c r="M437">
        <f>SUMIF(negtgel!U$2:BL$2,'Tsalin uzuulelt'!P$1,negtgel!U437:BL437) + SUMIF(negtgel!U$2:BL$2,'Tsalin uzuulelt'!P$2,negtgel!U437:BL437)+ SUMIF(negtgel!U$2:BL$2,'Tsalin uzuulelt'!P$3,negtgel!U437:BL437)+ SUMIF(negtgel!U$2:BL$2,'Tsalin uzuulelt'!P$4,negtgel!U437:BL437)+ SUMIF(negtgel!U$2:BL$2,'Tsalin uzuulelt'!P$5,negtgel!U437:BL437)</f>
      </c>
      <c r="N437">
        <f>IF(ISNUMBER(U437*1)=CF437,0,K437-H437-G437)</f>
      </c>
      <c r="O437">
        <f>IF(ISNUMBER(U437*1)=CF437,0,L437)</f>
      </c>
      <c r="P437">
        <f>IF(ISNUMBER(U437*1)=CF437,0,M437)</f>
      </c>
      <c r="Q437">
        <f>IF(N437&gt;2400000,N437,0)</f>
      </c>
      <c r="R437">
        <f>IF(L437/Q437*100&lt;3,2,10)</f>
      </c>
      <c r="S437">
        <f>IF(CH437=0,0,IF(B437&gt;9,10,IF(B437&gt;8,B437,IF(B437&gt;7.7,7.8,IF(B437&gt;3,B437,IF(B437&gt;1.5,2))))))</f>
      </c>
      <c r="T437">
        <f>IF(Q437=0,S437,R437)</f>
      </c>
      <c r="U437" t="n">
        <v>53.0</v>
      </c>
      <c r="V437" t="s">
        <v>3801</v>
      </c>
      <c r="W437" t="s">
        <v>3790</v>
      </c>
      <c r="X437" t="n">
        <v>580710.0</v>
      </c>
      <c r="Y437" t="n">
        <v>580710.0</v>
      </c>
      <c r="Z437" t="n">
        <v>0.0</v>
      </c>
      <c r="AA437" t="n">
        <v>0.0</v>
      </c>
      <c r="AB437" t="n">
        <v>0.0</v>
      </c>
      <c r="AC437" t="n">
        <v>0.0</v>
      </c>
      <c r="AD437" t="n">
        <v>0.0</v>
      </c>
      <c r="AE437" t="n">
        <v>0.0</v>
      </c>
      <c r="AF437" t="n">
        <v>48000.0</v>
      </c>
      <c r="AG437" t="n">
        <v>0.0</v>
      </c>
      <c r="AH437" t="n">
        <v>0.0</v>
      </c>
      <c r="AI437" t="n">
        <v>0.0</v>
      </c>
      <c r="AJ437" t="n">
        <v>0.0</v>
      </c>
      <c r="AK437" t="n">
        <v>0.0</v>
      </c>
      <c r="AL437" t="n">
        <v>0.0</v>
      </c>
      <c r="AM437" t="n">
        <v>0.0</v>
      </c>
      <c r="AN437" t="n">
        <v>0.0</v>
      </c>
      <c r="AO437" t="n">
        <v>628710.0</v>
      </c>
      <c r="AP437" t="n">
        <v>62871.0</v>
      </c>
      <c r="AQ437" t="n">
        <v>50063.9</v>
      </c>
      <c r="CH437">
        <f>IFERROR(U437*1,0)</f>
      </c>
    </row>
    <row r="438">
      <c r="A438" t="n">
        <v>7.0</v>
      </c>
      <c r="B438">
        <f>IF((K438-G438-H438&gt;2400000),10,(L438/(K438-G438-H438)*100))</f>
      </c>
      <c r="C438">
        <f>IF(N438&gt;2400000,240000,(N438*S438)/100)</f>
      </c>
      <c r="D438">
        <f>IF(S438=0,0,IF((N438-I438)&gt;2400000,((((((N438-I438-J438)-240000))*0.1+(I438+J438)*0.1)))-7000,((((((N438-I438-J438)-(N438-I438-J438)*S438/100)))*0.1+(I438+J438)*0.1)-7000)))</f>
      </c>
      <c r="E438">
        <f>C438-O438</f>
      </c>
      <c r="F438">
        <f>D438-P438</f>
      </c>
      <c r="G438">
        <f>SUMIF(negtgel!U$2:BL$2,'Tsalin uzuulelt'!B$1,negtgel!U438:BL438) + SUMIF(negtgel!U$2:BL$2,'Tsalin uzuulelt'!B$2,negtgel!U438:BL438)+SUMIF(negtgel!U$2:BL$2,'Tsalin uzuulelt'!B$3,negtgel!U438:BL438)+SUMIF(negtgel!U$2:BL$2,'Tsalin uzuulelt'!B$4,negtgel!U438:BL438)+SUMIF(negtgel!U$2:BL$2,'Tsalin uzuulelt'!B$5,negtgel!U438:BL438)</f>
      </c>
      <c r="H438">
        <f>SUMIF(negtgel!U$2:BL$2,'Tsalin uzuulelt'!F$1,negtgel!U438:BL438) + SUMIF(negtgel!U$2:BL$2,'Tsalin uzuulelt'!F$2,negtgel!U438:BL438)+SUMIF(negtgel!U$2:BL$2,'Tsalin uzuulelt'!F$3,negtgel!U438:BL438)+SUMIF(negtgel!U$2:BL$2,'Tsalin uzuulelt'!F$4,negtgel!U438:BL438)+SUMIF(negtgel!U$2:BL$2,'Tsalin uzuulelt'!F$5,negtgel!U438:BL438)</f>
      </c>
      <c r="I438">
        <f>SUMIF(negtgel!U$2:BL$2,'Tsalin uzuulelt'!H$1,negtgel!U438:BL438) + SUMIF(negtgel!U$2:BL$2,'Tsalin uzuulelt'!H$2,negtgel!U438:BL438)+SUMIF(negtgel!U$2:BL$2,'Tsalin uzuulelt'!H$3,negtgel!U438:BL438)+SUMIF(negtgel!U$2:BL$2,'Tsalin uzuulelt'!H$4,negtgel!U438:BL438)+SUMIF(negtgel!U$2:BL$2,'Tsalin uzuulelt'!H$5,negtgel!U438:BL438)</f>
      </c>
      <c r="J438">
        <f>SUMIF(negtgel!U$2:BL$2,'Tsalin uzuulelt'!J$1,negtgel!U438:BL438) + SUMIF(negtgel!U$2:BL$2,'Tsalin uzuulelt'!J$2,negtgel!U438:BL438)+SUMIF(negtgel!U$2:BL$2,'Tsalin uzuulelt'!J$3,negtgel!U438:BL438)+SUMIF(negtgel!U$2:BL$2,'Tsalin uzuulelt'!J$4,negtgel!U438:BL438)+SUMIF(negtgel!U$2:BL$2,'Tsalin uzuulelt'!J$5,negtgel!U438:BL438)</f>
      </c>
      <c r="K438">
        <f>SUMIF(negtgel!U$2:BL$2,'Tsalin uzuulelt'!L$1,negtgel!U438:BL438) + SUMIF(negtgel!U$2:BL$2,'Tsalin uzuulelt'!L$2,negtgel!U438:BL438)+SUMIF(negtgel!U$2:BL$2,'Tsalin uzuulelt'!L$3,negtgel!U438:BL438)+SUMIF(negtgel!U$2:BL$2,'Tsalin uzuulelt'!L$4,negtgel!U438:BL438)+SUMIF(negtgel!U$2:BL$2,'Tsalin uzuulelt'!L$5,negtgel!U438:BL438)</f>
      </c>
      <c r="L438">
        <f>SUMIF(negtgel!U$2:BL$2,'Tsalin uzuulelt'!N$1,negtgel!U438:BL438) + SUMIF(negtgel!U$2:BL$2,'Tsalin uzuulelt'!N$2,negtgel!U438:BL438)+SUMIF(negtgel!U$2:BL$2,'Tsalin uzuulelt'!N$3,negtgel!U438:BL438)+SUMIF(negtgel!U$2:BL$2,'Tsalin uzuulelt'!N$4,negtgel!U438:BL438)+SUMIF(negtgel!U$2:BL$2,'Tsalin uzuulelt'!N$5,negtgel!U438:BL438)</f>
      </c>
      <c r="M438">
        <f>SUMIF(negtgel!U$2:BL$2,'Tsalin uzuulelt'!P$1,negtgel!U438:BL438) + SUMIF(negtgel!U$2:BL$2,'Tsalin uzuulelt'!P$2,negtgel!U438:BL438)+ SUMIF(negtgel!U$2:BL$2,'Tsalin uzuulelt'!P$3,negtgel!U438:BL438)+ SUMIF(negtgel!U$2:BL$2,'Tsalin uzuulelt'!P$4,negtgel!U438:BL438)+ SUMIF(negtgel!U$2:BL$2,'Tsalin uzuulelt'!P$5,negtgel!U438:BL438)</f>
      </c>
      <c r="N438">
        <f>IF(ISNUMBER(U438*1)=CF438,0,K438-H438-G438)</f>
      </c>
      <c r="O438">
        <f>IF(ISNUMBER(U438*1)=CF438,0,L438)</f>
      </c>
      <c r="P438">
        <f>IF(ISNUMBER(U438*1)=CF438,0,M438)</f>
      </c>
      <c r="Q438">
        <f>IF(N438&gt;2400000,N438,0)</f>
      </c>
      <c r="R438">
        <f>IF(L438/Q438*100&lt;3,2,10)</f>
      </c>
      <c r="S438">
        <f>IF(CH438=0,0,IF(B438&gt;9,10,IF(B438&gt;8,B438,IF(B438&gt;7.7,7.8,IF(B438&gt;3,B438,IF(B438&gt;1.5,2))))))</f>
      </c>
      <c r="T438">
        <f>IF(Q438=0,S438,R438)</f>
      </c>
      <c r="U438" t="n">
        <v>54.0</v>
      </c>
      <c r="V438" t="s">
        <v>3802</v>
      </c>
      <c r="W438" t="s">
        <v>3792</v>
      </c>
      <c r="X438" t="n">
        <v>496912.0</v>
      </c>
      <c r="Y438" t="n">
        <v>155285.0</v>
      </c>
      <c r="Z438" t="n">
        <v>0.0</v>
      </c>
      <c r="AA438" t="n">
        <v>0.0</v>
      </c>
      <c r="AB438" t="n">
        <v>0.0</v>
      </c>
      <c r="AC438" t="n">
        <v>0.0</v>
      </c>
      <c r="AD438" t="n">
        <v>0.0</v>
      </c>
      <c r="AE438" t="n">
        <v>0.0</v>
      </c>
      <c r="AF438" t="n">
        <v>15000.0</v>
      </c>
      <c r="AG438" t="n">
        <v>0.0</v>
      </c>
      <c r="AH438" t="n">
        <v>0.0</v>
      </c>
      <c r="AI438" t="n">
        <v>0.0</v>
      </c>
      <c r="AJ438" t="n">
        <v>449869.0</v>
      </c>
      <c r="AK438" t="n">
        <v>0.0</v>
      </c>
      <c r="AL438" t="n">
        <v>0.0</v>
      </c>
      <c r="AM438" t="n">
        <v>0.0</v>
      </c>
      <c r="AN438" t="n">
        <v>0.0</v>
      </c>
      <c r="AO438" t="n">
        <v>620154.0</v>
      </c>
      <c r="AP438" t="n">
        <v>62015.0</v>
      </c>
      <c r="AQ438" t="n">
        <v>48963.9</v>
      </c>
      <c r="CH438">
        <f>IFERROR(U438*1,0)</f>
      </c>
    </row>
    <row r="439">
      <c r="A439" t="n">
        <v>7.0</v>
      </c>
      <c r="B439">
        <f>IF((K439-G439-H439&gt;2400000),10,(L439/(K439-G439-H439)*100))</f>
      </c>
      <c r="C439">
        <f>IF(N439&gt;2400000,240000,(N439*S439)/100)</f>
      </c>
      <c r="D439">
        <f>IF(S439=0,0,IF((N439-I439)&gt;2400000,((((((N439-I439-J439)-240000))*0.1+(I439+J439)*0.1)))-7000,((((((N439-I439-J439)-(N439-I439-J439)*S439/100)))*0.1+(I439+J439)*0.1)-7000)))</f>
      </c>
      <c r="E439">
        <f>C439-O439</f>
      </c>
      <c r="F439">
        <f>D439-P439</f>
      </c>
      <c r="G439">
        <f>SUMIF(negtgel!U$2:BL$2,'Tsalin uzuulelt'!B$1,negtgel!U439:BL439) + SUMIF(negtgel!U$2:BL$2,'Tsalin uzuulelt'!B$2,negtgel!U439:BL439)+SUMIF(negtgel!U$2:BL$2,'Tsalin uzuulelt'!B$3,negtgel!U439:BL439)+SUMIF(negtgel!U$2:BL$2,'Tsalin uzuulelt'!B$4,negtgel!U439:BL439)+SUMIF(negtgel!U$2:BL$2,'Tsalin uzuulelt'!B$5,negtgel!U439:BL439)</f>
      </c>
      <c r="H439">
        <f>SUMIF(negtgel!U$2:BL$2,'Tsalin uzuulelt'!F$1,negtgel!U439:BL439) + SUMIF(negtgel!U$2:BL$2,'Tsalin uzuulelt'!F$2,negtgel!U439:BL439)+SUMIF(negtgel!U$2:BL$2,'Tsalin uzuulelt'!F$3,negtgel!U439:BL439)+SUMIF(negtgel!U$2:BL$2,'Tsalin uzuulelt'!F$4,negtgel!U439:BL439)+SUMIF(negtgel!U$2:BL$2,'Tsalin uzuulelt'!F$5,negtgel!U439:BL439)</f>
      </c>
      <c r="I439">
        <f>SUMIF(negtgel!U$2:BL$2,'Tsalin uzuulelt'!H$1,negtgel!U439:BL439) + SUMIF(negtgel!U$2:BL$2,'Tsalin uzuulelt'!H$2,negtgel!U439:BL439)+SUMIF(negtgel!U$2:BL$2,'Tsalin uzuulelt'!H$3,negtgel!U439:BL439)+SUMIF(negtgel!U$2:BL$2,'Tsalin uzuulelt'!H$4,negtgel!U439:BL439)+SUMIF(negtgel!U$2:BL$2,'Tsalin uzuulelt'!H$5,negtgel!U439:BL439)</f>
      </c>
      <c r="J439">
        <f>SUMIF(negtgel!U$2:BL$2,'Tsalin uzuulelt'!J$1,negtgel!U439:BL439) + SUMIF(negtgel!U$2:BL$2,'Tsalin uzuulelt'!J$2,negtgel!U439:BL439)+SUMIF(negtgel!U$2:BL$2,'Tsalin uzuulelt'!J$3,negtgel!U439:BL439)+SUMIF(negtgel!U$2:BL$2,'Tsalin uzuulelt'!J$4,negtgel!U439:BL439)+SUMIF(negtgel!U$2:BL$2,'Tsalin uzuulelt'!J$5,negtgel!U439:BL439)</f>
      </c>
      <c r="K439">
        <f>SUMIF(negtgel!U$2:BL$2,'Tsalin uzuulelt'!L$1,negtgel!U439:BL439) + SUMIF(negtgel!U$2:BL$2,'Tsalin uzuulelt'!L$2,negtgel!U439:BL439)+SUMIF(negtgel!U$2:BL$2,'Tsalin uzuulelt'!L$3,negtgel!U439:BL439)+SUMIF(negtgel!U$2:BL$2,'Tsalin uzuulelt'!L$4,negtgel!U439:BL439)+SUMIF(negtgel!U$2:BL$2,'Tsalin uzuulelt'!L$5,negtgel!U439:BL439)</f>
      </c>
      <c r="L439">
        <f>SUMIF(negtgel!U$2:BL$2,'Tsalin uzuulelt'!N$1,negtgel!U439:BL439) + SUMIF(negtgel!U$2:BL$2,'Tsalin uzuulelt'!N$2,negtgel!U439:BL439)+SUMIF(negtgel!U$2:BL$2,'Tsalin uzuulelt'!N$3,negtgel!U439:BL439)+SUMIF(negtgel!U$2:BL$2,'Tsalin uzuulelt'!N$4,negtgel!U439:BL439)+SUMIF(negtgel!U$2:BL$2,'Tsalin uzuulelt'!N$5,negtgel!U439:BL439)</f>
      </c>
      <c r="M439">
        <f>SUMIF(negtgel!U$2:BL$2,'Tsalin uzuulelt'!P$1,negtgel!U439:BL439) + SUMIF(negtgel!U$2:BL$2,'Tsalin uzuulelt'!P$2,negtgel!U439:BL439)+ SUMIF(negtgel!U$2:BL$2,'Tsalin uzuulelt'!P$3,negtgel!U439:BL439)+ SUMIF(negtgel!U$2:BL$2,'Tsalin uzuulelt'!P$4,negtgel!U439:BL439)+ SUMIF(negtgel!U$2:BL$2,'Tsalin uzuulelt'!P$5,negtgel!U439:BL439)</f>
      </c>
      <c r="N439">
        <f>IF(ISNUMBER(U439*1)=CF439,0,K439-H439-G439)</f>
      </c>
      <c r="O439">
        <f>IF(ISNUMBER(U439*1)=CF439,0,L439)</f>
      </c>
      <c r="P439">
        <f>IF(ISNUMBER(U439*1)=CF439,0,M439)</f>
      </c>
      <c r="Q439">
        <f>IF(N439&gt;2400000,N439,0)</f>
      </c>
      <c r="R439">
        <f>IF(L439/Q439*100&lt;3,2,10)</f>
      </c>
      <c r="S439">
        <f>IF(CH439=0,0,IF(B439&gt;9,10,IF(B439&gt;8,B439,IF(B439&gt;7.7,7.8,IF(B439&gt;3,B439,IF(B439&gt;1.5,2))))))</f>
      </c>
      <c r="T439">
        <f>IF(Q439=0,S439,R439)</f>
      </c>
      <c r="U439" t="n">
        <v>55.0</v>
      </c>
      <c r="V439" t="s">
        <v>3803</v>
      </c>
      <c r="W439" t="s">
        <v>3790</v>
      </c>
      <c r="X439" t="n">
        <v>733863.0</v>
      </c>
      <c r="Y439" t="n">
        <v>0.0</v>
      </c>
      <c r="Z439" t="n">
        <v>0.0</v>
      </c>
      <c r="AA439" t="n">
        <v>0.0</v>
      </c>
      <c r="AB439" t="n">
        <v>0.0</v>
      </c>
      <c r="AC439" t="n">
        <v>0.0</v>
      </c>
      <c r="AD439" t="n">
        <v>0.0</v>
      </c>
      <c r="AE439" t="n">
        <v>0.0</v>
      </c>
      <c r="AF439" t="n">
        <v>0.0</v>
      </c>
      <c r="AG439" t="n">
        <v>0.0</v>
      </c>
      <c r="AH439" t="n">
        <v>0.0</v>
      </c>
      <c r="AI439" t="n">
        <v>0.0</v>
      </c>
      <c r="AJ439" t="n">
        <v>1463621.0</v>
      </c>
      <c r="AK439" t="n">
        <v>0.0</v>
      </c>
      <c r="AL439" t="n">
        <v>0.0</v>
      </c>
      <c r="AM439" t="n">
        <v>0.0</v>
      </c>
      <c r="AN439" t="n">
        <v>0.0</v>
      </c>
      <c r="AO439" t="n">
        <v>1463621.0</v>
      </c>
      <c r="AP439" t="n">
        <v>146361.0</v>
      </c>
      <c r="AQ439" t="n">
        <v>124725.9</v>
      </c>
      <c r="CH439">
        <f>IFERROR(U439*1,0)</f>
      </c>
    </row>
    <row r="440">
      <c r="A440" t="n">
        <v>7.0</v>
      </c>
      <c r="B440">
        <f>IF((K440-G440-H440&gt;2400000),10,(L440/(K440-G440-H440)*100))</f>
      </c>
      <c r="C440">
        <f>IF(N440&gt;2400000,240000,(N440*S440)/100)</f>
      </c>
      <c r="D440">
        <f>IF(S440=0,0,IF((N440-I440)&gt;2400000,((((((N440-I440-J440)-240000))*0.1+(I440+J440)*0.1)))-7000,((((((N440-I440-J440)-(N440-I440-J440)*S440/100)))*0.1+(I440+J440)*0.1)-7000)))</f>
      </c>
      <c r="E440">
        <f>C440-O440</f>
      </c>
      <c r="F440">
        <f>D440-P440</f>
      </c>
      <c r="G440">
        <f>SUMIF(negtgel!U$2:BL$2,'Tsalin uzuulelt'!B$1,negtgel!U440:BL440) + SUMIF(negtgel!U$2:BL$2,'Tsalin uzuulelt'!B$2,negtgel!U440:BL440)+SUMIF(negtgel!U$2:BL$2,'Tsalin uzuulelt'!B$3,negtgel!U440:BL440)+SUMIF(negtgel!U$2:BL$2,'Tsalin uzuulelt'!B$4,negtgel!U440:BL440)+SUMIF(negtgel!U$2:BL$2,'Tsalin uzuulelt'!B$5,negtgel!U440:BL440)</f>
      </c>
      <c r="H440">
        <f>SUMIF(negtgel!U$2:BL$2,'Tsalin uzuulelt'!F$1,negtgel!U440:BL440) + SUMIF(negtgel!U$2:BL$2,'Tsalin uzuulelt'!F$2,negtgel!U440:BL440)+SUMIF(negtgel!U$2:BL$2,'Tsalin uzuulelt'!F$3,negtgel!U440:BL440)+SUMIF(negtgel!U$2:BL$2,'Tsalin uzuulelt'!F$4,negtgel!U440:BL440)+SUMIF(negtgel!U$2:BL$2,'Tsalin uzuulelt'!F$5,negtgel!U440:BL440)</f>
      </c>
      <c r="I440">
        <f>SUMIF(negtgel!U$2:BL$2,'Tsalin uzuulelt'!H$1,negtgel!U440:BL440) + SUMIF(negtgel!U$2:BL$2,'Tsalin uzuulelt'!H$2,negtgel!U440:BL440)+SUMIF(negtgel!U$2:BL$2,'Tsalin uzuulelt'!H$3,negtgel!U440:BL440)+SUMIF(negtgel!U$2:BL$2,'Tsalin uzuulelt'!H$4,negtgel!U440:BL440)+SUMIF(negtgel!U$2:BL$2,'Tsalin uzuulelt'!H$5,negtgel!U440:BL440)</f>
      </c>
      <c r="J440">
        <f>SUMIF(negtgel!U$2:BL$2,'Tsalin uzuulelt'!J$1,negtgel!U440:BL440) + SUMIF(negtgel!U$2:BL$2,'Tsalin uzuulelt'!J$2,negtgel!U440:BL440)+SUMIF(negtgel!U$2:BL$2,'Tsalin uzuulelt'!J$3,negtgel!U440:BL440)+SUMIF(negtgel!U$2:BL$2,'Tsalin uzuulelt'!J$4,negtgel!U440:BL440)+SUMIF(negtgel!U$2:BL$2,'Tsalin uzuulelt'!J$5,negtgel!U440:BL440)</f>
      </c>
      <c r="K440">
        <f>SUMIF(negtgel!U$2:BL$2,'Tsalin uzuulelt'!L$1,negtgel!U440:BL440) + SUMIF(negtgel!U$2:BL$2,'Tsalin uzuulelt'!L$2,negtgel!U440:BL440)+SUMIF(negtgel!U$2:BL$2,'Tsalin uzuulelt'!L$3,negtgel!U440:BL440)+SUMIF(negtgel!U$2:BL$2,'Tsalin uzuulelt'!L$4,negtgel!U440:BL440)+SUMIF(negtgel!U$2:BL$2,'Tsalin uzuulelt'!L$5,negtgel!U440:BL440)</f>
      </c>
      <c r="L440">
        <f>SUMIF(negtgel!U$2:BL$2,'Tsalin uzuulelt'!N$1,negtgel!U440:BL440) + SUMIF(negtgel!U$2:BL$2,'Tsalin uzuulelt'!N$2,negtgel!U440:BL440)+SUMIF(negtgel!U$2:BL$2,'Tsalin uzuulelt'!N$3,negtgel!U440:BL440)+SUMIF(negtgel!U$2:BL$2,'Tsalin uzuulelt'!N$4,negtgel!U440:BL440)+SUMIF(negtgel!U$2:BL$2,'Tsalin uzuulelt'!N$5,negtgel!U440:BL440)</f>
      </c>
      <c r="M440">
        <f>SUMIF(negtgel!U$2:BL$2,'Tsalin uzuulelt'!P$1,negtgel!U440:BL440) + SUMIF(negtgel!U$2:BL$2,'Tsalin uzuulelt'!P$2,negtgel!U440:BL440)+ SUMIF(negtgel!U$2:BL$2,'Tsalin uzuulelt'!P$3,negtgel!U440:BL440)+ SUMIF(negtgel!U$2:BL$2,'Tsalin uzuulelt'!P$4,negtgel!U440:BL440)+ SUMIF(negtgel!U$2:BL$2,'Tsalin uzuulelt'!P$5,negtgel!U440:BL440)</f>
      </c>
      <c r="N440">
        <f>IF(ISNUMBER(U440*1)=CF440,0,K440-H440-G440)</f>
      </c>
      <c r="O440">
        <f>IF(ISNUMBER(U440*1)=CF440,0,L440)</f>
      </c>
      <c r="P440">
        <f>IF(ISNUMBER(U440*1)=CF440,0,M440)</f>
      </c>
      <c r="Q440">
        <f>IF(N440&gt;2400000,N440,0)</f>
      </c>
      <c r="R440">
        <f>IF(L440/Q440*100&lt;3,2,10)</f>
      </c>
      <c r="S440">
        <f>IF(CH440=0,0,IF(B440&gt;9,10,IF(B440&gt;8,B440,IF(B440&gt;7.7,7.8,IF(B440&gt;3,B440,IF(B440&gt;1.5,2))))))</f>
      </c>
      <c r="T440">
        <f>IF(Q440=0,S440,R440)</f>
      </c>
      <c r="U440" t="s">
        <v>3787</v>
      </c>
      <c r="V440"/>
      <c r="W440"/>
      <c r="X440" t="n">
        <v>6203485.0</v>
      </c>
      <c r="Y440" t="n">
        <v>2690549.0</v>
      </c>
      <c r="Z440" t="n">
        <v>107420.0</v>
      </c>
      <c r="AA440" t="n">
        <v>159206.0</v>
      </c>
      <c r="AB440" t="n">
        <v>0.0</v>
      </c>
      <c r="AC440" t="n">
        <v>31755.0</v>
      </c>
      <c r="AD440" t="n">
        <v>0.0</v>
      </c>
      <c r="AE440" t="n">
        <v>0.0</v>
      </c>
      <c r="AF440" t="n">
        <v>219000.0</v>
      </c>
      <c r="AG440" t="n">
        <v>0.0</v>
      </c>
      <c r="AH440" t="n">
        <v>0.0</v>
      </c>
      <c r="AI440" t="n">
        <v>0.0</v>
      </c>
      <c r="AJ440" t="n">
        <v>6038742.0</v>
      </c>
      <c r="AK440" t="n">
        <v>0.0</v>
      </c>
      <c r="AL440" t="n">
        <v>0.0</v>
      </c>
      <c r="AM440" t="n">
        <v>0.0</v>
      </c>
      <c r="AN440" t="n">
        <v>0.0</v>
      </c>
      <c r="AO440" t="n">
        <v>9246672.0</v>
      </c>
      <c r="AP440" t="n">
        <v>924663.0</v>
      </c>
      <c r="AQ440" t="n">
        <v>771390.5</v>
      </c>
      <c r="CH440">
        <f>IFERROR(U440*1,0)</f>
      </c>
    </row>
    <row r="441">
      <c r="A441" t="n">
        <v>7.0</v>
      </c>
      <c r="B441">
        <f>IF((K441-G441-H441&gt;2400000),10,(L441/(K441-G441-H441)*100))</f>
      </c>
      <c r="C441">
        <f>IF(N441&gt;2400000,240000,(N441*S441)/100)</f>
      </c>
      <c r="D441">
        <f>IF(S441=0,0,IF((N441-I441)&gt;2400000,((((((N441-I441-J441)-240000))*0.1+(I441+J441)*0.1)))-7000,((((((N441-I441-J441)-(N441-I441-J441)*S441/100)))*0.1+(I441+J441)*0.1)-7000)))</f>
      </c>
      <c r="E441">
        <f>C441-O441</f>
      </c>
      <c r="F441">
        <f>D441-P441</f>
      </c>
      <c r="G441">
        <f>SUMIF(negtgel!U$2:BL$2,'Tsalin uzuulelt'!B$1,negtgel!U441:BL441) + SUMIF(negtgel!U$2:BL$2,'Tsalin uzuulelt'!B$2,negtgel!U441:BL441)+SUMIF(negtgel!U$2:BL$2,'Tsalin uzuulelt'!B$3,negtgel!U441:BL441)+SUMIF(negtgel!U$2:BL$2,'Tsalin uzuulelt'!B$4,negtgel!U441:BL441)+SUMIF(negtgel!U$2:BL$2,'Tsalin uzuulelt'!B$5,negtgel!U441:BL441)</f>
      </c>
      <c r="H441">
        <f>SUMIF(negtgel!U$2:BL$2,'Tsalin uzuulelt'!F$1,negtgel!U441:BL441) + SUMIF(negtgel!U$2:BL$2,'Tsalin uzuulelt'!F$2,negtgel!U441:BL441)+SUMIF(negtgel!U$2:BL$2,'Tsalin uzuulelt'!F$3,negtgel!U441:BL441)+SUMIF(negtgel!U$2:BL$2,'Tsalin uzuulelt'!F$4,negtgel!U441:BL441)+SUMIF(negtgel!U$2:BL$2,'Tsalin uzuulelt'!F$5,negtgel!U441:BL441)</f>
      </c>
      <c r="I441">
        <f>SUMIF(negtgel!U$2:BL$2,'Tsalin uzuulelt'!H$1,negtgel!U441:BL441) + SUMIF(negtgel!U$2:BL$2,'Tsalin uzuulelt'!H$2,negtgel!U441:BL441)+SUMIF(negtgel!U$2:BL$2,'Tsalin uzuulelt'!H$3,negtgel!U441:BL441)+SUMIF(negtgel!U$2:BL$2,'Tsalin uzuulelt'!H$4,negtgel!U441:BL441)+SUMIF(negtgel!U$2:BL$2,'Tsalin uzuulelt'!H$5,negtgel!U441:BL441)</f>
      </c>
      <c r="J441">
        <f>SUMIF(negtgel!U$2:BL$2,'Tsalin uzuulelt'!J$1,negtgel!U441:BL441) + SUMIF(negtgel!U$2:BL$2,'Tsalin uzuulelt'!J$2,negtgel!U441:BL441)+SUMIF(negtgel!U$2:BL$2,'Tsalin uzuulelt'!J$3,negtgel!U441:BL441)+SUMIF(negtgel!U$2:BL$2,'Tsalin uzuulelt'!J$4,negtgel!U441:BL441)+SUMIF(negtgel!U$2:BL$2,'Tsalin uzuulelt'!J$5,negtgel!U441:BL441)</f>
      </c>
      <c r="K441">
        <f>SUMIF(negtgel!U$2:BL$2,'Tsalin uzuulelt'!L$1,negtgel!U441:BL441) + SUMIF(negtgel!U$2:BL$2,'Tsalin uzuulelt'!L$2,negtgel!U441:BL441)+SUMIF(negtgel!U$2:BL$2,'Tsalin uzuulelt'!L$3,negtgel!U441:BL441)+SUMIF(negtgel!U$2:BL$2,'Tsalin uzuulelt'!L$4,negtgel!U441:BL441)+SUMIF(negtgel!U$2:BL$2,'Tsalin uzuulelt'!L$5,negtgel!U441:BL441)</f>
      </c>
      <c r="L441">
        <f>SUMIF(negtgel!U$2:BL$2,'Tsalin uzuulelt'!N$1,negtgel!U441:BL441) + SUMIF(negtgel!U$2:BL$2,'Tsalin uzuulelt'!N$2,negtgel!U441:BL441)+SUMIF(negtgel!U$2:BL$2,'Tsalin uzuulelt'!N$3,negtgel!U441:BL441)+SUMIF(negtgel!U$2:BL$2,'Tsalin uzuulelt'!N$4,negtgel!U441:BL441)+SUMIF(negtgel!U$2:BL$2,'Tsalin uzuulelt'!N$5,negtgel!U441:BL441)</f>
      </c>
      <c r="M441">
        <f>SUMIF(negtgel!U$2:BL$2,'Tsalin uzuulelt'!P$1,negtgel!U441:BL441) + SUMIF(negtgel!U$2:BL$2,'Tsalin uzuulelt'!P$2,negtgel!U441:BL441)+ SUMIF(negtgel!U$2:BL$2,'Tsalin uzuulelt'!P$3,negtgel!U441:BL441)+ SUMIF(negtgel!U$2:BL$2,'Tsalin uzuulelt'!P$4,negtgel!U441:BL441)+ SUMIF(negtgel!U$2:BL$2,'Tsalin uzuulelt'!P$5,negtgel!U441:BL441)</f>
      </c>
      <c r="N441">
        <f>IF(ISNUMBER(U441*1)=CF441,0,K441-H441-G441)</f>
      </c>
      <c r="O441">
        <f>IF(ISNUMBER(U441*1)=CF441,0,L441)</f>
      </c>
      <c r="P441">
        <f>IF(ISNUMBER(U441*1)=CF441,0,M441)</f>
      </c>
      <c r="Q441">
        <f>IF(N441&gt;2400000,N441,0)</f>
      </c>
      <c r="R441">
        <f>IF(L441/Q441*100&lt;3,2,10)</f>
      </c>
      <c r="S441">
        <f>IF(CH441=0,0,IF(B441&gt;9,10,IF(B441&gt;8,B441,IF(B441&gt;7.7,7.8,IF(B441&gt;3,B441,IF(B441&gt;1.5,2))))))</f>
      </c>
      <c r="T441">
        <f>IF(Q441=0,S441,R441)</f>
      </c>
      <c r="U441" t="s">
        <v>3804</v>
      </c>
      <c r="V441"/>
      <c r="W441"/>
      <c r="X441"/>
      <c r="Y441"/>
      <c r="Z441"/>
      <c r="AA441"/>
      <c r="AB441"/>
      <c r="AC441"/>
      <c r="AD441"/>
      <c r="AE441"/>
      <c r="AF441"/>
      <c r="AG441"/>
      <c r="AH441"/>
      <c r="AI441"/>
      <c r="AJ441"/>
      <c r="AK441"/>
      <c r="AL441"/>
      <c r="AM441"/>
      <c r="AN441"/>
      <c r="AO441"/>
      <c r="AP441"/>
      <c r="AQ441"/>
      <c r="CH441">
        <f>IFERROR(U441*1,0)</f>
      </c>
    </row>
    <row r="442">
      <c r="A442" t="n">
        <v>7.0</v>
      </c>
      <c r="B442">
        <f>IF((K442-G442-H442&gt;2400000),10,(L442/(K442-G442-H442)*100))</f>
      </c>
      <c r="C442">
        <f>IF(N442&gt;2400000,240000,(N442*S442)/100)</f>
      </c>
      <c r="D442">
        <f>IF(S442=0,0,IF((N442-I442)&gt;2400000,((((((N442-I442-J442)-240000))*0.1+(I442+J442)*0.1)))-7000,((((((N442-I442-J442)-(N442-I442-J442)*S442/100)))*0.1+(I442+J442)*0.1)-7000)))</f>
      </c>
      <c r="E442">
        <f>C442-O442</f>
      </c>
      <c r="F442">
        <f>D442-P442</f>
      </c>
      <c r="G442">
        <f>SUMIF(negtgel!U$2:BL$2,'Tsalin uzuulelt'!B$1,negtgel!U442:BL442) + SUMIF(negtgel!U$2:BL$2,'Tsalin uzuulelt'!B$2,negtgel!U442:BL442)+SUMIF(negtgel!U$2:BL$2,'Tsalin uzuulelt'!B$3,negtgel!U442:BL442)+SUMIF(negtgel!U$2:BL$2,'Tsalin uzuulelt'!B$4,negtgel!U442:BL442)+SUMIF(negtgel!U$2:BL$2,'Tsalin uzuulelt'!B$5,negtgel!U442:BL442)</f>
      </c>
      <c r="H442">
        <f>SUMIF(negtgel!U$2:BL$2,'Tsalin uzuulelt'!F$1,negtgel!U442:BL442) + SUMIF(negtgel!U$2:BL$2,'Tsalin uzuulelt'!F$2,negtgel!U442:BL442)+SUMIF(negtgel!U$2:BL$2,'Tsalin uzuulelt'!F$3,negtgel!U442:BL442)+SUMIF(negtgel!U$2:BL$2,'Tsalin uzuulelt'!F$4,negtgel!U442:BL442)+SUMIF(negtgel!U$2:BL$2,'Tsalin uzuulelt'!F$5,negtgel!U442:BL442)</f>
      </c>
      <c r="I442">
        <f>SUMIF(negtgel!U$2:BL$2,'Tsalin uzuulelt'!H$1,negtgel!U442:BL442) + SUMIF(negtgel!U$2:BL$2,'Tsalin uzuulelt'!H$2,negtgel!U442:BL442)+SUMIF(negtgel!U$2:BL$2,'Tsalin uzuulelt'!H$3,negtgel!U442:BL442)+SUMIF(negtgel!U$2:BL$2,'Tsalin uzuulelt'!H$4,negtgel!U442:BL442)+SUMIF(negtgel!U$2:BL$2,'Tsalin uzuulelt'!H$5,negtgel!U442:BL442)</f>
      </c>
      <c r="J442">
        <f>SUMIF(negtgel!U$2:BL$2,'Tsalin uzuulelt'!J$1,negtgel!U442:BL442) + SUMIF(negtgel!U$2:BL$2,'Tsalin uzuulelt'!J$2,negtgel!U442:BL442)+SUMIF(negtgel!U$2:BL$2,'Tsalin uzuulelt'!J$3,negtgel!U442:BL442)+SUMIF(negtgel!U$2:BL$2,'Tsalin uzuulelt'!J$4,negtgel!U442:BL442)+SUMIF(negtgel!U$2:BL$2,'Tsalin uzuulelt'!J$5,negtgel!U442:BL442)</f>
      </c>
      <c r="K442">
        <f>SUMIF(negtgel!U$2:BL$2,'Tsalin uzuulelt'!L$1,negtgel!U442:BL442) + SUMIF(negtgel!U$2:BL$2,'Tsalin uzuulelt'!L$2,negtgel!U442:BL442)+SUMIF(negtgel!U$2:BL$2,'Tsalin uzuulelt'!L$3,negtgel!U442:BL442)+SUMIF(negtgel!U$2:BL$2,'Tsalin uzuulelt'!L$4,negtgel!U442:BL442)+SUMIF(negtgel!U$2:BL$2,'Tsalin uzuulelt'!L$5,negtgel!U442:BL442)</f>
      </c>
      <c r="L442">
        <f>SUMIF(negtgel!U$2:BL$2,'Tsalin uzuulelt'!N$1,negtgel!U442:BL442) + SUMIF(negtgel!U$2:BL$2,'Tsalin uzuulelt'!N$2,negtgel!U442:BL442)+SUMIF(negtgel!U$2:BL$2,'Tsalin uzuulelt'!N$3,negtgel!U442:BL442)+SUMIF(negtgel!U$2:BL$2,'Tsalin uzuulelt'!N$4,negtgel!U442:BL442)+SUMIF(negtgel!U$2:BL$2,'Tsalin uzuulelt'!N$5,negtgel!U442:BL442)</f>
      </c>
      <c r="M442">
        <f>SUMIF(negtgel!U$2:BL$2,'Tsalin uzuulelt'!P$1,negtgel!U442:BL442) + SUMIF(negtgel!U$2:BL$2,'Tsalin uzuulelt'!P$2,negtgel!U442:BL442)+ SUMIF(negtgel!U$2:BL$2,'Tsalin uzuulelt'!P$3,negtgel!U442:BL442)+ SUMIF(negtgel!U$2:BL$2,'Tsalin uzuulelt'!P$4,negtgel!U442:BL442)+ SUMIF(negtgel!U$2:BL$2,'Tsalin uzuulelt'!P$5,negtgel!U442:BL442)</f>
      </c>
      <c r="N442">
        <f>IF(ISNUMBER(U442*1)=CF442,0,K442-H442-G442)</f>
      </c>
      <c r="O442">
        <f>IF(ISNUMBER(U442*1)=CF442,0,L442)</f>
      </c>
      <c r="P442">
        <f>IF(ISNUMBER(U442*1)=CF442,0,M442)</f>
      </c>
      <c r="Q442">
        <f>IF(N442&gt;2400000,N442,0)</f>
      </c>
      <c r="R442">
        <f>IF(L442/Q442*100&lt;3,2,10)</f>
      </c>
      <c r="S442">
        <f>IF(CH442=0,0,IF(B442&gt;9,10,IF(B442&gt;8,B442,IF(B442&gt;7.7,7.8,IF(B442&gt;3,B442,IF(B442&gt;1.5,2))))))</f>
      </c>
      <c r="T442">
        <f>IF(Q442=0,S442,R442)</f>
      </c>
      <c r="U442" t="n">
        <v>56.0</v>
      </c>
      <c r="V442" t="s">
        <v>3805</v>
      </c>
      <c r="W442" t="s">
        <v>3790</v>
      </c>
      <c r="X442" t="n">
        <v>645556.0</v>
      </c>
      <c r="Y442" t="n">
        <v>403472.0</v>
      </c>
      <c r="Z442" t="n">
        <v>40347.0</v>
      </c>
      <c r="AA442" t="n">
        <v>68590.0</v>
      </c>
      <c r="AB442" t="n">
        <v>0.0</v>
      </c>
      <c r="AC442" t="n">
        <v>0.0</v>
      </c>
      <c r="AD442" t="n">
        <v>0.0</v>
      </c>
      <c r="AE442" t="n">
        <v>0.0</v>
      </c>
      <c r="AF442" t="n">
        <v>30000.0</v>
      </c>
      <c r="AG442" t="n">
        <v>0.0</v>
      </c>
      <c r="AH442" t="n">
        <v>0.0</v>
      </c>
      <c r="AI442" t="n">
        <v>0.0</v>
      </c>
      <c r="AJ442" t="n">
        <v>953416.0</v>
      </c>
      <c r="AK442" t="n">
        <v>0.0</v>
      </c>
      <c r="AL442" t="n">
        <v>0.0</v>
      </c>
      <c r="AM442" t="n">
        <v>0.0</v>
      </c>
      <c r="AN442" t="n">
        <v>0.0</v>
      </c>
      <c r="AO442" t="n">
        <v>1495825.0</v>
      </c>
      <c r="AP442" t="n">
        <v>149583.0</v>
      </c>
      <c r="AQ442" t="n">
        <v>127924.2</v>
      </c>
      <c r="CH442">
        <f>IFERROR(U442*1,0)</f>
      </c>
    </row>
    <row r="443">
      <c r="A443" t="n">
        <v>7.0</v>
      </c>
      <c r="B443">
        <f>IF((K443-G443-H443&gt;2400000),10,(L443/(K443-G443-H443)*100))</f>
      </c>
      <c r="C443">
        <f>IF(N443&gt;2400000,240000,(N443*S443)/100)</f>
      </c>
      <c r="D443">
        <f>IF(S443=0,0,IF((N443-I443)&gt;2400000,((((((N443-I443-J443)-240000))*0.1+(I443+J443)*0.1)))-7000,((((((N443-I443-J443)-(N443-I443-J443)*S443/100)))*0.1+(I443+J443)*0.1)-7000)))</f>
      </c>
      <c r="E443">
        <f>C443-O443</f>
      </c>
      <c r="F443">
        <f>D443-P443</f>
      </c>
      <c r="G443">
        <f>SUMIF(negtgel!U$2:BL$2,'Tsalin uzuulelt'!B$1,negtgel!U443:BL443) + SUMIF(negtgel!U$2:BL$2,'Tsalin uzuulelt'!B$2,negtgel!U443:BL443)+SUMIF(negtgel!U$2:BL$2,'Tsalin uzuulelt'!B$3,negtgel!U443:BL443)+SUMIF(negtgel!U$2:BL$2,'Tsalin uzuulelt'!B$4,negtgel!U443:BL443)+SUMIF(negtgel!U$2:BL$2,'Tsalin uzuulelt'!B$5,negtgel!U443:BL443)</f>
      </c>
      <c r="H443">
        <f>SUMIF(negtgel!U$2:BL$2,'Tsalin uzuulelt'!F$1,negtgel!U443:BL443) + SUMIF(negtgel!U$2:BL$2,'Tsalin uzuulelt'!F$2,negtgel!U443:BL443)+SUMIF(negtgel!U$2:BL$2,'Tsalin uzuulelt'!F$3,negtgel!U443:BL443)+SUMIF(negtgel!U$2:BL$2,'Tsalin uzuulelt'!F$4,negtgel!U443:BL443)+SUMIF(negtgel!U$2:BL$2,'Tsalin uzuulelt'!F$5,negtgel!U443:BL443)</f>
      </c>
      <c r="I443">
        <f>SUMIF(negtgel!U$2:BL$2,'Tsalin uzuulelt'!H$1,negtgel!U443:BL443) + SUMIF(negtgel!U$2:BL$2,'Tsalin uzuulelt'!H$2,negtgel!U443:BL443)+SUMIF(negtgel!U$2:BL$2,'Tsalin uzuulelt'!H$3,negtgel!U443:BL443)+SUMIF(negtgel!U$2:BL$2,'Tsalin uzuulelt'!H$4,negtgel!U443:BL443)+SUMIF(negtgel!U$2:BL$2,'Tsalin uzuulelt'!H$5,negtgel!U443:BL443)</f>
      </c>
      <c r="J443">
        <f>SUMIF(negtgel!U$2:BL$2,'Tsalin uzuulelt'!J$1,negtgel!U443:BL443) + SUMIF(negtgel!U$2:BL$2,'Tsalin uzuulelt'!J$2,negtgel!U443:BL443)+SUMIF(negtgel!U$2:BL$2,'Tsalin uzuulelt'!J$3,negtgel!U443:BL443)+SUMIF(negtgel!U$2:BL$2,'Tsalin uzuulelt'!J$4,negtgel!U443:BL443)+SUMIF(negtgel!U$2:BL$2,'Tsalin uzuulelt'!J$5,negtgel!U443:BL443)</f>
      </c>
      <c r="K443">
        <f>SUMIF(negtgel!U$2:BL$2,'Tsalin uzuulelt'!L$1,negtgel!U443:BL443) + SUMIF(negtgel!U$2:BL$2,'Tsalin uzuulelt'!L$2,negtgel!U443:BL443)+SUMIF(negtgel!U$2:BL$2,'Tsalin uzuulelt'!L$3,negtgel!U443:BL443)+SUMIF(negtgel!U$2:BL$2,'Tsalin uzuulelt'!L$4,negtgel!U443:BL443)+SUMIF(negtgel!U$2:BL$2,'Tsalin uzuulelt'!L$5,negtgel!U443:BL443)</f>
      </c>
      <c r="L443">
        <f>SUMIF(negtgel!U$2:BL$2,'Tsalin uzuulelt'!N$1,negtgel!U443:BL443) + SUMIF(negtgel!U$2:BL$2,'Tsalin uzuulelt'!N$2,negtgel!U443:BL443)+SUMIF(negtgel!U$2:BL$2,'Tsalin uzuulelt'!N$3,negtgel!U443:BL443)+SUMIF(negtgel!U$2:BL$2,'Tsalin uzuulelt'!N$4,negtgel!U443:BL443)+SUMIF(negtgel!U$2:BL$2,'Tsalin uzuulelt'!N$5,negtgel!U443:BL443)</f>
      </c>
      <c r="M443">
        <f>SUMIF(negtgel!U$2:BL$2,'Tsalin uzuulelt'!P$1,negtgel!U443:BL443) + SUMIF(negtgel!U$2:BL$2,'Tsalin uzuulelt'!P$2,negtgel!U443:BL443)+ SUMIF(negtgel!U$2:BL$2,'Tsalin uzuulelt'!P$3,negtgel!U443:BL443)+ SUMIF(negtgel!U$2:BL$2,'Tsalin uzuulelt'!P$4,negtgel!U443:BL443)+ SUMIF(negtgel!U$2:BL$2,'Tsalin uzuulelt'!P$5,negtgel!U443:BL443)</f>
      </c>
      <c r="N443">
        <f>IF(ISNUMBER(U443*1)=CF443,0,K443-H443-G443)</f>
      </c>
      <c r="O443">
        <f>IF(ISNUMBER(U443*1)=CF443,0,L443)</f>
      </c>
      <c r="P443">
        <f>IF(ISNUMBER(U443*1)=CF443,0,M443)</f>
      </c>
      <c r="Q443">
        <f>IF(N443&gt;2400000,N443,0)</f>
      </c>
      <c r="R443">
        <f>IF(L443/Q443*100&lt;3,2,10)</f>
      </c>
      <c r="S443">
        <f>IF(CH443=0,0,IF(B443&gt;9,10,IF(B443&gt;8,B443,IF(B443&gt;7.7,7.8,IF(B443&gt;3,B443,IF(B443&gt;1.5,2))))))</f>
      </c>
      <c r="T443">
        <f>IF(Q443=0,S443,R443)</f>
      </c>
      <c r="U443" t="n">
        <v>57.0</v>
      </c>
      <c r="V443" t="s">
        <v>3851</v>
      </c>
      <c r="W443" t="s">
        <v>3790</v>
      </c>
      <c r="X443" t="n">
        <v>580710.0</v>
      </c>
      <c r="Y443" t="n">
        <v>580710.0</v>
      </c>
      <c r="Z443" t="n">
        <v>0.0</v>
      </c>
      <c r="AA443" t="n">
        <v>0.0</v>
      </c>
      <c r="AB443" t="n">
        <v>0.0</v>
      </c>
      <c r="AC443" t="n">
        <v>0.0</v>
      </c>
      <c r="AD443" t="n">
        <v>0.0</v>
      </c>
      <c r="AE443" t="n">
        <v>0.0</v>
      </c>
      <c r="AF443" t="n">
        <v>48000.0</v>
      </c>
      <c r="AG443" t="n">
        <v>0.0</v>
      </c>
      <c r="AH443" t="n">
        <v>0.0</v>
      </c>
      <c r="AI443" t="n">
        <v>0.0</v>
      </c>
      <c r="AJ443" t="n">
        <v>0.0</v>
      </c>
      <c r="AK443" t="n">
        <v>0.0</v>
      </c>
      <c r="AL443" t="n">
        <v>0.0</v>
      </c>
      <c r="AM443" t="n">
        <v>0.0</v>
      </c>
      <c r="AN443" t="n">
        <v>0.0</v>
      </c>
      <c r="AO443" t="n">
        <v>628710.0</v>
      </c>
      <c r="AP443" t="n">
        <v>62871.0</v>
      </c>
      <c r="AQ443" t="n">
        <v>50063.9</v>
      </c>
      <c r="CH443">
        <f>IFERROR(U443*1,0)</f>
      </c>
    </row>
    <row r="444">
      <c r="A444" t="n">
        <v>7.0</v>
      </c>
      <c r="B444">
        <f>IF((K444-G444-H444&gt;2400000),10,(L444/(K444-G444-H444)*100))</f>
      </c>
      <c r="C444">
        <f>IF(N444&gt;2400000,240000,(N444*S444)/100)</f>
      </c>
      <c r="D444">
        <f>IF(S444=0,0,IF((N444-I444)&gt;2400000,((((((N444-I444-J444)-240000))*0.1+(I444+J444)*0.1)))-7000,((((((N444-I444-J444)-(N444-I444-J444)*S444/100)))*0.1+(I444+J444)*0.1)-7000)))</f>
      </c>
      <c r="E444">
        <f>C444-O444</f>
      </c>
      <c r="F444">
        <f>D444-P444</f>
      </c>
      <c r="G444">
        <f>SUMIF(negtgel!U$2:BL$2,'Tsalin uzuulelt'!B$1,negtgel!U444:BL444) + SUMIF(negtgel!U$2:BL$2,'Tsalin uzuulelt'!B$2,negtgel!U444:BL444)+SUMIF(negtgel!U$2:BL$2,'Tsalin uzuulelt'!B$3,negtgel!U444:BL444)+SUMIF(negtgel!U$2:BL$2,'Tsalin uzuulelt'!B$4,negtgel!U444:BL444)+SUMIF(negtgel!U$2:BL$2,'Tsalin uzuulelt'!B$5,negtgel!U444:BL444)</f>
      </c>
      <c r="H444">
        <f>SUMIF(negtgel!U$2:BL$2,'Tsalin uzuulelt'!F$1,negtgel!U444:BL444) + SUMIF(negtgel!U$2:BL$2,'Tsalin uzuulelt'!F$2,negtgel!U444:BL444)+SUMIF(negtgel!U$2:BL$2,'Tsalin uzuulelt'!F$3,negtgel!U444:BL444)+SUMIF(negtgel!U$2:BL$2,'Tsalin uzuulelt'!F$4,negtgel!U444:BL444)+SUMIF(negtgel!U$2:BL$2,'Tsalin uzuulelt'!F$5,negtgel!U444:BL444)</f>
      </c>
      <c r="I444">
        <f>SUMIF(negtgel!U$2:BL$2,'Tsalin uzuulelt'!H$1,negtgel!U444:BL444) + SUMIF(negtgel!U$2:BL$2,'Tsalin uzuulelt'!H$2,negtgel!U444:BL444)+SUMIF(negtgel!U$2:BL$2,'Tsalin uzuulelt'!H$3,negtgel!U444:BL444)+SUMIF(negtgel!U$2:BL$2,'Tsalin uzuulelt'!H$4,negtgel!U444:BL444)+SUMIF(negtgel!U$2:BL$2,'Tsalin uzuulelt'!H$5,negtgel!U444:BL444)</f>
      </c>
      <c r="J444">
        <f>SUMIF(negtgel!U$2:BL$2,'Tsalin uzuulelt'!J$1,negtgel!U444:BL444) + SUMIF(negtgel!U$2:BL$2,'Tsalin uzuulelt'!J$2,negtgel!U444:BL444)+SUMIF(negtgel!U$2:BL$2,'Tsalin uzuulelt'!J$3,negtgel!U444:BL444)+SUMIF(negtgel!U$2:BL$2,'Tsalin uzuulelt'!J$4,negtgel!U444:BL444)+SUMIF(negtgel!U$2:BL$2,'Tsalin uzuulelt'!J$5,negtgel!U444:BL444)</f>
      </c>
      <c r="K444">
        <f>SUMIF(negtgel!U$2:BL$2,'Tsalin uzuulelt'!L$1,negtgel!U444:BL444) + SUMIF(negtgel!U$2:BL$2,'Tsalin uzuulelt'!L$2,negtgel!U444:BL444)+SUMIF(negtgel!U$2:BL$2,'Tsalin uzuulelt'!L$3,negtgel!U444:BL444)+SUMIF(negtgel!U$2:BL$2,'Tsalin uzuulelt'!L$4,negtgel!U444:BL444)+SUMIF(negtgel!U$2:BL$2,'Tsalin uzuulelt'!L$5,negtgel!U444:BL444)</f>
      </c>
      <c r="L444">
        <f>SUMIF(negtgel!U$2:BL$2,'Tsalin uzuulelt'!N$1,negtgel!U444:BL444) + SUMIF(negtgel!U$2:BL$2,'Tsalin uzuulelt'!N$2,negtgel!U444:BL444)+SUMIF(negtgel!U$2:BL$2,'Tsalin uzuulelt'!N$3,negtgel!U444:BL444)+SUMIF(negtgel!U$2:BL$2,'Tsalin uzuulelt'!N$4,negtgel!U444:BL444)+SUMIF(negtgel!U$2:BL$2,'Tsalin uzuulelt'!N$5,negtgel!U444:BL444)</f>
      </c>
      <c r="M444">
        <f>SUMIF(negtgel!U$2:BL$2,'Tsalin uzuulelt'!P$1,negtgel!U444:BL444) + SUMIF(negtgel!U$2:BL$2,'Tsalin uzuulelt'!P$2,negtgel!U444:BL444)+ SUMIF(negtgel!U$2:BL$2,'Tsalin uzuulelt'!P$3,negtgel!U444:BL444)+ SUMIF(negtgel!U$2:BL$2,'Tsalin uzuulelt'!P$4,negtgel!U444:BL444)+ SUMIF(negtgel!U$2:BL$2,'Tsalin uzuulelt'!P$5,negtgel!U444:BL444)</f>
      </c>
      <c r="N444">
        <f>IF(ISNUMBER(U444*1)=CF444,0,K444-H444-G444)</f>
      </c>
      <c r="O444">
        <f>IF(ISNUMBER(U444*1)=CF444,0,L444)</f>
      </c>
      <c r="P444">
        <f>IF(ISNUMBER(U444*1)=CF444,0,M444)</f>
      </c>
      <c r="Q444">
        <f>IF(N444&gt;2400000,N444,0)</f>
      </c>
      <c r="R444">
        <f>IF(L444/Q444*100&lt;3,2,10)</f>
      </c>
      <c r="S444">
        <f>IF(CH444=0,0,IF(B444&gt;9,10,IF(B444&gt;8,B444,IF(B444&gt;7.7,7.8,IF(B444&gt;3,B444,IF(B444&gt;1.5,2))))))</f>
      </c>
      <c r="T444">
        <f>IF(Q444=0,S444,R444)</f>
      </c>
      <c r="U444" t="n">
        <v>58.0</v>
      </c>
      <c r="V444" t="s">
        <v>3852</v>
      </c>
      <c r="W444" t="s">
        <v>3792</v>
      </c>
      <c r="X444" t="n">
        <v>496912.0</v>
      </c>
      <c r="Y444" t="n">
        <v>155285.0</v>
      </c>
      <c r="Z444" t="n">
        <v>0.0</v>
      </c>
      <c r="AA444" t="n">
        <v>0.0</v>
      </c>
      <c r="AB444" t="n">
        <v>15528.0</v>
      </c>
      <c r="AC444" t="n">
        <v>0.0</v>
      </c>
      <c r="AD444" t="n">
        <v>0.0</v>
      </c>
      <c r="AE444" t="n">
        <v>0.0</v>
      </c>
      <c r="AF444" t="n">
        <v>15000.0</v>
      </c>
      <c r="AG444" t="n">
        <v>0.0</v>
      </c>
      <c r="AH444" t="n">
        <v>0.0</v>
      </c>
      <c r="AI444" t="n">
        <v>0.0</v>
      </c>
      <c r="AJ444" t="n">
        <v>405197.0</v>
      </c>
      <c r="AK444" t="n">
        <v>0.0</v>
      </c>
      <c r="AL444" t="n">
        <v>0.0</v>
      </c>
      <c r="AM444" t="n">
        <v>0.0</v>
      </c>
      <c r="AN444" t="n">
        <v>0.0</v>
      </c>
      <c r="AO444" t="n">
        <v>591010.0</v>
      </c>
      <c r="AP444" t="n">
        <v>59101.0</v>
      </c>
      <c r="AQ444" t="n">
        <v>46340.9</v>
      </c>
      <c r="CH444">
        <f>IFERROR(U444*1,0)</f>
      </c>
    </row>
    <row r="445">
      <c r="A445" t="n">
        <v>7.0</v>
      </c>
      <c r="B445">
        <f>IF((K445-G445-H445&gt;2400000),10,(L445/(K445-G445-H445)*100))</f>
      </c>
      <c r="C445">
        <f>IF(N445&gt;2400000,240000,(N445*S445)/100)</f>
      </c>
      <c r="D445">
        <f>IF(S445=0,0,IF((N445-I445)&gt;2400000,((((((N445-I445-J445)-240000))*0.1+(I445+J445)*0.1)))-7000,((((((N445-I445-J445)-(N445-I445-J445)*S445/100)))*0.1+(I445+J445)*0.1)-7000)))</f>
      </c>
      <c r="E445">
        <f>C445-O445</f>
      </c>
      <c r="F445">
        <f>D445-P445</f>
      </c>
      <c r="G445">
        <f>SUMIF(negtgel!U$2:BL$2,'Tsalin uzuulelt'!B$1,negtgel!U445:BL445) + SUMIF(negtgel!U$2:BL$2,'Tsalin uzuulelt'!B$2,negtgel!U445:BL445)+SUMIF(negtgel!U$2:BL$2,'Tsalin uzuulelt'!B$3,negtgel!U445:BL445)+SUMIF(negtgel!U$2:BL$2,'Tsalin uzuulelt'!B$4,negtgel!U445:BL445)+SUMIF(negtgel!U$2:BL$2,'Tsalin uzuulelt'!B$5,negtgel!U445:BL445)</f>
      </c>
      <c r="H445">
        <f>SUMIF(negtgel!U$2:BL$2,'Tsalin uzuulelt'!F$1,negtgel!U445:BL445) + SUMIF(negtgel!U$2:BL$2,'Tsalin uzuulelt'!F$2,negtgel!U445:BL445)+SUMIF(negtgel!U$2:BL$2,'Tsalin uzuulelt'!F$3,negtgel!U445:BL445)+SUMIF(negtgel!U$2:BL$2,'Tsalin uzuulelt'!F$4,negtgel!U445:BL445)+SUMIF(negtgel!U$2:BL$2,'Tsalin uzuulelt'!F$5,negtgel!U445:BL445)</f>
      </c>
      <c r="I445">
        <f>SUMIF(negtgel!U$2:BL$2,'Tsalin uzuulelt'!H$1,negtgel!U445:BL445) + SUMIF(negtgel!U$2:BL$2,'Tsalin uzuulelt'!H$2,negtgel!U445:BL445)+SUMIF(negtgel!U$2:BL$2,'Tsalin uzuulelt'!H$3,negtgel!U445:BL445)+SUMIF(negtgel!U$2:BL$2,'Tsalin uzuulelt'!H$4,negtgel!U445:BL445)+SUMIF(negtgel!U$2:BL$2,'Tsalin uzuulelt'!H$5,negtgel!U445:BL445)</f>
      </c>
      <c r="J445">
        <f>SUMIF(negtgel!U$2:BL$2,'Tsalin uzuulelt'!J$1,negtgel!U445:BL445) + SUMIF(negtgel!U$2:BL$2,'Tsalin uzuulelt'!J$2,negtgel!U445:BL445)+SUMIF(negtgel!U$2:BL$2,'Tsalin uzuulelt'!J$3,negtgel!U445:BL445)+SUMIF(negtgel!U$2:BL$2,'Tsalin uzuulelt'!J$4,negtgel!U445:BL445)+SUMIF(negtgel!U$2:BL$2,'Tsalin uzuulelt'!J$5,negtgel!U445:BL445)</f>
      </c>
      <c r="K445">
        <f>SUMIF(negtgel!U$2:BL$2,'Tsalin uzuulelt'!L$1,negtgel!U445:BL445) + SUMIF(negtgel!U$2:BL$2,'Tsalin uzuulelt'!L$2,negtgel!U445:BL445)+SUMIF(negtgel!U$2:BL$2,'Tsalin uzuulelt'!L$3,negtgel!U445:BL445)+SUMIF(negtgel!U$2:BL$2,'Tsalin uzuulelt'!L$4,negtgel!U445:BL445)+SUMIF(negtgel!U$2:BL$2,'Tsalin uzuulelt'!L$5,negtgel!U445:BL445)</f>
      </c>
      <c r="L445">
        <f>SUMIF(negtgel!U$2:BL$2,'Tsalin uzuulelt'!N$1,negtgel!U445:BL445) + SUMIF(negtgel!U$2:BL$2,'Tsalin uzuulelt'!N$2,negtgel!U445:BL445)+SUMIF(negtgel!U$2:BL$2,'Tsalin uzuulelt'!N$3,negtgel!U445:BL445)+SUMIF(negtgel!U$2:BL$2,'Tsalin uzuulelt'!N$4,negtgel!U445:BL445)+SUMIF(negtgel!U$2:BL$2,'Tsalin uzuulelt'!N$5,negtgel!U445:BL445)</f>
      </c>
      <c r="M445">
        <f>SUMIF(negtgel!U$2:BL$2,'Tsalin uzuulelt'!P$1,negtgel!U445:BL445) + SUMIF(negtgel!U$2:BL$2,'Tsalin uzuulelt'!P$2,negtgel!U445:BL445)+ SUMIF(negtgel!U$2:BL$2,'Tsalin uzuulelt'!P$3,negtgel!U445:BL445)+ SUMIF(negtgel!U$2:BL$2,'Tsalin uzuulelt'!P$4,negtgel!U445:BL445)+ SUMIF(negtgel!U$2:BL$2,'Tsalin uzuulelt'!P$5,negtgel!U445:BL445)</f>
      </c>
      <c r="N445">
        <f>IF(ISNUMBER(U445*1)=CF445,0,K445-H445-G445)</f>
      </c>
      <c r="O445">
        <f>IF(ISNUMBER(U445*1)=CF445,0,L445)</f>
      </c>
      <c r="P445">
        <f>IF(ISNUMBER(U445*1)=CF445,0,M445)</f>
      </c>
      <c r="Q445">
        <f>IF(N445&gt;2400000,N445,0)</f>
      </c>
      <c r="R445">
        <f>IF(L445/Q445*100&lt;3,2,10)</f>
      </c>
      <c r="S445">
        <f>IF(CH445=0,0,IF(B445&gt;9,10,IF(B445&gt;8,B445,IF(B445&gt;7.7,7.8,IF(B445&gt;3,B445,IF(B445&gt;1.5,2))))))</f>
      </c>
      <c r="T445">
        <f>IF(Q445=0,S445,R445)</f>
      </c>
      <c r="U445" t="n">
        <v>59.0</v>
      </c>
      <c r="V445" t="s">
        <v>3872</v>
      </c>
      <c r="W445" t="s">
        <v>3790</v>
      </c>
      <c r="X445" t="n">
        <v>645556.0</v>
      </c>
      <c r="Y445" t="n">
        <v>645556.0</v>
      </c>
      <c r="Z445" t="n">
        <v>96833.0</v>
      </c>
      <c r="AA445" t="n">
        <v>109745.0</v>
      </c>
      <c r="AB445" t="n">
        <v>0.0</v>
      </c>
      <c r="AC445" t="n">
        <v>0.0</v>
      </c>
      <c r="AD445" t="n">
        <v>0.0</v>
      </c>
      <c r="AE445" t="n">
        <v>0.0</v>
      </c>
      <c r="AF445" t="n">
        <v>48000.0</v>
      </c>
      <c r="AG445" t="n">
        <v>0.0</v>
      </c>
      <c r="AH445" t="n">
        <v>0.0</v>
      </c>
      <c r="AI445" t="n">
        <v>0.0</v>
      </c>
      <c r="AJ445" t="n">
        <v>0.0</v>
      </c>
      <c r="AK445" t="n">
        <v>0.0</v>
      </c>
      <c r="AL445" t="n">
        <v>0.0</v>
      </c>
      <c r="AM445" t="n">
        <v>0.0</v>
      </c>
      <c r="AN445" t="n">
        <v>0.0</v>
      </c>
      <c r="AO445" t="n">
        <v>900134.0</v>
      </c>
      <c r="AP445" t="n">
        <v>90013.0</v>
      </c>
      <c r="AQ445" t="n">
        <v>74492.1</v>
      </c>
      <c r="CH445">
        <f>IFERROR(U445*1,0)</f>
      </c>
    </row>
    <row r="446">
      <c r="A446" t="n">
        <v>7.0</v>
      </c>
      <c r="B446">
        <f>IF((K446-G446-H446&gt;2400000),10,(L446/(K446-G446-H446)*100))</f>
      </c>
      <c r="C446">
        <f>IF(N446&gt;2400000,240000,(N446*S446)/100)</f>
      </c>
      <c r="D446">
        <f>IF(S446=0,0,IF((N446-I446)&gt;2400000,((((((N446-I446-J446)-240000))*0.1+(I446+J446)*0.1)))-7000,((((((N446-I446-J446)-(N446-I446-J446)*S446/100)))*0.1+(I446+J446)*0.1)-7000)))</f>
      </c>
      <c r="E446">
        <f>C446-O446</f>
      </c>
      <c r="F446">
        <f>D446-P446</f>
      </c>
      <c r="G446">
        <f>SUMIF(negtgel!U$2:BL$2,'Tsalin uzuulelt'!B$1,negtgel!U446:BL446) + SUMIF(negtgel!U$2:BL$2,'Tsalin uzuulelt'!B$2,negtgel!U446:BL446)+SUMIF(negtgel!U$2:BL$2,'Tsalin uzuulelt'!B$3,negtgel!U446:BL446)+SUMIF(negtgel!U$2:BL$2,'Tsalin uzuulelt'!B$4,negtgel!U446:BL446)+SUMIF(negtgel!U$2:BL$2,'Tsalin uzuulelt'!B$5,negtgel!U446:BL446)</f>
      </c>
      <c r="H446">
        <f>SUMIF(negtgel!U$2:BL$2,'Tsalin uzuulelt'!F$1,negtgel!U446:BL446) + SUMIF(negtgel!U$2:BL$2,'Tsalin uzuulelt'!F$2,negtgel!U446:BL446)+SUMIF(negtgel!U$2:BL$2,'Tsalin uzuulelt'!F$3,negtgel!U446:BL446)+SUMIF(negtgel!U$2:BL$2,'Tsalin uzuulelt'!F$4,negtgel!U446:BL446)+SUMIF(negtgel!U$2:BL$2,'Tsalin uzuulelt'!F$5,negtgel!U446:BL446)</f>
      </c>
      <c r="I446">
        <f>SUMIF(negtgel!U$2:BL$2,'Tsalin uzuulelt'!H$1,negtgel!U446:BL446) + SUMIF(negtgel!U$2:BL$2,'Tsalin uzuulelt'!H$2,negtgel!U446:BL446)+SUMIF(negtgel!U$2:BL$2,'Tsalin uzuulelt'!H$3,negtgel!U446:BL446)+SUMIF(negtgel!U$2:BL$2,'Tsalin uzuulelt'!H$4,negtgel!U446:BL446)+SUMIF(negtgel!U$2:BL$2,'Tsalin uzuulelt'!H$5,negtgel!U446:BL446)</f>
      </c>
      <c r="J446">
        <f>SUMIF(negtgel!U$2:BL$2,'Tsalin uzuulelt'!J$1,negtgel!U446:BL446) + SUMIF(negtgel!U$2:BL$2,'Tsalin uzuulelt'!J$2,negtgel!U446:BL446)+SUMIF(negtgel!U$2:BL$2,'Tsalin uzuulelt'!J$3,negtgel!U446:BL446)+SUMIF(negtgel!U$2:BL$2,'Tsalin uzuulelt'!J$4,negtgel!U446:BL446)+SUMIF(negtgel!U$2:BL$2,'Tsalin uzuulelt'!J$5,negtgel!U446:BL446)</f>
      </c>
      <c r="K446">
        <f>SUMIF(negtgel!U$2:BL$2,'Tsalin uzuulelt'!L$1,negtgel!U446:BL446) + SUMIF(negtgel!U$2:BL$2,'Tsalin uzuulelt'!L$2,negtgel!U446:BL446)+SUMIF(negtgel!U$2:BL$2,'Tsalin uzuulelt'!L$3,negtgel!U446:BL446)+SUMIF(negtgel!U$2:BL$2,'Tsalin uzuulelt'!L$4,negtgel!U446:BL446)+SUMIF(negtgel!U$2:BL$2,'Tsalin uzuulelt'!L$5,negtgel!U446:BL446)</f>
      </c>
      <c r="L446">
        <f>SUMIF(negtgel!U$2:BL$2,'Tsalin uzuulelt'!N$1,negtgel!U446:BL446) + SUMIF(negtgel!U$2:BL$2,'Tsalin uzuulelt'!N$2,negtgel!U446:BL446)+SUMIF(negtgel!U$2:BL$2,'Tsalin uzuulelt'!N$3,negtgel!U446:BL446)+SUMIF(negtgel!U$2:BL$2,'Tsalin uzuulelt'!N$4,negtgel!U446:BL446)+SUMIF(negtgel!U$2:BL$2,'Tsalin uzuulelt'!N$5,negtgel!U446:BL446)</f>
      </c>
      <c r="M446">
        <f>SUMIF(negtgel!U$2:BL$2,'Tsalin uzuulelt'!P$1,negtgel!U446:BL446) + SUMIF(negtgel!U$2:BL$2,'Tsalin uzuulelt'!P$2,negtgel!U446:BL446)+ SUMIF(negtgel!U$2:BL$2,'Tsalin uzuulelt'!P$3,negtgel!U446:BL446)+ SUMIF(negtgel!U$2:BL$2,'Tsalin uzuulelt'!P$4,negtgel!U446:BL446)+ SUMIF(negtgel!U$2:BL$2,'Tsalin uzuulelt'!P$5,negtgel!U446:BL446)</f>
      </c>
      <c r="N446">
        <f>IF(ISNUMBER(U446*1)=CF446,0,K446-H446-G446)</f>
      </c>
      <c r="O446">
        <f>IF(ISNUMBER(U446*1)=CF446,0,L446)</f>
      </c>
      <c r="P446">
        <f>IF(ISNUMBER(U446*1)=CF446,0,M446)</f>
      </c>
      <c r="Q446">
        <f>IF(N446&gt;2400000,N446,0)</f>
      </c>
      <c r="R446">
        <f>IF(L446/Q446*100&lt;3,2,10)</f>
      </c>
      <c r="S446">
        <f>IF(CH446=0,0,IF(B446&gt;9,10,IF(B446&gt;8,B446,IF(B446&gt;7.7,7.8,IF(B446&gt;3,B446,IF(B446&gt;1.5,2))))))</f>
      </c>
      <c r="T446">
        <f>IF(Q446=0,S446,R446)</f>
      </c>
      <c r="U446" t="s">
        <v>3815</v>
      </c>
      <c r="V446"/>
      <c r="W446"/>
      <c r="X446"/>
      <c r="Y446"/>
      <c r="Z446"/>
      <c r="AA446"/>
      <c r="AB446"/>
      <c r="AC446"/>
      <c r="AD446"/>
      <c r="AE446"/>
      <c r="AF446"/>
      <c r="AG446"/>
      <c r="AH446"/>
      <c r="AI446"/>
      <c r="AJ446"/>
      <c r="AK446"/>
      <c r="AL446"/>
      <c r="AM446"/>
      <c r="AN446"/>
      <c r="AO446"/>
      <c r="AP446"/>
      <c r="AQ446"/>
      <c r="CH446">
        <f>IFERROR(U446*1,0)</f>
      </c>
    </row>
    <row r="447">
      <c r="A447" t="n">
        <v>7.0</v>
      </c>
      <c r="B447">
        <f>IF((K447-G447-H447&gt;2400000),10,(L447/(K447-G447-H447)*100))</f>
      </c>
      <c r="C447">
        <f>IF(N447&gt;2400000,240000,(N447*S447)/100)</f>
      </c>
      <c r="D447">
        <f>IF(S447=0,0,IF((N447-I447)&gt;2400000,((((((N447-I447-J447)-240000))*0.1+(I447+J447)*0.1)))-7000,((((((N447-I447-J447)-(N447-I447-J447)*S447/100)))*0.1+(I447+J447)*0.1)-7000)))</f>
      </c>
      <c r="E447">
        <f>C447-O447</f>
      </c>
      <c r="F447">
        <f>D447-P447</f>
      </c>
      <c r="G447">
        <f>SUMIF(negtgel!U$2:BL$2,'Tsalin uzuulelt'!B$1,negtgel!U447:BL447) + SUMIF(negtgel!U$2:BL$2,'Tsalin uzuulelt'!B$2,negtgel!U447:BL447)+SUMIF(negtgel!U$2:BL$2,'Tsalin uzuulelt'!B$3,negtgel!U447:BL447)+SUMIF(negtgel!U$2:BL$2,'Tsalin uzuulelt'!B$4,negtgel!U447:BL447)+SUMIF(negtgel!U$2:BL$2,'Tsalin uzuulelt'!B$5,negtgel!U447:BL447)</f>
      </c>
      <c r="H447">
        <f>SUMIF(negtgel!U$2:BL$2,'Tsalin uzuulelt'!F$1,negtgel!U447:BL447) + SUMIF(negtgel!U$2:BL$2,'Tsalin uzuulelt'!F$2,negtgel!U447:BL447)+SUMIF(negtgel!U$2:BL$2,'Tsalin uzuulelt'!F$3,negtgel!U447:BL447)+SUMIF(negtgel!U$2:BL$2,'Tsalin uzuulelt'!F$4,negtgel!U447:BL447)+SUMIF(negtgel!U$2:BL$2,'Tsalin uzuulelt'!F$5,negtgel!U447:BL447)</f>
      </c>
      <c r="I447">
        <f>SUMIF(negtgel!U$2:BL$2,'Tsalin uzuulelt'!H$1,negtgel!U447:BL447) + SUMIF(negtgel!U$2:BL$2,'Tsalin uzuulelt'!H$2,negtgel!U447:BL447)+SUMIF(negtgel!U$2:BL$2,'Tsalin uzuulelt'!H$3,negtgel!U447:BL447)+SUMIF(negtgel!U$2:BL$2,'Tsalin uzuulelt'!H$4,negtgel!U447:BL447)+SUMIF(negtgel!U$2:BL$2,'Tsalin uzuulelt'!H$5,negtgel!U447:BL447)</f>
      </c>
      <c r="J447">
        <f>SUMIF(negtgel!U$2:BL$2,'Tsalin uzuulelt'!J$1,negtgel!U447:BL447) + SUMIF(negtgel!U$2:BL$2,'Tsalin uzuulelt'!J$2,negtgel!U447:BL447)+SUMIF(negtgel!U$2:BL$2,'Tsalin uzuulelt'!J$3,negtgel!U447:BL447)+SUMIF(negtgel!U$2:BL$2,'Tsalin uzuulelt'!J$4,negtgel!U447:BL447)+SUMIF(negtgel!U$2:BL$2,'Tsalin uzuulelt'!J$5,negtgel!U447:BL447)</f>
      </c>
      <c r="K447">
        <f>SUMIF(negtgel!U$2:BL$2,'Tsalin uzuulelt'!L$1,negtgel!U447:BL447) + SUMIF(negtgel!U$2:BL$2,'Tsalin uzuulelt'!L$2,negtgel!U447:BL447)+SUMIF(negtgel!U$2:BL$2,'Tsalin uzuulelt'!L$3,negtgel!U447:BL447)+SUMIF(negtgel!U$2:BL$2,'Tsalin uzuulelt'!L$4,negtgel!U447:BL447)+SUMIF(negtgel!U$2:BL$2,'Tsalin uzuulelt'!L$5,negtgel!U447:BL447)</f>
      </c>
      <c r="L447">
        <f>SUMIF(negtgel!U$2:BL$2,'Tsalin uzuulelt'!N$1,negtgel!U447:BL447) + SUMIF(negtgel!U$2:BL$2,'Tsalin uzuulelt'!N$2,negtgel!U447:BL447)+SUMIF(negtgel!U$2:BL$2,'Tsalin uzuulelt'!N$3,negtgel!U447:BL447)+SUMIF(negtgel!U$2:BL$2,'Tsalin uzuulelt'!N$4,negtgel!U447:BL447)+SUMIF(negtgel!U$2:BL$2,'Tsalin uzuulelt'!N$5,negtgel!U447:BL447)</f>
      </c>
      <c r="M447">
        <f>SUMIF(negtgel!U$2:BL$2,'Tsalin uzuulelt'!P$1,negtgel!U447:BL447) + SUMIF(negtgel!U$2:BL$2,'Tsalin uzuulelt'!P$2,negtgel!U447:BL447)+ SUMIF(negtgel!U$2:BL$2,'Tsalin uzuulelt'!P$3,negtgel!U447:BL447)+ SUMIF(negtgel!U$2:BL$2,'Tsalin uzuulelt'!P$4,negtgel!U447:BL447)+ SUMIF(negtgel!U$2:BL$2,'Tsalin uzuulelt'!P$5,negtgel!U447:BL447)</f>
      </c>
      <c r="N447">
        <f>IF(ISNUMBER(U447*1)=CF447,0,K447-H447-G447)</f>
      </c>
      <c r="O447">
        <f>IF(ISNUMBER(U447*1)=CF447,0,L447)</f>
      </c>
      <c r="P447">
        <f>IF(ISNUMBER(U447*1)=CF447,0,M447)</f>
      </c>
      <c r="Q447">
        <f>IF(N447&gt;2400000,N447,0)</f>
      </c>
      <c r="R447">
        <f>IF(L447/Q447*100&lt;3,2,10)</f>
      </c>
      <c r="S447">
        <f>IF(CH447=0,0,IF(B447&gt;9,10,IF(B447&gt;8,B447,IF(B447&gt;7.7,7.8,IF(B447&gt;3,B447,IF(B447&gt;1.5,2))))))</f>
      </c>
      <c r="T447">
        <f>IF(Q447=0,S447,R447)</f>
      </c>
      <c r="U447" t="n">
        <v>67.0</v>
      </c>
      <c r="V447" t="s">
        <v>3816</v>
      </c>
      <c r="W447" t="s">
        <v>3790</v>
      </c>
      <c r="X447" t="n">
        <v>547759.0</v>
      </c>
      <c r="Y447" t="n">
        <v>547759.0</v>
      </c>
      <c r="Z447" t="n">
        <v>0.0</v>
      </c>
      <c r="AA447" t="n">
        <v>0.0</v>
      </c>
      <c r="AB447" t="n">
        <v>0.0</v>
      </c>
      <c r="AC447" t="n">
        <v>0.0</v>
      </c>
      <c r="AD447" t="n">
        <v>219104.0</v>
      </c>
      <c r="AE447" t="n">
        <v>0.0</v>
      </c>
      <c r="AF447" t="n">
        <v>48000.0</v>
      </c>
      <c r="AG447" t="n">
        <v>0.0</v>
      </c>
      <c r="AH447" t="n">
        <v>0.0</v>
      </c>
      <c r="AI447" t="n">
        <v>0.0</v>
      </c>
      <c r="AJ447" t="n">
        <v>0.0</v>
      </c>
      <c r="AK447" t="n">
        <v>0.0</v>
      </c>
      <c r="AL447" t="n">
        <v>0.0</v>
      </c>
      <c r="AM447" t="n">
        <v>0.0</v>
      </c>
      <c r="AN447" t="n">
        <v>0.0</v>
      </c>
      <c r="AO447" t="n">
        <v>814863.0</v>
      </c>
      <c r="AP447" t="n">
        <v>81486.0</v>
      </c>
      <c r="AQ447" t="n">
        <v>66817.7</v>
      </c>
      <c r="CH447">
        <f>IFERROR(U447*1,0)</f>
      </c>
    </row>
    <row r="448">
      <c r="A448" t="n">
        <v>7.0</v>
      </c>
      <c r="B448">
        <f>IF((K448-G448-H448&gt;2400000),10,(L448/(K448-G448-H448)*100))</f>
      </c>
      <c r="C448">
        <f>IF(N448&gt;2400000,240000,(N448*S448)/100)</f>
      </c>
      <c r="D448">
        <f>IF(S448=0,0,IF((N448-I448)&gt;2400000,((((((N448-I448-J448)-240000))*0.1+(I448+J448)*0.1)))-7000,((((((N448-I448-J448)-(N448-I448-J448)*S448/100)))*0.1+(I448+J448)*0.1)-7000)))</f>
      </c>
      <c r="E448">
        <f>C448-O448</f>
      </c>
      <c r="F448">
        <f>D448-P448</f>
      </c>
      <c r="G448">
        <f>SUMIF(negtgel!U$2:BL$2,'Tsalin uzuulelt'!B$1,negtgel!U448:BL448) + SUMIF(negtgel!U$2:BL$2,'Tsalin uzuulelt'!B$2,negtgel!U448:BL448)+SUMIF(negtgel!U$2:BL$2,'Tsalin uzuulelt'!B$3,negtgel!U448:BL448)+SUMIF(negtgel!U$2:BL$2,'Tsalin uzuulelt'!B$4,negtgel!U448:BL448)+SUMIF(negtgel!U$2:BL$2,'Tsalin uzuulelt'!B$5,negtgel!U448:BL448)</f>
      </c>
      <c r="H448">
        <f>SUMIF(negtgel!U$2:BL$2,'Tsalin uzuulelt'!F$1,negtgel!U448:BL448) + SUMIF(negtgel!U$2:BL$2,'Tsalin uzuulelt'!F$2,negtgel!U448:BL448)+SUMIF(negtgel!U$2:BL$2,'Tsalin uzuulelt'!F$3,negtgel!U448:BL448)+SUMIF(negtgel!U$2:BL$2,'Tsalin uzuulelt'!F$4,negtgel!U448:BL448)+SUMIF(negtgel!U$2:BL$2,'Tsalin uzuulelt'!F$5,negtgel!U448:BL448)</f>
      </c>
      <c r="I448">
        <f>SUMIF(negtgel!U$2:BL$2,'Tsalin uzuulelt'!H$1,negtgel!U448:BL448) + SUMIF(negtgel!U$2:BL$2,'Tsalin uzuulelt'!H$2,negtgel!U448:BL448)+SUMIF(negtgel!U$2:BL$2,'Tsalin uzuulelt'!H$3,negtgel!U448:BL448)+SUMIF(negtgel!U$2:BL$2,'Tsalin uzuulelt'!H$4,negtgel!U448:BL448)+SUMIF(negtgel!U$2:BL$2,'Tsalin uzuulelt'!H$5,negtgel!U448:BL448)</f>
      </c>
      <c r="J448">
        <f>SUMIF(negtgel!U$2:BL$2,'Tsalin uzuulelt'!J$1,negtgel!U448:BL448) + SUMIF(negtgel!U$2:BL$2,'Tsalin uzuulelt'!J$2,negtgel!U448:BL448)+SUMIF(negtgel!U$2:BL$2,'Tsalin uzuulelt'!J$3,negtgel!U448:BL448)+SUMIF(negtgel!U$2:BL$2,'Tsalin uzuulelt'!J$4,negtgel!U448:BL448)+SUMIF(negtgel!U$2:BL$2,'Tsalin uzuulelt'!J$5,negtgel!U448:BL448)</f>
      </c>
      <c r="K448">
        <f>SUMIF(negtgel!U$2:BL$2,'Tsalin uzuulelt'!L$1,negtgel!U448:BL448) + SUMIF(negtgel!U$2:BL$2,'Tsalin uzuulelt'!L$2,negtgel!U448:BL448)+SUMIF(negtgel!U$2:BL$2,'Tsalin uzuulelt'!L$3,negtgel!U448:BL448)+SUMIF(negtgel!U$2:BL$2,'Tsalin uzuulelt'!L$4,negtgel!U448:BL448)+SUMIF(negtgel!U$2:BL$2,'Tsalin uzuulelt'!L$5,negtgel!U448:BL448)</f>
      </c>
      <c r="L448">
        <f>SUMIF(negtgel!U$2:BL$2,'Tsalin uzuulelt'!N$1,negtgel!U448:BL448) + SUMIF(negtgel!U$2:BL$2,'Tsalin uzuulelt'!N$2,negtgel!U448:BL448)+SUMIF(negtgel!U$2:BL$2,'Tsalin uzuulelt'!N$3,negtgel!U448:BL448)+SUMIF(negtgel!U$2:BL$2,'Tsalin uzuulelt'!N$4,negtgel!U448:BL448)+SUMIF(negtgel!U$2:BL$2,'Tsalin uzuulelt'!N$5,negtgel!U448:BL448)</f>
      </c>
      <c r="M448">
        <f>SUMIF(negtgel!U$2:BL$2,'Tsalin uzuulelt'!P$1,negtgel!U448:BL448) + SUMIF(negtgel!U$2:BL$2,'Tsalin uzuulelt'!P$2,negtgel!U448:BL448)+ SUMIF(negtgel!U$2:BL$2,'Tsalin uzuulelt'!P$3,negtgel!U448:BL448)+ SUMIF(negtgel!U$2:BL$2,'Tsalin uzuulelt'!P$4,negtgel!U448:BL448)+ SUMIF(negtgel!U$2:BL$2,'Tsalin uzuulelt'!P$5,negtgel!U448:BL448)</f>
      </c>
      <c r="N448">
        <f>IF(ISNUMBER(U448*1)=CF448,0,K448-H448-G448)</f>
      </c>
      <c r="O448">
        <f>IF(ISNUMBER(U448*1)=CF448,0,L448)</f>
      </c>
      <c r="P448">
        <f>IF(ISNUMBER(U448*1)=CF448,0,M448)</f>
      </c>
      <c r="Q448">
        <f>IF(N448&gt;2400000,N448,0)</f>
      </c>
      <c r="R448">
        <f>IF(L448/Q448*100&lt;3,2,10)</f>
      </c>
      <c r="S448">
        <f>IF(CH448=0,0,IF(B448&gt;9,10,IF(B448&gt;8,B448,IF(B448&gt;7.7,7.8,IF(B448&gt;3,B448,IF(B448&gt;1.5,2))))))</f>
      </c>
      <c r="T448">
        <f>IF(Q448=0,S448,R448)</f>
      </c>
      <c r="U448" t="n">
        <v>68.0</v>
      </c>
      <c r="V448" t="s">
        <v>3817</v>
      </c>
      <c r="W448" t="s">
        <v>3790</v>
      </c>
      <c r="X448" t="n">
        <v>677436.0</v>
      </c>
      <c r="Y448" t="n">
        <v>211699.0</v>
      </c>
      <c r="Z448" t="n">
        <v>42340.0</v>
      </c>
      <c r="AA448" t="n">
        <v>42340.0</v>
      </c>
      <c r="AB448" t="n">
        <v>0.0</v>
      </c>
      <c r="AC448" t="n">
        <v>0.0</v>
      </c>
      <c r="AD448" t="n">
        <v>0.0</v>
      </c>
      <c r="AE448" t="n">
        <v>0.0</v>
      </c>
      <c r="AF448" t="n">
        <v>15000.0</v>
      </c>
      <c r="AG448" t="n">
        <v>0.0</v>
      </c>
      <c r="AH448" t="n">
        <v>0.0</v>
      </c>
      <c r="AI448" t="n">
        <v>0.0</v>
      </c>
      <c r="AJ448" t="n">
        <v>1239456.0</v>
      </c>
      <c r="AK448" t="n">
        <v>0.0</v>
      </c>
      <c r="AL448" t="n">
        <v>0.0</v>
      </c>
      <c r="AM448" t="n">
        <v>0.0</v>
      </c>
      <c r="AN448" t="n">
        <v>0.0</v>
      </c>
      <c r="AO448" t="n">
        <v>1550835.0</v>
      </c>
      <c r="AP448" t="n">
        <v>155084.0</v>
      </c>
      <c r="AQ448" t="n">
        <v>132725.2</v>
      </c>
      <c r="CH448">
        <f>IFERROR(U448*1,0)</f>
      </c>
    </row>
    <row r="449">
      <c r="A449" t="n">
        <v>7.0</v>
      </c>
      <c r="B449">
        <f>IF((K449-G449-H449&gt;2400000),10,(L449/(K449-G449-H449)*100))</f>
      </c>
      <c r="C449">
        <f>IF(N449&gt;2400000,240000,(N449*S449)/100)</f>
      </c>
      <c r="D449">
        <f>IF(S449=0,0,IF((N449-I449)&gt;2400000,((((((N449-I449-J449)-240000))*0.1+(I449+J449)*0.1)))-7000,((((((N449-I449-J449)-(N449-I449-J449)*S449/100)))*0.1+(I449+J449)*0.1)-7000)))</f>
      </c>
      <c r="E449">
        <f>C449-O449</f>
      </c>
      <c r="F449">
        <f>D449-P449</f>
      </c>
      <c r="G449">
        <f>SUMIF(negtgel!U$2:BL$2,'Tsalin uzuulelt'!B$1,negtgel!U449:BL449) + SUMIF(negtgel!U$2:BL$2,'Tsalin uzuulelt'!B$2,negtgel!U449:BL449)+SUMIF(negtgel!U$2:BL$2,'Tsalin uzuulelt'!B$3,negtgel!U449:BL449)+SUMIF(negtgel!U$2:BL$2,'Tsalin uzuulelt'!B$4,negtgel!U449:BL449)+SUMIF(negtgel!U$2:BL$2,'Tsalin uzuulelt'!B$5,negtgel!U449:BL449)</f>
      </c>
      <c r="H449">
        <f>SUMIF(negtgel!U$2:BL$2,'Tsalin uzuulelt'!F$1,negtgel!U449:BL449) + SUMIF(negtgel!U$2:BL$2,'Tsalin uzuulelt'!F$2,negtgel!U449:BL449)+SUMIF(negtgel!U$2:BL$2,'Tsalin uzuulelt'!F$3,negtgel!U449:BL449)+SUMIF(negtgel!U$2:BL$2,'Tsalin uzuulelt'!F$4,negtgel!U449:BL449)+SUMIF(negtgel!U$2:BL$2,'Tsalin uzuulelt'!F$5,negtgel!U449:BL449)</f>
      </c>
      <c r="I449">
        <f>SUMIF(negtgel!U$2:BL$2,'Tsalin uzuulelt'!H$1,negtgel!U449:BL449) + SUMIF(negtgel!U$2:BL$2,'Tsalin uzuulelt'!H$2,negtgel!U449:BL449)+SUMIF(negtgel!U$2:BL$2,'Tsalin uzuulelt'!H$3,negtgel!U449:BL449)+SUMIF(negtgel!U$2:BL$2,'Tsalin uzuulelt'!H$4,negtgel!U449:BL449)+SUMIF(negtgel!U$2:BL$2,'Tsalin uzuulelt'!H$5,negtgel!U449:BL449)</f>
      </c>
      <c r="J449">
        <f>SUMIF(negtgel!U$2:BL$2,'Tsalin uzuulelt'!J$1,negtgel!U449:BL449) + SUMIF(negtgel!U$2:BL$2,'Tsalin uzuulelt'!J$2,negtgel!U449:BL449)+SUMIF(negtgel!U$2:BL$2,'Tsalin uzuulelt'!J$3,negtgel!U449:BL449)+SUMIF(negtgel!U$2:BL$2,'Tsalin uzuulelt'!J$4,negtgel!U449:BL449)+SUMIF(negtgel!U$2:BL$2,'Tsalin uzuulelt'!J$5,negtgel!U449:BL449)</f>
      </c>
      <c r="K449">
        <f>SUMIF(negtgel!U$2:BL$2,'Tsalin uzuulelt'!L$1,negtgel!U449:BL449) + SUMIF(negtgel!U$2:BL$2,'Tsalin uzuulelt'!L$2,negtgel!U449:BL449)+SUMIF(negtgel!U$2:BL$2,'Tsalin uzuulelt'!L$3,negtgel!U449:BL449)+SUMIF(negtgel!U$2:BL$2,'Tsalin uzuulelt'!L$4,negtgel!U449:BL449)+SUMIF(negtgel!U$2:BL$2,'Tsalin uzuulelt'!L$5,negtgel!U449:BL449)</f>
      </c>
      <c r="L449">
        <f>SUMIF(negtgel!U$2:BL$2,'Tsalin uzuulelt'!N$1,negtgel!U449:BL449) + SUMIF(negtgel!U$2:BL$2,'Tsalin uzuulelt'!N$2,negtgel!U449:BL449)+SUMIF(negtgel!U$2:BL$2,'Tsalin uzuulelt'!N$3,negtgel!U449:BL449)+SUMIF(negtgel!U$2:BL$2,'Tsalin uzuulelt'!N$4,negtgel!U449:BL449)+SUMIF(negtgel!U$2:BL$2,'Tsalin uzuulelt'!N$5,negtgel!U449:BL449)</f>
      </c>
      <c r="M449">
        <f>SUMIF(negtgel!U$2:BL$2,'Tsalin uzuulelt'!P$1,negtgel!U449:BL449) + SUMIF(negtgel!U$2:BL$2,'Tsalin uzuulelt'!P$2,negtgel!U449:BL449)+ SUMIF(negtgel!U$2:BL$2,'Tsalin uzuulelt'!P$3,negtgel!U449:BL449)+ SUMIF(negtgel!U$2:BL$2,'Tsalin uzuulelt'!P$4,negtgel!U449:BL449)+ SUMIF(negtgel!U$2:BL$2,'Tsalin uzuulelt'!P$5,negtgel!U449:BL449)</f>
      </c>
      <c r="N449">
        <f>IF(ISNUMBER(U449*1)=CF449,0,K449-H449-G449)</f>
      </c>
      <c r="O449">
        <f>IF(ISNUMBER(U449*1)=CF449,0,L449)</f>
      </c>
      <c r="P449">
        <f>IF(ISNUMBER(U449*1)=CF449,0,M449)</f>
      </c>
      <c r="Q449">
        <f>IF(N449&gt;2400000,N449,0)</f>
      </c>
      <c r="R449">
        <f>IF(L449/Q449*100&lt;3,2,10)</f>
      </c>
      <c r="S449">
        <f>IF(CH449=0,0,IF(B449&gt;9,10,IF(B449&gt;8,B449,IF(B449&gt;7.7,7.8,IF(B449&gt;3,B449,IF(B449&gt;1.5,2))))))</f>
      </c>
      <c r="T449">
        <f>IF(Q449=0,S449,R449)</f>
      </c>
      <c r="U449" t="n">
        <v>69.0</v>
      </c>
      <c r="V449" t="s">
        <v>3818</v>
      </c>
      <c r="W449" t="s">
        <v>3785</v>
      </c>
      <c r="X449" t="n">
        <v>795935.0</v>
      </c>
      <c r="Y449" t="n">
        <v>0.0</v>
      </c>
      <c r="Z449" t="n">
        <v>0.0</v>
      </c>
      <c r="AA449" t="n">
        <v>0.0</v>
      </c>
      <c r="AB449" t="n">
        <v>0.0</v>
      </c>
      <c r="AC449" t="n">
        <v>0.0</v>
      </c>
      <c r="AD449" t="n">
        <v>0.0</v>
      </c>
      <c r="AE449" t="n">
        <v>0.0</v>
      </c>
      <c r="AF449" t="n">
        <v>0.0</v>
      </c>
      <c r="AG449" t="n">
        <v>0.0</v>
      </c>
      <c r="AH449" t="n">
        <v>0.0</v>
      </c>
      <c r="AI449" t="n">
        <v>0.0</v>
      </c>
      <c r="AJ449" t="n">
        <v>1274718.0</v>
      </c>
      <c r="AK449" t="n">
        <v>0.0</v>
      </c>
      <c r="AL449" t="n">
        <v>0.0</v>
      </c>
      <c r="AM449" t="n">
        <v>0.0</v>
      </c>
      <c r="AN449" t="n">
        <v>0.0</v>
      </c>
      <c r="AO449" t="n">
        <v>1274718.0</v>
      </c>
      <c r="AP449" t="n">
        <v>127471.0</v>
      </c>
      <c r="AQ449" t="n">
        <v>107724.6</v>
      </c>
      <c r="CH449">
        <f>IFERROR(U449*1,0)</f>
      </c>
    </row>
    <row r="450">
      <c r="A450" t="n">
        <v>7.0</v>
      </c>
      <c r="B450">
        <f>IF((K450-G450-H450&gt;2400000),10,(L450/(K450-G450-H450)*100))</f>
      </c>
      <c r="C450">
        <f>IF(N450&gt;2400000,240000,(N450*S450)/100)</f>
      </c>
      <c r="D450">
        <f>IF(S450=0,0,IF((N450-I450)&gt;2400000,((((((N450-I450-J450)-240000))*0.1+(I450+J450)*0.1)))-7000,((((((N450-I450-J450)-(N450-I450-J450)*S450/100)))*0.1+(I450+J450)*0.1)-7000)))</f>
      </c>
      <c r="E450">
        <f>C450-O450</f>
      </c>
      <c r="F450">
        <f>D450-P450</f>
      </c>
      <c r="G450">
        <f>SUMIF(negtgel!U$2:BL$2,'Tsalin uzuulelt'!B$1,negtgel!U450:BL450) + SUMIF(negtgel!U$2:BL$2,'Tsalin uzuulelt'!B$2,negtgel!U450:BL450)+SUMIF(negtgel!U$2:BL$2,'Tsalin uzuulelt'!B$3,negtgel!U450:BL450)+SUMIF(negtgel!U$2:BL$2,'Tsalin uzuulelt'!B$4,negtgel!U450:BL450)+SUMIF(negtgel!U$2:BL$2,'Tsalin uzuulelt'!B$5,negtgel!U450:BL450)</f>
      </c>
      <c r="H450">
        <f>SUMIF(negtgel!U$2:BL$2,'Tsalin uzuulelt'!F$1,negtgel!U450:BL450) + SUMIF(negtgel!U$2:BL$2,'Tsalin uzuulelt'!F$2,negtgel!U450:BL450)+SUMIF(negtgel!U$2:BL$2,'Tsalin uzuulelt'!F$3,negtgel!U450:BL450)+SUMIF(negtgel!U$2:BL$2,'Tsalin uzuulelt'!F$4,negtgel!U450:BL450)+SUMIF(negtgel!U$2:BL$2,'Tsalin uzuulelt'!F$5,negtgel!U450:BL450)</f>
      </c>
      <c r="I450">
        <f>SUMIF(negtgel!U$2:BL$2,'Tsalin uzuulelt'!H$1,negtgel!U450:BL450) + SUMIF(negtgel!U$2:BL$2,'Tsalin uzuulelt'!H$2,negtgel!U450:BL450)+SUMIF(negtgel!U$2:BL$2,'Tsalin uzuulelt'!H$3,negtgel!U450:BL450)+SUMIF(negtgel!U$2:BL$2,'Tsalin uzuulelt'!H$4,negtgel!U450:BL450)+SUMIF(negtgel!U$2:BL$2,'Tsalin uzuulelt'!H$5,negtgel!U450:BL450)</f>
      </c>
      <c r="J450">
        <f>SUMIF(negtgel!U$2:BL$2,'Tsalin uzuulelt'!J$1,negtgel!U450:BL450) + SUMIF(negtgel!U$2:BL$2,'Tsalin uzuulelt'!J$2,negtgel!U450:BL450)+SUMIF(negtgel!U$2:BL$2,'Tsalin uzuulelt'!J$3,negtgel!U450:BL450)+SUMIF(negtgel!U$2:BL$2,'Tsalin uzuulelt'!J$4,negtgel!U450:BL450)+SUMIF(negtgel!U$2:BL$2,'Tsalin uzuulelt'!J$5,negtgel!U450:BL450)</f>
      </c>
      <c r="K450">
        <f>SUMIF(negtgel!U$2:BL$2,'Tsalin uzuulelt'!L$1,negtgel!U450:BL450) + SUMIF(negtgel!U$2:BL$2,'Tsalin uzuulelt'!L$2,negtgel!U450:BL450)+SUMIF(negtgel!U$2:BL$2,'Tsalin uzuulelt'!L$3,negtgel!U450:BL450)+SUMIF(negtgel!U$2:BL$2,'Tsalin uzuulelt'!L$4,negtgel!U450:BL450)+SUMIF(negtgel!U$2:BL$2,'Tsalin uzuulelt'!L$5,negtgel!U450:BL450)</f>
      </c>
      <c r="L450">
        <f>SUMIF(negtgel!U$2:BL$2,'Tsalin uzuulelt'!N$1,negtgel!U450:BL450) + SUMIF(negtgel!U$2:BL$2,'Tsalin uzuulelt'!N$2,negtgel!U450:BL450)+SUMIF(negtgel!U$2:BL$2,'Tsalin uzuulelt'!N$3,negtgel!U450:BL450)+SUMIF(negtgel!U$2:BL$2,'Tsalin uzuulelt'!N$4,negtgel!U450:BL450)+SUMIF(negtgel!U$2:BL$2,'Tsalin uzuulelt'!N$5,negtgel!U450:BL450)</f>
      </c>
      <c r="M450">
        <f>SUMIF(negtgel!U$2:BL$2,'Tsalin uzuulelt'!P$1,negtgel!U450:BL450) + SUMIF(negtgel!U$2:BL$2,'Tsalin uzuulelt'!P$2,negtgel!U450:BL450)+ SUMIF(negtgel!U$2:BL$2,'Tsalin uzuulelt'!P$3,negtgel!U450:BL450)+ SUMIF(negtgel!U$2:BL$2,'Tsalin uzuulelt'!P$4,negtgel!U450:BL450)+ SUMIF(negtgel!U$2:BL$2,'Tsalin uzuulelt'!P$5,negtgel!U450:BL450)</f>
      </c>
      <c r="N450">
        <f>IF(ISNUMBER(U450*1)=CF450,0,K450-H450-G450)</f>
      </c>
      <c r="O450">
        <f>IF(ISNUMBER(U450*1)=CF450,0,L450)</f>
      </c>
      <c r="P450">
        <f>IF(ISNUMBER(U450*1)=CF450,0,M450)</f>
      </c>
      <c r="Q450">
        <f>IF(N450&gt;2400000,N450,0)</f>
      </c>
      <c r="R450">
        <f>IF(L450/Q450*100&lt;3,2,10)</f>
      </c>
      <c r="S450">
        <f>IF(CH450=0,0,IF(B450&gt;9,10,IF(B450&gt;8,B450,IF(B450&gt;7.7,7.8,IF(B450&gt;3,B450,IF(B450&gt;1.5,2))))))</f>
      </c>
      <c r="T450">
        <f>IF(Q450=0,S450,R450)</f>
      </c>
      <c r="U450" t="n">
        <v>70.0</v>
      </c>
      <c r="V450" t="s">
        <v>3819</v>
      </c>
      <c r="W450" t="s">
        <v>3820</v>
      </c>
      <c r="X450" t="n">
        <v>698795.0</v>
      </c>
      <c r="Y450" t="n">
        <v>218373.0</v>
      </c>
      <c r="Z450" t="n">
        <v>32756.0</v>
      </c>
      <c r="AA450" t="n">
        <v>39307.0</v>
      </c>
      <c r="AB450" t="n">
        <v>0.0</v>
      </c>
      <c r="AC450" t="n">
        <v>0.0</v>
      </c>
      <c r="AD450" t="n">
        <v>0.0</v>
      </c>
      <c r="AE450" t="n">
        <v>0.0</v>
      </c>
      <c r="AF450" t="n">
        <v>15000.0</v>
      </c>
      <c r="AG450" t="n">
        <v>0.0</v>
      </c>
      <c r="AH450" t="n">
        <v>0.0</v>
      </c>
      <c r="AI450" t="n">
        <v>0.0</v>
      </c>
      <c r="AJ450" t="n">
        <v>1034774.0</v>
      </c>
      <c r="AK450" t="n">
        <v>0.0</v>
      </c>
      <c r="AL450" t="n">
        <v>0.0</v>
      </c>
      <c r="AM450" t="n">
        <v>0.0</v>
      </c>
      <c r="AN450" t="n">
        <v>0.0</v>
      </c>
      <c r="AO450" t="n">
        <v>1340210.0</v>
      </c>
      <c r="AP450" t="n">
        <v>134021.0</v>
      </c>
      <c r="AQ450" t="n">
        <v>113768.9</v>
      </c>
      <c r="CH450">
        <f>IFERROR(U450*1,0)</f>
      </c>
    </row>
    <row r="451">
      <c r="A451" t="n">
        <v>7.0</v>
      </c>
      <c r="B451">
        <f>IF((K451-G451-H451&gt;2400000),10,(L451/(K451-G451-H451)*100))</f>
      </c>
      <c r="C451">
        <f>IF(N451&gt;2400000,240000,(N451*S451)/100)</f>
      </c>
      <c r="D451">
        <f>IF(S451=0,0,IF((N451-I451)&gt;2400000,((((((N451-I451-J451)-240000))*0.1+(I451+J451)*0.1)))-7000,((((((N451-I451-J451)-(N451-I451-J451)*S451/100)))*0.1+(I451+J451)*0.1)-7000)))</f>
      </c>
      <c r="E451">
        <f>C451-O451</f>
      </c>
      <c r="F451">
        <f>D451-P451</f>
      </c>
      <c r="G451">
        <f>SUMIF(negtgel!U$2:BL$2,'Tsalin uzuulelt'!B$1,negtgel!U451:BL451) + SUMIF(negtgel!U$2:BL$2,'Tsalin uzuulelt'!B$2,negtgel!U451:BL451)+SUMIF(negtgel!U$2:BL$2,'Tsalin uzuulelt'!B$3,negtgel!U451:BL451)+SUMIF(negtgel!U$2:BL$2,'Tsalin uzuulelt'!B$4,negtgel!U451:BL451)+SUMIF(negtgel!U$2:BL$2,'Tsalin uzuulelt'!B$5,negtgel!U451:BL451)</f>
      </c>
      <c r="H451">
        <f>SUMIF(negtgel!U$2:BL$2,'Tsalin uzuulelt'!F$1,negtgel!U451:BL451) + SUMIF(negtgel!U$2:BL$2,'Tsalin uzuulelt'!F$2,negtgel!U451:BL451)+SUMIF(negtgel!U$2:BL$2,'Tsalin uzuulelt'!F$3,negtgel!U451:BL451)+SUMIF(negtgel!U$2:BL$2,'Tsalin uzuulelt'!F$4,negtgel!U451:BL451)+SUMIF(negtgel!U$2:BL$2,'Tsalin uzuulelt'!F$5,negtgel!U451:BL451)</f>
      </c>
      <c r="I451">
        <f>SUMIF(negtgel!U$2:BL$2,'Tsalin uzuulelt'!H$1,negtgel!U451:BL451) + SUMIF(negtgel!U$2:BL$2,'Tsalin uzuulelt'!H$2,negtgel!U451:BL451)+SUMIF(negtgel!U$2:BL$2,'Tsalin uzuulelt'!H$3,negtgel!U451:BL451)+SUMIF(negtgel!U$2:BL$2,'Tsalin uzuulelt'!H$4,negtgel!U451:BL451)+SUMIF(negtgel!U$2:BL$2,'Tsalin uzuulelt'!H$5,negtgel!U451:BL451)</f>
      </c>
      <c r="J451">
        <f>SUMIF(negtgel!U$2:BL$2,'Tsalin uzuulelt'!J$1,negtgel!U451:BL451) + SUMIF(negtgel!U$2:BL$2,'Tsalin uzuulelt'!J$2,negtgel!U451:BL451)+SUMIF(negtgel!U$2:BL$2,'Tsalin uzuulelt'!J$3,negtgel!U451:BL451)+SUMIF(negtgel!U$2:BL$2,'Tsalin uzuulelt'!J$4,negtgel!U451:BL451)+SUMIF(negtgel!U$2:BL$2,'Tsalin uzuulelt'!J$5,negtgel!U451:BL451)</f>
      </c>
      <c r="K451">
        <f>SUMIF(negtgel!U$2:BL$2,'Tsalin uzuulelt'!L$1,negtgel!U451:BL451) + SUMIF(negtgel!U$2:BL$2,'Tsalin uzuulelt'!L$2,negtgel!U451:BL451)+SUMIF(negtgel!U$2:BL$2,'Tsalin uzuulelt'!L$3,negtgel!U451:BL451)+SUMIF(negtgel!U$2:BL$2,'Tsalin uzuulelt'!L$4,negtgel!U451:BL451)+SUMIF(negtgel!U$2:BL$2,'Tsalin uzuulelt'!L$5,negtgel!U451:BL451)</f>
      </c>
      <c r="L451">
        <f>SUMIF(negtgel!U$2:BL$2,'Tsalin uzuulelt'!N$1,negtgel!U451:BL451) + SUMIF(negtgel!U$2:BL$2,'Tsalin uzuulelt'!N$2,negtgel!U451:BL451)+SUMIF(negtgel!U$2:BL$2,'Tsalin uzuulelt'!N$3,negtgel!U451:BL451)+SUMIF(negtgel!U$2:BL$2,'Tsalin uzuulelt'!N$4,negtgel!U451:BL451)+SUMIF(negtgel!U$2:BL$2,'Tsalin uzuulelt'!N$5,negtgel!U451:BL451)</f>
      </c>
      <c r="M451">
        <f>SUMIF(negtgel!U$2:BL$2,'Tsalin uzuulelt'!P$1,negtgel!U451:BL451) + SUMIF(negtgel!U$2:BL$2,'Tsalin uzuulelt'!P$2,negtgel!U451:BL451)+ SUMIF(negtgel!U$2:BL$2,'Tsalin uzuulelt'!P$3,negtgel!U451:BL451)+ SUMIF(negtgel!U$2:BL$2,'Tsalin uzuulelt'!P$4,negtgel!U451:BL451)+ SUMIF(negtgel!U$2:BL$2,'Tsalin uzuulelt'!P$5,negtgel!U451:BL451)</f>
      </c>
      <c r="N451">
        <f>IF(ISNUMBER(U451*1)=CF451,0,K451-H451-G451)</f>
      </c>
      <c r="O451">
        <f>IF(ISNUMBER(U451*1)=CF451,0,L451)</f>
      </c>
      <c r="P451">
        <f>IF(ISNUMBER(U451*1)=CF451,0,M451)</f>
      </c>
      <c r="Q451">
        <f>IF(N451&gt;2400000,N451,0)</f>
      </c>
      <c r="R451">
        <f>IF(L451/Q451*100&lt;3,2,10)</f>
      </c>
      <c r="S451">
        <f>IF(CH451=0,0,IF(B451&gt;9,10,IF(B451&gt;8,B451,IF(B451&gt;7.7,7.8,IF(B451&gt;3,B451,IF(B451&gt;1.5,2))))))</f>
      </c>
      <c r="T451">
        <f>IF(Q451=0,S451,R451)</f>
      </c>
      <c r="U451" t="n">
        <v>71.0</v>
      </c>
      <c r="V451" t="s">
        <v>3821</v>
      </c>
      <c r="W451" t="s">
        <v>3790</v>
      </c>
      <c r="X451" t="n">
        <v>547759.0</v>
      </c>
      <c r="Y451" t="n">
        <v>102705.0</v>
      </c>
      <c r="Z451" t="n">
        <v>0.0</v>
      </c>
      <c r="AA451" t="n">
        <v>0.0</v>
      </c>
      <c r="AB451" t="n">
        <v>0.0</v>
      </c>
      <c r="AC451" t="n">
        <v>0.0</v>
      </c>
      <c r="AD451" t="n">
        <v>0.0</v>
      </c>
      <c r="AE451" t="n">
        <v>0.0</v>
      </c>
      <c r="AF451" t="n">
        <v>9000.0</v>
      </c>
      <c r="AG451" t="n">
        <v>0.0</v>
      </c>
      <c r="AH451" t="n">
        <v>0.0</v>
      </c>
      <c r="AI451" t="n">
        <v>0.0</v>
      </c>
      <c r="AJ451" t="n">
        <v>0.0</v>
      </c>
      <c r="AK451" t="n">
        <v>0.0</v>
      </c>
      <c r="AL451" t="n">
        <v>0.0</v>
      </c>
      <c r="AM451" t="n">
        <v>0.0</v>
      </c>
      <c r="AN451" t="n">
        <v>0.0</v>
      </c>
      <c r="AO451" t="n">
        <v>111705.0</v>
      </c>
      <c r="AP451" t="n">
        <v>11170.0</v>
      </c>
      <c r="AQ451" t="n">
        <v>3143.4</v>
      </c>
      <c r="CH451">
        <f>IFERROR(U451*1,0)</f>
      </c>
    </row>
    <row r="452">
      <c r="A452" t="n">
        <v>7.0</v>
      </c>
      <c r="B452">
        <f>IF((K452-G452-H452&gt;2400000),10,(L452/(K452-G452-H452)*100))</f>
      </c>
      <c r="C452">
        <f>IF(N452&gt;2400000,240000,(N452*S452)/100)</f>
      </c>
      <c r="D452">
        <f>IF(S452=0,0,IF((N452-I452)&gt;2400000,((((((N452-I452-J452)-240000))*0.1+(I452+J452)*0.1)))-7000,((((((N452-I452-J452)-(N452-I452-J452)*S452/100)))*0.1+(I452+J452)*0.1)-7000)))</f>
      </c>
      <c r="E452">
        <f>C452-O452</f>
      </c>
      <c r="F452">
        <f>D452-P452</f>
      </c>
      <c r="G452">
        <f>SUMIF(negtgel!U$2:BL$2,'Tsalin uzuulelt'!B$1,negtgel!U452:BL452) + SUMIF(negtgel!U$2:BL$2,'Tsalin uzuulelt'!B$2,negtgel!U452:BL452)+SUMIF(negtgel!U$2:BL$2,'Tsalin uzuulelt'!B$3,negtgel!U452:BL452)+SUMIF(negtgel!U$2:BL$2,'Tsalin uzuulelt'!B$4,negtgel!U452:BL452)+SUMIF(negtgel!U$2:BL$2,'Tsalin uzuulelt'!B$5,negtgel!U452:BL452)</f>
      </c>
      <c r="H452">
        <f>SUMIF(negtgel!U$2:BL$2,'Tsalin uzuulelt'!F$1,negtgel!U452:BL452) + SUMIF(negtgel!U$2:BL$2,'Tsalin uzuulelt'!F$2,negtgel!U452:BL452)+SUMIF(negtgel!U$2:BL$2,'Tsalin uzuulelt'!F$3,negtgel!U452:BL452)+SUMIF(negtgel!U$2:BL$2,'Tsalin uzuulelt'!F$4,negtgel!U452:BL452)+SUMIF(negtgel!U$2:BL$2,'Tsalin uzuulelt'!F$5,negtgel!U452:BL452)</f>
      </c>
      <c r="I452">
        <f>SUMIF(negtgel!U$2:BL$2,'Tsalin uzuulelt'!H$1,negtgel!U452:BL452) + SUMIF(negtgel!U$2:BL$2,'Tsalin uzuulelt'!H$2,negtgel!U452:BL452)+SUMIF(negtgel!U$2:BL$2,'Tsalin uzuulelt'!H$3,negtgel!U452:BL452)+SUMIF(negtgel!U$2:BL$2,'Tsalin uzuulelt'!H$4,negtgel!U452:BL452)+SUMIF(negtgel!U$2:BL$2,'Tsalin uzuulelt'!H$5,negtgel!U452:BL452)</f>
      </c>
      <c r="J452">
        <f>SUMIF(negtgel!U$2:BL$2,'Tsalin uzuulelt'!J$1,negtgel!U452:BL452) + SUMIF(negtgel!U$2:BL$2,'Tsalin uzuulelt'!J$2,negtgel!U452:BL452)+SUMIF(negtgel!U$2:BL$2,'Tsalin uzuulelt'!J$3,negtgel!U452:BL452)+SUMIF(negtgel!U$2:BL$2,'Tsalin uzuulelt'!J$4,negtgel!U452:BL452)+SUMIF(negtgel!U$2:BL$2,'Tsalin uzuulelt'!J$5,negtgel!U452:BL452)</f>
      </c>
      <c r="K452">
        <f>SUMIF(negtgel!U$2:BL$2,'Tsalin uzuulelt'!L$1,negtgel!U452:BL452) + SUMIF(negtgel!U$2:BL$2,'Tsalin uzuulelt'!L$2,negtgel!U452:BL452)+SUMIF(negtgel!U$2:BL$2,'Tsalin uzuulelt'!L$3,negtgel!U452:BL452)+SUMIF(negtgel!U$2:BL$2,'Tsalin uzuulelt'!L$4,negtgel!U452:BL452)+SUMIF(negtgel!U$2:BL$2,'Tsalin uzuulelt'!L$5,negtgel!U452:BL452)</f>
      </c>
      <c r="L452">
        <f>SUMIF(negtgel!U$2:BL$2,'Tsalin uzuulelt'!N$1,negtgel!U452:BL452) + SUMIF(negtgel!U$2:BL$2,'Tsalin uzuulelt'!N$2,negtgel!U452:BL452)+SUMIF(negtgel!U$2:BL$2,'Tsalin uzuulelt'!N$3,negtgel!U452:BL452)+SUMIF(negtgel!U$2:BL$2,'Tsalin uzuulelt'!N$4,negtgel!U452:BL452)+SUMIF(negtgel!U$2:BL$2,'Tsalin uzuulelt'!N$5,negtgel!U452:BL452)</f>
      </c>
      <c r="M452">
        <f>SUMIF(negtgel!U$2:BL$2,'Tsalin uzuulelt'!P$1,negtgel!U452:BL452) + SUMIF(negtgel!U$2:BL$2,'Tsalin uzuulelt'!P$2,negtgel!U452:BL452)+ SUMIF(negtgel!U$2:BL$2,'Tsalin uzuulelt'!P$3,negtgel!U452:BL452)+ SUMIF(negtgel!U$2:BL$2,'Tsalin uzuulelt'!P$4,negtgel!U452:BL452)+ SUMIF(negtgel!U$2:BL$2,'Tsalin uzuulelt'!P$5,negtgel!U452:BL452)</f>
      </c>
      <c r="N452">
        <f>IF(ISNUMBER(U452*1)=CF452,0,K452-H452-G452)</f>
      </c>
      <c r="O452">
        <f>IF(ISNUMBER(U452*1)=CF452,0,L452)</f>
      </c>
      <c r="P452">
        <f>IF(ISNUMBER(U452*1)=CF452,0,M452)</f>
      </c>
      <c r="Q452">
        <f>IF(N452&gt;2400000,N452,0)</f>
      </c>
      <c r="R452">
        <f>IF(L452/Q452*100&lt;3,2,10)</f>
      </c>
      <c r="S452">
        <f>IF(CH452=0,0,IF(B452&gt;9,10,IF(B452&gt;8,B452,IF(B452&gt;7.7,7.8,IF(B452&gt;3,B452,IF(B452&gt;1.5,2))))))</f>
      </c>
      <c r="T452">
        <f>IF(Q452=0,S452,R452)</f>
      </c>
      <c r="U452" t="n">
        <v>72.0</v>
      </c>
      <c r="V452" t="s">
        <v>3822</v>
      </c>
      <c r="W452" t="s">
        <v>3823</v>
      </c>
      <c r="X452" t="n">
        <v>539547.0</v>
      </c>
      <c r="Y452" t="n">
        <v>0.0</v>
      </c>
      <c r="Z452" t="n">
        <v>0.0</v>
      </c>
      <c r="AA452" t="n">
        <v>0.0</v>
      </c>
      <c r="AB452" t="n">
        <v>0.0</v>
      </c>
      <c r="AC452" t="n">
        <v>0.0</v>
      </c>
      <c r="AD452" t="n">
        <v>0.0</v>
      </c>
      <c r="AE452" t="n">
        <v>0.0</v>
      </c>
      <c r="AF452" t="n">
        <v>0.0</v>
      </c>
      <c r="AG452" t="n">
        <v>0.0</v>
      </c>
      <c r="AH452" t="n">
        <v>0.0</v>
      </c>
      <c r="AI452" t="n">
        <v>0.0</v>
      </c>
      <c r="AJ452" t="n">
        <v>0.0</v>
      </c>
      <c r="AK452" t="n">
        <v>0.0</v>
      </c>
      <c r="AL452" t="n">
        <v>0.0</v>
      </c>
      <c r="AM452" t="n">
        <v>0.0</v>
      </c>
      <c r="AN452" t="n">
        <v>0.0</v>
      </c>
      <c r="AO452" t="n">
        <v>0.0</v>
      </c>
      <c r="AP452" t="n">
        <v>0.0</v>
      </c>
      <c r="AQ452" t="n">
        <v>0.0</v>
      </c>
      <c r="CH452">
        <f>IFERROR(U452*1,0)</f>
      </c>
    </row>
    <row r="453">
      <c r="A453" t="n">
        <v>7.0</v>
      </c>
      <c r="B453">
        <f>IF((K453-G453-H453&gt;2400000),10,(L453/(K453-G453-H453)*100))</f>
      </c>
      <c r="C453">
        <f>IF(N453&gt;2400000,240000,(N453*S453)/100)</f>
      </c>
      <c r="D453">
        <f>IF(S453=0,0,IF((N453-I453)&gt;2400000,((((((N453-I453-J453)-240000))*0.1+(I453+J453)*0.1)))-7000,((((((N453-I453-J453)-(N453-I453-J453)*S453/100)))*0.1+(I453+J453)*0.1)-7000)))</f>
      </c>
      <c r="E453">
        <f>C453-O453</f>
      </c>
      <c r="F453">
        <f>D453-P453</f>
      </c>
      <c r="G453">
        <f>SUMIF(negtgel!U$2:BL$2,'Tsalin uzuulelt'!B$1,negtgel!U453:BL453) + SUMIF(negtgel!U$2:BL$2,'Tsalin uzuulelt'!B$2,negtgel!U453:BL453)+SUMIF(negtgel!U$2:BL$2,'Tsalin uzuulelt'!B$3,negtgel!U453:BL453)+SUMIF(negtgel!U$2:BL$2,'Tsalin uzuulelt'!B$4,negtgel!U453:BL453)+SUMIF(negtgel!U$2:BL$2,'Tsalin uzuulelt'!B$5,negtgel!U453:BL453)</f>
      </c>
      <c r="H453">
        <f>SUMIF(negtgel!U$2:BL$2,'Tsalin uzuulelt'!F$1,negtgel!U453:BL453) + SUMIF(negtgel!U$2:BL$2,'Tsalin uzuulelt'!F$2,negtgel!U453:BL453)+SUMIF(negtgel!U$2:BL$2,'Tsalin uzuulelt'!F$3,negtgel!U453:BL453)+SUMIF(negtgel!U$2:BL$2,'Tsalin uzuulelt'!F$4,negtgel!U453:BL453)+SUMIF(negtgel!U$2:BL$2,'Tsalin uzuulelt'!F$5,negtgel!U453:BL453)</f>
      </c>
      <c r="I453">
        <f>SUMIF(negtgel!U$2:BL$2,'Tsalin uzuulelt'!H$1,negtgel!U453:BL453) + SUMIF(negtgel!U$2:BL$2,'Tsalin uzuulelt'!H$2,negtgel!U453:BL453)+SUMIF(negtgel!U$2:BL$2,'Tsalin uzuulelt'!H$3,negtgel!U453:BL453)+SUMIF(negtgel!U$2:BL$2,'Tsalin uzuulelt'!H$4,negtgel!U453:BL453)+SUMIF(negtgel!U$2:BL$2,'Tsalin uzuulelt'!H$5,negtgel!U453:BL453)</f>
      </c>
      <c r="J453">
        <f>SUMIF(negtgel!U$2:BL$2,'Tsalin uzuulelt'!J$1,negtgel!U453:BL453) + SUMIF(negtgel!U$2:BL$2,'Tsalin uzuulelt'!J$2,negtgel!U453:BL453)+SUMIF(negtgel!U$2:BL$2,'Tsalin uzuulelt'!J$3,negtgel!U453:BL453)+SUMIF(negtgel!U$2:BL$2,'Tsalin uzuulelt'!J$4,negtgel!U453:BL453)+SUMIF(negtgel!U$2:BL$2,'Tsalin uzuulelt'!J$5,negtgel!U453:BL453)</f>
      </c>
      <c r="K453">
        <f>SUMIF(negtgel!U$2:BL$2,'Tsalin uzuulelt'!L$1,negtgel!U453:BL453) + SUMIF(negtgel!U$2:BL$2,'Tsalin uzuulelt'!L$2,negtgel!U453:BL453)+SUMIF(negtgel!U$2:BL$2,'Tsalin uzuulelt'!L$3,negtgel!U453:BL453)+SUMIF(negtgel!U$2:BL$2,'Tsalin uzuulelt'!L$4,negtgel!U453:BL453)+SUMIF(negtgel!U$2:BL$2,'Tsalin uzuulelt'!L$5,negtgel!U453:BL453)</f>
      </c>
      <c r="L453">
        <f>SUMIF(negtgel!U$2:BL$2,'Tsalin uzuulelt'!N$1,negtgel!U453:BL453) + SUMIF(negtgel!U$2:BL$2,'Tsalin uzuulelt'!N$2,negtgel!U453:BL453)+SUMIF(negtgel!U$2:BL$2,'Tsalin uzuulelt'!N$3,negtgel!U453:BL453)+SUMIF(negtgel!U$2:BL$2,'Tsalin uzuulelt'!N$4,negtgel!U453:BL453)+SUMIF(negtgel!U$2:BL$2,'Tsalin uzuulelt'!N$5,negtgel!U453:BL453)</f>
      </c>
      <c r="M453">
        <f>SUMIF(negtgel!U$2:BL$2,'Tsalin uzuulelt'!P$1,negtgel!U453:BL453) + SUMIF(negtgel!U$2:BL$2,'Tsalin uzuulelt'!P$2,negtgel!U453:BL453)+ SUMIF(negtgel!U$2:BL$2,'Tsalin uzuulelt'!P$3,negtgel!U453:BL453)+ SUMIF(negtgel!U$2:BL$2,'Tsalin uzuulelt'!P$4,negtgel!U453:BL453)+ SUMIF(negtgel!U$2:BL$2,'Tsalin uzuulelt'!P$5,negtgel!U453:BL453)</f>
      </c>
      <c r="N453">
        <f>IF(ISNUMBER(U453*1)=CF453,0,K453-H453-G453)</f>
      </c>
      <c r="O453">
        <f>IF(ISNUMBER(U453*1)=CF453,0,L453)</f>
      </c>
      <c r="P453">
        <f>IF(ISNUMBER(U453*1)=CF453,0,M453)</f>
      </c>
      <c r="Q453">
        <f>IF(N453&gt;2400000,N453,0)</f>
      </c>
      <c r="R453">
        <f>IF(L453/Q453*100&lt;3,2,10)</f>
      </c>
      <c r="S453">
        <f>IF(CH453=0,0,IF(B453&gt;9,10,IF(B453&gt;8,B453,IF(B453&gt;7.7,7.8,IF(B453&gt;3,B453,IF(B453&gt;1.5,2))))))</f>
      </c>
      <c r="T453">
        <f>IF(Q453=0,S453,R453)</f>
      </c>
      <c r="U453" t="n">
        <v>73.0</v>
      </c>
      <c r="V453" t="s">
        <v>3824</v>
      </c>
      <c r="W453" t="s">
        <v>3790</v>
      </c>
      <c r="X453" t="n">
        <v>677436.0</v>
      </c>
      <c r="Y453" t="n">
        <v>211699.0</v>
      </c>
      <c r="Z453" t="n">
        <v>42340.0</v>
      </c>
      <c r="AA453" t="n">
        <v>42340.0</v>
      </c>
      <c r="AB453" t="n">
        <v>0.0</v>
      </c>
      <c r="AC453" t="n">
        <v>31755.0</v>
      </c>
      <c r="AD453" t="n">
        <v>0.0</v>
      </c>
      <c r="AE453" t="n">
        <v>0.0</v>
      </c>
      <c r="AF453" t="n">
        <v>15000.0</v>
      </c>
      <c r="AG453" t="n">
        <v>0.0</v>
      </c>
      <c r="AH453" t="n">
        <v>0.0</v>
      </c>
      <c r="AI453" t="n">
        <v>0.0</v>
      </c>
      <c r="AJ453" t="n">
        <v>1375446.0</v>
      </c>
      <c r="AK453" t="n">
        <v>0.0</v>
      </c>
      <c r="AL453" t="n">
        <v>0.0</v>
      </c>
      <c r="AM453" t="n">
        <v>0.0</v>
      </c>
      <c r="AN453" t="n">
        <v>0.0</v>
      </c>
      <c r="AO453" t="n">
        <v>1718580.0</v>
      </c>
      <c r="AP453" t="n">
        <v>171859.0</v>
      </c>
      <c r="AQ453" t="n">
        <v>147822.2</v>
      </c>
      <c r="CH453">
        <f>IFERROR(U453*1,0)</f>
      </c>
    </row>
    <row r="454">
      <c r="A454" t="n">
        <v>7.0</v>
      </c>
      <c r="B454">
        <f>IF((K454-G454-H454&gt;2400000),10,(L454/(K454-G454-H454)*100))</f>
      </c>
      <c r="C454">
        <f>IF(N454&gt;2400000,240000,(N454*S454)/100)</f>
      </c>
      <c r="D454">
        <f>IF(S454=0,0,IF((N454-I454)&gt;2400000,((((((N454-I454-J454)-240000))*0.1+(I454+J454)*0.1)))-7000,((((((N454-I454-J454)-(N454-I454-J454)*S454/100)))*0.1+(I454+J454)*0.1)-7000)))</f>
      </c>
      <c r="E454">
        <f>C454-O454</f>
      </c>
      <c r="F454">
        <f>D454-P454</f>
      </c>
      <c r="G454">
        <f>SUMIF(negtgel!U$2:BL$2,'Tsalin uzuulelt'!B$1,negtgel!U454:BL454) + SUMIF(negtgel!U$2:BL$2,'Tsalin uzuulelt'!B$2,negtgel!U454:BL454)+SUMIF(negtgel!U$2:BL$2,'Tsalin uzuulelt'!B$3,negtgel!U454:BL454)+SUMIF(negtgel!U$2:BL$2,'Tsalin uzuulelt'!B$4,negtgel!U454:BL454)+SUMIF(negtgel!U$2:BL$2,'Tsalin uzuulelt'!B$5,negtgel!U454:BL454)</f>
      </c>
      <c r="H454">
        <f>SUMIF(negtgel!U$2:BL$2,'Tsalin uzuulelt'!F$1,negtgel!U454:BL454) + SUMIF(negtgel!U$2:BL$2,'Tsalin uzuulelt'!F$2,negtgel!U454:BL454)+SUMIF(negtgel!U$2:BL$2,'Tsalin uzuulelt'!F$3,negtgel!U454:BL454)+SUMIF(negtgel!U$2:BL$2,'Tsalin uzuulelt'!F$4,negtgel!U454:BL454)+SUMIF(negtgel!U$2:BL$2,'Tsalin uzuulelt'!F$5,negtgel!U454:BL454)</f>
      </c>
      <c r="I454">
        <f>SUMIF(negtgel!U$2:BL$2,'Tsalin uzuulelt'!H$1,negtgel!U454:BL454) + SUMIF(negtgel!U$2:BL$2,'Tsalin uzuulelt'!H$2,negtgel!U454:BL454)+SUMIF(negtgel!U$2:BL$2,'Tsalin uzuulelt'!H$3,negtgel!U454:BL454)+SUMIF(negtgel!U$2:BL$2,'Tsalin uzuulelt'!H$4,negtgel!U454:BL454)+SUMIF(negtgel!U$2:BL$2,'Tsalin uzuulelt'!H$5,negtgel!U454:BL454)</f>
      </c>
      <c r="J454">
        <f>SUMIF(negtgel!U$2:BL$2,'Tsalin uzuulelt'!J$1,negtgel!U454:BL454) + SUMIF(negtgel!U$2:BL$2,'Tsalin uzuulelt'!J$2,negtgel!U454:BL454)+SUMIF(negtgel!U$2:BL$2,'Tsalin uzuulelt'!J$3,negtgel!U454:BL454)+SUMIF(negtgel!U$2:BL$2,'Tsalin uzuulelt'!J$4,negtgel!U454:BL454)+SUMIF(negtgel!U$2:BL$2,'Tsalin uzuulelt'!J$5,negtgel!U454:BL454)</f>
      </c>
      <c r="K454">
        <f>SUMIF(negtgel!U$2:BL$2,'Tsalin uzuulelt'!L$1,negtgel!U454:BL454) + SUMIF(negtgel!U$2:BL$2,'Tsalin uzuulelt'!L$2,negtgel!U454:BL454)+SUMIF(negtgel!U$2:BL$2,'Tsalin uzuulelt'!L$3,negtgel!U454:BL454)+SUMIF(negtgel!U$2:BL$2,'Tsalin uzuulelt'!L$4,negtgel!U454:BL454)+SUMIF(negtgel!U$2:BL$2,'Tsalin uzuulelt'!L$5,negtgel!U454:BL454)</f>
      </c>
      <c r="L454">
        <f>SUMIF(negtgel!U$2:BL$2,'Tsalin uzuulelt'!N$1,negtgel!U454:BL454) + SUMIF(negtgel!U$2:BL$2,'Tsalin uzuulelt'!N$2,negtgel!U454:BL454)+SUMIF(negtgel!U$2:BL$2,'Tsalin uzuulelt'!N$3,negtgel!U454:BL454)+SUMIF(negtgel!U$2:BL$2,'Tsalin uzuulelt'!N$4,negtgel!U454:BL454)+SUMIF(negtgel!U$2:BL$2,'Tsalin uzuulelt'!N$5,negtgel!U454:BL454)</f>
      </c>
      <c r="M454">
        <f>SUMIF(negtgel!U$2:BL$2,'Tsalin uzuulelt'!P$1,negtgel!U454:BL454) + SUMIF(negtgel!U$2:BL$2,'Tsalin uzuulelt'!P$2,negtgel!U454:BL454)+ SUMIF(negtgel!U$2:BL$2,'Tsalin uzuulelt'!P$3,negtgel!U454:BL454)+ SUMIF(negtgel!U$2:BL$2,'Tsalin uzuulelt'!P$4,negtgel!U454:BL454)+ SUMIF(negtgel!U$2:BL$2,'Tsalin uzuulelt'!P$5,negtgel!U454:BL454)</f>
      </c>
      <c r="N454">
        <f>IF(ISNUMBER(U454*1)=CF454,0,K454-H454-G454)</f>
      </c>
      <c r="O454">
        <f>IF(ISNUMBER(U454*1)=CF454,0,L454)</f>
      </c>
      <c r="P454">
        <f>IF(ISNUMBER(U454*1)=CF454,0,M454)</f>
      </c>
      <c r="Q454">
        <f>IF(N454&gt;2400000,N454,0)</f>
      </c>
      <c r="R454">
        <f>IF(L454/Q454*100&lt;3,2,10)</f>
      </c>
      <c r="S454">
        <f>IF(CH454=0,0,IF(B454&gt;9,10,IF(B454&gt;8,B454,IF(B454&gt;7.7,7.8,IF(B454&gt;3,B454,IF(B454&gt;1.5,2))))))</f>
      </c>
      <c r="T454">
        <f>IF(Q454=0,S454,R454)</f>
      </c>
      <c r="U454" t="s">
        <v>3787</v>
      </c>
      <c r="V454"/>
      <c r="W454"/>
      <c r="X454" t="n">
        <v>4484667.0</v>
      </c>
      <c r="Y454" t="n">
        <v>1292235.0</v>
      </c>
      <c r="Z454" t="n">
        <v>117436.0</v>
      </c>
      <c r="AA454" t="n">
        <v>123987.0</v>
      </c>
      <c r="AB454" t="n">
        <v>0.0</v>
      </c>
      <c r="AC454" t="n">
        <v>31755.0</v>
      </c>
      <c r="AD454" t="n">
        <v>219104.0</v>
      </c>
      <c r="AE454" t="n">
        <v>0.0</v>
      </c>
      <c r="AF454" t="n">
        <v>102000.0</v>
      </c>
      <c r="AG454" t="n">
        <v>0.0</v>
      </c>
      <c r="AH454" t="n">
        <v>0.0</v>
      </c>
      <c r="AI454" t="n">
        <v>0.0</v>
      </c>
      <c r="AJ454" t="n">
        <v>4924394.0</v>
      </c>
      <c r="AK454" t="n">
        <v>0.0</v>
      </c>
      <c r="AL454" t="n">
        <v>0.0</v>
      </c>
      <c r="AM454" t="n">
        <v>0.0</v>
      </c>
      <c r="AN454" t="n">
        <v>0.0</v>
      </c>
      <c r="AO454" t="n">
        <v>6810911.0</v>
      </c>
      <c r="AP454" t="n">
        <v>681091.0</v>
      </c>
      <c r="AQ454" t="n">
        <v>572002.0</v>
      </c>
      <c r="CH454">
        <f>IFERROR(U454*1,0)</f>
      </c>
    </row>
    <row r="455">
      <c r="A455" t="n">
        <v>7.0</v>
      </c>
      <c r="B455">
        <f>IF((K455-G455-H455&gt;2400000),10,(L455/(K455-G455-H455)*100))</f>
      </c>
      <c r="C455">
        <f>IF(N455&gt;2400000,240000,(N455*S455)/100)</f>
      </c>
      <c r="D455">
        <f>IF(S455=0,0,IF((N455-I455)&gt;2400000,((((((N455-I455-J455)-240000))*0.1+(I455+J455)*0.1)))-7000,((((((N455-I455-J455)-(N455-I455-J455)*S455/100)))*0.1+(I455+J455)*0.1)-7000)))</f>
      </c>
      <c r="E455">
        <f>C455-O455</f>
      </c>
      <c r="F455">
        <f>D455-P455</f>
      </c>
      <c r="G455">
        <f>SUMIF(negtgel!U$2:BL$2,'Tsalin uzuulelt'!B$1,negtgel!U455:BL455) + SUMIF(negtgel!U$2:BL$2,'Tsalin uzuulelt'!B$2,negtgel!U455:BL455)+SUMIF(negtgel!U$2:BL$2,'Tsalin uzuulelt'!B$3,negtgel!U455:BL455)+SUMIF(negtgel!U$2:BL$2,'Tsalin uzuulelt'!B$4,negtgel!U455:BL455)+SUMIF(negtgel!U$2:BL$2,'Tsalin uzuulelt'!B$5,negtgel!U455:BL455)</f>
      </c>
      <c r="H455">
        <f>SUMIF(negtgel!U$2:BL$2,'Tsalin uzuulelt'!F$1,negtgel!U455:BL455) + SUMIF(negtgel!U$2:BL$2,'Tsalin uzuulelt'!F$2,negtgel!U455:BL455)+SUMIF(negtgel!U$2:BL$2,'Tsalin uzuulelt'!F$3,negtgel!U455:BL455)+SUMIF(negtgel!U$2:BL$2,'Tsalin uzuulelt'!F$4,negtgel!U455:BL455)+SUMIF(negtgel!U$2:BL$2,'Tsalin uzuulelt'!F$5,negtgel!U455:BL455)</f>
      </c>
      <c r="I455">
        <f>SUMIF(negtgel!U$2:BL$2,'Tsalin uzuulelt'!H$1,negtgel!U455:BL455) + SUMIF(negtgel!U$2:BL$2,'Tsalin uzuulelt'!H$2,negtgel!U455:BL455)+SUMIF(negtgel!U$2:BL$2,'Tsalin uzuulelt'!H$3,negtgel!U455:BL455)+SUMIF(negtgel!U$2:BL$2,'Tsalin uzuulelt'!H$4,negtgel!U455:BL455)+SUMIF(negtgel!U$2:BL$2,'Tsalin uzuulelt'!H$5,negtgel!U455:BL455)</f>
      </c>
      <c r="J455">
        <f>SUMIF(negtgel!U$2:BL$2,'Tsalin uzuulelt'!J$1,negtgel!U455:BL455) + SUMIF(negtgel!U$2:BL$2,'Tsalin uzuulelt'!J$2,negtgel!U455:BL455)+SUMIF(negtgel!U$2:BL$2,'Tsalin uzuulelt'!J$3,negtgel!U455:BL455)+SUMIF(negtgel!U$2:BL$2,'Tsalin uzuulelt'!J$4,negtgel!U455:BL455)+SUMIF(negtgel!U$2:BL$2,'Tsalin uzuulelt'!J$5,negtgel!U455:BL455)</f>
      </c>
      <c r="K455">
        <f>SUMIF(negtgel!U$2:BL$2,'Tsalin uzuulelt'!L$1,negtgel!U455:BL455) + SUMIF(negtgel!U$2:BL$2,'Tsalin uzuulelt'!L$2,negtgel!U455:BL455)+SUMIF(negtgel!U$2:BL$2,'Tsalin uzuulelt'!L$3,negtgel!U455:BL455)+SUMIF(negtgel!U$2:BL$2,'Tsalin uzuulelt'!L$4,negtgel!U455:BL455)+SUMIF(negtgel!U$2:BL$2,'Tsalin uzuulelt'!L$5,negtgel!U455:BL455)</f>
      </c>
      <c r="L455">
        <f>SUMIF(negtgel!U$2:BL$2,'Tsalin uzuulelt'!N$1,negtgel!U455:BL455) + SUMIF(negtgel!U$2:BL$2,'Tsalin uzuulelt'!N$2,negtgel!U455:BL455)+SUMIF(negtgel!U$2:BL$2,'Tsalin uzuulelt'!N$3,negtgel!U455:BL455)+SUMIF(negtgel!U$2:BL$2,'Tsalin uzuulelt'!N$4,negtgel!U455:BL455)+SUMIF(negtgel!U$2:BL$2,'Tsalin uzuulelt'!N$5,negtgel!U455:BL455)</f>
      </c>
      <c r="M455">
        <f>SUMIF(negtgel!U$2:BL$2,'Tsalin uzuulelt'!P$1,negtgel!U455:BL455) + SUMIF(negtgel!U$2:BL$2,'Tsalin uzuulelt'!P$2,negtgel!U455:BL455)+ SUMIF(negtgel!U$2:BL$2,'Tsalin uzuulelt'!P$3,negtgel!U455:BL455)+ SUMIF(negtgel!U$2:BL$2,'Tsalin uzuulelt'!P$4,negtgel!U455:BL455)+ SUMIF(negtgel!U$2:BL$2,'Tsalin uzuulelt'!P$5,negtgel!U455:BL455)</f>
      </c>
      <c r="N455">
        <f>IF(ISNUMBER(U455*1)=CF455,0,K455-H455-G455)</f>
      </c>
      <c r="O455">
        <f>IF(ISNUMBER(U455*1)=CF455,0,L455)</f>
      </c>
      <c r="P455">
        <f>IF(ISNUMBER(U455*1)=CF455,0,M455)</f>
      </c>
      <c r="Q455">
        <f>IF(N455&gt;2400000,N455,0)</f>
      </c>
      <c r="R455">
        <f>IF(L455/Q455*100&lt;3,2,10)</f>
      </c>
      <c r="S455">
        <f>IF(CH455=0,0,IF(B455&gt;9,10,IF(B455&gt;8,B455,IF(B455&gt;7.7,7.8,IF(B455&gt;3,B455,IF(B455&gt;1.5,2))))))</f>
      </c>
      <c r="T455">
        <f>IF(Q455=0,S455,R455)</f>
      </c>
      <c r="U455" t="s">
        <v>3825</v>
      </c>
      <c r="V455"/>
      <c r="W455"/>
      <c r="X455"/>
      <c r="Y455"/>
      <c r="Z455"/>
      <c r="AA455"/>
      <c r="AB455"/>
      <c r="AC455"/>
      <c r="AD455"/>
      <c r="AE455"/>
      <c r="AF455"/>
      <c r="AG455"/>
      <c r="AH455"/>
      <c r="AI455"/>
      <c r="AJ455"/>
      <c r="AK455"/>
      <c r="AL455"/>
      <c r="AM455"/>
      <c r="AN455"/>
      <c r="AO455"/>
      <c r="AP455"/>
      <c r="AQ455"/>
      <c r="CH455">
        <f>IFERROR(U455*1,0)</f>
      </c>
    </row>
    <row r="456">
      <c r="A456" t="n">
        <v>7.0</v>
      </c>
      <c r="B456">
        <f>IF((K456-G456-H456&gt;2400000),10,(L456/(K456-G456-H456)*100))</f>
      </c>
      <c r="C456">
        <f>IF(N456&gt;2400000,240000,(N456*S456)/100)</f>
      </c>
      <c r="D456">
        <f>IF(S456=0,0,IF((N456-I456)&gt;2400000,((((((N456-I456-J456)-240000))*0.1+(I456+J456)*0.1)))-7000,((((((N456-I456-J456)-(N456-I456-J456)*S456/100)))*0.1+(I456+J456)*0.1)-7000)))</f>
      </c>
      <c r="E456">
        <f>C456-O456</f>
      </c>
      <c r="F456">
        <f>D456-P456</f>
      </c>
      <c r="G456">
        <f>SUMIF(negtgel!U$2:BL$2,'Tsalin uzuulelt'!B$1,negtgel!U456:BL456) + SUMIF(negtgel!U$2:BL$2,'Tsalin uzuulelt'!B$2,negtgel!U456:BL456)+SUMIF(negtgel!U$2:BL$2,'Tsalin uzuulelt'!B$3,negtgel!U456:BL456)+SUMIF(negtgel!U$2:BL$2,'Tsalin uzuulelt'!B$4,negtgel!U456:BL456)+SUMIF(negtgel!U$2:BL$2,'Tsalin uzuulelt'!B$5,negtgel!U456:BL456)</f>
      </c>
      <c r="H456">
        <f>SUMIF(negtgel!U$2:BL$2,'Tsalin uzuulelt'!F$1,negtgel!U456:BL456) + SUMIF(negtgel!U$2:BL$2,'Tsalin uzuulelt'!F$2,negtgel!U456:BL456)+SUMIF(negtgel!U$2:BL$2,'Tsalin uzuulelt'!F$3,negtgel!U456:BL456)+SUMIF(negtgel!U$2:BL$2,'Tsalin uzuulelt'!F$4,negtgel!U456:BL456)+SUMIF(negtgel!U$2:BL$2,'Tsalin uzuulelt'!F$5,negtgel!U456:BL456)</f>
      </c>
      <c r="I456">
        <f>SUMIF(negtgel!U$2:BL$2,'Tsalin uzuulelt'!H$1,negtgel!U456:BL456) + SUMIF(negtgel!U$2:BL$2,'Tsalin uzuulelt'!H$2,negtgel!U456:BL456)+SUMIF(negtgel!U$2:BL$2,'Tsalin uzuulelt'!H$3,negtgel!U456:BL456)+SUMIF(negtgel!U$2:BL$2,'Tsalin uzuulelt'!H$4,negtgel!U456:BL456)+SUMIF(negtgel!U$2:BL$2,'Tsalin uzuulelt'!H$5,negtgel!U456:BL456)</f>
      </c>
      <c r="J456">
        <f>SUMIF(negtgel!U$2:BL$2,'Tsalin uzuulelt'!J$1,negtgel!U456:BL456) + SUMIF(negtgel!U$2:BL$2,'Tsalin uzuulelt'!J$2,negtgel!U456:BL456)+SUMIF(negtgel!U$2:BL$2,'Tsalin uzuulelt'!J$3,negtgel!U456:BL456)+SUMIF(negtgel!U$2:BL$2,'Tsalin uzuulelt'!J$4,negtgel!U456:BL456)+SUMIF(negtgel!U$2:BL$2,'Tsalin uzuulelt'!J$5,negtgel!U456:BL456)</f>
      </c>
      <c r="K456">
        <f>SUMIF(negtgel!U$2:BL$2,'Tsalin uzuulelt'!L$1,negtgel!U456:BL456) + SUMIF(negtgel!U$2:BL$2,'Tsalin uzuulelt'!L$2,negtgel!U456:BL456)+SUMIF(negtgel!U$2:BL$2,'Tsalin uzuulelt'!L$3,negtgel!U456:BL456)+SUMIF(negtgel!U$2:BL$2,'Tsalin uzuulelt'!L$4,negtgel!U456:BL456)+SUMIF(negtgel!U$2:BL$2,'Tsalin uzuulelt'!L$5,negtgel!U456:BL456)</f>
      </c>
      <c r="L456">
        <f>SUMIF(negtgel!U$2:BL$2,'Tsalin uzuulelt'!N$1,negtgel!U456:BL456) + SUMIF(negtgel!U$2:BL$2,'Tsalin uzuulelt'!N$2,negtgel!U456:BL456)+SUMIF(negtgel!U$2:BL$2,'Tsalin uzuulelt'!N$3,negtgel!U456:BL456)+SUMIF(negtgel!U$2:BL$2,'Tsalin uzuulelt'!N$4,negtgel!U456:BL456)+SUMIF(negtgel!U$2:BL$2,'Tsalin uzuulelt'!N$5,negtgel!U456:BL456)</f>
      </c>
      <c r="M456">
        <f>SUMIF(negtgel!U$2:BL$2,'Tsalin uzuulelt'!P$1,negtgel!U456:BL456) + SUMIF(negtgel!U$2:BL$2,'Tsalin uzuulelt'!P$2,negtgel!U456:BL456)+ SUMIF(negtgel!U$2:BL$2,'Tsalin uzuulelt'!P$3,negtgel!U456:BL456)+ SUMIF(negtgel!U$2:BL$2,'Tsalin uzuulelt'!P$4,negtgel!U456:BL456)+ SUMIF(negtgel!U$2:BL$2,'Tsalin uzuulelt'!P$5,negtgel!U456:BL456)</f>
      </c>
      <c r="N456">
        <f>IF(ISNUMBER(U456*1)=CF456,0,K456-H456-G456)</f>
      </c>
      <c r="O456">
        <f>IF(ISNUMBER(U456*1)=CF456,0,L456)</f>
      </c>
      <c r="P456">
        <f>IF(ISNUMBER(U456*1)=CF456,0,M456)</f>
      </c>
      <c r="Q456">
        <f>IF(N456&gt;2400000,N456,0)</f>
      </c>
      <c r="R456">
        <f>IF(L456/Q456*100&lt;3,2,10)</f>
      </c>
      <c r="S456">
        <f>IF(CH456=0,0,IF(B456&gt;9,10,IF(B456&gt;8,B456,IF(B456&gt;7.7,7.8,IF(B456&gt;3,B456,IF(B456&gt;1.5,2))))))</f>
      </c>
      <c r="T456">
        <f>IF(Q456=0,S456,R456)</f>
      </c>
      <c r="U456" t="n">
        <v>74.0</v>
      </c>
      <c r="V456" t="s">
        <v>3827</v>
      </c>
      <c r="W456" t="s">
        <v>3790</v>
      </c>
      <c r="X456" t="n">
        <v>580710.0</v>
      </c>
      <c r="Y456" t="n">
        <v>181472.0</v>
      </c>
      <c r="Z456" t="n">
        <v>0.0</v>
      </c>
      <c r="AA456" t="n">
        <v>0.0</v>
      </c>
      <c r="AB456" t="n">
        <v>0.0</v>
      </c>
      <c r="AC456" t="n">
        <v>0.0</v>
      </c>
      <c r="AD456" t="n">
        <v>0.0</v>
      </c>
      <c r="AE456" t="n">
        <v>0.0</v>
      </c>
      <c r="AF456" t="n">
        <v>15000.0</v>
      </c>
      <c r="AG456" t="n">
        <v>0.0</v>
      </c>
      <c r="AH456" t="n">
        <v>0.0</v>
      </c>
      <c r="AI456" t="n">
        <v>0.0</v>
      </c>
      <c r="AJ456" t="n">
        <v>421351.0</v>
      </c>
      <c r="AK456" t="n">
        <v>0.0</v>
      </c>
      <c r="AL456" t="n">
        <v>0.0</v>
      </c>
      <c r="AM456" t="n">
        <v>0.0</v>
      </c>
      <c r="AN456" t="n">
        <v>0.0</v>
      </c>
      <c r="AO456" t="n">
        <v>617823.0</v>
      </c>
      <c r="AP456" t="n">
        <v>61783.0</v>
      </c>
      <c r="AQ456" t="n">
        <v>48754.1</v>
      </c>
      <c r="CH456">
        <f>IFERROR(U456*1,0)</f>
      </c>
    </row>
    <row r="457">
      <c r="A457" t="n">
        <v>7.0</v>
      </c>
      <c r="B457">
        <f>IF((K457-G457-H457&gt;2400000),10,(L457/(K457-G457-H457)*100))</f>
      </c>
      <c r="C457">
        <f>IF(N457&gt;2400000,240000,(N457*S457)/100)</f>
      </c>
      <c r="D457">
        <f>IF(S457=0,0,IF((N457-I457)&gt;2400000,((((((N457-I457-J457)-240000))*0.1+(I457+J457)*0.1)))-7000,((((((N457-I457-J457)-(N457-I457-J457)*S457/100)))*0.1+(I457+J457)*0.1)-7000)))</f>
      </c>
      <c r="E457">
        <f>C457-O457</f>
      </c>
      <c r="F457">
        <f>D457-P457</f>
      </c>
      <c r="G457">
        <f>SUMIF(negtgel!U$2:BL$2,'Tsalin uzuulelt'!B$1,negtgel!U457:BL457) + SUMIF(negtgel!U$2:BL$2,'Tsalin uzuulelt'!B$2,negtgel!U457:BL457)+SUMIF(negtgel!U$2:BL$2,'Tsalin uzuulelt'!B$3,negtgel!U457:BL457)+SUMIF(negtgel!U$2:BL$2,'Tsalin uzuulelt'!B$4,negtgel!U457:BL457)+SUMIF(negtgel!U$2:BL$2,'Tsalin uzuulelt'!B$5,negtgel!U457:BL457)</f>
      </c>
      <c r="H457">
        <f>SUMIF(negtgel!U$2:BL$2,'Tsalin uzuulelt'!F$1,negtgel!U457:BL457) + SUMIF(negtgel!U$2:BL$2,'Tsalin uzuulelt'!F$2,negtgel!U457:BL457)+SUMIF(negtgel!U$2:BL$2,'Tsalin uzuulelt'!F$3,negtgel!U457:BL457)+SUMIF(negtgel!U$2:BL$2,'Tsalin uzuulelt'!F$4,negtgel!U457:BL457)+SUMIF(negtgel!U$2:BL$2,'Tsalin uzuulelt'!F$5,negtgel!U457:BL457)</f>
      </c>
      <c r="I457">
        <f>SUMIF(negtgel!U$2:BL$2,'Tsalin uzuulelt'!H$1,negtgel!U457:BL457) + SUMIF(negtgel!U$2:BL$2,'Tsalin uzuulelt'!H$2,negtgel!U457:BL457)+SUMIF(negtgel!U$2:BL$2,'Tsalin uzuulelt'!H$3,negtgel!U457:BL457)+SUMIF(negtgel!U$2:BL$2,'Tsalin uzuulelt'!H$4,negtgel!U457:BL457)+SUMIF(negtgel!U$2:BL$2,'Tsalin uzuulelt'!H$5,negtgel!U457:BL457)</f>
      </c>
      <c r="J457">
        <f>SUMIF(negtgel!U$2:BL$2,'Tsalin uzuulelt'!J$1,negtgel!U457:BL457) + SUMIF(negtgel!U$2:BL$2,'Tsalin uzuulelt'!J$2,negtgel!U457:BL457)+SUMIF(negtgel!U$2:BL$2,'Tsalin uzuulelt'!J$3,negtgel!U457:BL457)+SUMIF(negtgel!U$2:BL$2,'Tsalin uzuulelt'!J$4,negtgel!U457:BL457)+SUMIF(negtgel!U$2:BL$2,'Tsalin uzuulelt'!J$5,negtgel!U457:BL457)</f>
      </c>
      <c r="K457">
        <f>SUMIF(negtgel!U$2:BL$2,'Tsalin uzuulelt'!L$1,negtgel!U457:BL457) + SUMIF(negtgel!U$2:BL$2,'Tsalin uzuulelt'!L$2,negtgel!U457:BL457)+SUMIF(negtgel!U$2:BL$2,'Tsalin uzuulelt'!L$3,negtgel!U457:BL457)+SUMIF(negtgel!U$2:BL$2,'Tsalin uzuulelt'!L$4,negtgel!U457:BL457)+SUMIF(negtgel!U$2:BL$2,'Tsalin uzuulelt'!L$5,negtgel!U457:BL457)</f>
      </c>
      <c r="L457">
        <f>SUMIF(negtgel!U$2:BL$2,'Tsalin uzuulelt'!N$1,negtgel!U457:BL457) + SUMIF(negtgel!U$2:BL$2,'Tsalin uzuulelt'!N$2,negtgel!U457:BL457)+SUMIF(negtgel!U$2:BL$2,'Tsalin uzuulelt'!N$3,negtgel!U457:BL457)+SUMIF(negtgel!U$2:BL$2,'Tsalin uzuulelt'!N$4,negtgel!U457:BL457)+SUMIF(negtgel!U$2:BL$2,'Tsalin uzuulelt'!N$5,negtgel!U457:BL457)</f>
      </c>
      <c r="M457">
        <f>SUMIF(negtgel!U$2:BL$2,'Tsalin uzuulelt'!P$1,negtgel!U457:BL457) + SUMIF(negtgel!U$2:BL$2,'Tsalin uzuulelt'!P$2,negtgel!U457:BL457)+ SUMIF(negtgel!U$2:BL$2,'Tsalin uzuulelt'!P$3,negtgel!U457:BL457)+ SUMIF(negtgel!U$2:BL$2,'Tsalin uzuulelt'!P$4,negtgel!U457:BL457)+ SUMIF(negtgel!U$2:BL$2,'Tsalin uzuulelt'!P$5,negtgel!U457:BL457)</f>
      </c>
      <c r="N457">
        <f>IF(ISNUMBER(U457*1)=CF457,0,K457-H457-G457)</f>
      </c>
      <c r="O457">
        <f>IF(ISNUMBER(U457*1)=CF457,0,L457)</f>
      </c>
      <c r="P457">
        <f>IF(ISNUMBER(U457*1)=CF457,0,M457)</f>
      </c>
      <c r="Q457">
        <f>IF(N457&gt;2400000,N457,0)</f>
      </c>
      <c r="R457">
        <f>IF(L457/Q457*100&lt;3,2,10)</f>
      </c>
      <c r="S457">
        <f>IF(CH457=0,0,IF(B457&gt;9,10,IF(B457&gt;8,B457,IF(B457&gt;7.7,7.8,IF(B457&gt;3,B457,IF(B457&gt;1.5,2))))))</f>
      </c>
      <c r="T457">
        <f>IF(Q457=0,S457,R457)</f>
      </c>
      <c r="U457" t="n">
        <v>75.0</v>
      </c>
      <c r="V457" t="s">
        <v>3828</v>
      </c>
      <c r="W457" t="s">
        <v>3792</v>
      </c>
      <c r="X457" t="n">
        <v>500784.0</v>
      </c>
      <c r="Y457" t="n">
        <v>0.0</v>
      </c>
      <c r="Z457" t="n">
        <v>0.0</v>
      </c>
      <c r="AA457" t="n">
        <v>0.0</v>
      </c>
      <c r="AB457" t="n">
        <v>0.0</v>
      </c>
      <c r="AC457" t="n">
        <v>0.0</v>
      </c>
      <c r="AD457" t="n">
        <v>0.0</v>
      </c>
      <c r="AE457" t="n">
        <v>0.0</v>
      </c>
      <c r="AF457" t="n">
        <v>0.0</v>
      </c>
      <c r="AG457" t="n">
        <v>0.0</v>
      </c>
      <c r="AH457" t="n">
        <v>0.0</v>
      </c>
      <c r="AI457" t="n">
        <v>0.0</v>
      </c>
      <c r="AJ457" t="n">
        <v>0.0</v>
      </c>
      <c r="AK457" t="n">
        <v>0.0</v>
      </c>
      <c r="AL457" t="n">
        <v>0.0</v>
      </c>
      <c r="AM457" t="n">
        <v>0.0</v>
      </c>
      <c r="AN457" t="n">
        <v>0.0</v>
      </c>
      <c r="AO457" t="n">
        <v>0.0</v>
      </c>
      <c r="AP457" t="n">
        <v>0.0</v>
      </c>
      <c r="AQ457" t="n">
        <v>0.0</v>
      </c>
      <c r="CH457">
        <f>IFERROR(U457*1,0)</f>
      </c>
    </row>
    <row r="458">
      <c r="A458" t="n">
        <v>7.0</v>
      </c>
      <c r="B458">
        <f>IF((K458-G458-H458&gt;2400000),10,(L458/(K458-G458-H458)*100))</f>
      </c>
      <c r="C458">
        <f>IF(N458&gt;2400000,240000,(N458*S458)/100)</f>
      </c>
      <c r="D458">
        <f>IF(S458=0,0,IF((N458-I458)&gt;2400000,((((((N458-I458-J458)-240000))*0.1+(I458+J458)*0.1)))-7000,((((((N458-I458-J458)-(N458-I458-J458)*S458/100)))*0.1+(I458+J458)*0.1)-7000)))</f>
      </c>
      <c r="E458">
        <f>C458-O458</f>
      </c>
      <c r="F458">
        <f>D458-P458</f>
      </c>
      <c r="G458">
        <f>SUMIF(negtgel!U$2:BL$2,'Tsalin uzuulelt'!B$1,negtgel!U458:BL458) + SUMIF(negtgel!U$2:BL$2,'Tsalin uzuulelt'!B$2,negtgel!U458:BL458)+SUMIF(negtgel!U$2:BL$2,'Tsalin uzuulelt'!B$3,negtgel!U458:BL458)+SUMIF(negtgel!U$2:BL$2,'Tsalin uzuulelt'!B$4,negtgel!U458:BL458)+SUMIF(negtgel!U$2:BL$2,'Tsalin uzuulelt'!B$5,negtgel!U458:BL458)</f>
      </c>
      <c r="H458">
        <f>SUMIF(negtgel!U$2:BL$2,'Tsalin uzuulelt'!F$1,negtgel!U458:BL458) + SUMIF(negtgel!U$2:BL$2,'Tsalin uzuulelt'!F$2,negtgel!U458:BL458)+SUMIF(negtgel!U$2:BL$2,'Tsalin uzuulelt'!F$3,negtgel!U458:BL458)+SUMIF(negtgel!U$2:BL$2,'Tsalin uzuulelt'!F$4,negtgel!U458:BL458)+SUMIF(negtgel!U$2:BL$2,'Tsalin uzuulelt'!F$5,negtgel!U458:BL458)</f>
      </c>
      <c r="I458">
        <f>SUMIF(negtgel!U$2:BL$2,'Tsalin uzuulelt'!H$1,negtgel!U458:BL458) + SUMIF(negtgel!U$2:BL$2,'Tsalin uzuulelt'!H$2,negtgel!U458:BL458)+SUMIF(negtgel!U$2:BL$2,'Tsalin uzuulelt'!H$3,negtgel!U458:BL458)+SUMIF(negtgel!U$2:BL$2,'Tsalin uzuulelt'!H$4,negtgel!U458:BL458)+SUMIF(negtgel!U$2:BL$2,'Tsalin uzuulelt'!H$5,negtgel!U458:BL458)</f>
      </c>
      <c r="J458">
        <f>SUMIF(negtgel!U$2:BL$2,'Tsalin uzuulelt'!J$1,negtgel!U458:BL458) + SUMIF(negtgel!U$2:BL$2,'Tsalin uzuulelt'!J$2,negtgel!U458:BL458)+SUMIF(negtgel!U$2:BL$2,'Tsalin uzuulelt'!J$3,negtgel!U458:BL458)+SUMIF(negtgel!U$2:BL$2,'Tsalin uzuulelt'!J$4,negtgel!U458:BL458)+SUMIF(negtgel!U$2:BL$2,'Tsalin uzuulelt'!J$5,negtgel!U458:BL458)</f>
      </c>
      <c r="K458">
        <f>SUMIF(negtgel!U$2:BL$2,'Tsalin uzuulelt'!L$1,negtgel!U458:BL458) + SUMIF(negtgel!U$2:BL$2,'Tsalin uzuulelt'!L$2,negtgel!U458:BL458)+SUMIF(negtgel!U$2:BL$2,'Tsalin uzuulelt'!L$3,negtgel!U458:BL458)+SUMIF(negtgel!U$2:BL$2,'Tsalin uzuulelt'!L$4,negtgel!U458:BL458)+SUMIF(negtgel!U$2:BL$2,'Tsalin uzuulelt'!L$5,negtgel!U458:BL458)</f>
      </c>
      <c r="L458">
        <f>SUMIF(negtgel!U$2:BL$2,'Tsalin uzuulelt'!N$1,negtgel!U458:BL458) + SUMIF(negtgel!U$2:BL$2,'Tsalin uzuulelt'!N$2,negtgel!U458:BL458)+SUMIF(negtgel!U$2:BL$2,'Tsalin uzuulelt'!N$3,negtgel!U458:BL458)+SUMIF(negtgel!U$2:BL$2,'Tsalin uzuulelt'!N$4,negtgel!U458:BL458)+SUMIF(negtgel!U$2:BL$2,'Tsalin uzuulelt'!N$5,negtgel!U458:BL458)</f>
      </c>
      <c r="M458">
        <f>SUMIF(negtgel!U$2:BL$2,'Tsalin uzuulelt'!P$1,negtgel!U458:BL458) + SUMIF(negtgel!U$2:BL$2,'Tsalin uzuulelt'!P$2,negtgel!U458:BL458)+ SUMIF(negtgel!U$2:BL$2,'Tsalin uzuulelt'!P$3,negtgel!U458:BL458)+ SUMIF(negtgel!U$2:BL$2,'Tsalin uzuulelt'!P$4,negtgel!U458:BL458)+ SUMIF(negtgel!U$2:BL$2,'Tsalin uzuulelt'!P$5,negtgel!U458:BL458)</f>
      </c>
      <c r="N458">
        <f>IF(ISNUMBER(U458*1)=CF458,0,K458-H458-G458)</f>
      </c>
      <c r="O458">
        <f>IF(ISNUMBER(U458*1)=CF458,0,L458)</f>
      </c>
      <c r="P458">
        <f>IF(ISNUMBER(U458*1)=CF458,0,M458)</f>
      </c>
      <c r="Q458">
        <f>IF(N458&gt;2400000,N458,0)</f>
      </c>
      <c r="R458">
        <f>IF(L458/Q458*100&lt;3,2,10)</f>
      </c>
      <c r="S458">
        <f>IF(CH458=0,0,IF(B458&gt;9,10,IF(B458&gt;8,B458,IF(B458&gt;7.7,7.8,IF(B458&gt;3,B458,IF(B458&gt;1.5,2))))))</f>
      </c>
      <c r="T458">
        <f>IF(Q458=0,S458,R458)</f>
      </c>
      <c r="U458" t="n">
        <v>76.0</v>
      </c>
      <c r="V458" t="s">
        <v>3829</v>
      </c>
      <c r="W458" t="s">
        <v>3792</v>
      </c>
      <c r="X458" t="n">
        <v>496912.0</v>
      </c>
      <c r="Y458" t="n">
        <v>496912.0</v>
      </c>
      <c r="Z458" t="n">
        <v>0.0</v>
      </c>
      <c r="AA458" t="n">
        <v>0.0</v>
      </c>
      <c r="AB458" t="n">
        <v>49691.0</v>
      </c>
      <c r="AC458" t="n">
        <v>0.0</v>
      </c>
      <c r="AD458" t="n">
        <v>0.0</v>
      </c>
      <c r="AE458" t="n">
        <v>0.0</v>
      </c>
      <c r="AF458" t="n">
        <v>48000.0</v>
      </c>
      <c r="AG458" t="n">
        <v>0.0</v>
      </c>
      <c r="AH458" t="n">
        <v>0.0</v>
      </c>
      <c r="AI458" t="n">
        <v>0.0</v>
      </c>
      <c r="AJ458" t="n">
        <v>0.0</v>
      </c>
      <c r="AK458" t="n">
        <v>0.0</v>
      </c>
      <c r="AL458" t="n">
        <v>0.0</v>
      </c>
      <c r="AM458" t="n">
        <v>0.0</v>
      </c>
      <c r="AN458" t="n">
        <v>0.0</v>
      </c>
      <c r="AO458" t="n">
        <v>594603.0</v>
      </c>
      <c r="AP458" t="n">
        <v>59460.0</v>
      </c>
      <c r="AQ458" t="n">
        <v>46994.3</v>
      </c>
      <c r="CH458">
        <f>IFERROR(U458*1,0)</f>
      </c>
    </row>
    <row r="459">
      <c r="A459" t="n">
        <v>7.0</v>
      </c>
      <c r="B459">
        <f>IF((K459-G459-H459&gt;2400000),10,(L459/(K459-G459-H459)*100))</f>
      </c>
      <c r="C459">
        <f>IF(N459&gt;2400000,240000,(N459*S459)/100)</f>
      </c>
      <c r="D459">
        <f>IF(S459=0,0,IF((N459-I459)&gt;2400000,((((((N459-I459-J459)-240000))*0.1+(I459+J459)*0.1)))-7000,((((((N459-I459-J459)-(N459-I459-J459)*S459/100)))*0.1+(I459+J459)*0.1)-7000)))</f>
      </c>
      <c r="E459">
        <f>C459-O459</f>
      </c>
      <c r="F459">
        <f>D459-P459</f>
      </c>
      <c r="G459">
        <f>SUMIF(negtgel!U$2:BL$2,'Tsalin uzuulelt'!B$1,negtgel!U459:BL459) + SUMIF(negtgel!U$2:BL$2,'Tsalin uzuulelt'!B$2,negtgel!U459:BL459)+SUMIF(negtgel!U$2:BL$2,'Tsalin uzuulelt'!B$3,negtgel!U459:BL459)+SUMIF(negtgel!U$2:BL$2,'Tsalin uzuulelt'!B$4,negtgel!U459:BL459)+SUMIF(negtgel!U$2:BL$2,'Tsalin uzuulelt'!B$5,negtgel!U459:BL459)</f>
      </c>
      <c r="H459">
        <f>SUMIF(negtgel!U$2:BL$2,'Tsalin uzuulelt'!F$1,negtgel!U459:BL459) + SUMIF(negtgel!U$2:BL$2,'Tsalin uzuulelt'!F$2,negtgel!U459:BL459)+SUMIF(negtgel!U$2:BL$2,'Tsalin uzuulelt'!F$3,negtgel!U459:BL459)+SUMIF(negtgel!U$2:BL$2,'Tsalin uzuulelt'!F$4,negtgel!U459:BL459)+SUMIF(negtgel!U$2:BL$2,'Tsalin uzuulelt'!F$5,negtgel!U459:BL459)</f>
      </c>
      <c r="I459">
        <f>SUMIF(negtgel!U$2:BL$2,'Tsalin uzuulelt'!H$1,negtgel!U459:BL459) + SUMIF(negtgel!U$2:BL$2,'Tsalin uzuulelt'!H$2,negtgel!U459:BL459)+SUMIF(negtgel!U$2:BL$2,'Tsalin uzuulelt'!H$3,negtgel!U459:BL459)+SUMIF(negtgel!U$2:BL$2,'Tsalin uzuulelt'!H$4,negtgel!U459:BL459)+SUMIF(negtgel!U$2:BL$2,'Tsalin uzuulelt'!H$5,negtgel!U459:BL459)</f>
      </c>
      <c r="J459">
        <f>SUMIF(negtgel!U$2:BL$2,'Tsalin uzuulelt'!J$1,negtgel!U459:BL459) + SUMIF(negtgel!U$2:BL$2,'Tsalin uzuulelt'!J$2,negtgel!U459:BL459)+SUMIF(negtgel!U$2:BL$2,'Tsalin uzuulelt'!J$3,negtgel!U459:BL459)+SUMIF(negtgel!U$2:BL$2,'Tsalin uzuulelt'!J$4,negtgel!U459:BL459)+SUMIF(negtgel!U$2:BL$2,'Tsalin uzuulelt'!J$5,negtgel!U459:BL459)</f>
      </c>
      <c r="K459">
        <f>SUMIF(negtgel!U$2:BL$2,'Tsalin uzuulelt'!L$1,negtgel!U459:BL459) + SUMIF(negtgel!U$2:BL$2,'Tsalin uzuulelt'!L$2,negtgel!U459:BL459)+SUMIF(negtgel!U$2:BL$2,'Tsalin uzuulelt'!L$3,negtgel!U459:BL459)+SUMIF(negtgel!U$2:BL$2,'Tsalin uzuulelt'!L$4,negtgel!U459:BL459)+SUMIF(negtgel!U$2:BL$2,'Tsalin uzuulelt'!L$5,negtgel!U459:BL459)</f>
      </c>
      <c r="L459">
        <f>SUMIF(negtgel!U$2:BL$2,'Tsalin uzuulelt'!N$1,negtgel!U459:BL459) + SUMIF(negtgel!U$2:BL$2,'Tsalin uzuulelt'!N$2,negtgel!U459:BL459)+SUMIF(negtgel!U$2:BL$2,'Tsalin uzuulelt'!N$3,negtgel!U459:BL459)+SUMIF(negtgel!U$2:BL$2,'Tsalin uzuulelt'!N$4,negtgel!U459:BL459)+SUMIF(negtgel!U$2:BL$2,'Tsalin uzuulelt'!N$5,negtgel!U459:BL459)</f>
      </c>
      <c r="M459">
        <f>SUMIF(negtgel!U$2:BL$2,'Tsalin uzuulelt'!P$1,negtgel!U459:BL459) + SUMIF(negtgel!U$2:BL$2,'Tsalin uzuulelt'!P$2,negtgel!U459:BL459)+ SUMIF(negtgel!U$2:BL$2,'Tsalin uzuulelt'!P$3,negtgel!U459:BL459)+ SUMIF(negtgel!U$2:BL$2,'Tsalin uzuulelt'!P$4,negtgel!U459:BL459)+ SUMIF(negtgel!U$2:BL$2,'Tsalin uzuulelt'!P$5,negtgel!U459:BL459)</f>
      </c>
      <c r="N459">
        <f>IF(ISNUMBER(U459*1)=CF459,0,K459-H459-G459)</f>
      </c>
      <c r="O459">
        <f>IF(ISNUMBER(U459*1)=CF459,0,L459)</f>
      </c>
      <c r="P459">
        <f>IF(ISNUMBER(U459*1)=CF459,0,M459)</f>
      </c>
      <c r="Q459">
        <f>IF(N459&gt;2400000,N459,0)</f>
      </c>
      <c r="R459">
        <f>IF(L459/Q459*100&lt;3,2,10)</f>
      </c>
      <c r="S459">
        <f>IF(CH459=0,0,IF(B459&gt;9,10,IF(B459&gt;8,B459,IF(B459&gt;7.7,7.8,IF(B459&gt;3,B459,IF(B459&gt;1.5,2))))))</f>
      </c>
      <c r="T459">
        <f>IF(Q459=0,S459,R459)</f>
      </c>
      <c r="U459" t="n">
        <v>77.0</v>
      </c>
      <c r="V459" t="s">
        <v>3831</v>
      </c>
      <c r="W459" t="s">
        <v>3820</v>
      </c>
      <c r="X459" t="n">
        <v>663720.0</v>
      </c>
      <c r="Y459" t="n">
        <v>663720.0</v>
      </c>
      <c r="Z459" t="n">
        <v>66372.0</v>
      </c>
      <c r="AA459" t="n">
        <v>112832.0</v>
      </c>
      <c r="AB459" t="n">
        <v>0.0</v>
      </c>
      <c r="AC459" t="n">
        <v>0.0</v>
      </c>
      <c r="AD459" t="n">
        <v>0.0</v>
      </c>
      <c r="AE459" t="n">
        <v>0.0</v>
      </c>
      <c r="AF459" t="n">
        <v>48000.0</v>
      </c>
      <c r="AG459" t="n">
        <v>0.0</v>
      </c>
      <c r="AH459" t="n">
        <v>0.0</v>
      </c>
      <c r="AI459" t="n">
        <v>0.0</v>
      </c>
      <c r="AJ459" t="n">
        <v>0.0</v>
      </c>
      <c r="AK459" t="n">
        <v>0.0</v>
      </c>
      <c r="AL459" t="n">
        <v>0.0</v>
      </c>
      <c r="AM459" t="n">
        <v>0.0</v>
      </c>
      <c r="AN459" t="n">
        <v>0.0</v>
      </c>
      <c r="AO459" t="n">
        <v>890924.0</v>
      </c>
      <c r="AP459" t="n">
        <v>89092.0</v>
      </c>
      <c r="AQ459" t="n">
        <v>73663.2</v>
      </c>
      <c r="CH459">
        <f>IFERROR(U459*1,0)</f>
      </c>
    </row>
    <row r="460">
      <c r="A460" t="n">
        <v>7.0</v>
      </c>
      <c r="B460">
        <f>IF((K460-G460-H460&gt;2400000),10,(L460/(K460-G460-H460)*100))</f>
      </c>
      <c r="C460">
        <f>IF(N460&gt;2400000,240000,(N460*S460)/100)</f>
      </c>
      <c r="D460">
        <f>IF(S460=0,0,IF((N460-I460)&gt;2400000,((((((N460-I460-J460)-240000))*0.1+(I460+J460)*0.1)))-7000,((((((N460-I460-J460)-(N460-I460-J460)*S460/100)))*0.1+(I460+J460)*0.1)-7000)))</f>
      </c>
      <c r="E460">
        <f>C460-O460</f>
      </c>
      <c r="F460">
        <f>D460-P460</f>
      </c>
      <c r="G460">
        <f>SUMIF(negtgel!U$2:BL$2,'Tsalin uzuulelt'!B$1,negtgel!U460:BL460) + SUMIF(negtgel!U$2:BL$2,'Tsalin uzuulelt'!B$2,negtgel!U460:BL460)+SUMIF(negtgel!U$2:BL$2,'Tsalin uzuulelt'!B$3,negtgel!U460:BL460)+SUMIF(negtgel!U$2:BL$2,'Tsalin uzuulelt'!B$4,negtgel!U460:BL460)+SUMIF(negtgel!U$2:BL$2,'Tsalin uzuulelt'!B$5,negtgel!U460:BL460)</f>
      </c>
      <c r="H460">
        <f>SUMIF(negtgel!U$2:BL$2,'Tsalin uzuulelt'!F$1,negtgel!U460:BL460) + SUMIF(negtgel!U$2:BL$2,'Tsalin uzuulelt'!F$2,negtgel!U460:BL460)+SUMIF(negtgel!U$2:BL$2,'Tsalin uzuulelt'!F$3,negtgel!U460:BL460)+SUMIF(negtgel!U$2:BL$2,'Tsalin uzuulelt'!F$4,negtgel!U460:BL460)+SUMIF(negtgel!U$2:BL$2,'Tsalin uzuulelt'!F$5,negtgel!U460:BL460)</f>
      </c>
      <c r="I460">
        <f>SUMIF(negtgel!U$2:BL$2,'Tsalin uzuulelt'!H$1,negtgel!U460:BL460) + SUMIF(negtgel!U$2:BL$2,'Tsalin uzuulelt'!H$2,negtgel!U460:BL460)+SUMIF(negtgel!U$2:BL$2,'Tsalin uzuulelt'!H$3,negtgel!U460:BL460)+SUMIF(negtgel!U$2:BL$2,'Tsalin uzuulelt'!H$4,negtgel!U460:BL460)+SUMIF(negtgel!U$2:BL$2,'Tsalin uzuulelt'!H$5,negtgel!U460:BL460)</f>
      </c>
      <c r="J460">
        <f>SUMIF(negtgel!U$2:BL$2,'Tsalin uzuulelt'!J$1,negtgel!U460:BL460) + SUMIF(negtgel!U$2:BL$2,'Tsalin uzuulelt'!J$2,negtgel!U460:BL460)+SUMIF(negtgel!U$2:BL$2,'Tsalin uzuulelt'!J$3,negtgel!U460:BL460)+SUMIF(negtgel!U$2:BL$2,'Tsalin uzuulelt'!J$4,negtgel!U460:BL460)+SUMIF(negtgel!U$2:BL$2,'Tsalin uzuulelt'!J$5,negtgel!U460:BL460)</f>
      </c>
      <c r="K460">
        <f>SUMIF(negtgel!U$2:BL$2,'Tsalin uzuulelt'!L$1,negtgel!U460:BL460) + SUMIF(negtgel!U$2:BL$2,'Tsalin uzuulelt'!L$2,negtgel!U460:BL460)+SUMIF(negtgel!U$2:BL$2,'Tsalin uzuulelt'!L$3,negtgel!U460:BL460)+SUMIF(negtgel!U$2:BL$2,'Tsalin uzuulelt'!L$4,negtgel!U460:BL460)+SUMIF(negtgel!U$2:BL$2,'Tsalin uzuulelt'!L$5,negtgel!U460:BL460)</f>
      </c>
      <c r="L460">
        <f>SUMIF(negtgel!U$2:BL$2,'Tsalin uzuulelt'!N$1,negtgel!U460:BL460) + SUMIF(negtgel!U$2:BL$2,'Tsalin uzuulelt'!N$2,negtgel!U460:BL460)+SUMIF(negtgel!U$2:BL$2,'Tsalin uzuulelt'!N$3,negtgel!U460:BL460)+SUMIF(negtgel!U$2:BL$2,'Tsalin uzuulelt'!N$4,negtgel!U460:BL460)+SUMIF(negtgel!U$2:BL$2,'Tsalin uzuulelt'!N$5,negtgel!U460:BL460)</f>
      </c>
      <c r="M460">
        <f>SUMIF(negtgel!U$2:BL$2,'Tsalin uzuulelt'!P$1,negtgel!U460:BL460) + SUMIF(negtgel!U$2:BL$2,'Tsalin uzuulelt'!P$2,negtgel!U460:BL460)+ SUMIF(negtgel!U$2:BL$2,'Tsalin uzuulelt'!P$3,negtgel!U460:BL460)+ SUMIF(negtgel!U$2:BL$2,'Tsalin uzuulelt'!P$4,negtgel!U460:BL460)+ SUMIF(negtgel!U$2:BL$2,'Tsalin uzuulelt'!P$5,negtgel!U460:BL460)</f>
      </c>
      <c r="N460">
        <f>IF(ISNUMBER(U460*1)=CF460,0,K460-H460-G460)</f>
      </c>
      <c r="O460">
        <f>IF(ISNUMBER(U460*1)=CF460,0,L460)</f>
      </c>
      <c r="P460">
        <f>IF(ISNUMBER(U460*1)=CF460,0,M460)</f>
      </c>
      <c r="Q460">
        <f>IF(N460&gt;2400000,N460,0)</f>
      </c>
      <c r="R460">
        <f>IF(L460/Q460*100&lt;3,2,10)</f>
      </c>
      <c r="S460">
        <f>IF(CH460=0,0,IF(B460&gt;9,10,IF(B460&gt;8,B460,IF(B460&gt;7.7,7.8,IF(B460&gt;3,B460,IF(B460&gt;1.5,2))))))</f>
      </c>
      <c r="T460">
        <f>IF(Q460=0,S460,R460)</f>
      </c>
      <c r="U460" t="n">
        <v>78.0</v>
      </c>
      <c r="V460" t="s">
        <v>3868</v>
      </c>
      <c r="W460" t="s">
        <v>3790</v>
      </c>
      <c r="X460" t="n">
        <v>645556.0</v>
      </c>
      <c r="Y460" t="n">
        <v>645556.0</v>
      </c>
      <c r="Z460" t="n">
        <v>0.0</v>
      </c>
      <c r="AA460" t="n">
        <v>0.0</v>
      </c>
      <c r="AB460" t="n">
        <v>0.0</v>
      </c>
      <c r="AC460" t="n">
        <v>0.0</v>
      </c>
      <c r="AD460" t="n">
        <v>0.0</v>
      </c>
      <c r="AE460" t="n">
        <v>0.0</v>
      </c>
      <c r="AF460" t="n">
        <v>48000.0</v>
      </c>
      <c r="AG460" t="n">
        <v>0.0</v>
      </c>
      <c r="AH460" t="n">
        <v>0.0</v>
      </c>
      <c r="AI460" t="n">
        <v>0.0</v>
      </c>
      <c r="AJ460" t="n">
        <v>0.0</v>
      </c>
      <c r="AK460" t="n">
        <v>0.0</v>
      </c>
      <c r="AL460" t="n">
        <v>0.0</v>
      </c>
      <c r="AM460" t="n">
        <v>0.0</v>
      </c>
      <c r="AN460" t="n">
        <v>0.0</v>
      </c>
      <c r="AO460" t="n">
        <v>693556.0</v>
      </c>
      <c r="AP460" t="n">
        <v>69355.0</v>
      </c>
      <c r="AQ460" t="n">
        <v>55900.0</v>
      </c>
      <c r="CH460">
        <f>IFERROR(U460*1,0)</f>
      </c>
    </row>
    <row r="461">
      <c r="A461" t="n">
        <v>7.0</v>
      </c>
      <c r="B461">
        <f>IF((K461-G461-H461&gt;2400000),10,(L461/(K461-G461-H461)*100))</f>
      </c>
      <c r="C461">
        <f>IF(N461&gt;2400000,240000,(N461*S461)/100)</f>
      </c>
      <c r="D461">
        <f>IF(S461=0,0,IF((N461-I461)&gt;2400000,((((((N461-I461-J461)-240000))*0.1+(I461+J461)*0.1)))-7000,((((((N461-I461-J461)-(N461-I461-J461)*S461/100)))*0.1+(I461+J461)*0.1)-7000)))</f>
      </c>
      <c r="E461">
        <f>C461-O461</f>
      </c>
      <c r="F461">
        <f>D461-P461</f>
      </c>
      <c r="G461">
        <f>SUMIF(negtgel!U$2:BL$2,'Tsalin uzuulelt'!B$1,negtgel!U461:BL461) + SUMIF(negtgel!U$2:BL$2,'Tsalin uzuulelt'!B$2,negtgel!U461:BL461)+SUMIF(negtgel!U$2:BL$2,'Tsalin uzuulelt'!B$3,negtgel!U461:BL461)+SUMIF(negtgel!U$2:BL$2,'Tsalin uzuulelt'!B$4,negtgel!U461:BL461)+SUMIF(negtgel!U$2:BL$2,'Tsalin uzuulelt'!B$5,negtgel!U461:BL461)</f>
      </c>
      <c r="H461">
        <f>SUMIF(negtgel!U$2:BL$2,'Tsalin uzuulelt'!F$1,negtgel!U461:BL461) + SUMIF(negtgel!U$2:BL$2,'Tsalin uzuulelt'!F$2,negtgel!U461:BL461)+SUMIF(negtgel!U$2:BL$2,'Tsalin uzuulelt'!F$3,negtgel!U461:BL461)+SUMIF(negtgel!U$2:BL$2,'Tsalin uzuulelt'!F$4,negtgel!U461:BL461)+SUMIF(negtgel!U$2:BL$2,'Tsalin uzuulelt'!F$5,negtgel!U461:BL461)</f>
      </c>
      <c r="I461">
        <f>SUMIF(negtgel!U$2:BL$2,'Tsalin uzuulelt'!H$1,negtgel!U461:BL461) + SUMIF(negtgel!U$2:BL$2,'Tsalin uzuulelt'!H$2,negtgel!U461:BL461)+SUMIF(negtgel!U$2:BL$2,'Tsalin uzuulelt'!H$3,negtgel!U461:BL461)+SUMIF(negtgel!U$2:BL$2,'Tsalin uzuulelt'!H$4,negtgel!U461:BL461)+SUMIF(negtgel!U$2:BL$2,'Tsalin uzuulelt'!H$5,negtgel!U461:BL461)</f>
      </c>
      <c r="J461">
        <f>SUMIF(negtgel!U$2:BL$2,'Tsalin uzuulelt'!J$1,negtgel!U461:BL461) + SUMIF(negtgel!U$2:BL$2,'Tsalin uzuulelt'!J$2,negtgel!U461:BL461)+SUMIF(negtgel!U$2:BL$2,'Tsalin uzuulelt'!J$3,negtgel!U461:BL461)+SUMIF(negtgel!U$2:BL$2,'Tsalin uzuulelt'!J$4,negtgel!U461:BL461)+SUMIF(negtgel!U$2:BL$2,'Tsalin uzuulelt'!J$5,negtgel!U461:BL461)</f>
      </c>
      <c r="K461">
        <f>SUMIF(negtgel!U$2:BL$2,'Tsalin uzuulelt'!L$1,negtgel!U461:BL461) + SUMIF(negtgel!U$2:BL$2,'Tsalin uzuulelt'!L$2,negtgel!U461:BL461)+SUMIF(negtgel!U$2:BL$2,'Tsalin uzuulelt'!L$3,negtgel!U461:BL461)+SUMIF(negtgel!U$2:BL$2,'Tsalin uzuulelt'!L$4,negtgel!U461:BL461)+SUMIF(negtgel!U$2:BL$2,'Tsalin uzuulelt'!L$5,negtgel!U461:BL461)</f>
      </c>
      <c r="L461">
        <f>SUMIF(negtgel!U$2:BL$2,'Tsalin uzuulelt'!N$1,negtgel!U461:BL461) + SUMIF(negtgel!U$2:BL$2,'Tsalin uzuulelt'!N$2,negtgel!U461:BL461)+SUMIF(negtgel!U$2:BL$2,'Tsalin uzuulelt'!N$3,negtgel!U461:BL461)+SUMIF(negtgel!U$2:BL$2,'Tsalin uzuulelt'!N$4,negtgel!U461:BL461)+SUMIF(negtgel!U$2:BL$2,'Tsalin uzuulelt'!N$5,negtgel!U461:BL461)</f>
      </c>
      <c r="M461">
        <f>SUMIF(negtgel!U$2:BL$2,'Tsalin uzuulelt'!P$1,negtgel!U461:BL461) + SUMIF(negtgel!U$2:BL$2,'Tsalin uzuulelt'!P$2,negtgel!U461:BL461)+ SUMIF(negtgel!U$2:BL$2,'Tsalin uzuulelt'!P$3,negtgel!U461:BL461)+ SUMIF(negtgel!U$2:BL$2,'Tsalin uzuulelt'!P$4,negtgel!U461:BL461)+ SUMIF(negtgel!U$2:BL$2,'Tsalin uzuulelt'!P$5,negtgel!U461:BL461)</f>
      </c>
      <c r="N461">
        <f>IF(ISNUMBER(U461*1)=CF461,0,K461-H461-G461)</f>
      </c>
      <c r="O461">
        <f>IF(ISNUMBER(U461*1)=CF461,0,L461)</f>
      </c>
      <c r="P461">
        <f>IF(ISNUMBER(U461*1)=CF461,0,M461)</f>
      </c>
      <c r="Q461">
        <f>IF(N461&gt;2400000,N461,0)</f>
      </c>
      <c r="R461">
        <f>IF(L461/Q461*100&lt;3,2,10)</f>
      </c>
      <c r="S461">
        <f>IF(CH461=0,0,IF(B461&gt;9,10,IF(B461&gt;8,B461,IF(B461&gt;7.7,7.8,IF(B461&gt;3,B461,IF(B461&gt;1.5,2))))))</f>
      </c>
      <c r="T461">
        <f>IF(Q461=0,S461,R461)</f>
      </c>
      <c r="U461" t="n">
        <v>79.0</v>
      </c>
      <c r="V461" t="s">
        <v>3833</v>
      </c>
      <c r="W461" t="s">
        <v>3790</v>
      </c>
      <c r="X461" t="n">
        <v>645556.0</v>
      </c>
      <c r="Y461" t="n">
        <v>161389.0</v>
      </c>
      <c r="Z461" t="n">
        <v>24208.0</v>
      </c>
      <c r="AA461" t="n">
        <v>27436.0</v>
      </c>
      <c r="AB461" t="n">
        <v>0.0</v>
      </c>
      <c r="AC461" t="n">
        <v>0.0</v>
      </c>
      <c r="AD461" t="n">
        <v>0.0</v>
      </c>
      <c r="AE461" t="n">
        <v>0.0</v>
      </c>
      <c r="AF461" t="n">
        <v>12000.0</v>
      </c>
      <c r="AG461" t="n">
        <v>0.0</v>
      </c>
      <c r="AH461" t="n">
        <v>0.0</v>
      </c>
      <c r="AI461" t="n">
        <v>0.0</v>
      </c>
      <c r="AJ461" t="n">
        <v>909107.0</v>
      </c>
      <c r="AK461" t="n">
        <v>0.0</v>
      </c>
      <c r="AL461" t="n">
        <v>0.0</v>
      </c>
      <c r="AM461" t="n">
        <v>0.0</v>
      </c>
      <c r="AN461" t="n">
        <v>0.0</v>
      </c>
      <c r="AO461" t="n">
        <v>1134140.0</v>
      </c>
      <c r="AP461" t="n">
        <v>113414.0</v>
      </c>
      <c r="AQ461" t="n">
        <v>95192.6</v>
      </c>
      <c r="CH461">
        <f>IFERROR(U461*1,0)</f>
      </c>
    </row>
    <row r="462">
      <c r="A462" t="n">
        <v>7.0</v>
      </c>
      <c r="B462">
        <f>IF((K462-G462-H462&gt;2400000),10,(L462/(K462-G462-H462)*100))</f>
      </c>
      <c r="C462">
        <f>IF(N462&gt;2400000,240000,(N462*S462)/100)</f>
      </c>
      <c r="D462">
        <f>IF(S462=0,0,IF((N462-I462)&gt;2400000,((((((N462-I462-J462)-240000))*0.1+(I462+J462)*0.1)))-7000,((((((N462-I462-J462)-(N462-I462-J462)*S462/100)))*0.1+(I462+J462)*0.1)-7000)))</f>
      </c>
      <c r="E462">
        <f>C462-O462</f>
      </c>
      <c r="F462">
        <f>D462-P462</f>
      </c>
      <c r="G462">
        <f>SUMIF(negtgel!U$2:BL$2,'Tsalin uzuulelt'!B$1,negtgel!U462:BL462) + SUMIF(negtgel!U$2:BL$2,'Tsalin uzuulelt'!B$2,negtgel!U462:BL462)+SUMIF(negtgel!U$2:BL$2,'Tsalin uzuulelt'!B$3,negtgel!U462:BL462)+SUMIF(negtgel!U$2:BL$2,'Tsalin uzuulelt'!B$4,negtgel!U462:BL462)+SUMIF(negtgel!U$2:BL$2,'Tsalin uzuulelt'!B$5,negtgel!U462:BL462)</f>
      </c>
      <c r="H462">
        <f>SUMIF(negtgel!U$2:BL$2,'Tsalin uzuulelt'!F$1,negtgel!U462:BL462) + SUMIF(negtgel!U$2:BL$2,'Tsalin uzuulelt'!F$2,negtgel!U462:BL462)+SUMIF(negtgel!U$2:BL$2,'Tsalin uzuulelt'!F$3,negtgel!U462:BL462)+SUMIF(negtgel!U$2:BL$2,'Tsalin uzuulelt'!F$4,negtgel!U462:BL462)+SUMIF(negtgel!U$2:BL$2,'Tsalin uzuulelt'!F$5,negtgel!U462:BL462)</f>
      </c>
      <c r="I462">
        <f>SUMIF(negtgel!U$2:BL$2,'Tsalin uzuulelt'!H$1,negtgel!U462:BL462) + SUMIF(negtgel!U$2:BL$2,'Tsalin uzuulelt'!H$2,negtgel!U462:BL462)+SUMIF(negtgel!U$2:BL$2,'Tsalin uzuulelt'!H$3,negtgel!U462:BL462)+SUMIF(negtgel!U$2:BL$2,'Tsalin uzuulelt'!H$4,negtgel!U462:BL462)+SUMIF(negtgel!U$2:BL$2,'Tsalin uzuulelt'!H$5,negtgel!U462:BL462)</f>
      </c>
      <c r="J462">
        <f>SUMIF(negtgel!U$2:BL$2,'Tsalin uzuulelt'!J$1,negtgel!U462:BL462) + SUMIF(negtgel!U$2:BL$2,'Tsalin uzuulelt'!J$2,negtgel!U462:BL462)+SUMIF(negtgel!U$2:BL$2,'Tsalin uzuulelt'!J$3,negtgel!U462:BL462)+SUMIF(negtgel!U$2:BL$2,'Tsalin uzuulelt'!J$4,negtgel!U462:BL462)+SUMIF(negtgel!U$2:BL$2,'Tsalin uzuulelt'!J$5,negtgel!U462:BL462)</f>
      </c>
      <c r="K462">
        <f>SUMIF(negtgel!U$2:BL$2,'Tsalin uzuulelt'!L$1,negtgel!U462:BL462) + SUMIF(negtgel!U$2:BL$2,'Tsalin uzuulelt'!L$2,negtgel!U462:BL462)+SUMIF(negtgel!U$2:BL$2,'Tsalin uzuulelt'!L$3,negtgel!U462:BL462)+SUMIF(negtgel!U$2:BL$2,'Tsalin uzuulelt'!L$4,negtgel!U462:BL462)+SUMIF(negtgel!U$2:BL$2,'Tsalin uzuulelt'!L$5,negtgel!U462:BL462)</f>
      </c>
      <c r="L462">
        <f>SUMIF(negtgel!U$2:BL$2,'Tsalin uzuulelt'!N$1,negtgel!U462:BL462) + SUMIF(negtgel!U$2:BL$2,'Tsalin uzuulelt'!N$2,negtgel!U462:BL462)+SUMIF(negtgel!U$2:BL$2,'Tsalin uzuulelt'!N$3,negtgel!U462:BL462)+SUMIF(negtgel!U$2:BL$2,'Tsalin uzuulelt'!N$4,negtgel!U462:BL462)+SUMIF(negtgel!U$2:BL$2,'Tsalin uzuulelt'!N$5,negtgel!U462:BL462)</f>
      </c>
      <c r="M462">
        <f>SUMIF(negtgel!U$2:BL$2,'Tsalin uzuulelt'!P$1,negtgel!U462:BL462) + SUMIF(negtgel!U$2:BL$2,'Tsalin uzuulelt'!P$2,negtgel!U462:BL462)+ SUMIF(negtgel!U$2:BL$2,'Tsalin uzuulelt'!P$3,negtgel!U462:BL462)+ SUMIF(negtgel!U$2:BL$2,'Tsalin uzuulelt'!P$4,negtgel!U462:BL462)+ SUMIF(negtgel!U$2:BL$2,'Tsalin uzuulelt'!P$5,negtgel!U462:BL462)</f>
      </c>
      <c r="N462">
        <f>IF(ISNUMBER(U462*1)=CF462,0,K462-H462-G462)</f>
      </c>
      <c r="O462">
        <f>IF(ISNUMBER(U462*1)=CF462,0,L462)</f>
      </c>
      <c r="P462">
        <f>IF(ISNUMBER(U462*1)=CF462,0,M462)</f>
      </c>
      <c r="Q462">
        <f>IF(N462&gt;2400000,N462,0)</f>
      </c>
      <c r="R462">
        <f>IF(L462/Q462*100&lt;3,2,10)</f>
      </c>
      <c r="S462">
        <f>IF(CH462=0,0,IF(B462&gt;9,10,IF(B462&gt;8,B462,IF(B462&gt;7.7,7.8,IF(B462&gt;3,B462,IF(B462&gt;1.5,2))))))</f>
      </c>
      <c r="T462">
        <f>IF(Q462=0,S462,R462)</f>
      </c>
      <c r="U462" t="n">
        <v>80.0</v>
      </c>
      <c r="V462" t="s">
        <v>3835</v>
      </c>
      <c r="W462" t="s">
        <v>3790</v>
      </c>
      <c r="X462" t="n">
        <v>613669.0</v>
      </c>
      <c r="Y462" t="n">
        <v>191772.0</v>
      </c>
      <c r="Z462" t="n">
        <v>9589.0</v>
      </c>
      <c r="AA462" t="n">
        <v>0.0</v>
      </c>
      <c r="AB462" t="n">
        <v>0.0</v>
      </c>
      <c r="AC462" t="n">
        <v>0.0</v>
      </c>
      <c r="AD462" t="n">
        <v>0.0</v>
      </c>
      <c r="AE462" t="n">
        <v>0.0</v>
      </c>
      <c r="AF462" t="n">
        <v>15000.0</v>
      </c>
      <c r="AG462" t="n">
        <v>0.0</v>
      </c>
      <c r="AH462" t="n">
        <v>0.0</v>
      </c>
      <c r="AI462" t="n">
        <v>0.0</v>
      </c>
      <c r="AJ462" t="n">
        <v>576376.0</v>
      </c>
      <c r="AK462" t="n">
        <v>0.0</v>
      </c>
      <c r="AL462" t="n">
        <v>0.0</v>
      </c>
      <c r="AM462" t="n">
        <v>0.0</v>
      </c>
      <c r="AN462" t="n">
        <v>0.0</v>
      </c>
      <c r="AO462" t="n">
        <v>792737.0</v>
      </c>
      <c r="AP462" t="n">
        <v>79274.0</v>
      </c>
      <c r="AQ462" t="n">
        <v>64496.3</v>
      </c>
      <c r="CH462">
        <f>IFERROR(U462*1,0)</f>
      </c>
    </row>
    <row r="463">
      <c r="A463" t="n">
        <v>7.0</v>
      </c>
      <c r="B463">
        <f>IF((K463-G463-H463&gt;2400000),10,(L463/(K463-G463-H463)*100))</f>
      </c>
      <c r="C463">
        <f>IF(N463&gt;2400000,240000,(N463*S463)/100)</f>
      </c>
      <c r="D463">
        <f>IF(S463=0,0,IF((N463-I463)&gt;2400000,((((((N463-I463-J463)-240000))*0.1+(I463+J463)*0.1)))-7000,((((((N463-I463-J463)-(N463-I463-J463)*S463/100)))*0.1+(I463+J463)*0.1)-7000)))</f>
      </c>
      <c r="E463">
        <f>C463-O463</f>
      </c>
      <c r="F463">
        <f>D463-P463</f>
      </c>
      <c r="G463">
        <f>SUMIF(negtgel!U$2:BL$2,'Tsalin uzuulelt'!B$1,negtgel!U463:BL463) + SUMIF(negtgel!U$2:BL$2,'Tsalin uzuulelt'!B$2,negtgel!U463:BL463)+SUMIF(negtgel!U$2:BL$2,'Tsalin uzuulelt'!B$3,negtgel!U463:BL463)+SUMIF(negtgel!U$2:BL$2,'Tsalin uzuulelt'!B$4,negtgel!U463:BL463)+SUMIF(negtgel!U$2:BL$2,'Tsalin uzuulelt'!B$5,negtgel!U463:BL463)</f>
      </c>
      <c r="H463">
        <f>SUMIF(negtgel!U$2:BL$2,'Tsalin uzuulelt'!F$1,negtgel!U463:BL463) + SUMIF(negtgel!U$2:BL$2,'Tsalin uzuulelt'!F$2,negtgel!U463:BL463)+SUMIF(negtgel!U$2:BL$2,'Tsalin uzuulelt'!F$3,negtgel!U463:BL463)+SUMIF(negtgel!U$2:BL$2,'Tsalin uzuulelt'!F$4,negtgel!U463:BL463)+SUMIF(negtgel!U$2:BL$2,'Tsalin uzuulelt'!F$5,negtgel!U463:BL463)</f>
      </c>
      <c r="I463">
        <f>SUMIF(negtgel!U$2:BL$2,'Tsalin uzuulelt'!H$1,negtgel!U463:BL463) + SUMIF(negtgel!U$2:BL$2,'Tsalin uzuulelt'!H$2,negtgel!U463:BL463)+SUMIF(negtgel!U$2:BL$2,'Tsalin uzuulelt'!H$3,negtgel!U463:BL463)+SUMIF(negtgel!U$2:BL$2,'Tsalin uzuulelt'!H$4,negtgel!U463:BL463)+SUMIF(negtgel!U$2:BL$2,'Tsalin uzuulelt'!H$5,negtgel!U463:BL463)</f>
      </c>
      <c r="J463">
        <f>SUMIF(negtgel!U$2:BL$2,'Tsalin uzuulelt'!J$1,negtgel!U463:BL463) + SUMIF(negtgel!U$2:BL$2,'Tsalin uzuulelt'!J$2,negtgel!U463:BL463)+SUMIF(negtgel!U$2:BL$2,'Tsalin uzuulelt'!J$3,negtgel!U463:BL463)+SUMIF(negtgel!U$2:BL$2,'Tsalin uzuulelt'!J$4,negtgel!U463:BL463)+SUMIF(negtgel!U$2:BL$2,'Tsalin uzuulelt'!J$5,negtgel!U463:BL463)</f>
      </c>
      <c r="K463">
        <f>SUMIF(negtgel!U$2:BL$2,'Tsalin uzuulelt'!L$1,negtgel!U463:BL463) + SUMIF(negtgel!U$2:BL$2,'Tsalin uzuulelt'!L$2,negtgel!U463:BL463)+SUMIF(negtgel!U$2:BL$2,'Tsalin uzuulelt'!L$3,negtgel!U463:BL463)+SUMIF(negtgel!U$2:BL$2,'Tsalin uzuulelt'!L$4,negtgel!U463:BL463)+SUMIF(negtgel!U$2:BL$2,'Tsalin uzuulelt'!L$5,negtgel!U463:BL463)</f>
      </c>
      <c r="L463">
        <f>SUMIF(negtgel!U$2:BL$2,'Tsalin uzuulelt'!N$1,negtgel!U463:BL463) + SUMIF(negtgel!U$2:BL$2,'Tsalin uzuulelt'!N$2,negtgel!U463:BL463)+SUMIF(negtgel!U$2:BL$2,'Tsalin uzuulelt'!N$3,negtgel!U463:BL463)+SUMIF(negtgel!U$2:BL$2,'Tsalin uzuulelt'!N$4,negtgel!U463:BL463)+SUMIF(negtgel!U$2:BL$2,'Tsalin uzuulelt'!N$5,negtgel!U463:BL463)</f>
      </c>
      <c r="M463">
        <f>SUMIF(negtgel!U$2:BL$2,'Tsalin uzuulelt'!P$1,negtgel!U463:BL463) + SUMIF(negtgel!U$2:BL$2,'Tsalin uzuulelt'!P$2,negtgel!U463:BL463)+ SUMIF(negtgel!U$2:BL$2,'Tsalin uzuulelt'!P$3,negtgel!U463:BL463)+ SUMIF(negtgel!U$2:BL$2,'Tsalin uzuulelt'!P$4,negtgel!U463:BL463)+ SUMIF(negtgel!U$2:BL$2,'Tsalin uzuulelt'!P$5,negtgel!U463:BL463)</f>
      </c>
      <c r="N463">
        <f>IF(ISNUMBER(U463*1)=CF463,0,K463-H463-G463)</f>
      </c>
      <c r="O463">
        <f>IF(ISNUMBER(U463*1)=CF463,0,L463)</f>
      </c>
      <c r="P463">
        <f>IF(ISNUMBER(U463*1)=CF463,0,M463)</f>
      </c>
      <c r="Q463">
        <f>IF(N463&gt;2400000,N463,0)</f>
      </c>
      <c r="R463">
        <f>IF(L463/Q463*100&lt;3,2,10)</f>
      </c>
      <c r="S463">
        <f>IF(CH463=0,0,IF(B463&gt;9,10,IF(B463&gt;8,B463,IF(B463&gt;7.7,7.8,IF(B463&gt;3,B463,IF(B463&gt;1.5,2))))))</f>
      </c>
      <c r="T463">
        <f>IF(Q463=0,S463,R463)</f>
      </c>
      <c r="U463" t="s">
        <v>3787</v>
      </c>
      <c r="V463"/>
      <c r="W463"/>
      <c r="X463" t="n">
        <v>4146907.0</v>
      </c>
      <c r="Y463" t="n">
        <v>2340821.0</v>
      </c>
      <c r="Z463" t="n">
        <v>100169.0</v>
      </c>
      <c r="AA463" t="n">
        <v>140268.0</v>
      </c>
      <c r="AB463" t="n">
        <v>49691.0</v>
      </c>
      <c r="AC463" t="n">
        <v>0.0</v>
      </c>
      <c r="AD463" t="n">
        <v>0.0</v>
      </c>
      <c r="AE463" t="n">
        <v>0.0</v>
      </c>
      <c r="AF463" t="n">
        <v>186000.0</v>
      </c>
      <c r="AG463" t="n">
        <v>0.0</v>
      </c>
      <c r="AH463" t="n">
        <v>0.0</v>
      </c>
      <c r="AI463" t="n">
        <v>0.0</v>
      </c>
      <c r="AJ463" t="n">
        <v>1906834.0</v>
      </c>
      <c r="AK463" t="n">
        <v>0.0</v>
      </c>
      <c r="AL463" t="n">
        <v>0.0</v>
      </c>
      <c r="AM463" t="n">
        <v>0.0</v>
      </c>
      <c r="AN463" t="n">
        <v>0.0</v>
      </c>
      <c r="AO463" t="n">
        <v>4723783.0</v>
      </c>
      <c r="AP463" t="n">
        <v>472378.0</v>
      </c>
      <c r="AQ463" t="n">
        <v>385000.5</v>
      </c>
      <c r="CH463">
        <f>IFERROR(U463*1,0)</f>
      </c>
    </row>
    <row r="464">
      <c r="A464" t="n">
        <v>7.0</v>
      </c>
      <c r="B464">
        <f>IF((K464-G464-H464&gt;2400000),10,(L464/(K464-G464-H464)*100))</f>
      </c>
      <c r="C464">
        <f>IF(N464&gt;2400000,240000,(N464*S464)/100)</f>
      </c>
      <c r="D464">
        <f>IF(S464=0,0,IF((N464-I464)&gt;2400000,((((((N464-I464-J464)-240000))*0.1+(I464+J464)*0.1)))-7000,((((((N464-I464-J464)-(N464-I464-J464)*S464/100)))*0.1+(I464+J464)*0.1)-7000)))</f>
      </c>
      <c r="E464">
        <f>C464-O464</f>
      </c>
      <c r="F464">
        <f>D464-P464</f>
      </c>
      <c r="G464">
        <f>SUMIF(negtgel!U$2:BL$2,'Tsalin uzuulelt'!B$1,negtgel!U464:BL464) + SUMIF(negtgel!U$2:BL$2,'Tsalin uzuulelt'!B$2,negtgel!U464:BL464)+SUMIF(negtgel!U$2:BL$2,'Tsalin uzuulelt'!B$3,negtgel!U464:BL464)+SUMIF(negtgel!U$2:BL$2,'Tsalin uzuulelt'!B$4,negtgel!U464:BL464)+SUMIF(negtgel!U$2:BL$2,'Tsalin uzuulelt'!B$5,negtgel!U464:BL464)</f>
      </c>
      <c r="H464">
        <f>SUMIF(negtgel!U$2:BL$2,'Tsalin uzuulelt'!F$1,negtgel!U464:BL464) + SUMIF(negtgel!U$2:BL$2,'Tsalin uzuulelt'!F$2,negtgel!U464:BL464)+SUMIF(negtgel!U$2:BL$2,'Tsalin uzuulelt'!F$3,negtgel!U464:BL464)+SUMIF(negtgel!U$2:BL$2,'Tsalin uzuulelt'!F$4,negtgel!U464:BL464)+SUMIF(negtgel!U$2:BL$2,'Tsalin uzuulelt'!F$5,negtgel!U464:BL464)</f>
      </c>
      <c r="I464">
        <f>SUMIF(negtgel!U$2:BL$2,'Tsalin uzuulelt'!H$1,negtgel!U464:BL464) + SUMIF(negtgel!U$2:BL$2,'Tsalin uzuulelt'!H$2,negtgel!U464:BL464)+SUMIF(negtgel!U$2:BL$2,'Tsalin uzuulelt'!H$3,negtgel!U464:BL464)+SUMIF(negtgel!U$2:BL$2,'Tsalin uzuulelt'!H$4,negtgel!U464:BL464)+SUMIF(negtgel!U$2:BL$2,'Tsalin uzuulelt'!H$5,negtgel!U464:BL464)</f>
      </c>
      <c r="J464">
        <f>SUMIF(negtgel!U$2:BL$2,'Tsalin uzuulelt'!J$1,negtgel!U464:BL464) + SUMIF(negtgel!U$2:BL$2,'Tsalin uzuulelt'!J$2,negtgel!U464:BL464)+SUMIF(negtgel!U$2:BL$2,'Tsalin uzuulelt'!J$3,negtgel!U464:BL464)+SUMIF(negtgel!U$2:BL$2,'Tsalin uzuulelt'!J$4,negtgel!U464:BL464)+SUMIF(negtgel!U$2:BL$2,'Tsalin uzuulelt'!J$5,negtgel!U464:BL464)</f>
      </c>
      <c r="K464">
        <f>SUMIF(negtgel!U$2:BL$2,'Tsalin uzuulelt'!L$1,negtgel!U464:BL464) + SUMIF(negtgel!U$2:BL$2,'Tsalin uzuulelt'!L$2,negtgel!U464:BL464)+SUMIF(negtgel!U$2:BL$2,'Tsalin uzuulelt'!L$3,negtgel!U464:BL464)+SUMIF(negtgel!U$2:BL$2,'Tsalin uzuulelt'!L$4,negtgel!U464:BL464)+SUMIF(negtgel!U$2:BL$2,'Tsalin uzuulelt'!L$5,negtgel!U464:BL464)</f>
      </c>
      <c r="L464">
        <f>SUMIF(negtgel!U$2:BL$2,'Tsalin uzuulelt'!N$1,negtgel!U464:BL464) + SUMIF(negtgel!U$2:BL$2,'Tsalin uzuulelt'!N$2,negtgel!U464:BL464)+SUMIF(negtgel!U$2:BL$2,'Tsalin uzuulelt'!N$3,negtgel!U464:BL464)+SUMIF(negtgel!U$2:BL$2,'Tsalin uzuulelt'!N$4,negtgel!U464:BL464)+SUMIF(negtgel!U$2:BL$2,'Tsalin uzuulelt'!N$5,negtgel!U464:BL464)</f>
      </c>
      <c r="M464">
        <f>SUMIF(negtgel!U$2:BL$2,'Tsalin uzuulelt'!P$1,negtgel!U464:BL464) + SUMIF(negtgel!U$2:BL$2,'Tsalin uzuulelt'!P$2,negtgel!U464:BL464)+ SUMIF(negtgel!U$2:BL$2,'Tsalin uzuulelt'!P$3,negtgel!U464:BL464)+ SUMIF(negtgel!U$2:BL$2,'Tsalin uzuulelt'!P$4,negtgel!U464:BL464)+ SUMIF(negtgel!U$2:BL$2,'Tsalin uzuulelt'!P$5,negtgel!U464:BL464)</f>
      </c>
      <c r="N464">
        <f>IF(ISNUMBER(U464*1)=CF464,0,K464-H464-G464)</f>
      </c>
      <c r="O464">
        <f>IF(ISNUMBER(U464*1)=CF464,0,L464)</f>
      </c>
      <c r="P464">
        <f>IF(ISNUMBER(U464*1)=CF464,0,M464)</f>
      </c>
      <c r="Q464">
        <f>IF(N464&gt;2400000,N464,0)</f>
      </c>
      <c r="R464">
        <f>IF(L464/Q464*100&lt;3,2,10)</f>
      </c>
      <c r="S464">
        <f>IF(CH464=0,0,IF(B464&gt;9,10,IF(B464&gt;8,B464,IF(B464&gt;7.7,7.8,IF(B464&gt;3,B464,IF(B464&gt;1.5,2))))))</f>
      </c>
      <c r="T464">
        <f>IF(Q464=0,S464,R464)</f>
      </c>
      <c r="U464" t="s">
        <v>3836</v>
      </c>
      <c r="V464"/>
      <c r="W464"/>
      <c r="X464"/>
      <c r="Y464"/>
      <c r="Z464"/>
      <c r="AA464"/>
      <c r="AB464"/>
      <c r="AC464"/>
      <c r="AD464"/>
      <c r="AE464"/>
      <c r="AF464"/>
      <c r="AG464"/>
      <c r="AH464"/>
      <c r="AI464"/>
      <c r="AJ464"/>
      <c r="AK464"/>
      <c r="AL464"/>
      <c r="AM464"/>
      <c r="AN464"/>
      <c r="AO464"/>
      <c r="AP464"/>
      <c r="AQ464"/>
      <c r="CH464">
        <f>IFERROR(U464*1,0)</f>
      </c>
    </row>
    <row r="465">
      <c r="A465" t="n">
        <v>7.0</v>
      </c>
      <c r="B465">
        <f>IF((K465-G465-H465&gt;2400000),10,(L465/(K465-G465-H465)*100))</f>
      </c>
      <c r="C465">
        <f>IF(N465&gt;2400000,240000,(N465*S465)/100)</f>
      </c>
      <c r="D465">
        <f>IF(S465=0,0,IF((N465-I465)&gt;2400000,((((((N465-I465-J465)-240000))*0.1+(I465+J465)*0.1)))-7000,((((((N465-I465-J465)-(N465-I465-J465)*S465/100)))*0.1+(I465+J465)*0.1)-7000)))</f>
      </c>
      <c r="E465">
        <f>C465-O465</f>
      </c>
      <c r="F465">
        <f>D465-P465</f>
      </c>
      <c r="G465">
        <f>SUMIF(negtgel!U$2:BL$2,'Tsalin uzuulelt'!B$1,negtgel!U465:BL465) + SUMIF(negtgel!U$2:BL$2,'Tsalin uzuulelt'!B$2,negtgel!U465:BL465)+SUMIF(negtgel!U$2:BL$2,'Tsalin uzuulelt'!B$3,negtgel!U465:BL465)+SUMIF(negtgel!U$2:BL$2,'Tsalin uzuulelt'!B$4,negtgel!U465:BL465)+SUMIF(negtgel!U$2:BL$2,'Tsalin uzuulelt'!B$5,negtgel!U465:BL465)</f>
      </c>
      <c r="H465">
        <f>SUMIF(negtgel!U$2:BL$2,'Tsalin uzuulelt'!F$1,negtgel!U465:BL465) + SUMIF(negtgel!U$2:BL$2,'Tsalin uzuulelt'!F$2,negtgel!U465:BL465)+SUMIF(negtgel!U$2:BL$2,'Tsalin uzuulelt'!F$3,negtgel!U465:BL465)+SUMIF(negtgel!U$2:BL$2,'Tsalin uzuulelt'!F$4,negtgel!U465:BL465)+SUMIF(negtgel!U$2:BL$2,'Tsalin uzuulelt'!F$5,negtgel!U465:BL465)</f>
      </c>
      <c r="I465">
        <f>SUMIF(negtgel!U$2:BL$2,'Tsalin uzuulelt'!H$1,negtgel!U465:BL465) + SUMIF(negtgel!U$2:BL$2,'Tsalin uzuulelt'!H$2,negtgel!U465:BL465)+SUMIF(negtgel!U$2:BL$2,'Tsalin uzuulelt'!H$3,negtgel!U465:BL465)+SUMIF(negtgel!U$2:BL$2,'Tsalin uzuulelt'!H$4,negtgel!U465:BL465)+SUMIF(negtgel!U$2:BL$2,'Tsalin uzuulelt'!H$5,negtgel!U465:BL465)</f>
      </c>
      <c r="J465">
        <f>SUMIF(negtgel!U$2:BL$2,'Tsalin uzuulelt'!J$1,negtgel!U465:BL465) + SUMIF(negtgel!U$2:BL$2,'Tsalin uzuulelt'!J$2,negtgel!U465:BL465)+SUMIF(negtgel!U$2:BL$2,'Tsalin uzuulelt'!J$3,negtgel!U465:BL465)+SUMIF(negtgel!U$2:BL$2,'Tsalin uzuulelt'!J$4,negtgel!U465:BL465)+SUMIF(negtgel!U$2:BL$2,'Tsalin uzuulelt'!J$5,negtgel!U465:BL465)</f>
      </c>
      <c r="K465">
        <f>SUMIF(negtgel!U$2:BL$2,'Tsalin uzuulelt'!L$1,negtgel!U465:BL465) + SUMIF(negtgel!U$2:BL$2,'Tsalin uzuulelt'!L$2,negtgel!U465:BL465)+SUMIF(negtgel!U$2:BL$2,'Tsalin uzuulelt'!L$3,negtgel!U465:BL465)+SUMIF(negtgel!U$2:BL$2,'Tsalin uzuulelt'!L$4,negtgel!U465:BL465)+SUMIF(negtgel!U$2:BL$2,'Tsalin uzuulelt'!L$5,negtgel!U465:BL465)</f>
      </c>
      <c r="L465">
        <f>SUMIF(negtgel!U$2:BL$2,'Tsalin uzuulelt'!N$1,negtgel!U465:BL465) + SUMIF(negtgel!U$2:BL$2,'Tsalin uzuulelt'!N$2,negtgel!U465:BL465)+SUMIF(negtgel!U$2:BL$2,'Tsalin uzuulelt'!N$3,negtgel!U465:BL465)+SUMIF(negtgel!U$2:BL$2,'Tsalin uzuulelt'!N$4,negtgel!U465:BL465)+SUMIF(negtgel!U$2:BL$2,'Tsalin uzuulelt'!N$5,negtgel!U465:BL465)</f>
      </c>
      <c r="M465">
        <f>SUMIF(negtgel!U$2:BL$2,'Tsalin uzuulelt'!P$1,negtgel!U465:BL465) + SUMIF(negtgel!U$2:BL$2,'Tsalin uzuulelt'!P$2,negtgel!U465:BL465)+ SUMIF(negtgel!U$2:BL$2,'Tsalin uzuulelt'!P$3,negtgel!U465:BL465)+ SUMIF(negtgel!U$2:BL$2,'Tsalin uzuulelt'!P$4,negtgel!U465:BL465)+ SUMIF(negtgel!U$2:BL$2,'Tsalin uzuulelt'!P$5,negtgel!U465:BL465)</f>
      </c>
      <c r="N465">
        <f>IF(ISNUMBER(U465*1)=CF465,0,K465-H465-G465)</f>
      </c>
      <c r="O465">
        <f>IF(ISNUMBER(U465*1)=CF465,0,L465)</f>
      </c>
      <c r="P465">
        <f>IF(ISNUMBER(U465*1)=CF465,0,M465)</f>
      </c>
      <c r="Q465">
        <f>IF(N465&gt;2400000,N465,0)</f>
      </c>
      <c r="R465">
        <f>IF(L465/Q465*100&lt;3,2,10)</f>
      </c>
      <c r="S465">
        <f>IF(CH465=0,0,IF(B465&gt;9,10,IF(B465&gt;8,B465,IF(B465&gt;7.7,7.8,IF(B465&gt;3,B465,IF(B465&gt;1.5,2))))))</f>
      </c>
      <c r="T465">
        <f>IF(Q465=0,S465,R465)</f>
      </c>
      <c r="U465" t="n">
        <v>81.0</v>
      </c>
      <c r="V465" t="s">
        <v>3837</v>
      </c>
      <c r="W465" t="s">
        <v>3820</v>
      </c>
      <c r="X465" t="n">
        <v>645556.0</v>
      </c>
      <c r="Y465" t="n">
        <v>161389.0</v>
      </c>
      <c r="Z465" t="n">
        <v>24208.0</v>
      </c>
      <c r="AA465" t="n">
        <v>32278.0</v>
      </c>
      <c r="AB465" t="n">
        <v>0.0</v>
      </c>
      <c r="AC465" t="n">
        <v>0.0</v>
      </c>
      <c r="AD465" t="n">
        <v>0.0</v>
      </c>
      <c r="AE465" t="n">
        <v>0.0</v>
      </c>
      <c r="AF465" t="n">
        <v>12000.0</v>
      </c>
      <c r="AG465" t="n">
        <v>0.0</v>
      </c>
      <c r="AH465" t="n">
        <v>0.0</v>
      </c>
      <c r="AI465" t="n">
        <v>0.0</v>
      </c>
      <c r="AJ465" t="n">
        <v>1150750.0</v>
      </c>
      <c r="AK465" t="n">
        <v>0.0</v>
      </c>
      <c r="AL465" t="n">
        <v>0.0</v>
      </c>
      <c r="AM465" t="n">
        <v>0.0</v>
      </c>
      <c r="AN465" t="n">
        <v>0.0</v>
      </c>
      <c r="AO465" t="n">
        <v>1380625.0</v>
      </c>
      <c r="AP465" t="n">
        <v>138062.0</v>
      </c>
      <c r="AQ465" t="n">
        <v>117376.2</v>
      </c>
      <c r="CH465">
        <f>IFERROR(U465*1,0)</f>
      </c>
    </row>
    <row r="466">
      <c r="A466" t="n">
        <v>7.0</v>
      </c>
      <c r="B466">
        <f>IF((K466-G466-H466&gt;2400000),10,(L466/(K466-G466-H466)*100))</f>
      </c>
      <c r="C466">
        <f>IF(N466&gt;2400000,240000,(N466*S466)/100)</f>
      </c>
      <c r="D466">
        <f>IF(S466=0,0,IF((N466-I466)&gt;2400000,((((((N466-I466-J466)-240000))*0.1+(I466+J466)*0.1)))-7000,((((((N466-I466-J466)-(N466-I466-J466)*S466/100)))*0.1+(I466+J466)*0.1)-7000)))</f>
      </c>
      <c r="E466">
        <f>C466-O466</f>
      </c>
      <c r="F466">
        <f>D466-P466</f>
      </c>
      <c r="G466">
        <f>SUMIF(negtgel!U$2:BL$2,'Tsalin uzuulelt'!B$1,negtgel!U466:BL466) + SUMIF(negtgel!U$2:BL$2,'Tsalin uzuulelt'!B$2,negtgel!U466:BL466)+SUMIF(negtgel!U$2:BL$2,'Tsalin uzuulelt'!B$3,negtgel!U466:BL466)+SUMIF(negtgel!U$2:BL$2,'Tsalin uzuulelt'!B$4,negtgel!U466:BL466)+SUMIF(negtgel!U$2:BL$2,'Tsalin uzuulelt'!B$5,negtgel!U466:BL466)</f>
      </c>
      <c r="H466">
        <f>SUMIF(negtgel!U$2:BL$2,'Tsalin uzuulelt'!F$1,negtgel!U466:BL466) + SUMIF(negtgel!U$2:BL$2,'Tsalin uzuulelt'!F$2,negtgel!U466:BL466)+SUMIF(negtgel!U$2:BL$2,'Tsalin uzuulelt'!F$3,negtgel!U466:BL466)+SUMIF(negtgel!U$2:BL$2,'Tsalin uzuulelt'!F$4,negtgel!U466:BL466)+SUMIF(negtgel!U$2:BL$2,'Tsalin uzuulelt'!F$5,negtgel!U466:BL466)</f>
      </c>
      <c r="I466">
        <f>SUMIF(negtgel!U$2:BL$2,'Tsalin uzuulelt'!H$1,negtgel!U466:BL466) + SUMIF(negtgel!U$2:BL$2,'Tsalin uzuulelt'!H$2,negtgel!U466:BL466)+SUMIF(negtgel!U$2:BL$2,'Tsalin uzuulelt'!H$3,negtgel!U466:BL466)+SUMIF(negtgel!U$2:BL$2,'Tsalin uzuulelt'!H$4,negtgel!U466:BL466)+SUMIF(negtgel!U$2:BL$2,'Tsalin uzuulelt'!H$5,negtgel!U466:BL466)</f>
      </c>
      <c r="J466">
        <f>SUMIF(negtgel!U$2:BL$2,'Tsalin uzuulelt'!J$1,negtgel!U466:BL466) + SUMIF(negtgel!U$2:BL$2,'Tsalin uzuulelt'!J$2,negtgel!U466:BL466)+SUMIF(negtgel!U$2:BL$2,'Tsalin uzuulelt'!J$3,negtgel!U466:BL466)+SUMIF(negtgel!U$2:BL$2,'Tsalin uzuulelt'!J$4,negtgel!U466:BL466)+SUMIF(negtgel!U$2:BL$2,'Tsalin uzuulelt'!J$5,negtgel!U466:BL466)</f>
      </c>
      <c r="K466">
        <f>SUMIF(negtgel!U$2:BL$2,'Tsalin uzuulelt'!L$1,negtgel!U466:BL466) + SUMIF(negtgel!U$2:BL$2,'Tsalin uzuulelt'!L$2,negtgel!U466:BL466)+SUMIF(negtgel!U$2:BL$2,'Tsalin uzuulelt'!L$3,negtgel!U466:BL466)+SUMIF(negtgel!U$2:BL$2,'Tsalin uzuulelt'!L$4,negtgel!U466:BL466)+SUMIF(negtgel!U$2:BL$2,'Tsalin uzuulelt'!L$5,negtgel!U466:BL466)</f>
      </c>
      <c r="L466">
        <f>SUMIF(negtgel!U$2:BL$2,'Tsalin uzuulelt'!N$1,negtgel!U466:BL466) + SUMIF(negtgel!U$2:BL$2,'Tsalin uzuulelt'!N$2,negtgel!U466:BL466)+SUMIF(negtgel!U$2:BL$2,'Tsalin uzuulelt'!N$3,negtgel!U466:BL466)+SUMIF(negtgel!U$2:BL$2,'Tsalin uzuulelt'!N$4,negtgel!U466:BL466)+SUMIF(negtgel!U$2:BL$2,'Tsalin uzuulelt'!N$5,negtgel!U466:BL466)</f>
      </c>
      <c r="M466">
        <f>SUMIF(negtgel!U$2:BL$2,'Tsalin uzuulelt'!P$1,negtgel!U466:BL466) + SUMIF(negtgel!U$2:BL$2,'Tsalin uzuulelt'!P$2,negtgel!U466:BL466)+ SUMIF(negtgel!U$2:BL$2,'Tsalin uzuulelt'!P$3,negtgel!U466:BL466)+ SUMIF(negtgel!U$2:BL$2,'Tsalin uzuulelt'!P$4,negtgel!U466:BL466)+ SUMIF(negtgel!U$2:BL$2,'Tsalin uzuulelt'!P$5,negtgel!U466:BL466)</f>
      </c>
      <c r="N466">
        <f>IF(ISNUMBER(U466*1)=CF466,0,K466-H466-G466)</f>
      </c>
      <c r="O466">
        <f>IF(ISNUMBER(U466*1)=CF466,0,L466)</f>
      </c>
      <c r="P466">
        <f>IF(ISNUMBER(U466*1)=CF466,0,M466)</f>
      </c>
      <c r="Q466">
        <f>IF(N466&gt;2400000,N466,0)</f>
      </c>
      <c r="R466">
        <f>IF(L466/Q466*100&lt;3,2,10)</f>
      </c>
      <c r="S466">
        <f>IF(CH466=0,0,IF(B466&gt;9,10,IF(B466&gt;8,B466,IF(B466&gt;7.7,7.8,IF(B466&gt;3,B466,IF(B466&gt;1.5,2))))))</f>
      </c>
      <c r="T466">
        <f>IF(Q466=0,S466,R466)</f>
      </c>
      <c r="U466" t="n">
        <v>82.0</v>
      </c>
      <c r="V466" t="s">
        <v>3838</v>
      </c>
      <c r="W466" t="s">
        <v>3790</v>
      </c>
      <c r="X466" t="n">
        <v>677436.0</v>
      </c>
      <c r="Y466" t="n">
        <v>211699.0</v>
      </c>
      <c r="Z466" t="n">
        <v>52925.0</v>
      </c>
      <c r="AA466" t="n">
        <v>42340.0</v>
      </c>
      <c r="AB466" t="n">
        <v>0.0</v>
      </c>
      <c r="AC466" t="n">
        <v>0.0</v>
      </c>
      <c r="AD466" t="n">
        <v>0.0</v>
      </c>
      <c r="AE466" t="n">
        <v>0.0</v>
      </c>
      <c r="AF466" t="n">
        <v>15000.0</v>
      </c>
      <c r="AG466" t="n">
        <v>0.0</v>
      </c>
      <c r="AH466" t="n">
        <v>0.0</v>
      </c>
      <c r="AI466" t="n">
        <v>0.0</v>
      </c>
      <c r="AJ466" t="n">
        <v>1455327.0</v>
      </c>
      <c r="AK466" t="n">
        <v>0.0</v>
      </c>
      <c r="AL466" t="n">
        <v>0.0</v>
      </c>
      <c r="AM466" t="n">
        <v>0.0</v>
      </c>
      <c r="AN466" t="n">
        <v>0.0</v>
      </c>
      <c r="AO466" t="n">
        <v>1777291.0</v>
      </c>
      <c r="AP466" t="n">
        <v>177729.0</v>
      </c>
      <c r="AQ466" t="n">
        <v>153106.2</v>
      </c>
      <c r="CH466">
        <f>IFERROR(U466*1,0)</f>
      </c>
    </row>
    <row r="467">
      <c r="A467" t="n">
        <v>7.0</v>
      </c>
      <c r="B467">
        <f>IF((K467-G467-H467&gt;2400000),10,(L467/(K467-G467-H467)*100))</f>
      </c>
      <c r="C467">
        <f>IF(N467&gt;2400000,240000,(N467*S467)/100)</f>
      </c>
      <c r="D467">
        <f>IF(S467=0,0,IF((N467-I467)&gt;2400000,((((((N467-I467-J467)-240000))*0.1+(I467+J467)*0.1)))-7000,((((((N467-I467-J467)-(N467-I467-J467)*S467/100)))*0.1+(I467+J467)*0.1)-7000)))</f>
      </c>
      <c r="E467">
        <f>C467-O467</f>
      </c>
      <c r="F467">
        <f>D467-P467</f>
      </c>
      <c r="G467">
        <f>SUMIF(negtgel!U$2:BL$2,'Tsalin uzuulelt'!B$1,negtgel!U467:BL467) + SUMIF(negtgel!U$2:BL$2,'Tsalin uzuulelt'!B$2,negtgel!U467:BL467)+SUMIF(negtgel!U$2:BL$2,'Tsalin uzuulelt'!B$3,negtgel!U467:BL467)+SUMIF(negtgel!U$2:BL$2,'Tsalin uzuulelt'!B$4,negtgel!U467:BL467)+SUMIF(negtgel!U$2:BL$2,'Tsalin uzuulelt'!B$5,negtgel!U467:BL467)</f>
      </c>
      <c r="H467">
        <f>SUMIF(negtgel!U$2:BL$2,'Tsalin uzuulelt'!F$1,negtgel!U467:BL467) + SUMIF(negtgel!U$2:BL$2,'Tsalin uzuulelt'!F$2,negtgel!U467:BL467)+SUMIF(negtgel!U$2:BL$2,'Tsalin uzuulelt'!F$3,negtgel!U467:BL467)+SUMIF(negtgel!U$2:BL$2,'Tsalin uzuulelt'!F$4,negtgel!U467:BL467)+SUMIF(negtgel!U$2:BL$2,'Tsalin uzuulelt'!F$5,negtgel!U467:BL467)</f>
      </c>
      <c r="I467">
        <f>SUMIF(negtgel!U$2:BL$2,'Tsalin uzuulelt'!H$1,negtgel!U467:BL467) + SUMIF(negtgel!U$2:BL$2,'Tsalin uzuulelt'!H$2,negtgel!U467:BL467)+SUMIF(negtgel!U$2:BL$2,'Tsalin uzuulelt'!H$3,negtgel!U467:BL467)+SUMIF(negtgel!U$2:BL$2,'Tsalin uzuulelt'!H$4,negtgel!U467:BL467)+SUMIF(negtgel!U$2:BL$2,'Tsalin uzuulelt'!H$5,negtgel!U467:BL467)</f>
      </c>
      <c r="J467">
        <f>SUMIF(negtgel!U$2:BL$2,'Tsalin uzuulelt'!J$1,negtgel!U467:BL467) + SUMIF(negtgel!U$2:BL$2,'Tsalin uzuulelt'!J$2,negtgel!U467:BL467)+SUMIF(negtgel!U$2:BL$2,'Tsalin uzuulelt'!J$3,negtgel!U467:BL467)+SUMIF(negtgel!U$2:BL$2,'Tsalin uzuulelt'!J$4,negtgel!U467:BL467)+SUMIF(negtgel!U$2:BL$2,'Tsalin uzuulelt'!J$5,negtgel!U467:BL467)</f>
      </c>
      <c r="K467">
        <f>SUMIF(negtgel!U$2:BL$2,'Tsalin uzuulelt'!L$1,negtgel!U467:BL467) + SUMIF(negtgel!U$2:BL$2,'Tsalin uzuulelt'!L$2,negtgel!U467:BL467)+SUMIF(negtgel!U$2:BL$2,'Tsalin uzuulelt'!L$3,negtgel!U467:BL467)+SUMIF(negtgel!U$2:BL$2,'Tsalin uzuulelt'!L$4,negtgel!U467:BL467)+SUMIF(negtgel!U$2:BL$2,'Tsalin uzuulelt'!L$5,negtgel!U467:BL467)</f>
      </c>
      <c r="L467">
        <f>SUMIF(negtgel!U$2:BL$2,'Tsalin uzuulelt'!N$1,negtgel!U467:BL467) + SUMIF(negtgel!U$2:BL$2,'Tsalin uzuulelt'!N$2,negtgel!U467:BL467)+SUMIF(negtgel!U$2:BL$2,'Tsalin uzuulelt'!N$3,negtgel!U467:BL467)+SUMIF(negtgel!U$2:BL$2,'Tsalin uzuulelt'!N$4,negtgel!U467:BL467)+SUMIF(negtgel!U$2:BL$2,'Tsalin uzuulelt'!N$5,negtgel!U467:BL467)</f>
      </c>
      <c r="M467">
        <f>SUMIF(negtgel!U$2:BL$2,'Tsalin uzuulelt'!P$1,negtgel!U467:BL467) + SUMIF(negtgel!U$2:BL$2,'Tsalin uzuulelt'!P$2,negtgel!U467:BL467)+ SUMIF(negtgel!U$2:BL$2,'Tsalin uzuulelt'!P$3,negtgel!U467:BL467)+ SUMIF(negtgel!U$2:BL$2,'Tsalin uzuulelt'!P$4,negtgel!U467:BL467)+ SUMIF(negtgel!U$2:BL$2,'Tsalin uzuulelt'!P$5,negtgel!U467:BL467)</f>
      </c>
      <c r="N467">
        <f>IF(ISNUMBER(U467*1)=CF467,0,K467-H467-G467)</f>
      </c>
      <c r="O467">
        <f>IF(ISNUMBER(U467*1)=CF467,0,L467)</f>
      </c>
      <c r="P467">
        <f>IF(ISNUMBER(U467*1)=CF467,0,M467)</f>
      </c>
      <c r="Q467">
        <f>IF(N467&gt;2400000,N467,0)</f>
      </c>
      <c r="R467">
        <f>IF(L467/Q467*100&lt;3,2,10)</f>
      </c>
      <c r="S467">
        <f>IF(CH467=0,0,IF(B467&gt;9,10,IF(B467&gt;8,B467,IF(B467&gt;7.7,7.8,IF(B467&gt;3,B467,IF(B467&gt;1.5,2))))))</f>
      </c>
      <c r="T467">
        <f>IF(Q467=0,S467,R467)</f>
      </c>
      <c r="U467" t="n">
        <v>83.0</v>
      </c>
      <c r="V467" t="s">
        <v>3839</v>
      </c>
      <c r="W467" t="s">
        <v>3790</v>
      </c>
      <c r="X467" t="n">
        <v>677436.0</v>
      </c>
      <c r="Y467" t="n">
        <v>211699.0</v>
      </c>
      <c r="Z467" t="n">
        <v>42340.0</v>
      </c>
      <c r="AA467" t="n">
        <v>46574.0</v>
      </c>
      <c r="AB467" t="n">
        <v>0.0</v>
      </c>
      <c r="AC467" t="n">
        <v>0.0</v>
      </c>
      <c r="AD467" t="n">
        <v>0.0</v>
      </c>
      <c r="AE467" t="n">
        <v>0.0</v>
      </c>
      <c r="AF467" t="n">
        <v>15000.0</v>
      </c>
      <c r="AG467" t="n">
        <v>0.0</v>
      </c>
      <c r="AH467" t="n">
        <v>0.0</v>
      </c>
      <c r="AI467" t="n">
        <v>0.0</v>
      </c>
      <c r="AJ467" t="n">
        <v>1313071.0</v>
      </c>
      <c r="AK467" t="n">
        <v>0.0</v>
      </c>
      <c r="AL467" t="n">
        <v>0.0</v>
      </c>
      <c r="AM467" t="n">
        <v>0.0</v>
      </c>
      <c r="AN467" t="n">
        <v>0.0</v>
      </c>
      <c r="AO467" t="n">
        <v>1628684.0</v>
      </c>
      <c r="AP467" t="n">
        <v>162868.0</v>
      </c>
      <c r="AQ467" t="n">
        <v>139731.6</v>
      </c>
      <c r="CH467">
        <f>IFERROR(U467*1,0)</f>
      </c>
    </row>
    <row r="468">
      <c r="A468" t="n">
        <v>7.0</v>
      </c>
      <c r="B468">
        <f>IF((K468-G468-H468&gt;2400000),10,(L468/(K468-G468-H468)*100))</f>
      </c>
      <c r="C468">
        <f>IF(N468&gt;2400000,240000,(N468*S468)/100)</f>
      </c>
      <c r="D468">
        <f>IF(S468=0,0,IF((N468-I468)&gt;2400000,((((((N468-I468-J468)-240000))*0.1+(I468+J468)*0.1)))-7000,((((((N468-I468-J468)-(N468-I468-J468)*S468/100)))*0.1+(I468+J468)*0.1)-7000)))</f>
      </c>
      <c r="E468">
        <f>C468-O468</f>
      </c>
      <c r="F468">
        <f>D468-P468</f>
      </c>
      <c r="G468">
        <f>SUMIF(negtgel!U$2:BL$2,'Tsalin uzuulelt'!B$1,negtgel!U468:BL468) + SUMIF(negtgel!U$2:BL$2,'Tsalin uzuulelt'!B$2,negtgel!U468:BL468)+SUMIF(negtgel!U$2:BL$2,'Tsalin uzuulelt'!B$3,negtgel!U468:BL468)+SUMIF(negtgel!U$2:BL$2,'Tsalin uzuulelt'!B$4,negtgel!U468:BL468)+SUMIF(negtgel!U$2:BL$2,'Tsalin uzuulelt'!B$5,negtgel!U468:BL468)</f>
      </c>
      <c r="H468">
        <f>SUMIF(negtgel!U$2:BL$2,'Tsalin uzuulelt'!F$1,negtgel!U468:BL468) + SUMIF(negtgel!U$2:BL$2,'Tsalin uzuulelt'!F$2,negtgel!U468:BL468)+SUMIF(negtgel!U$2:BL$2,'Tsalin uzuulelt'!F$3,negtgel!U468:BL468)+SUMIF(negtgel!U$2:BL$2,'Tsalin uzuulelt'!F$4,negtgel!U468:BL468)+SUMIF(negtgel!U$2:BL$2,'Tsalin uzuulelt'!F$5,negtgel!U468:BL468)</f>
      </c>
      <c r="I468">
        <f>SUMIF(negtgel!U$2:BL$2,'Tsalin uzuulelt'!H$1,negtgel!U468:BL468) + SUMIF(negtgel!U$2:BL$2,'Tsalin uzuulelt'!H$2,negtgel!U468:BL468)+SUMIF(negtgel!U$2:BL$2,'Tsalin uzuulelt'!H$3,negtgel!U468:BL468)+SUMIF(negtgel!U$2:BL$2,'Tsalin uzuulelt'!H$4,negtgel!U468:BL468)+SUMIF(negtgel!U$2:BL$2,'Tsalin uzuulelt'!H$5,negtgel!U468:BL468)</f>
      </c>
      <c r="J468">
        <f>SUMIF(negtgel!U$2:BL$2,'Tsalin uzuulelt'!J$1,negtgel!U468:BL468) + SUMIF(negtgel!U$2:BL$2,'Tsalin uzuulelt'!J$2,negtgel!U468:BL468)+SUMIF(negtgel!U$2:BL$2,'Tsalin uzuulelt'!J$3,negtgel!U468:BL468)+SUMIF(negtgel!U$2:BL$2,'Tsalin uzuulelt'!J$4,negtgel!U468:BL468)+SUMIF(negtgel!U$2:BL$2,'Tsalin uzuulelt'!J$5,negtgel!U468:BL468)</f>
      </c>
      <c r="K468">
        <f>SUMIF(negtgel!U$2:BL$2,'Tsalin uzuulelt'!L$1,negtgel!U468:BL468) + SUMIF(negtgel!U$2:BL$2,'Tsalin uzuulelt'!L$2,negtgel!U468:BL468)+SUMIF(negtgel!U$2:BL$2,'Tsalin uzuulelt'!L$3,negtgel!U468:BL468)+SUMIF(negtgel!U$2:BL$2,'Tsalin uzuulelt'!L$4,negtgel!U468:BL468)+SUMIF(negtgel!U$2:BL$2,'Tsalin uzuulelt'!L$5,negtgel!U468:BL468)</f>
      </c>
      <c r="L468">
        <f>SUMIF(negtgel!U$2:BL$2,'Tsalin uzuulelt'!N$1,negtgel!U468:BL468) + SUMIF(negtgel!U$2:BL$2,'Tsalin uzuulelt'!N$2,negtgel!U468:BL468)+SUMIF(negtgel!U$2:BL$2,'Tsalin uzuulelt'!N$3,negtgel!U468:BL468)+SUMIF(negtgel!U$2:BL$2,'Tsalin uzuulelt'!N$4,negtgel!U468:BL468)+SUMIF(negtgel!U$2:BL$2,'Tsalin uzuulelt'!N$5,negtgel!U468:BL468)</f>
      </c>
      <c r="M468">
        <f>SUMIF(negtgel!U$2:BL$2,'Tsalin uzuulelt'!P$1,negtgel!U468:BL468) + SUMIF(negtgel!U$2:BL$2,'Tsalin uzuulelt'!P$2,negtgel!U468:BL468)+ SUMIF(negtgel!U$2:BL$2,'Tsalin uzuulelt'!P$3,negtgel!U468:BL468)+ SUMIF(negtgel!U$2:BL$2,'Tsalin uzuulelt'!P$4,negtgel!U468:BL468)+ SUMIF(negtgel!U$2:BL$2,'Tsalin uzuulelt'!P$5,negtgel!U468:BL468)</f>
      </c>
      <c r="N468">
        <f>IF(ISNUMBER(U468*1)=CF468,0,K468-H468-G468)</f>
      </c>
      <c r="O468">
        <f>IF(ISNUMBER(U468*1)=CF468,0,L468)</f>
      </c>
      <c r="P468">
        <f>IF(ISNUMBER(U468*1)=CF468,0,M468)</f>
      </c>
      <c r="Q468">
        <f>IF(N468&gt;2400000,N468,0)</f>
      </c>
      <c r="R468">
        <f>IF(L468/Q468*100&lt;3,2,10)</f>
      </c>
      <c r="S468">
        <f>IF(CH468=0,0,IF(B468&gt;9,10,IF(B468&gt;8,B468,IF(B468&gt;7.7,7.8,IF(B468&gt;3,B468,IF(B468&gt;1.5,2))))))</f>
      </c>
      <c r="T468">
        <f>IF(Q468=0,S468,R468)</f>
      </c>
      <c r="U468" t="n">
        <v>84.0</v>
      </c>
      <c r="V468" t="s">
        <v>3840</v>
      </c>
      <c r="W468" t="s">
        <v>3820</v>
      </c>
      <c r="X468" t="n">
        <v>677436.0</v>
      </c>
      <c r="Y468" t="n">
        <v>211699.0</v>
      </c>
      <c r="Z468" t="n">
        <v>42340.0</v>
      </c>
      <c r="AA468" t="n">
        <v>42340.0</v>
      </c>
      <c r="AB468" t="n">
        <v>10585.0</v>
      </c>
      <c r="AC468" t="n">
        <v>0.0</v>
      </c>
      <c r="AD468" t="n">
        <v>0.0</v>
      </c>
      <c r="AE468" t="n">
        <v>0.0</v>
      </c>
      <c r="AF468" t="n">
        <v>15000.0</v>
      </c>
      <c r="AG468" t="n">
        <v>0.0</v>
      </c>
      <c r="AH468" t="n">
        <v>0.0</v>
      </c>
      <c r="AI468" t="n">
        <v>0.0</v>
      </c>
      <c r="AJ468" t="n">
        <v>1205930.0</v>
      </c>
      <c r="AK468" t="n">
        <v>0.0</v>
      </c>
      <c r="AL468" t="n">
        <v>0.0</v>
      </c>
      <c r="AM468" t="n">
        <v>0.0</v>
      </c>
      <c r="AN468" t="n">
        <v>0.0</v>
      </c>
      <c r="AO468" t="n">
        <v>1527894.0</v>
      </c>
      <c r="AP468" t="n">
        <v>152790.0</v>
      </c>
      <c r="AQ468" t="n">
        <v>130660.5</v>
      </c>
      <c r="CH468">
        <f>IFERROR(U468*1,0)</f>
      </c>
    </row>
    <row r="469">
      <c r="A469" t="n">
        <v>7.0</v>
      </c>
      <c r="B469">
        <f>IF((K469-G469-H469&gt;2400000),10,(L469/(K469-G469-H469)*100))</f>
      </c>
      <c r="C469">
        <f>IF(N469&gt;2400000,240000,(N469*S469)/100)</f>
      </c>
      <c r="D469">
        <f>IF(S469=0,0,IF((N469-I469)&gt;2400000,((((((N469-I469-J469)-240000))*0.1+(I469+J469)*0.1)))-7000,((((((N469-I469-J469)-(N469-I469-J469)*S469/100)))*0.1+(I469+J469)*0.1)-7000)))</f>
      </c>
      <c r="E469">
        <f>C469-O469</f>
      </c>
      <c r="F469">
        <f>D469-P469</f>
      </c>
      <c r="G469">
        <f>SUMIF(negtgel!U$2:BL$2,'Tsalin uzuulelt'!B$1,negtgel!U469:BL469) + SUMIF(negtgel!U$2:BL$2,'Tsalin uzuulelt'!B$2,negtgel!U469:BL469)+SUMIF(negtgel!U$2:BL$2,'Tsalin uzuulelt'!B$3,negtgel!U469:BL469)+SUMIF(negtgel!U$2:BL$2,'Tsalin uzuulelt'!B$4,negtgel!U469:BL469)+SUMIF(negtgel!U$2:BL$2,'Tsalin uzuulelt'!B$5,negtgel!U469:BL469)</f>
      </c>
      <c r="H469">
        <f>SUMIF(negtgel!U$2:BL$2,'Tsalin uzuulelt'!F$1,negtgel!U469:BL469) + SUMIF(negtgel!U$2:BL$2,'Tsalin uzuulelt'!F$2,negtgel!U469:BL469)+SUMIF(negtgel!U$2:BL$2,'Tsalin uzuulelt'!F$3,negtgel!U469:BL469)+SUMIF(negtgel!U$2:BL$2,'Tsalin uzuulelt'!F$4,negtgel!U469:BL469)+SUMIF(negtgel!U$2:BL$2,'Tsalin uzuulelt'!F$5,negtgel!U469:BL469)</f>
      </c>
      <c r="I469">
        <f>SUMIF(negtgel!U$2:BL$2,'Tsalin uzuulelt'!H$1,negtgel!U469:BL469) + SUMIF(negtgel!U$2:BL$2,'Tsalin uzuulelt'!H$2,negtgel!U469:BL469)+SUMIF(negtgel!U$2:BL$2,'Tsalin uzuulelt'!H$3,negtgel!U469:BL469)+SUMIF(negtgel!U$2:BL$2,'Tsalin uzuulelt'!H$4,negtgel!U469:BL469)+SUMIF(negtgel!U$2:BL$2,'Tsalin uzuulelt'!H$5,negtgel!U469:BL469)</f>
      </c>
      <c r="J469">
        <f>SUMIF(negtgel!U$2:BL$2,'Tsalin uzuulelt'!J$1,negtgel!U469:BL469) + SUMIF(negtgel!U$2:BL$2,'Tsalin uzuulelt'!J$2,negtgel!U469:BL469)+SUMIF(negtgel!U$2:BL$2,'Tsalin uzuulelt'!J$3,negtgel!U469:BL469)+SUMIF(negtgel!U$2:BL$2,'Tsalin uzuulelt'!J$4,negtgel!U469:BL469)+SUMIF(negtgel!U$2:BL$2,'Tsalin uzuulelt'!J$5,negtgel!U469:BL469)</f>
      </c>
      <c r="K469">
        <f>SUMIF(negtgel!U$2:BL$2,'Tsalin uzuulelt'!L$1,negtgel!U469:BL469) + SUMIF(negtgel!U$2:BL$2,'Tsalin uzuulelt'!L$2,negtgel!U469:BL469)+SUMIF(negtgel!U$2:BL$2,'Tsalin uzuulelt'!L$3,negtgel!U469:BL469)+SUMIF(negtgel!U$2:BL$2,'Tsalin uzuulelt'!L$4,negtgel!U469:BL469)+SUMIF(negtgel!U$2:BL$2,'Tsalin uzuulelt'!L$5,negtgel!U469:BL469)</f>
      </c>
      <c r="L469">
        <f>SUMIF(negtgel!U$2:BL$2,'Tsalin uzuulelt'!N$1,negtgel!U469:BL469) + SUMIF(negtgel!U$2:BL$2,'Tsalin uzuulelt'!N$2,negtgel!U469:BL469)+SUMIF(negtgel!U$2:BL$2,'Tsalin uzuulelt'!N$3,negtgel!U469:BL469)+SUMIF(negtgel!U$2:BL$2,'Tsalin uzuulelt'!N$4,negtgel!U469:BL469)+SUMIF(negtgel!U$2:BL$2,'Tsalin uzuulelt'!N$5,negtgel!U469:BL469)</f>
      </c>
      <c r="M469">
        <f>SUMIF(negtgel!U$2:BL$2,'Tsalin uzuulelt'!P$1,negtgel!U469:BL469) + SUMIF(negtgel!U$2:BL$2,'Tsalin uzuulelt'!P$2,negtgel!U469:BL469)+ SUMIF(negtgel!U$2:BL$2,'Tsalin uzuulelt'!P$3,negtgel!U469:BL469)+ SUMIF(negtgel!U$2:BL$2,'Tsalin uzuulelt'!P$4,negtgel!U469:BL469)+ SUMIF(negtgel!U$2:BL$2,'Tsalin uzuulelt'!P$5,negtgel!U469:BL469)</f>
      </c>
      <c r="N469">
        <f>IF(ISNUMBER(U469*1)=CF469,0,K469-H469-G469)</f>
      </c>
      <c r="O469">
        <f>IF(ISNUMBER(U469*1)=CF469,0,L469)</f>
      </c>
      <c r="P469">
        <f>IF(ISNUMBER(U469*1)=CF469,0,M469)</f>
      </c>
      <c r="Q469">
        <f>IF(N469&gt;2400000,N469,0)</f>
      </c>
      <c r="R469">
        <f>IF(L469/Q469*100&lt;3,2,10)</f>
      </c>
      <c r="S469">
        <f>IF(CH469=0,0,IF(B469&gt;9,10,IF(B469&gt;8,B469,IF(B469&gt;7.7,7.8,IF(B469&gt;3,B469,IF(B469&gt;1.5,2))))))</f>
      </c>
      <c r="T469">
        <f>IF(Q469=0,S469,R469)</f>
      </c>
      <c r="U469" t="n">
        <v>85.0</v>
      </c>
      <c r="V469" t="s">
        <v>3841</v>
      </c>
      <c r="W469" t="s">
        <v>3790</v>
      </c>
      <c r="X469" t="n">
        <v>613669.0</v>
      </c>
      <c r="Y469" t="n">
        <v>613669.0</v>
      </c>
      <c r="Z469" t="n">
        <v>30683.0</v>
      </c>
      <c r="AA469" t="n">
        <v>110460.0</v>
      </c>
      <c r="AB469" t="n">
        <v>0.0</v>
      </c>
      <c r="AC469" t="n">
        <v>0.0</v>
      </c>
      <c r="AD469" t="n">
        <v>0.0</v>
      </c>
      <c r="AE469" t="n">
        <v>0.0</v>
      </c>
      <c r="AF469" t="n">
        <v>48000.0</v>
      </c>
      <c r="AG469" t="n">
        <v>0.0</v>
      </c>
      <c r="AH469" t="n">
        <v>0.0</v>
      </c>
      <c r="AI469" t="n">
        <v>0.0</v>
      </c>
      <c r="AJ469" t="n">
        <v>0.0</v>
      </c>
      <c r="AK469" t="n">
        <v>0.0</v>
      </c>
      <c r="AL469" t="n">
        <v>0.0</v>
      </c>
      <c r="AM469" t="n">
        <v>0.0</v>
      </c>
      <c r="AN469" t="n">
        <v>0.0</v>
      </c>
      <c r="AO469" t="n">
        <v>802812.0</v>
      </c>
      <c r="AP469" t="n">
        <v>80281.0</v>
      </c>
      <c r="AQ469" t="n">
        <v>65733.1</v>
      </c>
      <c r="CH469">
        <f>IFERROR(U469*1,0)</f>
      </c>
    </row>
    <row r="470">
      <c r="A470" t="n">
        <v>7.0</v>
      </c>
      <c r="B470">
        <f>IF((K470-G470-H470&gt;2400000),10,(L470/(K470-G470-H470)*100))</f>
      </c>
      <c r="C470">
        <f>IF(N470&gt;2400000,240000,(N470*S470)/100)</f>
      </c>
      <c r="D470">
        <f>IF(S470=0,0,IF((N470-I470)&gt;2400000,((((((N470-I470-J470)-240000))*0.1+(I470+J470)*0.1)))-7000,((((((N470-I470-J470)-(N470-I470-J470)*S470/100)))*0.1+(I470+J470)*0.1)-7000)))</f>
      </c>
      <c r="E470">
        <f>C470-O470</f>
      </c>
      <c r="F470">
        <f>D470-P470</f>
      </c>
      <c r="G470">
        <f>SUMIF(negtgel!U$2:BL$2,'Tsalin uzuulelt'!B$1,negtgel!U470:BL470) + SUMIF(negtgel!U$2:BL$2,'Tsalin uzuulelt'!B$2,negtgel!U470:BL470)+SUMIF(negtgel!U$2:BL$2,'Tsalin uzuulelt'!B$3,negtgel!U470:BL470)+SUMIF(negtgel!U$2:BL$2,'Tsalin uzuulelt'!B$4,negtgel!U470:BL470)+SUMIF(negtgel!U$2:BL$2,'Tsalin uzuulelt'!B$5,negtgel!U470:BL470)</f>
      </c>
      <c r="H470">
        <f>SUMIF(negtgel!U$2:BL$2,'Tsalin uzuulelt'!F$1,negtgel!U470:BL470) + SUMIF(negtgel!U$2:BL$2,'Tsalin uzuulelt'!F$2,negtgel!U470:BL470)+SUMIF(negtgel!U$2:BL$2,'Tsalin uzuulelt'!F$3,negtgel!U470:BL470)+SUMIF(negtgel!U$2:BL$2,'Tsalin uzuulelt'!F$4,negtgel!U470:BL470)+SUMIF(negtgel!U$2:BL$2,'Tsalin uzuulelt'!F$5,negtgel!U470:BL470)</f>
      </c>
      <c r="I470">
        <f>SUMIF(negtgel!U$2:BL$2,'Tsalin uzuulelt'!H$1,negtgel!U470:BL470) + SUMIF(negtgel!U$2:BL$2,'Tsalin uzuulelt'!H$2,negtgel!U470:BL470)+SUMIF(negtgel!U$2:BL$2,'Tsalin uzuulelt'!H$3,negtgel!U470:BL470)+SUMIF(negtgel!U$2:BL$2,'Tsalin uzuulelt'!H$4,negtgel!U470:BL470)+SUMIF(negtgel!U$2:BL$2,'Tsalin uzuulelt'!H$5,negtgel!U470:BL470)</f>
      </c>
      <c r="J470">
        <f>SUMIF(negtgel!U$2:BL$2,'Tsalin uzuulelt'!J$1,negtgel!U470:BL470) + SUMIF(negtgel!U$2:BL$2,'Tsalin uzuulelt'!J$2,negtgel!U470:BL470)+SUMIF(negtgel!U$2:BL$2,'Tsalin uzuulelt'!J$3,negtgel!U470:BL470)+SUMIF(negtgel!U$2:BL$2,'Tsalin uzuulelt'!J$4,negtgel!U470:BL470)+SUMIF(negtgel!U$2:BL$2,'Tsalin uzuulelt'!J$5,negtgel!U470:BL470)</f>
      </c>
      <c r="K470">
        <f>SUMIF(negtgel!U$2:BL$2,'Tsalin uzuulelt'!L$1,negtgel!U470:BL470) + SUMIF(negtgel!U$2:BL$2,'Tsalin uzuulelt'!L$2,negtgel!U470:BL470)+SUMIF(negtgel!U$2:BL$2,'Tsalin uzuulelt'!L$3,negtgel!U470:BL470)+SUMIF(negtgel!U$2:BL$2,'Tsalin uzuulelt'!L$4,negtgel!U470:BL470)+SUMIF(negtgel!U$2:BL$2,'Tsalin uzuulelt'!L$5,negtgel!U470:BL470)</f>
      </c>
      <c r="L470">
        <f>SUMIF(negtgel!U$2:BL$2,'Tsalin uzuulelt'!N$1,negtgel!U470:BL470) + SUMIF(negtgel!U$2:BL$2,'Tsalin uzuulelt'!N$2,negtgel!U470:BL470)+SUMIF(negtgel!U$2:BL$2,'Tsalin uzuulelt'!N$3,negtgel!U470:BL470)+SUMIF(negtgel!U$2:BL$2,'Tsalin uzuulelt'!N$4,negtgel!U470:BL470)+SUMIF(negtgel!U$2:BL$2,'Tsalin uzuulelt'!N$5,negtgel!U470:BL470)</f>
      </c>
      <c r="M470">
        <f>SUMIF(negtgel!U$2:BL$2,'Tsalin uzuulelt'!P$1,negtgel!U470:BL470) + SUMIF(negtgel!U$2:BL$2,'Tsalin uzuulelt'!P$2,negtgel!U470:BL470)+ SUMIF(negtgel!U$2:BL$2,'Tsalin uzuulelt'!P$3,negtgel!U470:BL470)+ SUMIF(negtgel!U$2:BL$2,'Tsalin uzuulelt'!P$4,negtgel!U470:BL470)+ SUMIF(negtgel!U$2:BL$2,'Tsalin uzuulelt'!P$5,negtgel!U470:BL470)</f>
      </c>
      <c r="N470">
        <f>IF(ISNUMBER(U470*1)=CF470,0,K470-H470-G470)</f>
      </c>
      <c r="O470">
        <f>IF(ISNUMBER(U470*1)=CF470,0,L470)</f>
      </c>
      <c r="P470">
        <f>IF(ISNUMBER(U470*1)=CF470,0,M470)</f>
      </c>
      <c r="Q470">
        <f>IF(N470&gt;2400000,N470,0)</f>
      </c>
      <c r="R470">
        <f>IF(L470/Q470*100&lt;3,2,10)</f>
      </c>
      <c r="S470">
        <f>IF(CH470=0,0,IF(B470&gt;9,10,IF(B470&gt;8,B470,IF(B470&gt;7.7,7.8,IF(B470&gt;3,B470,IF(B470&gt;1.5,2))))))</f>
      </c>
      <c r="T470">
        <f>IF(Q470=0,S470,R470)</f>
      </c>
      <c r="U470" t="n">
        <v>86.0</v>
      </c>
      <c r="V470" t="s">
        <v>3842</v>
      </c>
      <c r="W470" t="s">
        <v>3790</v>
      </c>
      <c r="X470" t="n">
        <v>645556.0</v>
      </c>
      <c r="Y470" t="n">
        <v>201736.0</v>
      </c>
      <c r="Z470" t="n">
        <v>34295.0</v>
      </c>
      <c r="AA470" t="n">
        <v>36312.0</v>
      </c>
      <c r="AB470" t="n">
        <v>0.0</v>
      </c>
      <c r="AC470" t="n">
        <v>0.0</v>
      </c>
      <c r="AD470" t="n">
        <v>0.0</v>
      </c>
      <c r="AE470" t="n">
        <v>0.0</v>
      </c>
      <c r="AF470" t="n">
        <v>15000.0</v>
      </c>
      <c r="AG470" t="n">
        <v>0.0</v>
      </c>
      <c r="AH470" t="n">
        <v>0.0</v>
      </c>
      <c r="AI470" t="n">
        <v>0.0</v>
      </c>
      <c r="AJ470" t="n">
        <v>909746.0</v>
      </c>
      <c r="AK470" t="n">
        <v>0.0</v>
      </c>
      <c r="AL470" t="n">
        <v>0.0</v>
      </c>
      <c r="AM470" t="n">
        <v>0.0</v>
      </c>
      <c r="AN470" t="n">
        <v>0.0</v>
      </c>
      <c r="AO470" t="n">
        <v>1197089.0</v>
      </c>
      <c r="AP470" t="n">
        <v>119709.0</v>
      </c>
      <c r="AQ470" t="n">
        <v>100888.0</v>
      </c>
      <c r="CH470">
        <f>IFERROR(U470*1,0)</f>
      </c>
    </row>
    <row r="471">
      <c r="A471" t="n">
        <v>7.0</v>
      </c>
      <c r="B471">
        <f>IF((K471-G471-H471&gt;2400000),10,(L471/(K471-G471-H471)*100))</f>
      </c>
      <c r="C471">
        <f>IF(N471&gt;2400000,240000,(N471*S471)/100)</f>
      </c>
      <c r="D471">
        <f>IF(S471=0,0,IF((N471-I471)&gt;2400000,((((((N471-I471-J471)-240000))*0.1+(I471+J471)*0.1)))-7000,((((((N471-I471-J471)-(N471-I471-J471)*S471/100)))*0.1+(I471+J471)*0.1)-7000)))</f>
      </c>
      <c r="E471">
        <f>C471-O471</f>
      </c>
      <c r="F471">
        <f>D471-P471</f>
      </c>
      <c r="G471">
        <f>SUMIF(negtgel!U$2:BL$2,'Tsalin uzuulelt'!B$1,negtgel!U471:BL471) + SUMIF(negtgel!U$2:BL$2,'Tsalin uzuulelt'!B$2,negtgel!U471:BL471)+SUMIF(negtgel!U$2:BL$2,'Tsalin uzuulelt'!B$3,negtgel!U471:BL471)+SUMIF(negtgel!U$2:BL$2,'Tsalin uzuulelt'!B$4,negtgel!U471:BL471)+SUMIF(negtgel!U$2:BL$2,'Tsalin uzuulelt'!B$5,negtgel!U471:BL471)</f>
      </c>
      <c r="H471">
        <f>SUMIF(negtgel!U$2:BL$2,'Tsalin uzuulelt'!F$1,negtgel!U471:BL471) + SUMIF(negtgel!U$2:BL$2,'Tsalin uzuulelt'!F$2,negtgel!U471:BL471)+SUMIF(negtgel!U$2:BL$2,'Tsalin uzuulelt'!F$3,negtgel!U471:BL471)+SUMIF(negtgel!U$2:BL$2,'Tsalin uzuulelt'!F$4,negtgel!U471:BL471)+SUMIF(negtgel!U$2:BL$2,'Tsalin uzuulelt'!F$5,negtgel!U471:BL471)</f>
      </c>
      <c r="I471">
        <f>SUMIF(negtgel!U$2:BL$2,'Tsalin uzuulelt'!H$1,negtgel!U471:BL471) + SUMIF(negtgel!U$2:BL$2,'Tsalin uzuulelt'!H$2,negtgel!U471:BL471)+SUMIF(negtgel!U$2:BL$2,'Tsalin uzuulelt'!H$3,negtgel!U471:BL471)+SUMIF(negtgel!U$2:BL$2,'Tsalin uzuulelt'!H$4,negtgel!U471:BL471)+SUMIF(negtgel!U$2:BL$2,'Tsalin uzuulelt'!H$5,negtgel!U471:BL471)</f>
      </c>
      <c r="J471">
        <f>SUMIF(negtgel!U$2:BL$2,'Tsalin uzuulelt'!J$1,negtgel!U471:BL471) + SUMIF(negtgel!U$2:BL$2,'Tsalin uzuulelt'!J$2,negtgel!U471:BL471)+SUMIF(negtgel!U$2:BL$2,'Tsalin uzuulelt'!J$3,negtgel!U471:BL471)+SUMIF(negtgel!U$2:BL$2,'Tsalin uzuulelt'!J$4,negtgel!U471:BL471)+SUMIF(negtgel!U$2:BL$2,'Tsalin uzuulelt'!J$5,negtgel!U471:BL471)</f>
      </c>
      <c r="K471">
        <f>SUMIF(negtgel!U$2:BL$2,'Tsalin uzuulelt'!L$1,negtgel!U471:BL471) + SUMIF(negtgel!U$2:BL$2,'Tsalin uzuulelt'!L$2,negtgel!U471:BL471)+SUMIF(negtgel!U$2:BL$2,'Tsalin uzuulelt'!L$3,negtgel!U471:BL471)+SUMIF(negtgel!U$2:BL$2,'Tsalin uzuulelt'!L$4,negtgel!U471:BL471)+SUMIF(negtgel!U$2:BL$2,'Tsalin uzuulelt'!L$5,negtgel!U471:BL471)</f>
      </c>
      <c r="L471">
        <f>SUMIF(negtgel!U$2:BL$2,'Tsalin uzuulelt'!N$1,negtgel!U471:BL471) + SUMIF(negtgel!U$2:BL$2,'Tsalin uzuulelt'!N$2,negtgel!U471:BL471)+SUMIF(negtgel!U$2:BL$2,'Tsalin uzuulelt'!N$3,negtgel!U471:BL471)+SUMIF(negtgel!U$2:BL$2,'Tsalin uzuulelt'!N$4,negtgel!U471:BL471)+SUMIF(negtgel!U$2:BL$2,'Tsalin uzuulelt'!N$5,negtgel!U471:BL471)</f>
      </c>
      <c r="M471">
        <f>SUMIF(negtgel!U$2:BL$2,'Tsalin uzuulelt'!P$1,negtgel!U471:BL471) + SUMIF(negtgel!U$2:BL$2,'Tsalin uzuulelt'!P$2,negtgel!U471:BL471)+ SUMIF(negtgel!U$2:BL$2,'Tsalin uzuulelt'!P$3,negtgel!U471:BL471)+ SUMIF(negtgel!U$2:BL$2,'Tsalin uzuulelt'!P$4,negtgel!U471:BL471)+ SUMIF(negtgel!U$2:BL$2,'Tsalin uzuulelt'!P$5,negtgel!U471:BL471)</f>
      </c>
      <c r="N471">
        <f>IF(ISNUMBER(U471*1)=CF471,0,K471-H471-G471)</f>
      </c>
      <c r="O471">
        <f>IF(ISNUMBER(U471*1)=CF471,0,L471)</f>
      </c>
      <c r="P471">
        <f>IF(ISNUMBER(U471*1)=CF471,0,M471)</f>
      </c>
      <c r="Q471">
        <f>IF(N471&gt;2400000,N471,0)</f>
      </c>
      <c r="R471">
        <f>IF(L471/Q471*100&lt;3,2,10)</f>
      </c>
      <c r="S471">
        <f>IF(CH471=0,0,IF(B471&gt;9,10,IF(B471&gt;8,B471,IF(B471&gt;7.7,7.8,IF(B471&gt;3,B471,IF(B471&gt;1.5,2))))))</f>
      </c>
      <c r="T471">
        <f>IF(Q471=0,S471,R471)</f>
      </c>
      <c r="U471" t="n">
        <v>87.0</v>
      </c>
      <c r="V471" t="s">
        <v>3843</v>
      </c>
      <c r="W471" t="s">
        <v>3820</v>
      </c>
      <c r="X471" t="n">
        <v>698795.0</v>
      </c>
      <c r="Y471" t="n">
        <v>218373.0</v>
      </c>
      <c r="Z471" t="n">
        <v>43675.0</v>
      </c>
      <c r="AA471" t="n">
        <v>43675.0</v>
      </c>
      <c r="AB471" t="n">
        <v>0.0</v>
      </c>
      <c r="AC471" t="n">
        <v>0.0</v>
      </c>
      <c r="AD471" t="n">
        <v>0.0</v>
      </c>
      <c r="AE471" t="n">
        <v>0.0</v>
      </c>
      <c r="AF471" t="n">
        <v>15000.0</v>
      </c>
      <c r="AG471" t="n">
        <v>0.0</v>
      </c>
      <c r="AH471" t="n">
        <v>0.0</v>
      </c>
      <c r="AI471" t="n">
        <v>0.0</v>
      </c>
      <c r="AJ471" t="n">
        <v>1122968.0</v>
      </c>
      <c r="AK471" t="n">
        <v>0.0</v>
      </c>
      <c r="AL471" t="n">
        <v>0.0</v>
      </c>
      <c r="AM471" t="n">
        <v>0.0</v>
      </c>
      <c r="AN471" t="n">
        <v>0.0</v>
      </c>
      <c r="AO471" t="n">
        <v>1443691.0</v>
      </c>
      <c r="AP471" t="n">
        <v>144369.0</v>
      </c>
      <c r="AQ471" t="n">
        <v>123082.2</v>
      </c>
      <c r="CH471">
        <f>IFERROR(U471*1,0)</f>
      </c>
    </row>
    <row r="472">
      <c r="A472" t="n">
        <v>7.0</v>
      </c>
      <c r="B472">
        <f>IF((K472-G472-H472&gt;2400000),10,(L472/(K472-G472-H472)*100))</f>
      </c>
      <c r="C472">
        <f>IF(N472&gt;2400000,240000,(N472*S472)/100)</f>
      </c>
      <c r="D472">
        <f>IF(S472=0,0,IF((N472-I472)&gt;2400000,((((((N472-I472-J472)-240000))*0.1+(I472+J472)*0.1)))-7000,((((((N472-I472-J472)-(N472-I472-J472)*S472/100)))*0.1+(I472+J472)*0.1)-7000)))</f>
      </c>
      <c r="E472">
        <f>C472-O472</f>
      </c>
      <c r="F472">
        <f>D472-P472</f>
      </c>
      <c r="G472">
        <f>SUMIF(negtgel!U$2:BL$2,'Tsalin uzuulelt'!B$1,negtgel!U472:BL472) + SUMIF(negtgel!U$2:BL$2,'Tsalin uzuulelt'!B$2,negtgel!U472:BL472)+SUMIF(negtgel!U$2:BL$2,'Tsalin uzuulelt'!B$3,negtgel!U472:BL472)+SUMIF(negtgel!U$2:BL$2,'Tsalin uzuulelt'!B$4,negtgel!U472:BL472)+SUMIF(negtgel!U$2:BL$2,'Tsalin uzuulelt'!B$5,negtgel!U472:BL472)</f>
      </c>
      <c r="H472">
        <f>SUMIF(negtgel!U$2:BL$2,'Tsalin uzuulelt'!F$1,negtgel!U472:BL472) + SUMIF(negtgel!U$2:BL$2,'Tsalin uzuulelt'!F$2,negtgel!U472:BL472)+SUMIF(negtgel!U$2:BL$2,'Tsalin uzuulelt'!F$3,negtgel!U472:BL472)+SUMIF(negtgel!U$2:BL$2,'Tsalin uzuulelt'!F$4,negtgel!U472:BL472)+SUMIF(negtgel!U$2:BL$2,'Tsalin uzuulelt'!F$5,negtgel!U472:BL472)</f>
      </c>
      <c r="I472">
        <f>SUMIF(negtgel!U$2:BL$2,'Tsalin uzuulelt'!H$1,negtgel!U472:BL472) + SUMIF(negtgel!U$2:BL$2,'Tsalin uzuulelt'!H$2,negtgel!U472:BL472)+SUMIF(negtgel!U$2:BL$2,'Tsalin uzuulelt'!H$3,negtgel!U472:BL472)+SUMIF(negtgel!U$2:BL$2,'Tsalin uzuulelt'!H$4,negtgel!U472:BL472)+SUMIF(negtgel!U$2:BL$2,'Tsalin uzuulelt'!H$5,negtgel!U472:BL472)</f>
      </c>
      <c r="J472">
        <f>SUMIF(negtgel!U$2:BL$2,'Tsalin uzuulelt'!J$1,negtgel!U472:BL472) + SUMIF(negtgel!U$2:BL$2,'Tsalin uzuulelt'!J$2,negtgel!U472:BL472)+SUMIF(negtgel!U$2:BL$2,'Tsalin uzuulelt'!J$3,negtgel!U472:BL472)+SUMIF(negtgel!U$2:BL$2,'Tsalin uzuulelt'!J$4,negtgel!U472:BL472)+SUMIF(negtgel!U$2:BL$2,'Tsalin uzuulelt'!J$5,negtgel!U472:BL472)</f>
      </c>
      <c r="K472">
        <f>SUMIF(negtgel!U$2:BL$2,'Tsalin uzuulelt'!L$1,negtgel!U472:BL472) + SUMIF(negtgel!U$2:BL$2,'Tsalin uzuulelt'!L$2,negtgel!U472:BL472)+SUMIF(negtgel!U$2:BL$2,'Tsalin uzuulelt'!L$3,negtgel!U472:BL472)+SUMIF(negtgel!U$2:BL$2,'Tsalin uzuulelt'!L$4,negtgel!U472:BL472)+SUMIF(negtgel!U$2:BL$2,'Tsalin uzuulelt'!L$5,negtgel!U472:BL472)</f>
      </c>
      <c r="L472">
        <f>SUMIF(negtgel!U$2:BL$2,'Tsalin uzuulelt'!N$1,negtgel!U472:BL472) + SUMIF(negtgel!U$2:BL$2,'Tsalin uzuulelt'!N$2,negtgel!U472:BL472)+SUMIF(negtgel!U$2:BL$2,'Tsalin uzuulelt'!N$3,negtgel!U472:BL472)+SUMIF(negtgel!U$2:BL$2,'Tsalin uzuulelt'!N$4,negtgel!U472:BL472)+SUMIF(negtgel!U$2:BL$2,'Tsalin uzuulelt'!N$5,negtgel!U472:BL472)</f>
      </c>
      <c r="M472">
        <f>SUMIF(negtgel!U$2:BL$2,'Tsalin uzuulelt'!P$1,negtgel!U472:BL472) + SUMIF(negtgel!U$2:BL$2,'Tsalin uzuulelt'!P$2,negtgel!U472:BL472)+ SUMIF(negtgel!U$2:BL$2,'Tsalin uzuulelt'!P$3,negtgel!U472:BL472)+ SUMIF(negtgel!U$2:BL$2,'Tsalin uzuulelt'!P$4,negtgel!U472:BL472)+ SUMIF(negtgel!U$2:BL$2,'Tsalin uzuulelt'!P$5,negtgel!U472:BL472)</f>
      </c>
      <c r="N472">
        <f>IF(ISNUMBER(U472*1)=CF472,0,K472-H472-G472)</f>
      </c>
      <c r="O472">
        <f>IF(ISNUMBER(U472*1)=CF472,0,L472)</f>
      </c>
      <c r="P472">
        <f>IF(ISNUMBER(U472*1)=CF472,0,M472)</f>
      </c>
      <c r="Q472">
        <f>IF(N472&gt;2400000,N472,0)</f>
      </c>
      <c r="R472">
        <f>IF(L472/Q472*100&lt;3,2,10)</f>
      </c>
      <c r="S472">
        <f>IF(CH472=0,0,IF(B472&gt;9,10,IF(B472&gt;8,B472,IF(B472&gt;7.7,7.8,IF(B472&gt;3,B472,IF(B472&gt;1.5,2))))))</f>
      </c>
      <c r="T472">
        <f>IF(Q472=0,S472,R472)</f>
      </c>
      <c r="U472" t="n">
        <v>88.0</v>
      </c>
      <c r="V472" t="s">
        <v>3853</v>
      </c>
      <c r="W472" t="s">
        <v>3790</v>
      </c>
      <c r="X472" t="n">
        <v>613669.0</v>
      </c>
      <c r="Y472" t="n">
        <v>191772.0</v>
      </c>
      <c r="Z472" t="n">
        <v>9589.0</v>
      </c>
      <c r="AA472" t="n">
        <v>28766.0</v>
      </c>
      <c r="AB472" t="n">
        <v>0.0</v>
      </c>
      <c r="AC472" t="n">
        <v>0.0</v>
      </c>
      <c r="AD472" t="n">
        <v>0.0</v>
      </c>
      <c r="AE472" t="n">
        <v>0.0</v>
      </c>
      <c r="AF472" t="n">
        <v>15000.0</v>
      </c>
      <c r="AG472" t="n">
        <v>0.0</v>
      </c>
      <c r="AH472" t="n">
        <v>0.0</v>
      </c>
      <c r="AI472" t="n">
        <v>0.0</v>
      </c>
      <c r="AJ472" t="n">
        <v>918995.0</v>
      </c>
      <c r="AK472" t="n">
        <v>0.0</v>
      </c>
      <c r="AL472" t="n">
        <v>0.0</v>
      </c>
      <c r="AM472" t="n">
        <v>0.0</v>
      </c>
      <c r="AN472" t="n">
        <v>0.0</v>
      </c>
      <c r="AO472" t="n">
        <v>1164122.0</v>
      </c>
      <c r="AP472" t="n">
        <v>116412.0</v>
      </c>
      <c r="AQ472" t="n">
        <v>97921.0</v>
      </c>
      <c r="CH472">
        <f>IFERROR(U472*1,0)</f>
      </c>
    </row>
    <row r="473">
      <c r="A473" t="n">
        <v>7.0</v>
      </c>
      <c r="B473">
        <f>IF((K473-G473-H473&gt;2400000),10,(L473/(K473-G473-H473)*100))</f>
      </c>
      <c r="C473">
        <f>IF(N473&gt;2400000,240000,(N473*S473)/100)</f>
      </c>
      <c r="D473">
        <f>IF(S473=0,0,IF((N473-I473)&gt;2400000,((((((N473-I473-J473)-240000))*0.1+(I473+J473)*0.1)))-7000,((((((N473-I473-J473)-(N473-I473-J473)*S473/100)))*0.1+(I473+J473)*0.1)-7000)))</f>
      </c>
      <c r="E473">
        <f>C473-O473</f>
      </c>
      <c r="F473">
        <f>D473-P473</f>
      </c>
      <c r="G473">
        <f>SUMIF(negtgel!U$2:BL$2,'Tsalin uzuulelt'!B$1,negtgel!U473:BL473) + SUMIF(negtgel!U$2:BL$2,'Tsalin uzuulelt'!B$2,negtgel!U473:BL473)+SUMIF(negtgel!U$2:BL$2,'Tsalin uzuulelt'!B$3,negtgel!U473:BL473)+SUMIF(negtgel!U$2:BL$2,'Tsalin uzuulelt'!B$4,negtgel!U473:BL473)+SUMIF(negtgel!U$2:BL$2,'Tsalin uzuulelt'!B$5,negtgel!U473:BL473)</f>
      </c>
      <c r="H473">
        <f>SUMIF(negtgel!U$2:BL$2,'Tsalin uzuulelt'!F$1,negtgel!U473:BL473) + SUMIF(negtgel!U$2:BL$2,'Tsalin uzuulelt'!F$2,negtgel!U473:BL473)+SUMIF(negtgel!U$2:BL$2,'Tsalin uzuulelt'!F$3,negtgel!U473:BL473)+SUMIF(negtgel!U$2:BL$2,'Tsalin uzuulelt'!F$4,negtgel!U473:BL473)+SUMIF(negtgel!U$2:BL$2,'Tsalin uzuulelt'!F$5,negtgel!U473:BL473)</f>
      </c>
      <c r="I473">
        <f>SUMIF(negtgel!U$2:BL$2,'Tsalin uzuulelt'!H$1,negtgel!U473:BL473) + SUMIF(negtgel!U$2:BL$2,'Tsalin uzuulelt'!H$2,negtgel!U473:BL473)+SUMIF(negtgel!U$2:BL$2,'Tsalin uzuulelt'!H$3,negtgel!U473:BL473)+SUMIF(negtgel!U$2:BL$2,'Tsalin uzuulelt'!H$4,negtgel!U473:BL473)+SUMIF(negtgel!U$2:BL$2,'Tsalin uzuulelt'!H$5,negtgel!U473:BL473)</f>
      </c>
      <c r="J473">
        <f>SUMIF(negtgel!U$2:BL$2,'Tsalin uzuulelt'!J$1,negtgel!U473:BL473) + SUMIF(negtgel!U$2:BL$2,'Tsalin uzuulelt'!J$2,negtgel!U473:BL473)+SUMIF(negtgel!U$2:BL$2,'Tsalin uzuulelt'!J$3,negtgel!U473:BL473)+SUMIF(negtgel!U$2:BL$2,'Tsalin uzuulelt'!J$4,negtgel!U473:BL473)+SUMIF(negtgel!U$2:BL$2,'Tsalin uzuulelt'!J$5,negtgel!U473:BL473)</f>
      </c>
      <c r="K473">
        <f>SUMIF(negtgel!U$2:BL$2,'Tsalin uzuulelt'!L$1,negtgel!U473:BL473) + SUMIF(negtgel!U$2:BL$2,'Tsalin uzuulelt'!L$2,negtgel!U473:BL473)+SUMIF(negtgel!U$2:BL$2,'Tsalin uzuulelt'!L$3,negtgel!U473:BL473)+SUMIF(negtgel!U$2:BL$2,'Tsalin uzuulelt'!L$4,negtgel!U473:BL473)+SUMIF(negtgel!U$2:BL$2,'Tsalin uzuulelt'!L$5,negtgel!U473:BL473)</f>
      </c>
      <c r="L473">
        <f>SUMIF(negtgel!U$2:BL$2,'Tsalin uzuulelt'!N$1,negtgel!U473:BL473) + SUMIF(negtgel!U$2:BL$2,'Tsalin uzuulelt'!N$2,negtgel!U473:BL473)+SUMIF(negtgel!U$2:BL$2,'Tsalin uzuulelt'!N$3,negtgel!U473:BL473)+SUMIF(negtgel!U$2:BL$2,'Tsalin uzuulelt'!N$4,negtgel!U473:BL473)+SUMIF(negtgel!U$2:BL$2,'Tsalin uzuulelt'!N$5,negtgel!U473:BL473)</f>
      </c>
      <c r="M473">
        <f>SUMIF(negtgel!U$2:BL$2,'Tsalin uzuulelt'!P$1,negtgel!U473:BL473) + SUMIF(negtgel!U$2:BL$2,'Tsalin uzuulelt'!P$2,negtgel!U473:BL473)+ SUMIF(negtgel!U$2:BL$2,'Tsalin uzuulelt'!P$3,negtgel!U473:BL473)+ SUMIF(negtgel!U$2:BL$2,'Tsalin uzuulelt'!P$4,negtgel!U473:BL473)+ SUMIF(negtgel!U$2:BL$2,'Tsalin uzuulelt'!P$5,negtgel!U473:BL473)</f>
      </c>
      <c r="N473">
        <f>IF(ISNUMBER(U473*1)=CF473,0,K473-H473-G473)</f>
      </c>
      <c r="O473">
        <f>IF(ISNUMBER(U473*1)=CF473,0,L473)</f>
      </c>
      <c r="P473">
        <f>IF(ISNUMBER(U473*1)=CF473,0,M473)</f>
      </c>
      <c r="Q473">
        <f>IF(N473&gt;2400000,N473,0)</f>
      </c>
      <c r="R473">
        <f>IF(L473/Q473*100&lt;3,2,10)</f>
      </c>
      <c r="S473">
        <f>IF(CH473=0,0,IF(B473&gt;9,10,IF(B473&gt;8,B473,IF(B473&gt;7.7,7.8,IF(B473&gt;3,B473,IF(B473&gt;1.5,2))))))</f>
      </c>
      <c r="T473">
        <f>IF(Q473=0,S473,R473)</f>
      </c>
      <c r="U473" t="n">
        <v>89.0</v>
      </c>
      <c r="V473" t="s">
        <v>3854</v>
      </c>
      <c r="W473" t="s">
        <v>3785</v>
      </c>
      <c r="X473" t="n">
        <v>795935.0</v>
      </c>
      <c r="Y473" t="n">
        <v>248730.0</v>
      </c>
      <c r="Z473" t="n">
        <v>49746.0</v>
      </c>
      <c r="AA473" t="n">
        <v>54721.0</v>
      </c>
      <c r="AB473" t="n">
        <v>0.0</v>
      </c>
      <c r="AC473" t="n">
        <v>0.0</v>
      </c>
      <c r="AD473" t="n">
        <v>0.0</v>
      </c>
      <c r="AE473" t="n">
        <v>0.0</v>
      </c>
      <c r="AF473" t="n">
        <v>15000.0</v>
      </c>
      <c r="AG473" t="n">
        <v>0.0</v>
      </c>
      <c r="AH473" t="n">
        <v>0.0</v>
      </c>
      <c r="AI473" t="n">
        <v>0.0</v>
      </c>
      <c r="AJ473" t="n">
        <v>1311798.0</v>
      </c>
      <c r="AK473" t="n">
        <v>0.0</v>
      </c>
      <c r="AL473" t="n">
        <v>0.0</v>
      </c>
      <c r="AM473" t="n">
        <v>0.0</v>
      </c>
      <c r="AN473" t="n">
        <v>0.0</v>
      </c>
      <c r="AO473" t="n">
        <v>1679995.0</v>
      </c>
      <c r="AP473" t="n">
        <v>168000.0</v>
      </c>
      <c r="AQ473" t="n">
        <v>144349.6</v>
      </c>
      <c r="CH473">
        <f>IFERROR(U473*1,0)</f>
      </c>
    </row>
    <row r="474">
      <c r="A474" t="n">
        <v>7.0</v>
      </c>
      <c r="B474">
        <f>IF((K474-G474-H474&gt;2400000),10,(L474/(K474-G474-H474)*100))</f>
      </c>
      <c r="C474">
        <f>IF(N474&gt;2400000,240000,(N474*S474)/100)</f>
      </c>
      <c r="D474">
        <f>IF(S474=0,0,IF((N474-I474)&gt;2400000,((((((N474-I474-J474)-240000))*0.1+(I474+J474)*0.1)))-7000,((((((N474-I474-J474)-(N474-I474-J474)*S474/100)))*0.1+(I474+J474)*0.1)-7000)))</f>
      </c>
      <c r="E474">
        <f>C474-O474</f>
      </c>
      <c r="F474">
        <f>D474-P474</f>
      </c>
      <c r="G474">
        <f>SUMIF(negtgel!U$2:BL$2,'Tsalin uzuulelt'!B$1,negtgel!U474:BL474) + SUMIF(negtgel!U$2:BL$2,'Tsalin uzuulelt'!B$2,negtgel!U474:BL474)+SUMIF(negtgel!U$2:BL$2,'Tsalin uzuulelt'!B$3,negtgel!U474:BL474)+SUMIF(negtgel!U$2:BL$2,'Tsalin uzuulelt'!B$4,negtgel!U474:BL474)+SUMIF(negtgel!U$2:BL$2,'Tsalin uzuulelt'!B$5,negtgel!U474:BL474)</f>
      </c>
      <c r="H474">
        <f>SUMIF(negtgel!U$2:BL$2,'Tsalin uzuulelt'!F$1,negtgel!U474:BL474) + SUMIF(negtgel!U$2:BL$2,'Tsalin uzuulelt'!F$2,negtgel!U474:BL474)+SUMIF(negtgel!U$2:BL$2,'Tsalin uzuulelt'!F$3,negtgel!U474:BL474)+SUMIF(negtgel!U$2:BL$2,'Tsalin uzuulelt'!F$4,negtgel!U474:BL474)+SUMIF(negtgel!U$2:BL$2,'Tsalin uzuulelt'!F$5,negtgel!U474:BL474)</f>
      </c>
      <c r="I474">
        <f>SUMIF(negtgel!U$2:BL$2,'Tsalin uzuulelt'!H$1,negtgel!U474:BL474) + SUMIF(negtgel!U$2:BL$2,'Tsalin uzuulelt'!H$2,negtgel!U474:BL474)+SUMIF(negtgel!U$2:BL$2,'Tsalin uzuulelt'!H$3,negtgel!U474:BL474)+SUMIF(negtgel!U$2:BL$2,'Tsalin uzuulelt'!H$4,negtgel!U474:BL474)+SUMIF(negtgel!U$2:BL$2,'Tsalin uzuulelt'!H$5,negtgel!U474:BL474)</f>
      </c>
      <c r="J474">
        <f>SUMIF(negtgel!U$2:BL$2,'Tsalin uzuulelt'!J$1,negtgel!U474:BL474) + SUMIF(negtgel!U$2:BL$2,'Tsalin uzuulelt'!J$2,negtgel!U474:BL474)+SUMIF(negtgel!U$2:BL$2,'Tsalin uzuulelt'!J$3,negtgel!U474:BL474)+SUMIF(negtgel!U$2:BL$2,'Tsalin uzuulelt'!J$4,negtgel!U474:BL474)+SUMIF(negtgel!U$2:BL$2,'Tsalin uzuulelt'!J$5,negtgel!U474:BL474)</f>
      </c>
      <c r="K474">
        <f>SUMIF(negtgel!U$2:BL$2,'Tsalin uzuulelt'!L$1,negtgel!U474:BL474) + SUMIF(negtgel!U$2:BL$2,'Tsalin uzuulelt'!L$2,negtgel!U474:BL474)+SUMIF(negtgel!U$2:BL$2,'Tsalin uzuulelt'!L$3,negtgel!U474:BL474)+SUMIF(negtgel!U$2:BL$2,'Tsalin uzuulelt'!L$4,negtgel!U474:BL474)+SUMIF(negtgel!U$2:BL$2,'Tsalin uzuulelt'!L$5,negtgel!U474:BL474)</f>
      </c>
      <c r="L474">
        <f>SUMIF(negtgel!U$2:BL$2,'Tsalin uzuulelt'!N$1,negtgel!U474:BL474) + SUMIF(negtgel!U$2:BL$2,'Tsalin uzuulelt'!N$2,negtgel!U474:BL474)+SUMIF(negtgel!U$2:BL$2,'Tsalin uzuulelt'!N$3,negtgel!U474:BL474)+SUMIF(negtgel!U$2:BL$2,'Tsalin uzuulelt'!N$4,negtgel!U474:BL474)+SUMIF(negtgel!U$2:BL$2,'Tsalin uzuulelt'!N$5,negtgel!U474:BL474)</f>
      </c>
      <c r="M474">
        <f>SUMIF(negtgel!U$2:BL$2,'Tsalin uzuulelt'!P$1,negtgel!U474:BL474) + SUMIF(negtgel!U$2:BL$2,'Tsalin uzuulelt'!P$2,negtgel!U474:BL474)+ SUMIF(negtgel!U$2:BL$2,'Tsalin uzuulelt'!P$3,negtgel!U474:BL474)+ SUMIF(negtgel!U$2:BL$2,'Tsalin uzuulelt'!P$4,negtgel!U474:BL474)+ SUMIF(negtgel!U$2:BL$2,'Tsalin uzuulelt'!P$5,negtgel!U474:BL474)</f>
      </c>
      <c r="N474">
        <f>IF(ISNUMBER(U474*1)=CF474,0,K474-H474-G474)</f>
      </c>
      <c r="O474">
        <f>IF(ISNUMBER(U474*1)=CF474,0,L474)</f>
      </c>
      <c r="P474">
        <f>IF(ISNUMBER(U474*1)=CF474,0,M474)</f>
      </c>
      <c r="Q474">
        <f>IF(N474&gt;2400000,N474,0)</f>
      </c>
      <c r="R474">
        <f>IF(L474/Q474*100&lt;3,2,10)</f>
      </c>
      <c r="S474">
        <f>IF(CH474=0,0,IF(B474&gt;9,10,IF(B474&gt;8,B474,IF(B474&gt;7.7,7.8,IF(B474&gt;3,B474,IF(B474&gt;1.5,2))))))</f>
      </c>
      <c r="T474">
        <f>IF(Q474=0,S474,R474)</f>
      </c>
      <c r="U474" t="n">
        <v>90.0</v>
      </c>
      <c r="V474" t="s">
        <v>3855</v>
      </c>
      <c r="W474" t="s">
        <v>3790</v>
      </c>
      <c r="X474" t="n">
        <v>580710.0</v>
      </c>
      <c r="Y474" t="n">
        <v>0.0</v>
      </c>
      <c r="Z474" t="n">
        <v>0.0</v>
      </c>
      <c r="AA474" t="n">
        <v>0.0</v>
      </c>
      <c r="AB474" t="n">
        <v>0.0</v>
      </c>
      <c r="AC474" t="n">
        <v>0.0</v>
      </c>
      <c r="AD474" t="n">
        <v>0.0</v>
      </c>
      <c r="AE474" t="n">
        <v>0.0</v>
      </c>
      <c r="AF474" t="n">
        <v>0.0</v>
      </c>
      <c r="AG474" t="n">
        <v>0.0</v>
      </c>
      <c r="AH474" t="n">
        <v>0.0</v>
      </c>
      <c r="AI474" t="n">
        <v>0.0</v>
      </c>
      <c r="AJ474" t="n">
        <v>0.0</v>
      </c>
      <c r="AK474" t="n">
        <v>0.0</v>
      </c>
      <c r="AL474" t="n">
        <v>0.0</v>
      </c>
      <c r="AM474" t="n">
        <v>0.0</v>
      </c>
      <c r="AN474" t="n">
        <v>0.0</v>
      </c>
      <c r="AO474" t="n">
        <v>0.0</v>
      </c>
      <c r="AP474" t="n">
        <v>0.0</v>
      </c>
      <c r="AQ474" t="n">
        <v>0.0</v>
      </c>
      <c r="CH474">
        <f>IFERROR(U474*1,0)</f>
      </c>
    </row>
    <row r="475">
      <c r="A475" t="n">
        <v>7.0</v>
      </c>
      <c r="B475">
        <f>IF((K475-G475-H475&gt;2400000),10,(L475/(K475-G475-H475)*100))</f>
      </c>
      <c r="C475">
        <f>IF(N475&gt;2400000,240000,(N475*S475)/100)</f>
      </c>
      <c r="D475">
        <f>IF(S475=0,0,IF((N475-I475)&gt;2400000,((((((N475-I475-J475)-240000))*0.1+(I475+J475)*0.1)))-7000,((((((N475-I475-J475)-(N475-I475-J475)*S475/100)))*0.1+(I475+J475)*0.1)-7000)))</f>
      </c>
      <c r="E475">
        <f>C475-O475</f>
      </c>
      <c r="F475">
        <f>D475-P475</f>
      </c>
      <c r="G475">
        <f>SUMIF(negtgel!U$2:BL$2,'Tsalin uzuulelt'!B$1,negtgel!U475:BL475) + SUMIF(negtgel!U$2:BL$2,'Tsalin uzuulelt'!B$2,negtgel!U475:BL475)+SUMIF(negtgel!U$2:BL$2,'Tsalin uzuulelt'!B$3,negtgel!U475:BL475)+SUMIF(negtgel!U$2:BL$2,'Tsalin uzuulelt'!B$4,negtgel!U475:BL475)+SUMIF(negtgel!U$2:BL$2,'Tsalin uzuulelt'!B$5,negtgel!U475:BL475)</f>
      </c>
      <c r="H475">
        <f>SUMIF(negtgel!U$2:BL$2,'Tsalin uzuulelt'!F$1,negtgel!U475:BL475) + SUMIF(negtgel!U$2:BL$2,'Tsalin uzuulelt'!F$2,negtgel!U475:BL475)+SUMIF(negtgel!U$2:BL$2,'Tsalin uzuulelt'!F$3,negtgel!U475:BL475)+SUMIF(negtgel!U$2:BL$2,'Tsalin uzuulelt'!F$4,negtgel!U475:BL475)+SUMIF(negtgel!U$2:BL$2,'Tsalin uzuulelt'!F$5,negtgel!U475:BL475)</f>
      </c>
      <c r="I475">
        <f>SUMIF(negtgel!U$2:BL$2,'Tsalin uzuulelt'!H$1,negtgel!U475:BL475) + SUMIF(negtgel!U$2:BL$2,'Tsalin uzuulelt'!H$2,negtgel!U475:BL475)+SUMIF(negtgel!U$2:BL$2,'Tsalin uzuulelt'!H$3,negtgel!U475:BL475)+SUMIF(negtgel!U$2:BL$2,'Tsalin uzuulelt'!H$4,negtgel!U475:BL475)+SUMIF(negtgel!U$2:BL$2,'Tsalin uzuulelt'!H$5,negtgel!U475:BL475)</f>
      </c>
      <c r="J475">
        <f>SUMIF(negtgel!U$2:BL$2,'Tsalin uzuulelt'!J$1,negtgel!U475:BL475) + SUMIF(negtgel!U$2:BL$2,'Tsalin uzuulelt'!J$2,negtgel!U475:BL475)+SUMIF(negtgel!U$2:BL$2,'Tsalin uzuulelt'!J$3,negtgel!U475:BL475)+SUMIF(negtgel!U$2:BL$2,'Tsalin uzuulelt'!J$4,negtgel!U475:BL475)+SUMIF(negtgel!U$2:BL$2,'Tsalin uzuulelt'!J$5,negtgel!U475:BL475)</f>
      </c>
      <c r="K475">
        <f>SUMIF(negtgel!U$2:BL$2,'Tsalin uzuulelt'!L$1,negtgel!U475:BL475) + SUMIF(negtgel!U$2:BL$2,'Tsalin uzuulelt'!L$2,negtgel!U475:BL475)+SUMIF(negtgel!U$2:BL$2,'Tsalin uzuulelt'!L$3,negtgel!U475:BL475)+SUMIF(negtgel!U$2:BL$2,'Tsalin uzuulelt'!L$4,negtgel!U475:BL475)+SUMIF(negtgel!U$2:BL$2,'Tsalin uzuulelt'!L$5,negtgel!U475:BL475)</f>
      </c>
      <c r="L475">
        <f>SUMIF(negtgel!U$2:BL$2,'Tsalin uzuulelt'!N$1,negtgel!U475:BL475) + SUMIF(negtgel!U$2:BL$2,'Tsalin uzuulelt'!N$2,negtgel!U475:BL475)+SUMIF(negtgel!U$2:BL$2,'Tsalin uzuulelt'!N$3,negtgel!U475:BL475)+SUMIF(negtgel!U$2:BL$2,'Tsalin uzuulelt'!N$4,negtgel!U475:BL475)+SUMIF(negtgel!U$2:BL$2,'Tsalin uzuulelt'!N$5,negtgel!U475:BL475)</f>
      </c>
      <c r="M475">
        <f>SUMIF(negtgel!U$2:BL$2,'Tsalin uzuulelt'!P$1,negtgel!U475:BL475) + SUMIF(negtgel!U$2:BL$2,'Tsalin uzuulelt'!P$2,negtgel!U475:BL475)+ SUMIF(negtgel!U$2:BL$2,'Tsalin uzuulelt'!P$3,negtgel!U475:BL475)+ SUMIF(negtgel!U$2:BL$2,'Tsalin uzuulelt'!P$4,negtgel!U475:BL475)+ SUMIF(negtgel!U$2:BL$2,'Tsalin uzuulelt'!P$5,negtgel!U475:BL475)</f>
      </c>
      <c r="N475">
        <f>IF(ISNUMBER(U475*1)=CF475,0,K475-H475-G475)</f>
      </c>
      <c r="O475">
        <f>IF(ISNUMBER(U475*1)=CF475,0,L475)</f>
      </c>
      <c r="P475">
        <f>IF(ISNUMBER(U475*1)=CF475,0,M475)</f>
      </c>
      <c r="Q475">
        <f>IF(N475&gt;2400000,N475,0)</f>
      </c>
      <c r="R475">
        <f>IF(L475/Q475*100&lt;3,2,10)</f>
      </c>
      <c r="S475">
        <f>IF(CH475=0,0,IF(B475&gt;9,10,IF(B475&gt;8,B475,IF(B475&gt;7.7,7.8,IF(B475&gt;3,B475,IF(B475&gt;1.5,2))))))</f>
      </c>
      <c r="T475">
        <f>IF(Q475=0,S475,R475)</f>
      </c>
      <c r="U475" t="n">
        <v>91.0</v>
      </c>
      <c r="V475" t="s">
        <v>3856</v>
      </c>
      <c r="W475" t="s">
        <v>3820</v>
      </c>
      <c r="X475" t="n">
        <v>613669.0</v>
      </c>
      <c r="Y475" t="n">
        <v>613669.0</v>
      </c>
      <c r="Z475" t="n">
        <v>61367.0</v>
      </c>
      <c r="AA475" t="n">
        <v>110460.0</v>
      </c>
      <c r="AB475" t="n">
        <v>0.0</v>
      </c>
      <c r="AC475" t="n">
        <v>0.0</v>
      </c>
      <c r="AD475" t="n">
        <v>0.0</v>
      </c>
      <c r="AE475" t="n">
        <v>0.0</v>
      </c>
      <c r="AF475" t="n">
        <v>48000.0</v>
      </c>
      <c r="AG475" t="n">
        <v>0.0</v>
      </c>
      <c r="AH475" t="n">
        <v>0.0</v>
      </c>
      <c r="AI475" t="n">
        <v>0.0</v>
      </c>
      <c r="AJ475" t="n">
        <v>0.0</v>
      </c>
      <c r="AK475" t="n">
        <v>0.0</v>
      </c>
      <c r="AL475" t="n">
        <v>0.0</v>
      </c>
      <c r="AM475" t="n">
        <v>0.0</v>
      </c>
      <c r="AN475" t="n">
        <v>0.0</v>
      </c>
      <c r="AO475" t="n">
        <v>833496.0</v>
      </c>
      <c r="AP475" t="n">
        <v>83350.0</v>
      </c>
      <c r="AQ475" t="n">
        <v>68494.6</v>
      </c>
      <c r="CH475">
        <f>IFERROR(U475*1,0)</f>
      </c>
    </row>
    <row r="476">
      <c r="A476" t="n">
        <v>7.0</v>
      </c>
      <c r="B476">
        <f>IF((K476-G476-H476&gt;2400000),10,(L476/(K476-G476-H476)*100))</f>
      </c>
      <c r="C476">
        <f>IF(N476&gt;2400000,240000,(N476*S476)/100)</f>
      </c>
      <c r="D476">
        <f>IF(S476=0,0,IF((N476-I476)&gt;2400000,((((((N476-I476-J476)-240000))*0.1+(I476+J476)*0.1)))-7000,((((((N476-I476-J476)-(N476-I476-J476)*S476/100)))*0.1+(I476+J476)*0.1)-7000)))</f>
      </c>
      <c r="E476">
        <f>C476-O476</f>
      </c>
      <c r="F476">
        <f>D476-P476</f>
      </c>
      <c r="G476">
        <f>SUMIF(negtgel!U$2:BL$2,'Tsalin uzuulelt'!B$1,negtgel!U476:BL476) + SUMIF(negtgel!U$2:BL$2,'Tsalin uzuulelt'!B$2,negtgel!U476:BL476)+SUMIF(negtgel!U$2:BL$2,'Tsalin uzuulelt'!B$3,negtgel!U476:BL476)+SUMIF(negtgel!U$2:BL$2,'Tsalin uzuulelt'!B$4,negtgel!U476:BL476)+SUMIF(negtgel!U$2:BL$2,'Tsalin uzuulelt'!B$5,negtgel!U476:BL476)</f>
      </c>
      <c r="H476">
        <f>SUMIF(negtgel!U$2:BL$2,'Tsalin uzuulelt'!F$1,negtgel!U476:BL476) + SUMIF(negtgel!U$2:BL$2,'Tsalin uzuulelt'!F$2,negtgel!U476:BL476)+SUMIF(negtgel!U$2:BL$2,'Tsalin uzuulelt'!F$3,negtgel!U476:BL476)+SUMIF(negtgel!U$2:BL$2,'Tsalin uzuulelt'!F$4,negtgel!U476:BL476)+SUMIF(negtgel!U$2:BL$2,'Tsalin uzuulelt'!F$5,negtgel!U476:BL476)</f>
      </c>
      <c r="I476">
        <f>SUMIF(negtgel!U$2:BL$2,'Tsalin uzuulelt'!H$1,negtgel!U476:BL476) + SUMIF(negtgel!U$2:BL$2,'Tsalin uzuulelt'!H$2,negtgel!U476:BL476)+SUMIF(negtgel!U$2:BL$2,'Tsalin uzuulelt'!H$3,negtgel!U476:BL476)+SUMIF(negtgel!U$2:BL$2,'Tsalin uzuulelt'!H$4,negtgel!U476:BL476)+SUMIF(negtgel!U$2:BL$2,'Tsalin uzuulelt'!H$5,negtgel!U476:BL476)</f>
      </c>
      <c r="J476">
        <f>SUMIF(negtgel!U$2:BL$2,'Tsalin uzuulelt'!J$1,negtgel!U476:BL476) + SUMIF(negtgel!U$2:BL$2,'Tsalin uzuulelt'!J$2,negtgel!U476:BL476)+SUMIF(negtgel!U$2:BL$2,'Tsalin uzuulelt'!J$3,negtgel!U476:BL476)+SUMIF(negtgel!U$2:BL$2,'Tsalin uzuulelt'!J$4,negtgel!U476:BL476)+SUMIF(negtgel!U$2:BL$2,'Tsalin uzuulelt'!J$5,negtgel!U476:BL476)</f>
      </c>
      <c r="K476">
        <f>SUMIF(negtgel!U$2:BL$2,'Tsalin uzuulelt'!L$1,negtgel!U476:BL476) + SUMIF(negtgel!U$2:BL$2,'Tsalin uzuulelt'!L$2,negtgel!U476:BL476)+SUMIF(negtgel!U$2:BL$2,'Tsalin uzuulelt'!L$3,negtgel!U476:BL476)+SUMIF(negtgel!U$2:BL$2,'Tsalin uzuulelt'!L$4,negtgel!U476:BL476)+SUMIF(negtgel!U$2:BL$2,'Tsalin uzuulelt'!L$5,negtgel!U476:BL476)</f>
      </c>
      <c r="L476">
        <f>SUMIF(negtgel!U$2:BL$2,'Tsalin uzuulelt'!N$1,negtgel!U476:BL476) + SUMIF(negtgel!U$2:BL$2,'Tsalin uzuulelt'!N$2,negtgel!U476:BL476)+SUMIF(negtgel!U$2:BL$2,'Tsalin uzuulelt'!N$3,negtgel!U476:BL476)+SUMIF(negtgel!U$2:BL$2,'Tsalin uzuulelt'!N$4,negtgel!U476:BL476)+SUMIF(negtgel!U$2:BL$2,'Tsalin uzuulelt'!N$5,negtgel!U476:BL476)</f>
      </c>
      <c r="M476">
        <f>SUMIF(negtgel!U$2:BL$2,'Tsalin uzuulelt'!P$1,negtgel!U476:BL476) + SUMIF(negtgel!U$2:BL$2,'Tsalin uzuulelt'!P$2,negtgel!U476:BL476)+ SUMIF(negtgel!U$2:BL$2,'Tsalin uzuulelt'!P$3,negtgel!U476:BL476)+ SUMIF(negtgel!U$2:BL$2,'Tsalin uzuulelt'!P$4,negtgel!U476:BL476)+ SUMIF(negtgel!U$2:BL$2,'Tsalin uzuulelt'!P$5,negtgel!U476:BL476)</f>
      </c>
      <c r="N476">
        <f>IF(ISNUMBER(U476*1)=CF476,0,K476-H476-G476)</f>
      </c>
      <c r="O476">
        <f>IF(ISNUMBER(U476*1)=CF476,0,L476)</f>
      </c>
      <c r="P476">
        <f>IF(ISNUMBER(U476*1)=CF476,0,M476)</f>
      </c>
      <c r="Q476">
        <f>IF(N476&gt;2400000,N476,0)</f>
      </c>
      <c r="R476">
        <f>IF(L476/Q476*100&lt;3,2,10)</f>
      </c>
      <c r="S476">
        <f>IF(CH476=0,0,IF(B476&gt;9,10,IF(B476&gt;8,B476,IF(B476&gt;7.7,7.8,IF(B476&gt;3,B476,IF(B476&gt;1.5,2))))))</f>
      </c>
      <c r="T476">
        <f>IF(Q476=0,S476,R476)</f>
      </c>
      <c r="U476" t="n">
        <v>92.0</v>
      </c>
      <c r="V476" t="s">
        <v>3857</v>
      </c>
      <c r="W476" t="s">
        <v>3790</v>
      </c>
      <c r="X476" t="n">
        <v>613669.0</v>
      </c>
      <c r="Y476" t="n">
        <v>613669.0</v>
      </c>
      <c r="Z476" t="n">
        <v>61367.0</v>
      </c>
      <c r="AA476" t="n">
        <v>104324.0</v>
      </c>
      <c r="AB476" t="n">
        <v>0.0</v>
      </c>
      <c r="AC476" t="n">
        <v>0.0</v>
      </c>
      <c r="AD476" t="n">
        <v>0.0</v>
      </c>
      <c r="AE476" t="n">
        <v>0.0</v>
      </c>
      <c r="AF476" t="n">
        <v>48000.0</v>
      </c>
      <c r="AG476" t="n">
        <v>0.0</v>
      </c>
      <c r="AH476" t="n">
        <v>0.0</v>
      </c>
      <c r="AI476" t="n">
        <v>0.0</v>
      </c>
      <c r="AJ476" t="n">
        <v>780100.0</v>
      </c>
      <c r="AK476" t="n">
        <v>0.0</v>
      </c>
      <c r="AL476" t="n">
        <v>0.0</v>
      </c>
      <c r="AM476" t="n">
        <v>0.0</v>
      </c>
      <c r="AN476" t="n">
        <v>0.0</v>
      </c>
      <c r="AO476" t="n">
        <v>1607460.0</v>
      </c>
      <c r="AP476" t="n">
        <v>160746.0</v>
      </c>
      <c r="AQ476" t="n">
        <v>138151.4</v>
      </c>
      <c r="CH476">
        <f>IFERROR(U476*1,0)</f>
      </c>
    </row>
    <row r="477">
      <c r="A477" t="n">
        <v>7.0</v>
      </c>
      <c r="B477">
        <f>IF((K477-G477-H477&gt;2400000),10,(L477/(K477-G477-H477)*100))</f>
      </c>
      <c r="C477">
        <f>IF(N477&gt;2400000,240000,(N477*S477)/100)</f>
      </c>
      <c r="D477">
        <f>IF(S477=0,0,IF((N477-I477)&gt;2400000,((((((N477-I477-J477)-240000))*0.1+(I477+J477)*0.1)))-7000,((((((N477-I477-J477)-(N477-I477-J477)*S477/100)))*0.1+(I477+J477)*0.1)-7000)))</f>
      </c>
      <c r="E477">
        <f>C477-O477</f>
      </c>
      <c r="F477">
        <f>D477-P477</f>
      </c>
      <c r="G477">
        <f>SUMIF(negtgel!U$2:BL$2,'Tsalin uzuulelt'!B$1,negtgel!U477:BL477) + SUMIF(negtgel!U$2:BL$2,'Tsalin uzuulelt'!B$2,negtgel!U477:BL477)+SUMIF(negtgel!U$2:BL$2,'Tsalin uzuulelt'!B$3,negtgel!U477:BL477)+SUMIF(negtgel!U$2:BL$2,'Tsalin uzuulelt'!B$4,negtgel!U477:BL477)+SUMIF(negtgel!U$2:BL$2,'Tsalin uzuulelt'!B$5,negtgel!U477:BL477)</f>
      </c>
      <c r="H477">
        <f>SUMIF(negtgel!U$2:BL$2,'Tsalin uzuulelt'!F$1,negtgel!U477:BL477) + SUMIF(negtgel!U$2:BL$2,'Tsalin uzuulelt'!F$2,negtgel!U477:BL477)+SUMIF(negtgel!U$2:BL$2,'Tsalin uzuulelt'!F$3,negtgel!U477:BL477)+SUMIF(negtgel!U$2:BL$2,'Tsalin uzuulelt'!F$4,negtgel!U477:BL477)+SUMIF(negtgel!U$2:BL$2,'Tsalin uzuulelt'!F$5,negtgel!U477:BL477)</f>
      </c>
      <c r="I477">
        <f>SUMIF(negtgel!U$2:BL$2,'Tsalin uzuulelt'!H$1,negtgel!U477:BL477) + SUMIF(negtgel!U$2:BL$2,'Tsalin uzuulelt'!H$2,negtgel!U477:BL477)+SUMIF(negtgel!U$2:BL$2,'Tsalin uzuulelt'!H$3,negtgel!U477:BL477)+SUMIF(negtgel!U$2:BL$2,'Tsalin uzuulelt'!H$4,negtgel!U477:BL477)+SUMIF(negtgel!U$2:BL$2,'Tsalin uzuulelt'!H$5,negtgel!U477:BL477)</f>
      </c>
      <c r="J477">
        <f>SUMIF(negtgel!U$2:BL$2,'Tsalin uzuulelt'!J$1,negtgel!U477:BL477) + SUMIF(negtgel!U$2:BL$2,'Tsalin uzuulelt'!J$2,negtgel!U477:BL477)+SUMIF(negtgel!U$2:BL$2,'Tsalin uzuulelt'!J$3,negtgel!U477:BL477)+SUMIF(negtgel!U$2:BL$2,'Tsalin uzuulelt'!J$4,negtgel!U477:BL477)+SUMIF(negtgel!U$2:BL$2,'Tsalin uzuulelt'!J$5,negtgel!U477:BL477)</f>
      </c>
      <c r="K477">
        <f>SUMIF(negtgel!U$2:BL$2,'Tsalin uzuulelt'!L$1,negtgel!U477:BL477) + SUMIF(negtgel!U$2:BL$2,'Tsalin uzuulelt'!L$2,negtgel!U477:BL477)+SUMIF(negtgel!U$2:BL$2,'Tsalin uzuulelt'!L$3,negtgel!U477:BL477)+SUMIF(negtgel!U$2:BL$2,'Tsalin uzuulelt'!L$4,negtgel!U477:BL477)+SUMIF(negtgel!U$2:BL$2,'Tsalin uzuulelt'!L$5,negtgel!U477:BL477)</f>
      </c>
      <c r="L477">
        <f>SUMIF(negtgel!U$2:BL$2,'Tsalin uzuulelt'!N$1,negtgel!U477:BL477) + SUMIF(negtgel!U$2:BL$2,'Tsalin uzuulelt'!N$2,negtgel!U477:BL477)+SUMIF(negtgel!U$2:BL$2,'Tsalin uzuulelt'!N$3,negtgel!U477:BL477)+SUMIF(negtgel!U$2:BL$2,'Tsalin uzuulelt'!N$4,negtgel!U477:BL477)+SUMIF(negtgel!U$2:BL$2,'Tsalin uzuulelt'!N$5,negtgel!U477:BL477)</f>
      </c>
      <c r="M477">
        <f>SUMIF(negtgel!U$2:BL$2,'Tsalin uzuulelt'!P$1,negtgel!U477:BL477) + SUMIF(negtgel!U$2:BL$2,'Tsalin uzuulelt'!P$2,negtgel!U477:BL477)+ SUMIF(negtgel!U$2:BL$2,'Tsalin uzuulelt'!P$3,negtgel!U477:BL477)+ SUMIF(negtgel!U$2:BL$2,'Tsalin uzuulelt'!P$4,negtgel!U477:BL477)+ SUMIF(negtgel!U$2:BL$2,'Tsalin uzuulelt'!P$5,negtgel!U477:BL477)</f>
      </c>
      <c r="N477">
        <f>IF(ISNUMBER(U477*1)=CF477,0,K477-H477-G477)</f>
      </c>
      <c r="O477">
        <f>IF(ISNUMBER(U477*1)=CF477,0,L477)</f>
      </c>
      <c r="P477">
        <f>IF(ISNUMBER(U477*1)=CF477,0,M477)</f>
      </c>
      <c r="Q477">
        <f>IF(N477&gt;2400000,N477,0)</f>
      </c>
      <c r="R477">
        <f>IF(L477/Q477*100&lt;3,2,10)</f>
      </c>
      <c r="S477">
        <f>IF(CH477=0,0,IF(B477&gt;9,10,IF(B477&gt;8,B477,IF(B477&gt;7.7,7.8,IF(B477&gt;3,B477,IF(B477&gt;1.5,2))))))</f>
      </c>
      <c r="T477">
        <f>IF(Q477=0,S477,R477)</f>
      </c>
      <c r="U477" t="s">
        <v>3787</v>
      </c>
      <c r="V477"/>
      <c r="W477"/>
      <c r="X477" t="n">
        <v>7853536.0</v>
      </c>
      <c r="Y477" t="n">
        <v>3498104.0</v>
      </c>
      <c r="Z477" t="n">
        <v>452535.0</v>
      </c>
      <c r="AA477" t="n">
        <v>652250.0</v>
      </c>
      <c r="AB477" t="n">
        <v>10585.0</v>
      </c>
      <c r="AC477" t="n">
        <v>0.0</v>
      </c>
      <c r="AD477" t="n">
        <v>0.0</v>
      </c>
      <c r="AE477" t="n">
        <v>0.0</v>
      </c>
      <c r="AF477" t="n">
        <v>261000.0</v>
      </c>
      <c r="AG477" t="n">
        <v>0.0</v>
      </c>
      <c r="AH477" t="n">
        <v>0.0</v>
      </c>
      <c r="AI477" t="n">
        <v>0.0</v>
      </c>
      <c r="AJ477" t="n">
        <v>1.0168685E7</v>
      </c>
      <c r="AK477" t="n">
        <v>0.0</v>
      </c>
      <c r="AL477" t="n">
        <v>0.0</v>
      </c>
      <c r="AM477" t="n">
        <v>0.0</v>
      </c>
      <c r="AN477" t="n">
        <v>0.0</v>
      </c>
      <c r="AO477" t="n">
        <v>1.5043159E7</v>
      </c>
      <c r="AP477" t="n">
        <v>1504316.0</v>
      </c>
      <c r="AQ477" t="n">
        <v>1279494.4</v>
      </c>
      <c r="CH477">
        <f>IFERROR(U477*1,0)</f>
      </c>
    </row>
    <row r="478">
      <c r="A478" t="n">
        <v>7.0</v>
      </c>
      <c r="B478">
        <f>IF((K478-G478-H478&gt;2400000),10,(L478/(K478-G478-H478)*100))</f>
      </c>
      <c r="C478">
        <f>IF(N478&gt;2400000,240000,(N478*S478)/100)</f>
      </c>
      <c r="D478">
        <f>IF(S478=0,0,IF((N478-I478)&gt;2400000,((((((N478-I478-J478)-240000))*0.1+(I478+J478)*0.1)))-7000,((((((N478-I478-J478)-(N478-I478-J478)*S478/100)))*0.1+(I478+J478)*0.1)-7000)))</f>
      </c>
      <c r="E478">
        <f>C478-O478</f>
      </c>
      <c r="F478">
        <f>D478-P478</f>
      </c>
      <c r="G478">
        <f>SUMIF(negtgel!U$2:BL$2,'Tsalin uzuulelt'!B$1,negtgel!U478:BL478) + SUMIF(negtgel!U$2:BL$2,'Tsalin uzuulelt'!B$2,negtgel!U478:BL478)+SUMIF(negtgel!U$2:BL$2,'Tsalin uzuulelt'!B$3,negtgel!U478:BL478)+SUMIF(negtgel!U$2:BL$2,'Tsalin uzuulelt'!B$4,negtgel!U478:BL478)+SUMIF(negtgel!U$2:BL$2,'Tsalin uzuulelt'!B$5,negtgel!U478:BL478)</f>
      </c>
      <c r="H478">
        <f>SUMIF(negtgel!U$2:BL$2,'Tsalin uzuulelt'!F$1,negtgel!U478:BL478) + SUMIF(negtgel!U$2:BL$2,'Tsalin uzuulelt'!F$2,negtgel!U478:BL478)+SUMIF(negtgel!U$2:BL$2,'Tsalin uzuulelt'!F$3,negtgel!U478:BL478)+SUMIF(negtgel!U$2:BL$2,'Tsalin uzuulelt'!F$4,negtgel!U478:BL478)+SUMIF(negtgel!U$2:BL$2,'Tsalin uzuulelt'!F$5,negtgel!U478:BL478)</f>
      </c>
      <c r="I478">
        <f>SUMIF(negtgel!U$2:BL$2,'Tsalin uzuulelt'!H$1,negtgel!U478:BL478) + SUMIF(negtgel!U$2:BL$2,'Tsalin uzuulelt'!H$2,negtgel!U478:BL478)+SUMIF(negtgel!U$2:BL$2,'Tsalin uzuulelt'!H$3,negtgel!U478:BL478)+SUMIF(negtgel!U$2:BL$2,'Tsalin uzuulelt'!H$4,negtgel!U478:BL478)+SUMIF(negtgel!U$2:BL$2,'Tsalin uzuulelt'!H$5,negtgel!U478:BL478)</f>
      </c>
      <c r="J478">
        <f>SUMIF(negtgel!U$2:BL$2,'Tsalin uzuulelt'!J$1,negtgel!U478:BL478) + SUMIF(negtgel!U$2:BL$2,'Tsalin uzuulelt'!J$2,negtgel!U478:BL478)+SUMIF(negtgel!U$2:BL$2,'Tsalin uzuulelt'!J$3,negtgel!U478:BL478)+SUMIF(negtgel!U$2:BL$2,'Tsalin uzuulelt'!J$4,negtgel!U478:BL478)+SUMIF(negtgel!U$2:BL$2,'Tsalin uzuulelt'!J$5,negtgel!U478:BL478)</f>
      </c>
      <c r="K478">
        <f>SUMIF(negtgel!U$2:BL$2,'Tsalin uzuulelt'!L$1,negtgel!U478:BL478) + SUMIF(negtgel!U$2:BL$2,'Tsalin uzuulelt'!L$2,negtgel!U478:BL478)+SUMIF(negtgel!U$2:BL$2,'Tsalin uzuulelt'!L$3,negtgel!U478:BL478)+SUMIF(negtgel!U$2:BL$2,'Tsalin uzuulelt'!L$4,negtgel!U478:BL478)+SUMIF(negtgel!U$2:BL$2,'Tsalin uzuulelt'!L$5,negtgel!U478:BL478)</f>
      </c>
      <c r="L478">
        <f>SUMIF(negtgel!U$2:BL$2,'Tsalin uzuulelt'!N$1,negtgel!U478:BL478) + SUMIF(negtgel!U$2:BL$2,'Tsalin uzuulelt'!N$2,negtgel!U478:BL478)+SUMIF(negtgel!U$2:BL$2,'Tsalin uzuulelt'!N$3,negtgel!U478:BL478)+SUMIF(negtgel!U$2:BL$2,'Tsalin uzuulelt'!N$4,negtgel!U478:BL478)+SUMIF(negtgel!U$2:BL$2,'Tsalin uzuulelt'!N$5,negtgel!U478:BL478)</f>
      </c>
      <c r="M478">
        <f>SUMIF(negtgel!U$2:BL$2,'Tsalin uzuulelt'!P$1,negtgel!U478:BL478) + SUMIF(negtgel!U$2:BL$2,'Tsalin uzuulelt'!P$2,negtgel!U478:BL478)+ SUMIF(negtgel!U$2:BL$2,'Tsalin uzuulelt'!P$3,negtgel!U478:BL478)+ SUMIF(negtgel!U$2:BL$2,'Tsalin uzuulelt'!P$4,negtgel!U478:BL478)+ SUMIF(negtgel!U$2:BL$2,'Tsalin uzuulelt'!P$5,negtgel!U478:BL478)</f>
      </c>
      <c r="N478">
        <f>IF(ISNUMBER(U478*1)=CF478,0,K478-H478-G478)</f>
      </c>
      <c r="O478">
        <f>IF(ISNUMBER(U478*1)=CF478,0,L478)</f>
      </c>
      <c r="P478">
        <f>IF(ISNUMBER(U478*1)=CF478,0,M478)</f>
      </c>
      <c r="Q478">
        <f>IF(N478&gt;2400000,N478,0)</f>
      </c>
      <c r="R478">
        <f>IF(L478/Q478*100&lt;3,2,10)</f>
      </c>
      <c r="S478">
        <f>IF(CH478=0,0,IF(B478&gt;9,10,IF(B478&gt;8,B478,IF(B478&gt;7.7,7.8,IF(B478&gt;3,B478,IF(B478&gt;1.5,2))))))</f>
      </c>
      <c r="T478">
        <f>IF(Q478=0,S478,R478)</f>
      </c>
      <c r="U478" t="s">
        <v>3858</v>
      </c>
      <c r="V478"/>
      <c r="W478"/>
      <c r="X478"/>
      <c r="Y478"/>
      <c r="Z478"/>
      <c r="AA478"/>
      <c r="AB478"/>
      <c r="AC478"/>
      <c r="AD478"/>
      <c r="AE478"/>
      <c r="AF478"/>
      <c r="AG478"/>
      <c r="AH478"/>
      <c r="AI478"/>
      <c r="AJ478"/>
      <c r="AK478"/>
      <c r="AL478"/>
      <c r="AM478"/>
      <c r="AN478"/>
      <c r="AO478"/>
      <c r="AP478"/>
      <c r="AQ478"/>
      <c r="CH478">
        <f>IFERROR(U478*1,0)</f>
      </c>
    </row>
    <row r="479">
      <c r="A479" t="n">
        <v>7.0</v>
      </c>
      <c r="B479">
        <f>IF((K479-G479-H479&gt;2400000),10,(L479/(K479-G479-H479)*100))</f>
      </c>
      <c r="C479">
        <f>IF(N479&gt;2400000,240000,(N479*S479)/100)</f>
      </c>
      <c r="D479">
        <f>IF(S479=0,0,IF((N479-I479)&gt;2400000,((((((N479-I479-J479)-240000))*0.1+(I479+J479)*0.1)))-7000,((((((N479-I479-J479)-(N479-I479-J479)*S479/100)))*0.1+(I479+J479)*0.1)-7000)))</f>
      </c>
      <c r="E479">
        <f>C479-O479</f>
      </c>
      <c r="F479">
        <f>D479-P479</f>
      </c>
      <c r="G479">
        <f>SUMIF(negtgel!U$2:BL$2,'Tsalin uzuulelt'!B$1,negtgel!U479:BL479) + SUMIF(negtgel!U$2:BL$2,'Tsalin uzuulelt'!B$2,negtgel!U479:BL479)+SUMIF(negtgel!U$2:BL$2,'Tsalin uzuulelt'!B$3,negtgel!U479:BL479)+SUMIF(negtgel!U$2:BL$2,'Tsalin uzuulelt'!B$4,negtgel!U479:BL479)+SUMIF(negtgel!U$2:BL$2,'Tsalin uzuulelt'!B$5,negtgel!U479:BL479)</f>
      </c>
      <c r="H479">
        <f>SUMIF(negtgel!U$2:BL$2,'Tsalin uzuulelt'!F$1,negtgel!U479:BL479) + SUMIF(negtgel!U$2:BL$2,'Tsalin uzuulelt'!F$2,negtgel!U479:BL479)+SUMIF(negtgel!U$2:BL$2,'Tsalin uzuulelt'!F$3,negtgel!U479:BL479)+SUMIF(negtgel!U$2:BL$2,'Tsalin uzuulelt'!F$4,negtgel!U479:BL479)+SUMIF(negtgel!U$2:BL$2,'Tsalin uzuulelt'!F$5,negtgel!U479:BL479)</f>
      </c>
      <c r="I479">
        <f>SUMIF(negtgel!U$2:BL$2,'Tsalin uzuulelt'!H$1,negtgel!U479:BL479) + SUMIF(negtgel!U$2:BL$2,'Tsalin uzuulelt'!H$2,negtgel!U479:BL479)+SUMIF(negtgel!U$2:BL$2,'Tsalin uzuulelt'!H$3,negtgel!U479:BL479)+SUMIF(negtgel!U$2:BL$2,'Tsalin uzuulelt'!H$4,negtgel!U479:BL479)+SUMIF(negtgel!U$2:BL$2,'Tsalin uzuulelt'!H$5,negtgel!U479:BL479)</f>
      </c>
      <c r="J479">
        <f>SUMIF(negtgel!U$2:BL$2,'Tsalin uzuulelt'!J$1,negtgel!U479:BL479) + SUMIF(negtgel!U$2:BL$2,'Tsalin uzuulelt'!J$2,negtgel!U479:BL479)+SUMIF(negtgel!U$2:BL$2,'Tsalin uzuulelt'!J$3,negtgel!U479:BL479)+SUMIF(negtgel!U$2:BL$2,'Tsalin uzuulelt'!J$4,negtgel!U479:BL479)+SUMIF(negtgel!U$2:BL$2,'Tsalin uzuulelt'!J$5,negtgel!U479:BL479)</f>
      </c>
      <c r="K479">
        <f>SUMIF(negtgel!U$2:BL$2,'Tsalin uzuulelt'!L$1,negtgel!U479:BL479) + SUMIF(negtgel!U$2:BL$2,'Tsalin uzuulelt'!L$2,negtgel!U479:BL479)+SUMIF(negtgel!U$2:BL$2,'Tsalin uzuulelt'!L$3,negtgel!U479:BL479)+SUMIF(negtgel!U$2:BL$2,'Tsalin uzuulelt'!L$4,negtgel!U479:BL479)+SUMIF(negtgel!U$2:BL$2,'Tsalin uzuulelt'!L$5,negtgel!U479:BL479)</f>
      </c>
      <c r="L479">
        <f>SUMIF(negtgel!U$2:BL$2,'Tsalin uzuulelt'!N$1,negtgel!U479:BL479) + SUMIF(negtgel!U$2:BL$2,'Tsalin uzuulelt'!N$2,negtgel!U479:BL479)+SUMIF(negtgel!U$2:BL$2,'Tsalin uzuulelt'!N$3,negtgel!U479:BL479)+SUMIF(negtgel!U$2:BL$2,'Tsalin uzuulelt'!N$4,negtgel!U479:BL479)+SUMIF(negtgel!U$2:BL$2,'Tsalin uzuulelt'!N$5,negtgel!U479:BL479)</f>
      </c>
      <c r="M479">
        <f>SUMIF(negtgel!U$2:BL$2,'Tsalin uzuulelt'!P$1,negtgel!U479:BL479) + SUMIF(negtgel!U$2:BL$2,'Tsalin uzuulelt'!P$2,negtgel!U479:BL479)+ SUMIF(negtgel!U$2:BL$2,'Tsalin uzuulelt'!P$3,negtgel!U479:BL479)+ SUMIF(negtgel!U$2:BL$2,'Tsalin uzuulelt'!P$4,negtgel!U479:BL479)+ SUMIF(negtgel!U$2:BL$2,'Tsalin uzuulelt'!P$5,negtgel!U479:BL479)</f>
      </c>
      <c r="N479">
        <f>IF(ISNUMBER(U479*1)=CF479,0,K479-H479-G479)</f>
      </c>
      <c r="O479">
        <f>IF(ISNUMBER(U479*1)=CF479,0,L479)</f>
      </c>
      <c r="P479">
        <f>IF(ISNUMBER(U479*1)=CF479,0,M479)</f>
      </c>
      <c r="Q479">
        <f>IF(N479&gt;2400000,N479,0)</f>
      </c>
      <c r="R479">
        <f>IF(L479/Q479*100&lt;3,2,10)</f>
      </c>
      <c r="S479">
        <f>IF(CH479=0,0,IF(B479&gt;9,10,IF(B479&gt;8,B479,IF(B479&gt;7.7,7.8,IF(B479&gt;3,B479,IF(B479&gt;1.5,2))))))</f>
      </c>
      <c r="T479">
        <f>IF(Q479=0,S479,R479)</f>
      </c>
      <c r="U479" t="n">
        <v>93.0</v>
      </c>
      <c r="V479" t="s">
        <v>3859</v>
      </c>
      <c r="W479" t="s">
        <v>3790</v>
      </c>
      <c r="X479" t="n">
        <v>580710.0</v>
      </c>
      <c r="Y479" t="n">
        <v>0.0</v>
      </c>
      <c r="Z479" t="n">
        <v>0.0</v>
      </c>
      <c r="AA479" t="n">
        <v>0.0</v>
      </c>
      <c r="AB479" t="n">
        <v>0.0</v>
      </c>
      <c r="AC479" t="n">
        <v>0.0</v>
      </c>
      <c r="AD479" t="n">
        <v>0.0</v>
      </c>
      <c r="AE479" t="n">
        <v>0.0</v>
      </c>
      <c r="AF479" t="n">
        <v>0.0</v>
      </c>
      <c r="AG479" t="n">
        <v>0.0</v>
      </c>
      <c r="AH479" t="n">
        <v>0.0</v>
      </c>
      <c r="AI479" t="n">
        <v>0.0</v>
      </c>
      <c r="AJ479" t="n">
        <v>0.0</v>
      </c>
      <c r="AK479" t="n">
        <v>0.0</v>
      </c>
      <c r="AL479" t="n">
        <v>0.0</v>
      </c>
      <c r="AM479" t="n">
        <v>0.0</v>
      </c>
      <c r="AN479" t="n">
        <v>0.0</v>
      </c>
      <c r="AO479" t="n">
        <v>0.0</v>
      </c>
      <c r="AP479" t="n">
        <v>0.0</v>
      </c>
      <c r="AQ479" t="n">
        <v>0.0</v>
      </c>
      <c r="CH479">
        <f>IFERROR(U479*1,0)</f>
      </c>
    </row>
    <row r="480">
      <c r="A480" t="n">
        <v>7.0</v>
      </c>
      <c r="B480">
        <f>IF((K480-G480-H480&gt;2400000),10,(L480/(K480-G480-H480)*100))</f>
      </c>
      <c r="C480">
        <f>IF(N480&gt;2400000,240000,(N480*S480)/100)</f>
      </c>
      <c r="D480">
        <f>IF(S480=0,0,IF((N480-I480)&gt;2400000,((((((N480-I480-J480)-240000))*0.1+(I480+J480)*0.1)))-7000,((((((N480-I480-J480)-(N480-I480-J480)*S480/100)))*0.1+(I480+J480)*0.1)-7000)))</f>
      </c>
      <c r="E480">
        <f>C480-O480</f>
      </c>
      <c r="F480">
        <f>D480-P480</f>
      </c>
      <c r="G480">
        <f>SUMIF(negtgel!U$2:BL$2,'Tsalin uzuulelt'!B$1,negtgel!U480:BL480) + SUMIF(negtgel!U$2:BL$2,'Tsalin uzuulelt'!B$2,negtgel!U480:BL480)+SUMIF(negtgel!U$2:BL$2,'Tsalin uzuulelt'!B$3,negtgel!U480:BL480)+SUMIF(negtgel!U$2:BL$2,'Tsalin uzuulelt'!B$4,negtgel!U480:BL480)+SUMIF(negtgel!U$2:BL$2,'Tsalin uzuulelt'!B$5,negtgel!U480:BL480)</f>
      </c>
      <c r="H480">
        <f>SUMIF(negtgel!U$2:BL$2,'Tsalin uzuulelt'!F$1,negtgel!U480:BL480) + SUMIF(negtgel!U$2:BL$2,'Tsalin uzuulelt'!F$2,negtgel!U480:BL480)+SUMIF(negtgel!U$2:BL$2,'Tsalin uzuulelt'!F$3,negtgel!U480:BL480)+SUMIF(negtgel!U$2:BL$2,'Tsalin uzuulelt'!F$4,negtgel!U480:BL480)+SUMIF(negtgel!U$2:BL$2,'Tsalin uzuulelt'!F$5,negtgel!U480:BL480)</f>
      </c>
      <c r="I480">
        <f>SUMIF(negtgel!U$2:BL$2,'Tsalin uzuulelt'!H$1,negtgel!U480:BL480) + SUMIF(negtgel!U$2:BL$2,'Tsalin uzuulelt'!H$2,negtgel!U480:BL480)+SUMIF(negtgel!U$2:BL$2,'Tsalin uzuulelt'!H$3,negtgel!U480:BL480)+SUMIF(negtgel!U$2:BL$2,'Tsalin uzuulelt'!H$4,negtgel!U480:BL480)+SUMIF(negtgel!U$2:BL$2,'Tsalin uzuulelt'!H$5,negtgel!U480:BL480)</f>
      </c>
      <c r="J480">
        <f>SUMIF(negtgel!U$2:BL$2,'Tsalin uzuulelt'!J$1,negtgel!U480:BL480) + SUMIF(negtgel!U$2:BL$2,'Tsalin uzuulelt'!J$2,negtgel!U480:BL480)+SUMIF(negtgel!U$2:BL$2,'Tsalin uzuulelt'!J$3,negtgel!U480:BL480)+SUMIF(negtgel!U$2:BL$2,'Tsalin uzuulelt'!J$4,negtgel!U480:BL480)+SUMIF(negtgel!U$2:BL$2,'Tsalin uzuulelt'!J$5,negtgel!U480:BL480)</f>
      </c>
      <c r="K480">
        <f>SUMIF(negtgel!U$2:BL$2,'Tsalin uzuulelt'!L$1,negtgel!U480:BL480) + SUMIF(negtgel!U$2:BL$2,'Tsalin uzuulelt'!L$2,negtgel!U480:BL480)+SUMIF(negtgel!U$2:BL$2,'Tsalin uzuulelt'!L$3,negtgel!U480:BL480)+SUMIF(negtgel!U$2:BL$2,'Tsalin uzuulelt'!L$4,negtgel!U480:BL480)+SUMIF(negtgel!U$2:BL$2,'Tsalin uzuulelt'!L$5,negtgel!U480:BL480)</f>
      </c>
      <c r="L480">
        <f>SUMIF(negtgel!U$2:BL$2,'Tsalin uzuulelt'!N$1,negtgel!U480:BL480) + SUMIF(negtgel!U$2:BL$2,'Tsalin uzuulelt'!N$2,negtgel!U480:BL480)+SUMIF(negtgel!U$2:BL$2,'Tsalin uzuulelt'!N$3,negtgel!U480:BL480)+SUMIF(negtgel!U$2:BL$2,'Tsalin uzuulelt'!N$4,negtgel!U480:BL480)+SUMIF(negtgel!U$2:BL$2,'Tsalin uzuulelt'!N$5,negtgel!U480:BL480)</f>
      </c>
      <c r="M480">
        <f>SUMIF(negtgel!U$2:BL$2,'Tsalin uzuulelt'!P$1,negtgel!U480:BL480) + SUMIF(negtgel!U$2:BL$2,'Tsalin uzuulelt'!P$2,negtgel!U480:BL480)+ SUMIF(negtgel!U$2:BL$2,'Tsalin uzuulelt'!P$3,negtgel!U480:BL480)+ SUMIF(negtgel!U$2:BL$2,'Tsalin uzuulelt'!P$4,negtgel!U480:BL480)+ SUMIF(negtgel!U$2:BL$2,'Tsalin uzuulelt'!P$5,negtgel!U480:BL480)</f>
      </c>
      <c r="N480">
        <f>IF(ISNUMBER(U480*1)=CF480,0,K480-H480-G480)</f>
      </c>
      <c r="O480">
        <f>IF(ISNUMBER(U480*1)=CF480,0,L480)</f>
      </c>
      <c r="P480">
        <f>IF(ISNUMBER(U480*1)=CF480,0,M480)</f>
      </c>
      <c r="Q480">
        <f>IF(N480&gt;2400000,N480,0)</f>
      </c>
      <c r="R480">
        <f>IF(L480/Q480*100&lt;3,2,10)</f>
      </c>
      <c r="S480">
        <f>IF(CH480=0,0,IF(B480&gt;9,10,IF(B480&gt;8,B480,IF(B480&gt;7.7,7.8,IF(B480&gt;3,B480,IF(B480&gt;1.5,2))))))</f>
      </c>
      <c r="T480">
        <f>IF(Q480=0,S480,R480)</f>
      </c>
      <c r="U480" t="n">
        <v>94.0</v>
      </c>
      <c r="V480" t="s">
        <v>3873</v>
      </c>
      <c r="W480" t="s">
        <v>3792</v>
      </c>
      <c r="X480" t="n">
        <v>496912.0</v>
      </c>
      <c r="Y480" t="n">
        <v>0.0</v>
      </c>
      <c r="Z480" t="n">
        <v>0.0</v>
      </c>
      <c r="AA480" t="n">
        <v>0.0</v>
      </c>
      <c r="AB480" t="n">
        <v>0.0</v>
      </c>
      <c r="AC480" t="n">
        <v>0.0</v>
      </c>
      <c r="AD480" t="n">
        <v>0.0</v>
      </c>
      <c r="AE480" t="n">
        <v>0.0</v>
      </c>
      <c r="AF480" t="n">
        <v>0.0</v>
      </c>
      <c r="AG480" t="n">
        <v>0.0</v>
      </c>
      <c r="AH480" t="n">
        <v>0.0</v>
      </c>
      <c r="AI480" t="n">
        <v>0.0</v>
      </c>
      <c r="AJ480" t="n">
        <v>0.0</v>
      </c>
      <c r="AK480" t="n">
        <v>0.0</v>
      </c>
      <c r="AL480" t="n">
        <v>0.0</v>
      </c>
      <c r="AM480" t="n">
        <v>0.0</v>
      </c>
      <c r="AN480" t="n">
        <v>0.0</v>
      </c>
      <c r="AO480" t="n">
        <v>0.0</v>
      </c>
      <c r="AP480" t="n">
        <v>0.0</v>
      </c>
      <c r="AQ480" t="n">
        <v>0.0</v>
      </c>
      <c r="CH480">
        <f>IFERROR(U480*1,0)</f>
      </c>
    </row>
    <row r="481">
      <c r="A481" t="n">
        <v>7.0</v>
      </c>
      <c r="B481">
        <f>IF((K481-G481-H481&gt;2400000),10,(L481/(K481-G481-H481)*100))</f>
      </c>
      <c r="C481">
        <f>IF(N481&gt;2400000,240000,(N481*S481)/100)</f>
      </c>
      <c r="D481">
        <f>IF(S481=0,0,IF((N481-I481)&gt;2400000,((((((N481-I481-J481)-240000))*0.1+(I481+J481)*0.1)))-7000,((((((N481-I481-J481)-(N481-I481-J481)*S481/100)))*0.1+(I481+J481)*0.1)-7000)))</f>
      </c>
      <c r="E481">
        <f>C481-O481</f>
      </c>
      <c r="F481">
        <f>D481-P481</f>
      </c>
      <c r="G481">
        <f>SUMIF(negtgel!U$2:BL$2,'Tsalin uzuulelt'!B$1,negtgel!U481:BL481) + SUMIF(negtgel!U$2:BL$2,'Tsalin uzuulelt'!B$2,negtgel!U481:BL481)+SUMIF(negtgel!U$2:BL$2,'Tsalin uzuulelt'!B$3,negtgel!U481:BL481)+SUMIF(negtgel!U$2:BL$2,'Tsalin uzuulelt'!B$4,negtgel!U481:BL481)+SUMIF(negtgel!U$2:BL$2,'Tsalin uzuulelt'!B$5,negtgel!U481:BL481)</f>
      </c>
      <c r="H481">
        <f>SUMIF(negtgel!U$2:BL$2,'Tsalin uzuulelt'!F$1,negtgel!U481:BL481) + SUMIF(negtgel!U$2:BL$2,'Tsalin uzuulelt'!F$2,negtgel!U481:BL481)+SUMIF(negtgel!U$2:BL$2,'Tsalin uzuulelt'!F$3,negtgel!U481:BL481)+SUMIF(negtgel!U$2:BL$2,'Tsalin uzuulelt'!F$4,negtgel!U481:BL481)+SUMIF(negtgel!U$2:BL$2,'Tsalin uzuulelt'!F$5,negtgel!U481:BL481)</f>
      </c>
      <c r="I481">
        <f>SUMIF(negtgel!U$2:BL$2,'Tsalin uzuulelt'!H$1,negtgel!U481:BL481) + SUMIF(negtgel!U$2:BL$2,'Tsalin uzuulelt'!H$2,negtgel!U481:BL481)+SUMIF(negtgel!U$2:BL$2,'Tsalin uzuulelt'!H$3,negtgel!U481:BL481)+SUMIF(negtgel!U$2:BL$2,'Tsalin uzuulelt'!H$4,negtgel!U481:BL481)+SUMIF(negtgel!U$2:BL$2,'Tsalin uzuulelt'!H$5,negtgel!U481:BL481)</f>
      </c>
      <c r="J481">
        <f>SUMIF(negtgel!U$2:BL$2,'Tsalin uzuulelt'!J$1,negtgel!U481:BL481) + SUMIF(negtgel!U$2:BL$2,'Tsalin uzuulelt'!J$2,negtgel!U481:BL481)+SUMIF(negtgel!U$2:BL$2,'Tsalin uzuulelt'!J$3,negtgel!U481:BL481)+SUMIF(negtgel!U$2:BL$2,'Tsalin uzuulelt'!J$4,negtgel!U481:BL481)+SUMIF(negtgel!U$2:BL$2,'Tsalin uzuulelt'!J$5,negtgel!U481:BL481)</f>
      </c>
      <c r="K481">
        <f>SUMIF(negtgel!U$2:BL$2,'Tsalin uzuulelt'!L$1,negtgel!U481:BL481) + SUMIF(negtgel!U$2:BL$2,'Tsalin uzuulelt'!L$2,negtgel!U481:BL481)+SUMIF(negtgel!U$2:BL$2,'Tsalin uzuulelt'!L$3,negtgel!U481:BL481)+SUMIF(negtgel!U$2:BL$2,'Tsalin uzuulelt'!L$4,negtgel!U481:BL481)+SUMIF(negtgel!U$2:BL$2,'Tsalin uzuulelt'!L$5,negtgel!U481:BL481)</f>
      </c>
      <c r="L481">
        <f>SUMIF(negtgel!U$2:BL$2,'Tsalin uzuulelt'!N$1,negtgel!U481:BL481) + SUMIF(negtgel!U$2:BL$2,'Tsalin uzuulelt'!N$2,negtgel!U481:BL481)+SUMIF(negtgel!U$2:BL$2,'Tsalin uzuulelt'!N$3,negtgel!U481:BL481)+SUMIF(negtgel!U$2:BL$2,'Tsalin uzuulelt'!N$4,negtgel!U481:BL481)+SUMIF(negtgel!U$2:BL$2,'Tsalin uzuulelt'!N$5,negtgel!U481:BL481)</f>
      </c>
      <c r="M481">
        <f>SUMIF(negtgel!U$2:BL$2,'Tsalin uzuulelt'!P$1,negtgel!U481:BL481) + SUMIF(negtgel!U$2:BL$2,'Tsalin uzuulelt'!P$2,negtgel!U481:BL481)+ SUMIF(negtgel!U$2:BL$2,'Tsalin uzuulelt'!P$3,negtgel!U481:BL481)+ SUMIF(negtgel!U$2:BL$2,'Tsalin uzuulelt'!P$4,negtgel!U481:BL481)+ SUMIF(negtgel!U$2:BL$2,'Tsalin uzuulelt'!P$5,negtgel!U481:BL481)</f>
      </c>
      <c r="N481">
        <f>IF(ISNUMBER(U481*1)=CF481,0,K481-H481-G481)</f>
      </c>
      <c r="O481">
        <f>IF(ISNUMBER(U481*1)=CF481,0,L481)</f>
      </c>
      <c r="P481">
        <f>IF(ISNUMBER(U481*1)=CF481,0,M481)</f>
      </c>
      <c r="Q481">
        <f>IF(N481&gt;2400000,N481,0)</f>
      </c>
      <c r="R481">
        <f>IF(L481/Q481*100&lt;3,2,10)</f>
      </c>
      <c r="S481">
        <f>IF(CH481=0,0,IF(B481&gt;9,10,IF(B481&gt;8,B481,IF(B481&gt;7.7,7.8,IF(B481&gt;3,B481,IF(B481&gt;1.5,2))))))</f>
      </c>
      <c r="T481">
        <f>IF(Q481=0,S481,R481)</f>
      </c>
      <c r="U481" t="n">
        <v>95.0</v>
      </c>
      <c r="V481" t="s">
        <v>3874</v>
      </c>
      <c r="W481" t="s">
        <v>3790</v>
      </c>
      <c r="X481" t="n">
        <v>677436.0</v>
      </c>
      <c r="Y481" t="n">
        <v>0.0</v>
      </c>
      <c r="Z481" t="n">
        <v>0.0</v>
      </c>
      <c r="AA481" t="n">
        <v>0.0</v>
      </c>
      <c r="AB481" t="n">
        <v>0.0</v>
      </c>
      <c r="AC481" t="n">
        <v>0.0</v>
      </c>
      <c r="AD481" t="n">
        <v>0.0</v>
      </c>
      <c r="AE481" t="n">
        <v>0.0</v>
      </c>
      <c r="AF481" t="n">
        <v>0.0</v>
      </c>
      <c r="AG481" t="n">
        <v>0.0</v>
      </c>
      <c r="AH481" t="n">
        <v>0.0</v>
      </c>
      <c r="AI481" t="n">
        <v>0.0</v>
      </c>
      <c r="AJ481" t="n">
        <v>0.0</v>
      </c>
      <c r="AK481" t="n">
        <v>0.0</v>
      </c>
      <c r="AL481" t="n">
        <v>0.0</v>
      </c>
      <c r="AM481" t="n">
        <v>0.0</v>
      </c>
      <c r="AN481" t="n">
        <v>0.0</v>
      </c>
      <c r="AO481" t="n">
        <v>0.0</v>
      </c>
      <c r="AP481" t="n">
        <v>0.0</v>
      </c>
      <c r="AQ481" t="n">
        <v>0.0</v>
      </c>
      <c r="CH481">
        <f>IFERROR(U481*1,0)</f>
      </c>
    </row>
    <row r="482">
      <c r="A482" t="n">
        <v>7.0</v>
      </c>
      <c r="B482">
        <f>IF((K482-G482-H482&gt;2400000),10,(L482/(K482-G482-H482)*100))</f>
      </c>
      <c r="C482">
        <f>IF(N482&gt;2400000,240000,(N482*S482)/100)</f>
      </c>
      <c r="D482">
        <f>IF(S482=0,0,IF((N482-I482)&gt;2400000,((((((N482-I482-J482)-240000))*0.1+(I482+J482)*0.1)))-7000,((((((N482-I482-J482)-(N482-I482-J482)*S482/100)))*0.1+(I482+J482)*0.1)-7000)))</f>
      </c>
      <c r="E482">
        <f>C482-O482</f>
      </c>
      <c r="F482">
        <f>D482-P482</f>
      </c>
      <c r="G482">
        <f>SUMIF(negtgel!U$2:BL$2,'Tsalin uzuulelt'!B$1,negtgel!U482:BL482) + SUMIF(negtgel!U$2:BL$2,'Tsalin uzuulelt'!B$2,negtgel!U482:BL482)+SUMIF(negtgel!U$2:BL$2,'Tsalin uzuulelt'!B$3,negtgel!U482:BL482)+SUMIF(negtgel!U$2:BL$2,'Tsalin uzuulelt'!B$4,negtgel!U482:BL482)+SUMIF(negtgel!U$2:BL$2,'Tsalin uzuulelt'!B$5,negtgel!U482:BL482)</f>
      </c>
      <c r="H482">
        <f>SUMIF(negtgel!U$2:BL$2,'Tsalin uzuulelt'!F$1,negtgel!U482:BL482) + SUMIF(negtgel!U$2:BL$2,'Tsalin uzuulelt'!F$2,negtgel!U482:BL482)+SUMIF(negtgel!U$2:BL$2,'Tsalin uzuulelt'!F$3,negtgel!U482:BL482)+SUMIF(negtgel!U$2:BL$2,'Tsalin uzuulelt'!F$4,negtgel!U482:BL482)+SUMIF(negtgel!U$2:BL$2,'Tsalin uzuulelt'!F$5,negtgel!U482:BL482)</f>
      </c>
      <c r="I482">
        <f>SUMIF(negtgel!U$2:BL$2,'Tsalin uzuulelt'!H$1,negtgel!U482:BL482) + SUMIF(negtgel!U$2:BL$2,'Tsalin uzuulelt'!H$2,negtgel!U482:BL482)+SUMIF(negtgel!U$2:BL$2,'Tsalin uzuulelt'!H$3,negtgel!U482:BL482)+SUMIF(negtgel!U$2:BL$2,'Tsalin uzuulelt'!H$4,negtgel!U482:BL482)+SUMIF(negtgel!U$2:BL$2,'Tsalin uzuulelt'!H$5,negtgel!U482:BL482)</f>
      </c>
      <c r="J482">
        <f>SUMIF(negtgel!U$2:BL$2,'Tsalin uzuulelt'!J$1,negtgel!U482:BL482) + SUMIF(negtgel!U$2:BL$2,'Tsalin uzuulelt'!J$2,negtgel!U482:BL482)+SUMIF(negtgel!U$2:BL$2,'Tsalin uzuulelt'!J$3,negtgel!U482:BL482)+SUMIF(negtgel!U$2:BL$2,'Tsalin uzuulelt'!J$4,negtgel!U482:BL482)+SUMIF(negtgel!U$2:BL$2,'Tsalin uzuulelt'!J$5,negtgel!U482:BL482)</f>
      </c>
      <c r="K482">
        <f>SUMIF(negtgel!U$2:BL$2,'Tsalin uzuulelt'!L$1,negtgel!U482:BL482) + SUMIF(negtgel!U$2:BL$2,'Tsalin uzuulelt'!L$2,negtgel!U482:BL482)+SUMIF(negtgel!U$2:BL$2,'Tsalin uzuulelt'!L$3,negtgel!U482:BL482)+SUMIF(negtgel!U$2:BL$2,'Tsalin uzuulelt'!L$4,negtgel!U482:BL482)+SUMIF(negtgel!U$2:BL$2,'Tsalin uzuulelt'!L$5,negtgel!U482:BL482)</f>
      </c>
      <c r="L482">
        <f>SUMIF(negtgel!U$2:BL$2,'Tsalin uzuulelt'!N$1,negtgel!U482:BL482) + SUMIF(negtgel!U$2:BL$2,'Tsalin uzuulelt'!N$2,negtgel!U482:BL482)+SUMIF(negtgel!U$2:BL$2,'Tsalin uzuulelt'!N$3,negtgel!U482:BL482)+SUMIF(negtgel!U$2:BL$2,'Tsalin uzuulelt'!N$4,negtgel!U482:BL482)+SUMIF(negtgel!U$2:BL$2,'Tsalin uzuulelt'!N$5,negtgel!U482:BL482)</f>
      </c>
      <c r="M482">
        <f>SUMIF(negtgel!U$2:BL$2,'Tsalin uzuulelt'!P$1,negtgel!U482:BL482) + SUMIF(negtgel!U$2:BL$2,'Tsalin uzuulelt'!P$2,negtgel!U482:BL482)+ SUMIF(negtgel!U$2:BL$2,'Tsalin uzuulelt'!P$3,negtgel!U482:BL482)+ SUMIF(negtgel!U$2:BL$2,'Tsalin uzuulelt'!P$4,negtgel!U482:BL482)+ SUMIF(negtgel!U$2:BL$2,'Tsalin uzuulelt'!P$5,negtgel!U482:BL482)</f>
      </c>
      <c r="N482">
        <f>IF(ISNUMBER(U482*1)=CF482,0,K482-H482-G482)</f>
      </c>
      <c r="O482">
        <f>IF(ISNUMBER(U482*1)=CF482,0,L482)</f>
      </c>
      <c r="P482">
        <f>IF(ISNUMBER(U482*1)=CF482,0,M482)</f>
      </c>
      <c r="Q482">
        <f>IF(N482&gt;2400000,N482,0)</f>
      </c>
      <c r="R482">
        <f>IF(L482/Q482*100&lt;3,2,10)</f>
      </c>
      <c r="S482">
        <f>IF(CH482=0,0,IF(B482&gt;9,10,IF(B482&gt;8,B482,IF(B482&gt;7.7,7.8,IF(B482&gt;3,B482,IF(B482&gt;1.5,2))))))</f>
      </c>
      <c r="T482">
        <f>IF(Q482=0,S482,R482)</f>
      </c>
      <c r="U482" t="n">
        <v>96.0</v>
      </c>
      <c r="V482" t="s">
        <v>3875</v>
      </c>
      <c r="W482" t="s">
        <v>3790</v>
      </c>
      <c r="X482" t="n">
        <v>580710.0</v>
      </c>
      <c r="Y482" t="n">
        <v>0.0</v>
      </c>
      <c r="Z482" t="n">
        <v>0.0</v>
      </c>
      <c r="AA482" t="n">
        <v>0.0</v>
      </c>
      <c r="AB482" t="n">
        <v>0.0</v>
      </c>
      <c r="AC482" t="n">
        <v>0.0</v>
      </c>
      <c r="AD482" t="n">
        <v>0.0</v>
      </c>
      <c r="AE482" t="n">
        <v>0.0</v>
      </c>
      <c r="AF482" t="n">
        <v>0.0</v>
      </c>
      <c r="AG482" t="n">
        <v>0.0</v>
      </c>
      <c r="AH482" t="n">
        <v>0.0</v>
      </c>
      <c r="AI482" t="n">
        <v>0.0</v>
      </c>
      <c r="AJ482" t="n">
        <v>0.0</v>
      </c>
      <c r="AK482" t="n">
        <v>0.0</v>
      </c>
      <c r="AL482" t="n">
        <v>0.0</v>
      </c>
      <c r="AM482" t="n">
        <v>0.0</v>
      </c>
      <c r="AN482" t="n">
        <v>0.0</v>
      </c>
      <c r="AO482" t="n">
        <v>0.0</v>
      </c>
      <c r="AP482" t="n">
        <v>0.0</v>
      </c>
      <c r="AQ482" t="n">
        <v>0.0</v>
      </c>
      <c r="CH482">
        <f>IFERROR(U482*1,0)</f>
      </c>
    </row>
    <row r="483">
      <c r="A483" t="n">
        <v>7.0</v>
      </c>
      <c r="B483">
        <f>IF((K483-G483-H483&gt;2400000),10,(L483/(K483-G483-H483)*100))</f>
      </c>
      <c r="C483">
        <f>IF(N483&gt;2400000,240000,(N483*S483)/100)</f>
      </c>
      <c r="D483">
        <f>IF(S483=0,0,IF((N483-I483)&gt;2400000,((((((N483-I483-J483)-240000))*0.1+(I483+J483)*0.1)))-7000,((((((N483-I483-J483)-(N483-I483-J483)*S483/100)))*0.1+(I483+J483)*0.1)-7000)))</f>
      </c>
      <c r="E483">
        <f>C483-O483</f>
      </c>
      <c r="F483">
        <f>D483-P483</f>
      </c>
      <c r="G483">
        <f>SUMIF(negtgel!U$2:BL$2,'Tsalin uzuulelt'!B$1,negtgel!U483:BL483) + SUMIF(negtgel!U$2:BL$2,'Tsalin uzuulelt'!B$2,negtgel!U483:BL483)+SUMIF(negtgel!U$2:BL$2,'Tsalin uzuulelt'!B$3,negtgel!U483:BL483)+SUMIF(negtgel!U$2:BL$2,'Tsalin uzuulelt'!B$4,negtgel!U483:BL483)+SUMIF(negtgel!U$2:BL$2,'Tsalin uzuulelt'!B$5,negtgel!U483:BL483)</f>
      </c>
      <c r="H483">
        <f>SUMIF(negtgel!U$2:BL$2,'Tsalin uzuulelt'!F$1,negtgel!U483:BL483) + SUMIF(negtgel!U$2:BL$2,'Tsalin uzuulelt'!F$2,negtgel!U483:BL483)+SUMIF(negtgel!U$2:BL$2,'Tsalin uzuulelt'!F$3,negtgel!U483:BL483)+SUMIF(negtgel!U$2:BL$2,'Tsalin uzuulelt'!F$4,negtgel!U483:BL483)+SUMIF(negtgel!U$2:BL$2,'Tsalin uzuulelt'!F$5,negtgel!U483:BL483)</f>
      </c>
      <c r="I483">
        <f>SUMIF(negtgel!U$2:BL$2,'Tsalin uzuulelt'!H$1,negtgel!U483:BL483) + SUMIF(negtgel!U$2:BL$2,'Tsalin uzuulelt'!H$2,negtgel!U483:BL483)+SUMIF(negtgel!U$2:BL$2,'Tsalin uzuulelt'!H$3,negtgel!U483:BL483)+SUMIF(negtgel!U$2:BL$2,'Tsalin uzuulelt'!H$4,negtgel!U483:BL483)+SUMIF(negtgel!U$2:BL$2,'Tsalin uzuulelt'!H$5,negtgel!U483:BL483)</f>
      </c>
      <c r="J483">
        <f>SUMIF(negtgel!U$2:BL$2,'Tsalin uzuulelt'!J$1,negtgel!U483:BL483) + SUMIF(negtgel!U$2:BL$2,'Tsalin uzuulelt'!J$2,negtgel!U483:BL483)+SUMIF(negtgel!U$2:BL$2,'Tsalin uzuulelt'!J$3,negtgel!U483:BL483)+SUMIF(negtgel!U$2:BL$2,'Tsalin uzuulelt'!J$4,negtgel!U483:BL483)+SUMIF(negtgel!U$2:BL$2,'Tsalin uzuulelt'!J$5,negtgel!U483:BL483)</f>
      </c>
      <c r="K483">
        <f>SUMIF(negtgel!U$2:BL$2,'Tsalin uzuulelt'!L$1,negtgel!U483:BL483) + SUMIF(negtgel!U$2:BL$2,'Tsalin uzuulelt'!L$2,negtgel!U483:BL483)+SUMIF(negtgel!U$2:BL$2,'Tsalin uzuulelt'!L$3,negtgel!U483:BL483)+SUMIF(negtgel!U$2:BL$2,'Tsalin uzuulelt'!L$4,negtgel!U483:BL483)+SUMIF(negtgel!U$2:BL$2,'Tsalin uzuulelt'!L$5,negtgel!U483:BL483)</f>
      </c>
      <c r="L483">
        <f>SUMIF(negtgel!U$2:BL$2,'Tsalin uzuulelt'!N$1,negtgel!U483:BL483) + SUMIF(negtgel!U$2:BL$2,'Tsalin uzuulelt'!N$2,negtgel!U483:BL483)+SUMIF(negtgel!U$2:BL$2,'Tsalin uzuulelt'!N$3,negtgel!U483:BL483)+SUMIF(negtgel!U$2:BL$2,'Tsalin uzuulelt'!N$4,negtgel!U483:BL483)+SUMIF(negtgel!U$2:BL$2,'Tsalin uzuulelt'!N$5,negtgel!U483:BL483)</f>
      </c>
      <c r="M483">
        <f>SUMIF(negtgel!U$2:BL$2,'Tsalin uzuulelt'!P$1,negtgel!U483:BL483) + SUMIF(negtgel!U$2:BL$2,'Tsalin uzuulelt'!P$2,negtgel!U483:BL483)+ SUMIF(negtgel!U$2:BL$2,'Tsalin uzuulelt'!P$3,negtgel!U483:BL483)+ SUMIF(negtgel!U$2:BL$2,'Tsalin uzuulelt'!P$4,negtgel!U483:BL483)+ SUMIF(negtgel!U$2:BL$2,'Tsalin uzuulelt'!P$5,negtgel!U483:BL483)</f>
      </c>
      <c r="N483">
        <f>IF(ISNUMBER(U483*1)=CF483,0,K483-H483-G483)</f>
      </c>
      <c r="O483">
        <f>IF(ISNUMBER(U483*1)=CF483,0,L483)</f>
      </c>
      <c r="P483">
        <f>IF(ISNUMBER(U483*1)=CF483,0,M483)</f>
      </c>
      <c r="Q483">
        <f>IF(N483&gt;2400000,N483,0)</f>
      </c>
      <c r="R483">
        <f>IF(L483/Q483*100&lt;3,2,10)</f>
      </c>
      <c r="S483">
        <f>IF(CH483=0,0,IF(B483&gt;9,10,IF(B483&gt;8,B483,IF(B483&gt;7.7,7.8,IF(B483&gt;3,B483,IF(B483&gt;1.5,2))))))</f>
      </c>
      <c r="T483">
        <f>IF(Q483=0,S483,R483)</f>
      </c>
      <c r="U483" t="n">
        <v>97.0</v>
      </c>
      <c r="V483" t="s">
        <v>3876</v>
      </c>
      <c r="W483" t="s">
        <v>3790</v>
      </c>
      <c r="X483" t="n">
        <v>613669.0</v>
      </c>
      <c r="Y483" t="n">
        <v>0.0</v>
      </c>
      <c r="Z483" t="n">
        <v>0.0</v>
      </c>
      <c r="AA483" t="n">
        <v>0.0</v>
      </c>
      <c r="AB483" t="n">
        <v>0.0</v>
      </c>
      <c r="AC483" t="n">
        <v>0.0</v>
      </c>
      <c r="AD483" t="n">
        <v>0.0</v>
      </c>
      <c r="AE483" t="n">
        <v>0.0</v>
      </c>
      <c r="AF483" t="n">
        <v>0.0</v>
      </c>
      <c r="AG483" t="n">
        <v>0.0</v>
      </c>
      <c r="AH483" t="n">
        <v>0.0</v>
      </c>
      <c r="AI483" t="n">
        <v>0.0</v>
      </c>
      <c r="AJ483" t="n">
        <v>0.0</v>
      </c>
      <c r="AK483" t="n">
        <v>0.0</v>
      </c>
      <c r="AL483" t="n">
        <v>0.0</v>
      </c>
      <c r="AM483" t="n">
        <v>0.0</v>
      </c>
      <c r="AN483" t="n">
        <v>0.0</v>
      </c>
      <c r="AO483" t="n">
        <v>0.0</v>
      </c>
      <c r="AP483" t="n">
        <v>0.0</v>
      </c>
      <c r="AQ483" t="n">
        <v>0.0</v>
      </c>
      <c r="CH483">
        <f>IFERROR(U483*1,0)</f>
      </c>
    </row>
    <row r="484">
      <c r="A484" t="n">
        <v>7.0</v>
      </c>
      <c r="B484">
        <f>IF((K484-G484-H484&gt;2400000),10,(L484/(K484-G484-H484)*100))</f>
      </c>
      <c r="C484">
        <f>IF(N484&gt;2400000,240000,(N484*S484)/100)</f>
      </c>
      <c r="D484">
        <f>IF(S484=0,0,IF((N484-I484)&gt;2400000,((((((N484-I484-J484)-240000))*0.1+(I484+J484)*0.1)))-7000,((((((N484-I484-J484)-(N484-I484-J484)*S484/100)))*0.1+(I484+J484)*0.1)-7000)))</f>
      </c>
      <c r="E484">
        <f>C484-O484</f>
      </c>
      <c r="F484">
        <f>D484-P484</f>
      </c>
      <c r="G484">
        <f>SUMIF(negtgel!U$2:BL$2,'Tsalin uzuulelt'!B$1,negtgel!U484:BL484) + SUMIF(negtgel!U$2:BL$2,'Tsalin uzuulelt'!B$2,negtgel!U484:BL484)+SUMIF(negtgel!U$2:BL$2,'Tsalin uzuulelt'!B$3,negtgel!U484:BL484)+SUMIF(negtgel!U$2:BL$2,'Tsalin uzuulelt'!B$4,negtgel!U484:BL484)+SUMIF(negtgel!U$2:BL$2,'Tsalin uzuulelt'!B$5,negtgel!U484:BL484)</f>
      </c>
      <c r="H484">
        <f>SUMIF(negtgel!U$2:BL$2,'Tsalin uzuulelt'!F$1,negtgel!U484:BL484) + SUMIF(negtgel!U$2:BL$2,'Tsalin uzuulelt'!F$2,negtgel!U484:BL484)+SUMIF(negtgel!U$2:BL$2,'Tsalin uzuulelt'!F$3,negtgel!U484:BL484)+SUMIF(negtgel!U$2:BL$2,'Tsalin uzuulelt'!F$4,negtgel!U484:BL484)+SUMIF(negtgel!U$2:BL$2,'Tsalin uzuulelt'!F$5,negtgel!U484:BL484)</f>
      </c>
      <c r="I484">
        <f>SUMIF(negtgel!U$2:BL$2,'Tsalin uzuulelt'!H$1,negtgel!U484:BL484) + SUMIF(negtgel!U$2:BL$2,'Tsalin uzuulelt'!H$2,negtgel!U484:BL484)+SUMIF(negtgel!U$2:BL$2,'Tsalin uzuulelt'!H$3,negtgel!U484:BL484)+SUMIF(negtgel!U$2:BL$2,'Tsalin uzuulelt'!H$4,negtgel!U484:BL484)+SUMIF(negtgel!U$2:BL$2,'Tsalin uzuulelt'!H$5,negtgel!U484:BL484)</f>
      </c>
      <c r="J484">
        <f>SUMIF(negtgel!U$2:BL$2,'Tsalin uzuulelt'!J$1,negtgel!U484:BL484) + SUMIF(negtgel!U$2:BL$2,'Tsalin uzuulelt'!J$2,negtgel!U484:BL484)+SUMIF(negtgel!U$2:BL$2,'Tsalin uzuulelt'!J$3,negtgel!U484:BL484)+SUMIF(negtgel!U$2:BL$2,'Tsalin uzuulelt'!J$4,negtgel!U484:BL484)+SUMIF(negtgel!U$2:BL$2,'Tsalin uzuulelt'!J$5,negtgel!U484:BL484)</f>
      </c>
      <c r="K484">
        <f>SUMIF(negtgel!U$2:BL$2,'Tsalin uzuulelt'!L$1,negtgel!U484:BL484) + SUMIF(negtgel!U$2:BL$2,'Tsalin uzuulelt'!L$2,negtgel!U484:BL484)+SUMIF(negtgel!U$2:BL$2,'Tsalin uzuulelt'!L$3,negtgel!U484:BL484)+SUMIF(negtgel!U$2:BL$2,'Tsalin uzuulelt'!L$4,negtgel!U484:BL484)+SUMIF(negtgel!U$2:BL$2,'Tsalin uzuulelt'!L$5,negtgel!U484:BL484)</f>
      </c>
      <c r="L484">
        <f>SUMIF(negtgel!U$2:BL$2,'Tsalin uzuulelt'!N$1,negtgel!U484:BL484) + SUMIF(negtgel!U$2:BL$2,'Tsalin uzuulelt'!N$2,negtgel!U484:BL484)+SUMIF(negtgel!U$2:BL$2,'Tsalin uzuulelt'!N$3,negtgel!U484:BL484)+SUMIF(negtgel!U$2:BL$2,'Tsalin uzuulelt'!N$4,negtgel!U484:BL484)+SUMIF(negtgel!U$2:BL$2,'Tsalin uzuulelt'!N$5,negtgel!U484:BL484)</f>
      </c>
      <c r="M484">
        <f>SUMIF(negtgel!U$2:BL$2,'Tsalin uzuulelt'!P$1,negtgel!U484:BL484) + SUMIF(negtgel!U$2:BL$2,'Tsalin uzuulelt'!P$2,negtgel!U484:BL484)+ SUMIF(negtgel!U$2:BL$2,'Tsalin uzuulelt'!P$3,negtgel!U484:BL484)+ SUMIF(negtgel!U$2:BL$2,'Tsalin uzuulelt'!P$4,negtgel!U484:BL484)+ SUMIF(negtgel!U$2:BL$2,'Tsalin uzuulelt'!P$5,negtgel!U484:BL484)</f>
      </c>
      <c r="N484">
        <f>IF(ISNUMBER(U484*1)=CF484,0,K484-H484-G484)</f>
      </c>
      <c r="O484">
        <f>IF(ISNUMBER(U484*1)=CF484,0,L484)</f>
      </c>
      <c r="P484">
        <f>IF(ISNUMBER(U484*1)=CF484,0,M484)</f>
      </c>
      <c r="Q484">
        <f>IF(N484&gt;2400000,N484,0)</f>
      </c>
      <c r="R484">
        <f>IF(L484/Q484*100&lt;3,2,10)</f>
      </c>
      <c r="S484">
        <f>IF(CH484=0,0,IF(B484&gt;9,10,IF(B484&gt;8,B484,IF(B484&gt;7.7,7.8,IF(B484&gt;3,B484,IF(B484&gt;1.5,2))))))</f>
      </c>
      <c r="T484">
        <f>IF(Q484=0,S484,R484)</f>
      </c>
      <c r="U484" t="n">
        <v>151.0</v>
      </c>
      <c r="V484" t="s">
        <v>3871</v>
      </c>
      <c r="W484" t="s">
        <v>3790</v>
      </c>
      <c r="X484" t="n">
        <v>613669.0</v>
      </c>
      <c r="Y484" t="n">
        <v>0.0</v>
      </c>
      <c r="Z484" t="n">
        <v>0.0</v>
      </c>
      <c r="AA484" t="n">
        <v>0.0</v>
      </c>
      <c r="AB484" t="n">
        <v>0.0</v>
      </c>
      <c r="AC484" t="n">
        <v>0.0</v>
      </c>
      <c r="AD484" t="n">
        <v>0.0</v>
      </c>
      <c r="AE484" t="n">
        <v>0.0</v>
      </c>
      <c r="AF484" t="n">
        <v>0.0</v>
      </c>
      <c r="AG484" t="n">
        <v>0.0</v>
      </c>
      <c r="AH484" t="n">
        <v>0.0</v>
      </c>
      <c r="AI484" t="n">
        <v>0.0</v>
      </c>
      <c r="AJ484" t="n">
        <v>0.0</v>
      </c>
      <c r="AK484" t="n">
        <v>0.0</v>
      </c>
      <c r="AL484" t="n">
        <v>0.0</v>
      </c>
      <c r="AM484" t="n">
        <v>0.0</v>
      </c>
      <c r="AN484" t="n">
        <v>0.0</v>
      </c>
      <c r="AO484" t="n">
        <v>0.0</v>
      </c>
      <c r="AP484" t="n">
        <v>0.0</v>
      </c>
      <c r="AQ484" t="n">
        <v>0.0</v>
      </c>
      <c r="CH484">
        <f>IFERROR(U484*1,0)</f>
      </c>
    </row>
    <row r="485">
      <c r="A485" t="n">
        <v>7.0</v>
      </c>
      <c r="B485">
        <f>IF((K485-G485-H485&gt;2400000),10,(L485/(K485-G485-H485)*100))</f>
      </c>
      <c r="C485">
        <f>IF(N485&gt;2400000,240000,(N485*S485)/100)</f>
      </c>
      <c r="D485">
        <f>IF(S485=0,0,IF((N485-I485)&gt;2400000,((((((N485-I485-J485)-240000))*0.1+(I485+J485)*0.1)))-7000,((((((N485-I485-J485)-(N485-I485-J485)*S485/100)))*0.1+(I485+J485)*0.1)-7000)))</f>
      </c>
      <c r="E485">
        <f>C485-O485</f>
      </c>
      <c r="F485">
        <f>D485-P485</f>
      </c>
      <c r="G485">
        <f>SUMIF(negtgel!U$2:BL$2,'Tsalin uzuulelt'!B$1,negtgel!U485:BL485) + SUMIF(negtgel!U$2:BL$2,'Tsalin uzuulelt'!B$2,negtgel!U485:BL485)+SUMIF(negtgel!U$2:BL$2,'Tsalin uzuulelt'!B$3,negtgel!U485:BL485)+SUMIF(negtgel!U$2:BL$2,'Tsalin uzuulelt'!B$4,negtgel!U485:BL485)+SUMIF(negtgel!U$2:BL$2,'Tsalin uzuulelt'!B$5,negtgel!U485:BL485)</f>
      </c>
      <c r="H485">
        <f>SUMIF(negtgel!U$2:BL$2,'Tsalin uzuulelt'!F$1,negtgel!U485:BL485) + SUMIF(negtgel!U$2:BL$2,'Tsalin uzuulelt'!F$2,negtgel!U485:BL485)+SUMIF(negtgel!U$2:BL$2,'Tsalin uzuulelt'!F$3,negtgel!U485:BL485)+SUMIF(negtgel!U$2:BL$2,'Tsalin uzuulelt'!F$4,negtgel!U485:BL485)+SUMIF(negtgel!U$2:BL$2,'Tsalin uzuulelt'!F$5,negtgel!U485:BL485)</f>
      </c>
      <c r="I485">
        <f>SUMIF(negtgel!U$2:BL$2,'Tsalin uzuulelt'!H$1,negtgel!U485:BL485) + SUMIF(negtgel!U$2:BL$2,'Tsalin uzuulelt'!H$2,negtgel!U485:BL485)+SUMIF(negtgel!U$2:BL$2,'Tsalin uzuulelt'!H$3,negtgel!U485:BL485)+SUMIF(negtgel!U$2:BL$2,'Tsalin uzuulelt'!H$4,negtgel!U485:BL485)+SUMIF(negtgel!U$2:BL$2,'Tsalin uzuulelt'!H$5,negtgel!U485:BL485)</f>
      </c>
      <c r="J485">
        <f>SUMIF(negtgel!U$2:BL$2,'Tsalin uzuulelt'!J$1,negtgel!U485:BL485) + SUMIF(negtgel!U$2:BL$2,'Tsalin uzuulelt'!J$2,negtgel!U485:BL485)+SUMIF(negtgel!U$2:BL$2,'Tsalin uzuulelt'!J$3,negtgel!U485:BL485)+SUMIF(negtgel!U$2:BL$2,'Tsalin uzuulelt'!J$4,negtgel!U485:BL485)+SUMIF(negtgel!U$2:BL$2,'Tsalin uzuulelt'!J$5,negtgel!U485:BL485)</f>
      </c>
      <c r="K485">
        <f>SUMIF(negtgel!U$2:BL$2,'Tsalin uzuulelt'!L$1,negtgel!U485:BL485) + SUMIF(negtgel!U$2:BL$2,'Tsalin uzuulelt'!L$2,negtgel!U485:BL485)+SUMIF(negtgel!U$2:BL$2,'Tsalin uzuulelt'!L$3,negtgel!U485:BL485)+SUMIF(negtgel!U$2:BL$2,'Tsalin uzuulelt'!L$4,negtgel!U485:BL485)+SUMIF(negtgel!U$2:BL$2,'Tsalin uzuulelt'!L$5,negtgel!U485:BL485)</f>
      </c>
      <c r="L485">
        <f>SUMIF(negtgel!U$2:BL$2,'Tsalin uzuulelt'!N$1,negtgel!U485:BL485) + SUMIF(negtgel!U$2:BL$2,'Tsalin uzuulelt'!N$2,negtgel!U485:BL485)+SUMIF(negtgel!U$2:BL$2,'Tsalin uzuulelt'!N$3,negtgel!U485:BL485)+SUMIF(negtgel!U$2:BL$2,'Tsalin uzuulelt'!N$4,negtgel!U485:BL485)+SUMIF(negtgel!U$2:BL$2,'Tsalin uzuulelt'!N$5,negtgel!U485:BL485)</f>
      </c>
      <c r="M485">
        <f>SUMIF(negtgel!U$2:BL$2,'Tsalin uzuulelt'!P$1,negtgel!U485:BL485) + SUMIF(negtgel!U$2:BL$2,'Tsalin uzuulelt'!P$2,negtgel!U485:BL485)+ SUMIF(negtgel!U$2:BL$2,'Tsalin uzuulelt'!P$3,negtgel!U485:BL485)+ SUMIF(negtgel!U$2:BL$2,'Tsalin uzuulelt'!P$4,negtgel!U485:BL485)+ SUMIF(negtgel!U$2:BL$2,'Tsalin uzuulelt'!P$5,negtgel!U485:BL485)</f>
      </c>
      <c r="N485">
        <f>IF(ISNUMBER(U485*1)=CF485,0,K485-H485-G485)</f>
      </c>
      <c r="O485">
        <f>IF(ISNUMBER(U485*1)=CF485,0,L485)</f>
      </c>
      <c r="P485">
        <f>IF(ISNUMBER(U485*1)=CF485,0,M485)</f>
      </c>
      <c r="Q485">
        <f>IF(N485&gt;2400000,N485,0)</f>
      </c>
      <c r="R485">
        <f>IF(L485/Q485*100&lt;3,2,10)</f>
      </c>
      <c r="S485">
        <f>IF(CH485=0,0,IF(B485&gt;9,10,IF(B485&gt;8,B485,IF(B485&gt;7.7,7.8,IF(B485&gt;3,B485,IF(B485&gt;1.5,2))))))</f>
      </c>
      <c r="T485">
        <f>IF(Q485=0,S485,R485)</f>
      </c>
      <c r="U485" t="n">
        <v>152.0</v>
      </c>
      <c r="V485" t="s">
        <v>3863</v>
      </c>
      <c r="W485" t="s">
        <v>3790</v>
      </c>
      <c r="X485" t="n">
        <v>577826.0</v>
      </c>
      <c r="Y485" t="n">
        <v>0.0</v>
      </c>
      <c r="Z485" t="n">
        <v>0.0</v>
      </c>
      <c r="AA485" t="n">
        <v>0.0</v>
      </c>
      <c r="AB485" t="n">
        <v>0.0</v>
      </c>
      <c r="AC485" t="n">
        <v>0.0</v>
      </c>
      <c r="AD485" t="n">
        <v>0.0</v>
      </c>
      <c r="AE485" t="n">
        <v>0.0</v>
      </c>
      <c r="AF485" t="n">
        <v>0.0</v>
      </c>
      <c r="AG485" t="n">
        <v>0.0</v>
      </c>
      <c r="AH485" t="n">
        <v>0.0</v>
      </c>
      <c r="AI485" t="n">
        <v>0.0</v>
      </c>
      <c r="AJ485" t="n">
        <v>0.0</v>
      </c>
      <c r="AK485" t="n">
        <v>0.0</v>
      </c>
      <c r="AL485" t="n">
        <v>0.0</v>
      </c>
      <c r="AM485" t="n">
        <v>0.0</v>
      </c>
      <c r="AN485" t="n">
        <v>0.0</v>
      </c>
      <c r="AO485" t="n">
        <v>0.0</v>
      </c>
      <c r="AP485" t="n">
        <v>0.0</v>
      </c>
      <c r="AQ485" t="n">
        <v>0.0</v>
      </c>
      <c r="CH485">
        <f>IFERROR(U485*1,0)</f>
      </c>
    </row>
    <row r="486">
      <c r="A486" t="n">
        <v>7.0</v>
      </c>
      <c r="B486">
        <f>IF((K486-G486-H486&gt;2400000),10,(L486/(K486-G486-H486)*100))</f>
      </c>
      <c r="C486">
        <f>IF(N486&gt;2400000,240000,(N486*S486)/100)</f>
      </c>
      <c r="D486">
        <f>IF(S486=0,0,IF((N486-I486)&gt;2400000,((((((N486-I486-J486)-240000))*0.1+(I486+J486)*0.1)))-7000,((((((N486-I486-J486)-(N486-I486-J486)*S486/100)))*0.1+(I486+J486)*0.1)-7000)))</f>
      </c>
      <c r="E486">
        <f>C486-O486</f>
      </c>
      <c r="F486">
        <f>D486-P486</f>
      </c>
      <c r="G486">
        <f>SUMIF(negtgel!U$2:BL$2,'Tsalin uzuulelt'!B$1,negtgel!U486:BL486) + SUMIF(negtgel!U$2:BL$2,'Tsalin uzuulelt'!B$2,negtgel!U486:BL486)+SUMIF(negtgel!U$2:BL$2,'Tsalin uzuulelt'!B$3,negtgel!U486:BL486)+SUMIF(negtgel!U$2:BL$2,'Tsalin uzuulelt'!B$4,negtgel!U486:BL486)+SUMIF(negtgel!U$2:BL$2,'Tsalin uzuulelt'!B$5,negtgel!U486:BL486)</f>
      </c>
      <c r="H486">
        <f>SUMIF(negtgel!U$2:BL$2,'Tsalin uzuulelt'!F$1,negtgel!U486:BL486) + SUMIF(negtgel!U$2:BL$2,'Tsalin uzuulelt'!F$2,negtgel!U486:BL486)+SUMIF(negtgel!U$2:BL$2,'Tsalin uzuulelt'!F$3,negtgel!U486:BL486)+SUMIF(negtgel!U$2:BL$2,'Tsalin uzuulelt'!F$4,negtgel!U486:BL486)+SUMIF(negtgel!U$2:BL$2,'Tsalin uzuulelt'!F$5,negtgel!U486:BL486)</f>
      </c>
      <c r="I486">
        <f>SUMIF(negtgel!U$2:BL$2,'Tsalin uzuulelt'!H$1,negtgel!U486:BL486) + SUMIF(negtgel!U$2:BL$2,'Tsalin uzuulelt'!H$2,negtgel!U486:BL486)+SUMIF(negtgel!U$2:BL$2,'Tsalin uzuulelt'!H$3,negtgel!U486:BL486)+SUMIF(negtgel!U$2:BL$2,'Tsalin uzuulelt'!H$4,negtgel!U486:BL486)+SUMIF(negtgel!U$2:BL$2,'Tsalin uzuulelt'!H$5,negtgel!U486:BL486)</f>
      </c>
      <c r="J486">
        <f>SUMIF(negtgel!U$2:BL$2,'Tsalin uzuulelt'!J$1,negtgel!U486:BL486) + SUMIF(negtgel!U$2:BL$2,'Tsalin uzuulelt'!J$2,negtgel!U486:BL486)+SUMIF(negtgel!U$2:BL$2,'Tsalin uzuulelt'!J$3,negtgel!U486:BL486)+SUMIF(negtgel!U$2:BL$2,'Tsalin uzuulelt'!J$4,negtgel!U486:BL486)+SUMIF(negtgel!U$2:BL$2,'Tsalin uzuulelt'!J$5,negtgel!U486:BL486)</f>
      </c>
      <c r="K486">
        <f>SUMIF(negtgel!U$2:BL$2,'Tsalin uzuulelt'!L$1,negtgel!U486:BL486) + SUMIF(negtgel!U$2:BL$2,'Tsalin uzuulelt'!L$2,negtgel!U486:BL486)+SUMIF(negtgel!U$2:BL$2,'Tsalin uzuulelt'!L$3,negtgel!U486:BL486)+SUMIF(negtgel!U$2:BL$2,'Tsalin uzuulelt'!L$4,negtgel!U486:BL486)+SUMIF(negtgel!U$2:BL$2,'Tsalin uzuulelt'!L$5,negtgel!U486:BL486)</f>
      </c>
      <c r="L486">
        <f>SUMIF(negtgel!U$2:BL$2,'Tsalin uzuulelt'!N$1,negtgel!U486:BL486) + SUMIF(negtgel!U$2:BL$2,'Tsalin uzuulelt'!N$2,negtgel!U486:BL486)+SUMIF(negtgel!U$2:BL$2,'Tsalin uzuulelt'!N$3,negtgel!U486:BL486)+SUMIF(negtgel!U$2:BL$2,'Tsalin uzuulelt'!N$4,negtgel!U486:BL486)+SUMIF(negtgel!U$2:BL$2,'Tsalin uzuulelt'!N$5,negtgel!U486:BL486)</f>
      </c>
      <c r="M486">
        <f>SUMIF(negtgel!U$2:BL$2,'Tsalin uzuulelt'!P$1,negtgel!U486:BL486) + SUMIF(negtgel!U$2:BL$2,'Tsalin uzuulelt'!P$2,negtgel!U486:BL486)+ SUMIF(negtgel!U$2:BL$2,'Tsalin uzuulelt'!P$3,negtgel!U486:BL486)+ SUMIF(negtgel!U$2:BL$2,'Tsalin uzuulelt'!P$4,negtgel!U486:BL486)+ SUMIF(negtgel!U$2:BL$2,'Tsalin uzuulelt'!P$5,negtgel!U486:BL486)</f>
      </c>
      <c r="N486">
        <f>IF(ISNUMBER(U486*1)=CF486,0,K486-H486-G486)</f>
      </c>
      <c r="O486">
        <f>IF(ISNUMBER(U486*1)=CF486,0,L486)</f>
      </c>
      <c r="P486">
        <f>IF(ISNUMBER(U486*1)=CF486,0,M486)</f>
      </c>
      <c r="Q486">
        <f>IF(N486&gt;2400000,N486,0)</f>
      </c>
      <c r="R486">
        <f>IF(L486/Q486*100&lt;3,2,10)</f>
      </c>
      <c r="S486">
        <f>IF(CH486=0,0,IF(B486&gt;9,10,IF(B486&gt;8,B486,IF(B486&gt;7.7,7.8,IF(B486&gt;3,B486,IF(B486&gt;1.5,2))))))</f>
      </c>
      <c r="T486">
        <f>IF(Q486=0,S486,R486)</f>
      </c>
      <c r="U486" t="n">
        <v>153.0</v>
      </c>
      <c r="V486" t="s">
        <v>3786</v>
      </c>
      <c r="W486" t="s">
        <v>3785</v>
      </c>
      <c r="X486" t="n">
        <v>627465.0</v>
      </c>
      <c r="Y486" t="n">
        <v>0.0</v>
      </c>
      <c r="Z486" t="n">
        <v>0.0</v>
      </c>
      <c r="AA486" t="n">
        <v>0.0</v>
      </c>
      <c r="AB486" t="n">
        <v>0.0</v>
      </c>
      <c r="AC486" t="n">
        <v>0.0</v>
      </c>
      <c r="AD486" t="n">
        <v>0.0</v>
      </c>
      <c r="AE486" t="n">
        <v>0.0</v>
      </c>
      <c r="AF486" t="n">
        <v>0.0</v>
      </c>
      <c r="AG486" t="n">
        <v>0.0</v>
      </c>
      <c r="AH486" t="n">
        <v>0.0</v>
      </c>
      <c r="AI486" t="n">
        <v>0.0</v>
      </c>
      <c r="AJ486" t="n">
        <v>0.0</v>
      </c>
      <c r="AK486" t="n">
        <v>0.0</v>
      </c>
      <c r="AL486" t="n">
        <v>0.0</v>
      </c>
      <c r="AM486" t="n">
        <v>0.0</v>
      </c>
      <c r="AN486" t="n">
        <v>0.0</v>
      </c>
      <c r="AO486" t="n">
        <v>0.0</v>
      </c>
      <c r="AP486" t="n">
        <v>0.0</v>
      </c>
      <c r="AQ486" t="n">
        <v>0.0</v>
      </c>
      <c r="CH486">
        <f>IFERROR(U486*1,0)</f>
      </c>
    </row>
    <row r="487">
      <c r="A487" t="n">
        <v>7.0</v>
      </c>
      <c r="B487">
        <f>IF((K487-G487-H487&gt;2400000),10,(L487/(K487-G487-H487)*100))</f>
      </c>
      <c r="C487">
        <f>IF(N487&gt;2400000,240000,(N487*S487)/100)</f>
      </c>
      <c r="D487">
        <f>IF(S487=0,0,IF((N487-I487)&gt;2400000,((((((N487-I487-J487)-240000))*0.1+(I487+J487)*0.1)))-7000,((((((N487-I487-J487)-(N487-I487-J487)*S487/100)))*0.1+(I487+J487)*0.1)-7000)))</f>
      </c>
      <c r="E487">
        <f>C487-O487</f>
      </c>
      <c r="F487">
        <f>D487-P487</f>
      </c>
      <c r="G487">
        <f>SUMIF(negtgel!U$2:BL$2,'Tsalin uzuulelt'!B$1,negtgel!U487:BL487) + SUMIF(negtgel!U$2:BL$2,'Tsalin uzuulelt'!B$2,negtgel!U487:BL487)+SUMIF(negtgel!U$2:BL$2,'Tsalin uzuulelt'!B$3,negtgel!U487:BL487)+SUMIF(negtgel!U$2:BL$2,'Tsalin uzuulelt'!B$4,negtgel!U487:BL487)+SUMIF(negtgel!U$2:BL$2,'Tsalin uzuulelt'!B$5,negtgel!U487:BL487)</f>
      </c>
      <c r="H487">
        <f>SUMIF(negtgel!U$2:BL$2,'Tsalin uzuulelt'!F$1,negtgel!U487:BL487) + SUMIF(negtgel!U$2:BL$2,'Tsalin uzuulelt'!F$2,negtgel!U487:BL487)+SUMIF(negtgel!U$2:BL$2,'Tsalin uzuulelt'!F$3,negtgel!U487:BL487)+SUMIF(negtgel!U$2:BL$2,'Tsalin uzuulelt'!F$4,negtgel!U487:BL487)+SUMIF(negtgel!U$2:BL$2,'Tsalin uzuulelt'!F$5,negtgel!U487:BL487)</f>
      </c>
      <c r="I487">
        <f>SUMIF(negtgel!U$2:BL$2,'Tsalin uzuulelt'!H$1,negtgel!U487:BL487) + SUMIF(negtgel!U$2:BL$2,'Tsalin uzuulelt'!H$2,negtgel!U487:BL487)+SUMIF(negtgel!U$2:BL$2,'Tsalin uzuulelt'!H$3,negtgel!U487:BL487)+SUMIF(negtgel!U$2:BL$2,'Tsalin uzuulelt'!H$4,negtgel!U487:BL487)+SUMIF(negtgel!U$2:BL$2,'Tsalin uzuulelt'!H$5,negtgel!U487:BL487)</f>
      </c>
      <c r="J487">
        <f>SUMIF(negtgel!U$2:BL$2,'Tsalin uzuulelt'!J$1,negtgel!U487:BL487) + SUMIF(negtgel!U$2:BL$2,'Tsalin uzuulelt'!J$2,negtgel!U487:BL487)+SUMIF(negtgel!U$2:BL$2,'Tsalin uzuulelt'!J$3,negtgel!U487:BL487)+SUMIF(negtgel!U$2:BL$2,'Tsalin uzuulelt'!J$4,negtgel!U487:BL487)+SUMIF(negtgel!U$2:BL$2,'Tsalin uzuulelt'!J$5,negtgel!U487:BL487)</f>
      </c>
      <c r="K487">
        <f>SUMIF(negtgel!U$2:BL$2,'Tsalin uzuulelt'!L$1,negtgel!U487:BL487) + SUMIF(negtgel!U$2:BL$2,'Tsalin uzuulelt'!L$2,negtgel!U487:BL487)+SUMIF(negtgel!U$2:BL$2,'Tsalin uzuulelt'!L$3,negtgel!U487:BL487)+SUMIF(negtgel!U$2:BL$2,'Tsalin uzuulelt'!L$4,negtgel!U487:BL487)+SUMIF(negtgel!U$2:BL$2,'Tsalin uzuulelt'!L$5,negtgel!U487:BL487)</f>
      </c>
      <c r="L487">
        <f>SUMIF(negtgel!U$2:BL$2,'Tsalin uzuulelt'!N$1,negtgel!U487:BL487) + SUMIF(negtgel!U$2:BL$2,'Tsalin uzuulelt'!N$2,negtgel!U487:BL487)+SUMIF(negtgel!U$2:BL$2,'Tsalin uzuulelt'!N$3,negtgel!U487:BL487)+SUMIF(negtgel!U$2:BL$2,'Tsalin uzuulelt'!N$4,negtgel!U487:BL487)+SUMIF(negtgel!U$2:BL$2,'Tsalin uzuulelt'!N$5,negtgel!U487:BL487)</f>
      </c>
      <c r="M487">
        <f>SUMIF(negtgel!U$2:BL$2,'Tsalin uzuulelt'!P$1,negtgel!U487:BL487) + SUMIF(negtgel!U$2:BL$2,'Tsalin uzuulelt'!P$2,negtgel!U487:BL487)+ SUMIF(negtgel!U$2:BL$2,'Tsalin uzuulelt'!P$3,negtgel!U487:BL487)+ SUMIF(negtgel!U$2:BL$2,'Tsalin uzuulelt'!P$4,negtgel!U487:BL487)+ SUMIF(negtgel!U$2:BL$2,'Tsalin uzuulelt'!P$5,negtgel!U487:BL487)</f>
      </c>
      <c r="N487">
        <f>IF(ISNUMBER(U487*1)=CF487,0,K487-H487-G487)</f>
      </c>
      <c r="O487">
        <f>IF(ISNUMBER(U487*1)=CF487,0,L487)</f>
      </c>
      <c r="P487">
        <f>IF(ISNUMBER(U487*1)=CF487,0,M487)</f>
      </c>
      <c r="Q487">
        <f>IF(N487&gt;2400000,N487,0)</f>
      </c>
      <c r="R487">
        <f>IF(L487/Q487*100&lt;3,2,10)</f>
      </c>
      <c r="S487">
        <f>IF(CH487=0,0,IF(B487&gt;9,10,IF(B487&gt;8,B487,IF(B487&gt;7.7,7.8,IF(B487&gt;3,B487,IF(B487&gt;1.5,2))))))</f>
      </c>
      <c r="T487">
        <f>IF(Q487=0,S487,R487)</f>
      </c>
      <c r="U487" t="n">
        <v>154.0</v>
      </c>
      <c r="V487" t="s">
        <v>3860</v>
      </c>
      <c r="W487" t="s">
        <v>3790</v>
      </c>
      <c r="X487" t="n">
        <v>547759.0</v>
      </c>
      <c r="Y487" t="n">
        <v>0.0</v>
      </c>
      <c r="Z487" t="n">
        <v>0.0</v>
      </c>
      <c r="AA487" t="n">
        <v>0.0</v>
      </c>
      <c r="AB487" t="n">
        <v>0.0</v>
      </c>
      <c r="AC487" t="n">
        <v>0.0</v>
      </c>
      <c r="AD487" t="n">
        <v>0.0</v>
      </c>
      <c r="AE487" t="n">
        <v>0.0</v>
      </c>
      <c r="AF487" t="n">
        <v>0.0</v>
      </c>
      <c r="AG487" t="n">
        <v>0.0</v>
      </c>
      <c r="AH487" t="n">
        <v>0.0</v>
      </c>
      <c r="AI487" t="n">
        <v>0.0</v>
      </c>
      <c r="AJ487" t="n">
        <v>0.0</v>
      </c>
      <c r="AK487" t="n">
        <v>0.0</v>
      </c>
      <c r="AL487" t="n">
        <v>0.0</v>
      </c>
      <c r="AM487" t="n">
        <v>0.0</v>
      </c>
      <c r="AN487" t="n">
        <v>0.0</v>
      </c>
      <c r="AO487" t="n">
        <v>0.0</v>
      </c>
      <c r="AP487" t="n">
        <v>0.0</v>
      </c>
      <c r="AQ487" t="n">
        <v>0.0</v>
      </c>
      <c r="CH487">
        <f>IFERROR(U487*1,0)</f>
      </c>
    </row>
    <row r="488">
      <c r="A488" t="n">
        <v>7.0</v>
      </c>
      <c r="B488">
        <f>IF((K488-G488-H488&gt;2400000),10,(L488/(K488-G488-H488)*100))</f>
      </c>
      <c r="C488">
        <f>IF(N488&gt;2400000,240000,(N488*S488)/100)</f>
      </c>
      <c r="D488">
        <f>IF(S488=0,0,IF((N488-I488)&gt;2400000,((((((N488-I488-J488)-240000))*0.1+(I488+J488)*0.1)))-7000,((((((N488-I488-J488)-(N488-I488-J488)*S488/100)))*0.1+(I488+J488)*0.1)-7000)))</f>
      </c>
      <c r="E488">
        <f>C488-O488</f>
      </c>
      <c r="F488">
        <f>D488-P488</f>
      </c>
      <c r="G488">
        <f>SUMIF(negtgel!U$2:BL$2,'Tsalin uzuulelt'!B$1,negtgel!U488:BL488) + SUMIF(negtgel!U$2:BL$2,'Tsalin uzuulelt'!B$2,negtgel!U488:BL488)+SUMIF(negtgel!U$2:BL$2,'Tsalin uzuulelt'!B$3,negtgel!U488:BL488)+SUMIF(negtgel!U$2:BL$2,'Tsalin uzuulelt'!B$4,negtgel!U488:BL488)+SUMIF(negtgel!U$2:BL$2,'Tsalin uzuulelt'!B$5,negtgel!U488:BL488)</f>
      </c>
      <c r="H488">
        <f>SUMIF(negtgel!U$2:BL$2,'Tsalin uzuulelt'!F$1,negtgel!U488:BL488) + SUMIF(negtgel!U$2:BL$2,'Tsalin uzuulelt'!F$2,negtgel!U488:BL488)+SUMIF(negtgel!U$2:BL$2,'Tsalin uzuulelt'!F$3,negtgel!U488:BL488)+SUMIF(negtgel!U$2:BL$2,'Tsalin uzuulelt'!F$4,negtgel!U488:BL488)+SUMIF(negtgel!U$2:BL$2,'Tsalin uzuulelt'!F$5,negtgel!U488:BL488)</f>
      </c>
      <c r="I488">
        <f>SUMIF(negtgel!U$2:BL$2,'Tsalin uzuulelt'!H$1,negtgel!U488:BL488) + SUMIF(negtgel!U$2:BL$2,'Tsalin uzuulelt'!H$2,negtgel!U488:BL488)+SUMIF(negtgel!U$2:BL$2,'Tsalin uzuulelt'!H$3,negtgel!U488:BL488)+SUMIF(negtgel!U$2:BL$2,'Tsalin uzuulelt'!H$4,negtgel!U488:BL488)+SUMIF(negtgel!U$2:BL$2,'Tsalin uzuulelt'!H$5,negtgel!U488:BL488)</f>
      </c>
      <c r="J488">
        <f>SUMIF(negtgel!U$2:BL$2,'Tsalin uzuulelt'!J$1,negtgel!U488:BL488) + SUMIF(negtgel!U$2:BL$2,'Tsalin uzuulelt'!J$2,negtgel!U488:BL488)+SUMIF(negtgel!U$2:BL$2,'Tsalin uzuulelt'!J$3,negtgel!U488:BL488)+SUMIF(negtgel!U$2:BL$2,'Tsalin uzuulelt'!J$4,negtgel!U488:BL488)+SUMIF(negtgel!U$2:BL$2,'Tsalin uzuulelt'!J$5,negtgel!U488:BL488)</f>
      </c>
      <c r="K488">
        <f>SUMIF(negtgel!U$2:BL$2,'Tsalin uzuulelt'!L$1,negtgel!U488:BL488) + SUMIF(negtgel!U$2:BL$2,'Tsalin uzuulelt'!L$2,negtgel!U488:BL488)+SUMIF(negtgel!U$2:BL$2,'Tsalin uzuulelt'!L$3,negtgel!U488:BL488)+SUMIF(negtgel!U$2:BL$2,'Tsalin uzuulelt'!L$4,negtgel!U488:BL488)+SUMIF(negtgel!U$2:BL$2,'Tsalin uzuulelt'!L$5,negtgel!U488:BL488)</f>
      </c>
      <c r="L488">
        <f>SUMIF(negtgel!U$2:BL$2,'Tsalin uzuulelt'!N$1,negtgel!U488:BL488) + SUMIF(negtgel!U$2:BL$2,'Tsalin uzuulelt'!N$2,negtgel!U488:BL488)+SUMIF(negtgel!U$2:BL$2,'Tsalin uzuulelt'!N$3,negtgel!U488:BL488)+SUMIF(negtgel!U$2:BL$2,'Tsalin uzuulelt'!N$4,negtgel!U488:BL488)+SUMIF(negtgel!U$2:BL$2,'Tsalin uzuulelt'!N$5,negtgel!U488:BL488)</f>
      </c>
      <c r="M488">
        <f>SUMIF(negtgel!U$2:BL$2,'Tsalin uzuulelt'!P$1,negtgel!U488:BL488) + SUMIF(negtgel!U$2:BL$2,'Tsalin uzuulelt'!P$2,negtgel!U488:BL488)+ SUMIF(negtgel!U$2:BL$2,'Tsalin uzuulelt'!P$3,negtgel!U488:BL488)+ SUMIF(negtgel!U$2:BL$2,'Tsalin uzuulelt'!P$4,negtgel!U488:BL488)+ SUMIF(negtgel!U$2:BL$2,'Tsalin uzuulelt'!P$5,negtgel!U488:BL488)</f>
      </c>
      <c r="N488">
        <f>IF(ISNUMBER(U488*1)=CF488,0,K488-H488-G488)</f>
      </c>
      <c r="O488">
        <f>IF(ISNUMBER(U488*1)=CF488,0,L488)</f>
      </c>
      <c r="P488">
        <f>IF(ISNUMBER(U488*1)=CF488,0,M488)</f>
      </c>
      <c r="Q488">
        <f>IF(N488&gt;2400000,N488,0)</f>
      </c>
      <c r="R488">
        <f>IF(L488/Q488*100&lt;3,2,10)</f>
      </c>
      <c r="S488">
        <f>IF(CH488=0,0,IF(B488&gt;9,10,IF(B488&gt;8,B488,IF(B488&gt;7.7,7.8,IF(B488&gt;3,B488,IF(B488&gt;1.5,2))))))</f>
      </c>
      <c r="T488">
        <f>IF(Q488=0,S488,R488)</f>
      </c>
      <c r="U488" t="n">
        <v>155.0</v>
      </c>
      <c r="V488" t="s">
        <v>3844</v>
      </c>
      <c r="W488" t="s">
        <v>3790</v>
      </c>
      <c r="X488" t="n">
        <v>677436.0</v>
      </c>
      <c r="Y488" t="n">
        <v>0.0</v>
      </c>
      <c r="Z488" t="n">
        <v>0.0</v>
      </c>
      <c r="AA488" t="n">
        <v>0.0</v>
      </c>
      <c r="AB488" t="n">
        <v>0.0</v>
      </c>
      <c r="AC488" t="n">
        <v>0.0</v>
      </c>
      <c r="AD488" t="n">
        <v>0.0</v>
      </c>
      <c r="AE488" t="n">
        <v>0.0</v>
      </c>
      <c r="AF488" t="n">
        <v>0.0</v>
      </c>
      <c r="AG488" t="n">
        <v>0.0</v>
      </c>
      <c r="AH488" t="n">
        <v>0.0</v>
      </c>
      <c r="AI488" t="n">
        <v>0.0</v>
      </c>
      <c r="AJ488" t="n">
        <v>0.0</v>
      </c>
      <c r="AK488" t="n">
        <v>0.0</v>
      </c>
      <c r="AL488" t="n">
        <v>0.0</v>
      </c>
      <c r="AM488" t="n">
        <v>0.0</v>
      </c>
      <c r="AN488" t="n">
        <v>0.0</v>
      </c>
      <c r="AO488" t="n">
        <v>0.0</v>
      </c>
      <c r="AP488" t="n">
        <v>0.0</v>
      </c>
      <c r="AQ488" t="n">
        <v>0.0</v>
      </c>
      <c r="CH488">
        <f>IFERROR(U488*1,0)</f>
      </c>
    </row>
    <row r="489">
      <c r="A489" t="n">
        <v>7.0</v>
      </c>
      <c r="B489">
        <f>IF((K489-G489-H489&gt;2400000),10,(L489/(K489-G489-H489)*100))</f>
      </c>
      <c r="C489">
        <f>IF(N489&gt;2400000,240000,(N489*S489)/100)</f>
      </c>
      <c r="D489">
        <f>IF(S489=0,0,IF((N489-I489)&gt;2400000,((((((N489-I489-J489)-240000))*0.1+(I489+J489)*0.1)))-7000,((((((N489-I489-J489)-(N489-I489-J489)*S489/100)))*0.1+(I489+J489)*0.1)-7000)))</f>
      </c>
      <c r="E489">
        <f>C489-O489</f>
      </c>
      <c r="F489">
        <f>D489-P489</f>
      </c>
      <c r="G489">
        <f>SUMIF(negtgel!U$2:BL$2,'Tsalin uzuulelt'!B$1,negtgel!U489:BL489) + SUMIF(negtgel!U$2:BL$2,'Tsalin uzuulelt'!B$2,negtgel!U489:BL489)+SUMIF(negtgel!U$2:BL$2,'Tsalin uzuulelt'!B$3,negtgel!U489:BL489)+SUMIF(negtgel!U$2:BL$2,'Tsalin uzuulelt'!B$4,negtgel!U489:BL489)+SUMIF(negtgel!U$2:BL$2,'Tsalin uzuulelt'!B$5,negtgel!U489:BL489)</f>
      </c>
      <c r="H489">
        <f>SUMIF(negtgel!U$2:BL$2,'Tsalin uzuulelt'!F$1,negtgel!U489:BL489) + SUMIF(negtgel!U$2:BL$2,'Tsalin uzuulelt'!F$2,negtgel!U489:BL489)+SUMIF(negtgel!U$2:BL$2,'Tsalin uzuulelt'!F$3,negtgel!U489:BL489)+SUMIF(negtgel!U$2:BL$2,'Tsalin uzuulelt'!F$4,negtgel!U489:BL489)+SUMIF(negtgel!U$2:BL$2,'Tsalin uzuulelt'!F$5,negtgel!U489:BL489)</f>
      </c>
      <c r="I489">
        <f>SUMIF(negtgel!U$2:BL$2,'Tsalin uzuulelt'!H$1,negtgel!U489:BL489) + SUMIF(negtgel!U$2:BL$2,'Tsalin uzuulelt'!H$2,negtgel!U489:BL489)+SUMIF(negtgel!U$2:BL$2,'Tsalin uzuulelt'!H$3,negtgel!U489:BL489)+SUMIF(negtgel!U$2:BL$2,'Tsalin uzuulelt'!H$4,negtgel!U489:BL489)+SUMIF(negtgel!U$2:BL$2,'Tsalin uzuulelt'!H$5,negtgel!U489:BL489)</f>
      </c>
      <c r="J489">
        <f>SUMIF(negtgel!U$2:BL$2,'Tsalin uzuulelt'!J$1,negtgel!U489:BL489) + SUMIF(negtgel!U$2:BL$2,'Tsalin uzuulelt'!J$2,negtgel!U489:BL489)+SUMIF(negtgel!U$2:BL$2,'Tsalin uzuulelt'!J$3,negtgel!U489:BL489)+SUMIF(negtgel!U$2:BL$2,'Tsalin uzuulelt'!J$4,negtgel!U489:BL489)+SUMIF(negtgel!U$2:BL$2,'Tsalin uzuulelt'!J$5,negtgel!U489:BL489)</f>
      </c>
      <c r="K489">
        <f>SUMIF(negtgel!U$2:BL$2,'Tsalin uzuulelt'!L$1,negtgel!U489:BL489) + SUMIF(negtgel!U$2:BL$2,'Tsalin uzuulelt'!L$2,negtgel!U489:BL489)+SUMIF(negtgel!U$2:BL$2,'Tsalin uzuulelt'!L$3,negtgel!U489:BL489)+SUMIF(negtgel!U$2:BL$2,'Tsalin uzuulelt'!L$4,negtgel!U489:BL489)+SUMIF(negtgel!U$2:BL$2,'Tsalin uzuulelt'!L$5,negtgel!U489:BL489)</f>
      </c>
      <c r="L489">
        <f>SUMIF(negtgel!U$2:BL$2,'Tsalin uzuulelt'!N$1,negtgel!U489:BL489) + SUMIF(negtgel!U$2:BL$2,'Tsalin uzuulelt'!N$2,negtgel!U489:BL489)+SUMIF(negtgel!U$2:BL$2,'Tsalin uzuulelt'!N$3,negtgel!U489:BL489)+SUMIF(negtgel!U$2:BL$2,'Tsalin uzuulelt'!N$4,negtgel!U489:BL489)+SUMIF(negtgel!U$2:BL$2,'Tsalin uzuulelt'!N$5,negtgel!U489:BL489)</f>
      </c>
      <c r="M489">
        <f>SUMIF(negtgel!U$2:BL$2,'Tsalin uzuulelt'!P$1,negtgel!U489:BL489) + SUMIF(negtgel!U$2:BL$2,'Tsalin uzuulelt'!P$2,negtgel!U489:BL489)+ SUMIF(negtgel!U$2:BL$2,'Tsalin uzuulelt'!P$3,negtgel!U489:BL489)+ SUMIF(negtgel!U$2:BL$2,'Tsalin uzuulelt'!P$4,negtgel!U489:BL489)+ SUMIF(negtgel!U$2:BL$2,'Tsalin uzuulelt'!P$5,negtgel!U489:BL489)</f>
      </c>
      <c r="N489">
        <f>IF(ISNUMBER(U489*1)=CF489,0,K489-H489-G489)</f>
      </c>
      <c r="O489">
        <f>IF(ISNUMBER(U489*1)=CF489,0,L489)</f>
      </c>
      <c r="P489">
        <f>IF(ISNUMBER(U489*1)=CF489,0,M489)</f>
      </c>
      <c r="Q489">
        <f>IF(N489&gt;2400000,N489,0)</f>
      </c>
      <c r="R489">
        <f>IF(L489/Q489*100&lt;3,2,10)</f>
      </c>
      <c r="S489">
        <f>IF(CH489=0,0,IF(B489&gt;9,10,IF(B489&gt;8,B489,IF(B489&gt;7.7,7.8,IF(B489&gt;3,B489,IF(B489&gt;1.5,2))))))</f>
      </c>
      <c r="T489">
        <f>IF(Q489=0,S489,R489)</f>
      </c>
      <c r="U489" t="n">
        <v>156.0</v>
      </c>
      <c r="V489" t="s">
        <v>3845</v>
      </c>
      <c r="W489" t="s">
        <v>3790</v>
      </c>
      <c r="X489" t="n">
        <v>677436.0</v>
      </c>
      <c r="Y489" t="n">
        <v>0.0</v>
      </c>
      <c r="Z489" t="n">
        <v>0.0</v>
      </c>
      <c r="AA489" t="n">
        <v>0.0</v>
      </c>
      <c r="AB489" t="n">
        <v>0.0</v>
      </c>
      <c r="AC489" t="n">
        <v>0.0</v>
      </c>
      <c r="AD489" t="n">
        <v>0.0</v>
      </c>
      <c r="AE489" t="n">
        <v>0.0</v>
      </c>
      <c r="AF489" t="n">
        <v>0.0</v>
      </c>
      <c r="AG489" t="n">
        <v>0.0</v>
      </c>
      <c r="AH489" t="n">
        <v>0.0</v>
      </c>
      <c r="AI489" t="n">
        <v>0.0</v>
      </c>
      <c r="AJ489" t="n">
        <v>0.0</v>
      </c>
      <c r="AK489" t="n">
        <v>0.0</v>
      </c>
      <c r="AL489" t="n">
        <v>0.0</v>
      </c>
      <c r="AM489" t="n">
        <v>0.0</v>
      </c>
      <c r="AN489" t="n">
        <v>0.0</v>
      </c>
      <c r="AO489" t="n">
        <v>0.0</v>
      </c>
      <c r="AP489" t="n">
        <v>0.0</v>
      </c>
      <c r="AQ489" t="n">
        <v>0.0</v>
      </c>
      <c r="CH489">
        <f>IFERROR(U489*1,0)</f>
      </c>
    </row>
    <row r="490">
      <c r="A490" t="n">
        <v>7.0</v>
      </c>
      <c r="B490">
        <f>IF((K490-G490-H490&gt;2400000),10,(L490/(K490-G490-H490)*100))</f>
      </c>
      <c r="C490">
        <f>IF(N490&gt;2400000,240000,(N490*S490)/100)</f>
      </c>
      <c r="D490">
        <f>IF(S490=0,0,IF((N490-I490)&gt;2400000,((((((N490-I490-J490)-240000))*0.1+(I490+J490)*0.1)))-7000,((((((N490-I490-J490)-(N490-I490-J490)*S490/100)))*0.1+(I490+J490)*0.1)-7000)))</f>
      </c>
      <c r="E490">
        <f>C490-O490</f>
      </c>
      <c r="F490">
        <f>D490-P490</f>
      </c>
      <c r="G490">
        <f>SUMIF(negtgel!U$2:BL$2,'Tsalin uzuulelt'!B$1,negtgel!U490:BL490) + SUMIF(negtgel!U$2:BL$2,'Tsalin uzuulelt'!B$2,negtgel!U490:BL490)+SUMIF(negtgel!U$2:BL$2,'Tsalin uzuulelt'!B$3,negtgel!U490:BL490)+SUMIF(negtgel!U$2:BL$2,'Tsalin uzuulelt'!B$4,negtgel!U490:BL490)+SUMIF(negtgel!U$2:BL$2,'Tsalin uzuulelt'!B$5,negtgel!U490:BL490)</f>
      </c>
      <c r="H490">
        <f>SUMIF(negtgel!U$2:BL$2,'Tsalin uzuulelt'!F$1,negtgel!U490:BL490) + SUMIF(negtgel!U$2:BL$2,'Tsalin uzuulelt'!F$2,negtgel!U490:BL490)+SUMIF(negtgel!U$2:BL$2,'Tsalin uzuulelt'!F$3,negtgel!U490:BL490)+SUMIF(negtgel!U$2:BL$2,'Tsalin uzuulelt'!F$4,negtgel!U490:BL490)+SUMIF(negtgel!U$2:BL$2,'Tsalin uzuulelt'!F$5,negtgel!U490:BL490)</f>
      </c>
      <c r="I490">
        <f>SUMIF(negtgel!U$2:BL$2,'Tsalin uzuulelt'!H$1,negtgel!U490:BL490) + SUMIF(negtgel!U$2:BL$2,'Tsalin uzuulelt'!H$2,negtgel!U490:BL490)+SUMIF(negtgel!U$2:BL$2,'Tsalin uzuulelt'!H$3,negtgel!U490:BL490)+SUMIF(negtgel!U$2:BL$2,'Tsalin uzuulelt'!H$4,negtgel!U490:BL490)+SUMIF(negtgel!U$2:BL$2,'Tsalin uzuulelt'!H$5,negtgel!U490:BL490)</f>
      </c>
      <c r="J490">
        <f>SUMIF(negtgel!U$2:BL$2,'Tsalin uzuulelt'!J$1,negtgel!U490:BL490) + SUMIF(negtgel!U$2:BL$2,'Tsalin uzuulelt'!J$2,negtgel!U490:BL490)+SUMIF(negtgel!U$2:BL$2,'Tsalin uzuulelt'!J$3,negtgel!U490:BL490)+SUMIF(negtgel!U$2:BL$2,'Tsalin uzuulelt'!J$4,negtgel!U490:BL490)+SUMIF(negtgel!U$2:BL$2,'Tsalin uzuulelt'!J$5,negtgel!U490:BL490)</f>
      </c>
      <c r="K490">
        <f>SUMIF(negtgel!U$2:BL$2,'Tsalin uzuulelt'!L$1,negtgel!U490:BL490) + SUMIF(negtgel!U$2:BL$2,'Tsalin uzuulelt'!L$2,negtgel!U490:BL490)+SUMIF(negtgel!U$2:BL$2,'Tsalin uzuulelt'!L$3,negtgel!U490:BL490)+SUMIF(negtgel!U$2:BL$2,'Tsalin uzuulelt'!L$4,negtgel!U490:BL490)+SUMIF(negtgel!U$2:BL$2,'Tsalin uzuulelt'!L$5,negtgel!U490:BL490)</f>
      </c>
      <c r="L490">
        <f>SUMIF(negtgel!U$2:BL$2,'Tsalin uzuulelt'!N$1,negtgel!U490:BL490) + SUMIF(negtgel!U$2:BL$2,'Tsalin uzuulelt'!N$2,negtgel!U490:BL490)+SUMIF(negtgel!U$2:BL$2,'Tsalin uzuulelt'!N$3,negtgel!U490:BL490)+SUMIF(negtgel!U$2:BL$2,'Tsalin uzuulelt'!N$4,negtgel!U490:BL490)+SUMIF(negtgel!U$2:BL$2,'Tsalin uzuulelt'!N$5,negtgel!U490:BL490)</f>
      </c>
      <c r="M490">
        <f>SUMIF(negtgel!U$2:BL$2,'Tsalin uzuulelt'!P$1,negtgel!U490:BL490) + SUMIF(negtgel!U$2:BL$2,'Tsalin uzuulelt'!P$2,negtgel!U490:BL490)+ SUMIF(negtgel!U$2:BL$2,'Tsalin uzuulelt'!P$3,negtgel!U490:BL490)+ SUMIF(negtgel!U$2:BL$2,'Tsalin uzuulelt'!P$4,negtgel!U490:BL490)+ SUMIF(negtgel!U$2:BL$2,'Tsalin uzuulelt'!P$5,negtgel!U490:BL490)</f>
      </c>
      <c r="N490">
        <f>IF(ISNUMBER(U490*1)=CF490,0,K490-H490-G490)</f>
      </c>
      <c r="O490">
        <f>IF(ISNUMBER(U490*1)=CF490,0,L490)</f>
      </c>
      <c r="P490">
        <f>IF(ISNUMBER(U490*1)=CF490,0,M490)</f>
      </c>
      <c r="Q490">
        <f>IF(N490&gt;2400000,N490,0)</f>
      </c>
      <c r="R490">
        <f>IF(L490/Q490*100&lt;3,2,10)</f>
      </c>
      <c r="S490">
        <f>IF(CH490=0,0,IF(B490&gt;9,10,IF(B490&gt;8,B490,IF(B490&gt;7.7,7.8,IF(B490&gt;3,B490,IF(B490&gt;1.5,2))))))</f>
      </c>
      <c r="T490">
        <f>IF(Q490=0,S490,R490)</f>
      </c>
      <c r="U490" t="n">
        <v>157.0</v>
      </c>
      <c r="V490" t="s">
        <v>3846</v>
      </c>
      <c r="W490" t="s">
        <v>3790</v>
      </c>
      <c r="X490" t="n">
        <v>645556.0</v>
      </c>
      <c r="Y490" t="n">
        <v>0.0</v>
      </c>
      <c r="Z490" t="n">
        <v>0.0</v>
      </c>
      <c r="AA490" t="n">
        <v>0.0</v>
      </c>
      <c r="AB490" t="n">
        <v>0.0</v>
      </c>
      <c r="AC490" t="n">
        <v>0.0</v>
      </c>
      <c r="AD490" t="n">
        <v>0.0</v>
      </c>
      <c r="AE490" t="n">
        <v>0.0</v>
      </c>
      <c r="AF490" t="n">
        <v>0.0</v>
      </c>
      <c r="AG490" t="n">
        <v>0.0</v>
      </c>
      <c r="AH490" t="n">
        <v>0.0</v>
      </c>
      <c r="AI490" t="n">
        <v>0.0</v>
      </c>
      <c r="AJ490" t="n">
        <v>0.0</v>
      </c>
      <c r="AK490" t="n">
        <v>0.0</v>
      </c>
      <c r="AL490" t="n">
        <v>0.0</v>
      </c>
      <c r="AM490" t="n">
        <v>0.0</v>
      </c>
      <c r="AN490" t="n">
        <v>0.0</v>
      </c>
      <c r="AO490" t="n">
        <v>0.0</v>
      </c>
      <c r="AP490" t="n">
        <v>0.0</v>
      </c>
      <c r="AQ490" t="n">
        <v>0.0</v>
      </c>
      <c r="CH490">
        <f>IFERROR(U490*1,0)</f>
      </c>
    </row>
    <row r="493">
      <c r="A493" t="n">
        <v>8.0</v>
      </c>
      <c r="B493">
        <f>IF((K493-G493-H493&gt;2400000),10,(L493/(K493-G493-H493)*100))</f>
      </c>
      <c r="C493">
        <f>IF(N493&gt;2400000,240000,(N493*S493)/100)</f>
      </c>
      <c r="D493">
        <f>IF(S493=0,0,IF((N493-I493)&gt;2400000,((((((N493-I493-J493)-240000))*0.1+(I493+J493)*0.1)))-7000,((((((N493-I493-J493)-(N493-I493-J493)*S493/100)))*0.1+(I493+J493)*0.1)-7000)))</f>
      </c>
      <c r="E493">
        <f>C493-O493</f>
      </c>
      <c r="F493">
        <f>D493-P493</f>
      </c>
      <c r="G493">
        <f>SUMIF(negtgel!U$2:BL$2,'Tsalin uzuulelt'!B$1,negtgel!U493:BL493) + SUMIF(negtgel!U$2:BL$2,'Tsalin uzuulelt'!B$2,negtgel!U493:BL493)+SUMIF(negtgel!U$2:BL$2,'Tsalin uzuulelt'!B$3,negtgel!U493:BL493)+SUMIF(negtgel!U$2:BL$2,'Tsalin uzuulelt'!B$4,negtgel!U493:BL493)+SUMIF(negtgel!U$2:BL$2,'Tsalin uzuulelt'!B$5,negtgel!U493:BL493)</f>
      </c>
      <c r="H493">
        <f>SUMIF(negtgel!U$2:BL$2,'Tsalin uzuulelt'!F$1,negtgel!U493:BL493) + SUMIF(negtgel!U$2:BL$2,'Tsalin uzuulelt'!F$2,negtgel!U493:BL493)+SUMIF(negtgel!U$2:BL$2,'Tsalin uzuulelt'!F$3,negtgel!U493:BL493)+SUMIF(negtgel!U$2:BL$2,'Tsalin uzuulelt'!F$4,negtgel!U493:BL493)+SUMIF(negtgel!U$2:BL$2,'Tsalin uzuulelt'!F$5,negtgel!U493:BL493)</f>
      </c>
      <c r="I493">
        <f>SUMIF(negtgel!U$2:BL$2,'Tsalin uzuulelt'!H$1,negtgel!U493:BL493) + SUMIF(negtgel!U$2:BL$2,'Tsalin uzuulelt'!H$2,negtgel!U493:BL493)+SUMIF(negtgel!U$2:BL$2,'Tsalin uzuulelt'!H$3,negtgel!U493:BL493)+SUMIF(negtgel!U$2:BL$2,'Tsalin uzuulelt'!H$4,negtgel!U493:BL493)+SUMIF(negtgel!U$2:BL$2,'Tsalin uzuulelt'!H$5,negtgel!U493:BL493)</f>
      </c>
      <c r="J493">
        <f>SUMIF(negtgel!U$2:BL$2,'Tsalin uzuulelt'!J$1,negtgel!U493:BL493) + SUMIF(negtgel!U$2:BL$2,'Tsalin uzuulelt'!J$2,negtgel!U493:BL493)+SUMIF(negtgel!U$2:BL$2,'Tsalin uzuulelt'!J$3,negtgel!U493:BL493)+SUMIF(negtgel!U$2:BL$2,'Tsalin uzuulelt'!J$4,negtgel!U493:BL493)+SUMIF(negtgel!U$2:BL$2,'Tsalin uzuulelt'!J$5,negtgel!U493:BL493)</f>
      </c>
      <c r="K493">
        <f>SUMIF(negtgel!U$2:BL$2,'Tsalin uzuulelt'!L$1,negtgel!U493:BL493) + SUMIF(negtgel!U$2:BL$2,'Tsalin uzuulelt'!L$2,negtgel!U493:BL493)+SUMIF(negtgel!U$2:BL$2,'Tsalin uzuulelt'!L$3,negtgel!U493:BL493)+SUMIF(negtgel!U$2:BL$2,'Tsalin uzuulelt'!L$4,negtgel!U493:BL493)+SUMIF(negtgel!U$2:BL$2,'Tsalin uzuulelt'!L$5,negtgel!U493:BL493)</f>
      </c>
      <c r="L493">
        <f>SUMIF(negtgel!U$2:BL$2,'Tsalin uzuulelt'!N$1,negtgel!U493:BL493) + SUMIF(negtgel!U$2:BL$2,'Tsalin uzuulelt'!N$2,negtgel!U493:BL493)+SUMIF(negtgel!U$2:BL$2,'Tsalin uzuulelt'!N$3,negtgel!U493:BL493)+SUMIF(negtgel!U$2:BL$2,'Tsalin uzuulelt'!N$4,negtgel!U493:BL493)+SUMIF(negtgel!U$2:BL$2,'Tsalin uzuulelt'!N$5,negtgel!U493:BL493)</f>
      </c>
      <c r="M493">
        <f>SUMIF(negtgel!U$2:BL$2,'Tsalin uzuulelt'!P$1,negtgel!U493:BL493) + SUMIF(negtgel!U$2:BL$2,'Tsalin uzuulelt'!P$2,negtgel!U493:BL493)+ SUMIF(negtgel!U$2:BL$2,'Tsalin uzuulelt'!P$3,negtgel!U493:BL493)+ SUMIF(negtgel!U$2:BL$2,'Tsalin uzuulelt'!P$4,negtgel!U493:BL493)+ SUMIF(negtgel!U$2:BL$2,'Tsalin uzuulelt'!P$5,negtgel!U493:BL493)</f>
      </c>
      <c r="N493">
        <f>IF(ISNUMBER(U493*1)=CF493,0,K493-H493-G493)</f>
      </c>
      <c r="O493">
        <f>IF(ISNUMBER(U493*1)=CF493,0,L493)</f>
      </c>
      <c r="P493">
        <f>IF(ISNUMBER(U493*1)=CF493,0,M493)</f>
      </c>
      <c r="Q493">
        <f>IF(N493&gt;2400000,N493,0)</f>
      </c>
      <c r="R493">
        <f>IF(L493/Q493*100&lt;3,2,10)</f>
      </c>
      <c r="S493">
        <f>IF(CH493=0,0,IF(B493&gt;9,10,IF(B493&gt;8,B493,IF(B493&gt;7.7,7.8,IF(B493&gt;3,B493,IF(B493&gt;1.5,2))))))</f>
      </c>
      <c r="T493">
        <f>IF(Q493=0,S493,R493)</f>
      </c>
      <c r="U493" t="s">
        <v>3781</v>
      </c>
      <c r="V493"/>
      <c r="W493"/>
      <c r="X493"/>
      <c r="Y493"/>
      <c r="Z493"/>
      <c r="AA493"/>
      <c r="AB493"/>
      <c r="AC493"/>
      <c r="AD493"/>
      <c r="AE493"/>
      <c r="AF493"/>
      <c r="AG493"/>
      <c r="AH493"/>
      <c r="AI493"/>
      <c r="AJ493"/>
      <c r="AK493"/>
      <c r="AL493"/>
      <c r="AM493"/>
      <c r="AN493"/>
      <c r="AO493"/>
      <c r="AP493"/>
      <c r="AQ493"/>
      <c r="CH493">
        <f>IFERROR(U493*1,0)</f>
      </c>
    </row>
    <row r="494">
      <c r="A494" t="n">
        <v>8.0</v>
      </c>
      <c r="B494">
        <f>IF((K494-G494-H494&gt;2400000),10,(L494/(K494-G494-H494)*100))</f>
      </c>
      <c r="C494">
        <f>IF(N494&gt;2400000,240000,(N494*S494)/100)</f>
      </c>
      <c r="D494">
        <f>IF(S494=0,0,IF((N494-I494)&gt;2400000,((((((N494-I494-J494)-240000))*0.1+(I494+J494)*0.1)))-7000,((((((N494-I494-J494)-(N494-I494-J494)*S494/100)))*0.1+(I494+J494)*0.1)-7000)))</f>
      </c>
      <c r="E494">
        <f>C494-O494</f>
      </c>
      <c r="F494">
        <f>D494-P494</f>
      </c>
      <c r="G494">
        <f>SUMIF(negtgel!U$2:BL$2,'Tsalin uzuulelt'!B$1,negtgel!U494:BL494) + SUMIF(negtgel!U$2:BL$2,'Tsalin uzuulelt'!B$2,negtgel!U494:BL494)+SUMIF(negtgel!U$2:BL$2,'Tsalin uzuulelt'!B$3,negtgel!U494:BL494)+SUMIF(negtgel!U$2:BL$2,'Tsalin uzuulelt'!B$4,negtgel!U494:BL494)+SUMIF(negtgel!U$2:BL$2,'Tsalin uzuulelt'!B$5,negtgel!U494:BL494)</f>
      </c>
      <c r="H494">
        <f>SUMIF(negtgel!U$2:BL$2,'Tsalin uzuulelt'!F$1,negtgel!U494:BL494) + SUMIF(negtgel!U$2:BL$2,'Tsalin uzuulelt'!F$2,negtgel!U494:BL494)+SUMIF(negtgel!U$2:BL$2,'Tsalin uzuulelt'!F$3,negtgel!U494:BL494)+SUMIF(negtgel!U$2:BL$2,'Tsalin uzuulelt'!F$4,negtgel!U494:BL494)+SUMIF(negtgel!U$2:BL$2,'Tsalin uzuulelt'!F$5,negtgel!U494:BL494)</f>
      </c>
      <c r="I494">
        <f>SUMIF(negtgel!U$2:BL$2,'Tsalin uzuulelt'!H$1,negtgel!U494:BL494) + SUMIF(negtgel!U$2:BL$2,'Tsalin uzuulelt'!H$2,negtgel!U494:BL494)+SUMIF(negtgel!U$2:BL$2,'Tsalin uzuulelt'!H$3,negtgel!U494:BL494)+SUMIF(negtgel!U$2:BL$2,'Tsalin uzuulelt'!H$4,negtgel!U494:BL494)+SUMIF(negtgel!U$2:BL$2,'Tsalin uzuulelt'!H$5,negtgel!U494:BL494)</f>
      </c>
      <c r="J494">
        <f>SUMIF(negtgel!U$2:BL$2,'Tsalin uzuulelt'!J$1,negtgel!U494:BL494) + SUMIF(negtgel!U$2:BL$2,'Tsalin uzuulelt'!J$2,negtgel!U494:BL494)+SUMIF(negtgel!U$2:BL$2,'Tsalin uzuulelt'!J$3,negtgel!U494:BL494)+SUMIF(negtgel!U$2:BL$2,'Tsalin uzuulelt'!J$4,negtgel!U494:BL494)+SUMIF(negtgel!U$2:BL$2,'Tsalin uzuulelt'!J$5,negtgel!U494:BL494)</f>
      </c>
      <c r="K494">
        <f>SUMIF(negtgel!U$2:BL$2,'Tsalin uzuulelt'!L$1,negtgel!U494:BL494) + SUMIF(negtgel!U$2:BL$2,'Tsalin uzuulelt'!L$2,negtgel!U494:BL494)+SUMIF(negtgel!U$2:BL$2,'Tsalin uzuulelt'!L$3,negtgel!U494:BL494)+SUMIF(negtgel!U$2:BL$2,'Tsalin uzuulelt'!L$4,negtgel!U494:BL494)+SUMIF(negtgel!U$2:BL$2,'Tsalin uzuulelt'!L$5,negtgel!U494:BL494)</f>
      </c>
      <c r="L494">
        <f>SUMIF(negtgel!U$2:BL$2,'Tsalin uzuulelt'!N$1,negtgel!U494:BL494) + SUMIF(negtgel!U$2:BL$2,'Tsalin uzuulelt'!N$2,negtgel!U494:BL494)+SUMIF(negtgel!U$2:BL$2,'Tsalin uzuulelt'!N$3,negtgel!U494:BL494)+SUMIF(negtgel!U$2:BL$2,'Tsalin uzuulelt'!N$4,negtgel!U494:BL494)+SUMIF(negtgel!U$2:BL$2,'Tsalin uzuulelt'!N$5,negtgel!U494:BL494)</f>
      </c>
      <c r="M494">
        <f>SUMIF(negtgel!U$2:BL$2,'Tsalin uzuulelt'!P$1,negtgel!U494:BL494) + SUMIF(negtgel!U$2:BL$2,'Tsalin uzuulelt'!P$2,negtgel!U494:BL494)+ SUMIF(negtgel!U$2:BL$2,'Tsalin uzuulelt'!P$3,negtgel!U494:BL494)+ SUMIF(negtgel!U$2:BL$2,'Tsalin uzuulelt'!P$4,negtgel!U494:BL494)+ SUMIF(negtgel!U$2:BL$2,'Tsalin uzuulelt'!P$5,negtgel!U494:BL494)</f>
      </c>
      <c r="N494">
        <f>IF(ISNUMBER(U494*1)=CF494,0,K494-H494-G494)</f>
      </c>
      <c r="O494">
        <f>IF(ISNUMBER(U494*1)=CF494,0,L494)</f>
      </c>
      <c r="P494">
        <f>IF(ISNUMBER(U494*1)=CF494,0,M494)</f>
      </c>
      <c r="Q494">
        <f>IF(N494&gt;2400000,N494,0)</f>
      </c>
      <c r="R494">
        <f>IF(L494/Q494*100&lt;3,2,10)</f>
      </c>
      <c r="S494">
        <f>IF(CH494=0,0,IF(B494&gt;9,10,IF(B494&gt;8,B494,IF(B494&gt;7.7,7.8,IF(B494&gt;3,B494,IF(B494&gt;1.5,2))))))</f>
      </c>
      <c r="T494">
        <f>IF(Q494=0,S494,R494)</f>
      </c>
      <c r="U494" t="n">
        <v>20.0</v>
      </c>
      <c r="V494" t="s">
        <v>3864</v>
      </c>
      <c r="W494" t="s">
        <v>3865</v>
      </c>
      <c r="X494" t="n">
        <v>371016.0</v>
      </c>
      <c r="Y494" t="n">
        <v>371016.0</v>
      </c>
      <c r="Z494" t="n">
        <v>0.0</v>
      </c>
      <c r="AA494" t="n">
        <v>0.0</v>
      </c>
      <c r="AB494" t="n">
        <v>0.0</v>
      </c>
      <c r="AC494" t="n">
        <v>0.0</v>
      </c>
      <c r="AD494" t="n">
        <v>0.0</v>
      </c>
      <c r="AE494" t="n">
        <v>0.0</v>
      </c>
      <c r="AF494" t="n">
        <v>69000.0</v>
      </c>
      <c r="AG494" t="n">
        <v>0.0</v>
      </c>
      <c r="AH494" t="n">
        <v>0.0</v>
      </c>
      <c r="AI494" t="n">
        <v>0.0</v>
      </c>
      <c r="AJ494" t="n">
        <v>0.0</v>
      </c>
      <c r="AK494" t="n">
        <v>0.0</v>
      </c>
      <c r="AL494" t="n">
        <v>0.0</v>
      </c>
      <c r="AM494" t="n">
        <v>0.0</v>
      </c>
      <c r="AN494" t="n">
        <v>0.0</v>
      </c>
      <c r="AO494" t="n">
        <v>440016.0</v>
      </c>
      <c r="AP494" t="n">
        <v>44001.0</v>
      </c>
      <c r="AQ494" t="n">
        <v>33291.4</v>
      </c>
      <c r="CH494">
        <f>IFERROR(U494*1,0)</f>
      </c>
    </row>
    <row r="495">
      <c r="A495" t="n">
        <v>8.0</v>
      </c>
      <c r="B495">
        <f>IF((K495-G495-H495&gt;2400000),10,(L495/(K495-G495-H495)*100))</f>
      </c>
      <c r="C495">
        <f>IF(N495&gt;2400000,240000,(N495*S495)/100)</f>
      </c>
      <c r="D495">
        <f>IF(S495=0,0,IF((N495-I495)&gt;2400000,((((((N495-I495-J495)-240000))*0.1+(I495+J495)*0.1)))-7000,((((((N495-I495-J495)-(N495-I495-J495)*S495/100)))*0.1+(I495+J495)*0.1)-7000)))</f>
      </c>
      <c r="E495">
        <f>C495-O495</f>
      </c>
      <c r="F495">
        <f>D495-P495</f>
      </c>
      <c r="G495">
        <f>SUMIF(negtgel!U$2:BL$2,'Tsalin uzuulelt'!B$1,negtgel!U495:BL495) + SUMIF(negtgel!U$2:BL$2,'Tsalin uzuulelt'!B$2,negtgel!U495:BL495)+SUMIF(negtgel!U$2:BL$2,'Tsalin uzuulelt'!B$3,negtgel!U495:BL495)+SUMIF(negtgel!U$2:BL$2,'Tsalin uzuulelt'!B$4,negtgel!U495:BL495)+SUMIF(negtgel!U$2:BL$2,'Tsalin uzuulelt'!B$5,negtgel!U495:BL495)</f>
      </c>
      <c r="H495">
        <f>SUMIF(negtgel!U$2:BL$2,'Tsalin uzuulelt'!F$1,negtgel!U495:BL495) + SUMIF(negtgel!U$2:BL$2,'Tsalin uzuulelt'!F$2,negtgel!U495:BL495)+SUMIF(negtgel!U$2:BL$2,'Tsalin uzuulelt'!F$3,negtgel!U495:BL495)+SUMIF(negtgel!U$2:BL$2,'Tsalin uzuulelt'!F$4,negtgel!U495:BL495)+SUMIF(negtgel!U$2:BL$2,'Tsalin uzuulelt'!F$5,negtgel!U495:BL495)</f>
      </c>
      <c r="I495">
        <f>SUMIF(negtgel!U$2:BL$2,'Tsalin uzuulelt'!H$1,negtgel!U495:BL495) + SUMIF(negtgel!U$2:BL$2,'Tsalin uzuulelt'!H$2,negtgel!U495:BL495)+SUMIF(negtgel!U$2:BL$2,'Tsalin uzuulelt'!H$3,negtgel!U495:BL495)+SUMIF(negtgel!U$2:BL$2,'Tsalin uzuulelt'!H$4,negtgel!U495:BL495)+SUMIF(negtgel!U$2:BL$2,'Tsalin uzuulelt'!H$5,negtgel!U495:BL495)</f>
      </c>
      <c r="J495">
        <f>SUMIF(negtgel!U$2:BL$2,'Tsalin uzuulelt'!J$1,negtgel!U495:BL495) + SUMIF(negtgel!U$2:BL$2,'Tsalin uzuulelt'!J$2,negtgel!U495:BL495)+SUMIF(negtgel!U$2:BL$2,'Tsalin uzuulelt'!J$3,negtgel!U495:BL495)+SUMIF(negtgel!U$2:BL$2,'Tsalin uzuulelt'!J$4,negtgel!U495:BL495)+SUMIF(negtgel!U$2:BL$2,'Tsalin uzuulelt'!J$5,negtgel!U495:BL495)</f>
      </c>
      <c r="K495">
        <f>SUMIF(negtgel!U$2:BL$2,'Tsalin uzuulelt'!L$1,negtgel!U495:BL495) + SUMIF(negtgel!U$2:BL$2,'Tsalin uzuulelt'!L$2,negtgel!U495:BL495)+SUMIF(negtgel!U$2:BL$2,'Tsalin uzuulelt'!L$3,negtgel!U495:BL495)+SUMIF(negtgel!U$2:BL$2,'Tsalin uzuulelt'!L$4,negtgel!U495:BL495)+SUMIF(negtgel!U$2:BL$2,'Tsalin uzuulelt'!L$5,negtgel!U495:BL495)</f>
      </c>
      <c r="L495">
        <f>SUMIF(negtgel!U$2:BL$2,'Tsalin uzuulelt'!N$1,negtgel!U495:BL495) + SUMIF(negtgel!U$2:BL$2,'Tsalin uzuulelt'!N$2,negtgel!U495:BL495)+SUMIF(negtgel!U$2:BL$2,'Tsalin uzuulelt'!N$3,negtgel!U495:BL495)+SUMIF(negtgel!U$2:BL$2,'Tsalin uzuulelt'!N$4,negtgel!U495:BL495)+SUMIF(negtgel!U$2:BL$2,'Tsalin uzuulelt'!N$5,negtgel!U495:BL495)</f>
      </c>
      <c r="M495">
        <f>SUMIF(negtgel!U$2:BL$2,'Tsalin uzuulelt'!P$1,negtgel!U495:BL495) + SUMIF(negtgel!U$2:BL$2,'Tsalin uzuulelt'!P$2,negtgel!U495:BL495)+ SUMIF(negtgel!U$2:BL$2,'Tsalin uzuulelt'!P$3,negtgel!U495:BL495)+ SUMIF(negtgel!U$2:BL$2,'Tsalin uzuulelt'!P$4,negtgel!U495:BL495)+ SUMIF(negtgel!U$2:BL$2,'Tsalin uzuulelt'!P$5,negtgel!U495:BL495)</f>
      </c>
      <c r="N495">
        <f>IF(ISNUMBER(U495*1)=CF495,0,K495-H495-G495)</f>
      </c>
      <c r="O495">
        <f>IF(ISNUMBER(U495*1)=CF495,0,L495)</f>
      </c>
      <c r="P495">
        <f>IF(ISNUMBER(U495*1)=CF495,0,M495)</f>
      </c>
      <c r="Q495">
        <f>IF(N495&gt;2400000,N495,0)</f>
      </c>
      <c r="R495">
        <f>IF(L495/Q495*100&lt;3,2,10)</f>
      </c>
      <c r="S495">
        <f>IF(CH495=0,0,IF(B495&gt;9,10,IF(B495&gt;8,B495,IF(B495&gt;7.7,7.8,IF(B495&gt;3,B495,IF(B495&gt;1.5,2))))))</f>
      </c>
      <c r="T495">
        <f>IF(Q495=0,S495,R495)</f>
      </c>
      <c r="U495" t="n">
        <v>21.0</v>
      </c>
      <c r="V495" t="s">
        <v>3861</v>
      </c>
      <c r="W495" t="s">
        <v>3790</v>
      </c>
      <c r="X495" t="n">
        <v>645556.0</v>
      </c>
      <c r="Y495" t="n">
        <v>336812.0</v>
      </c>
      <c r="Z495" t="n">
        <v>50522.0</v>
      </c>
      <c r="AA495" t="n">
        <v>67362.0</v>
      </c>
      <c r="AB495" t="n">
        <v>0.0</v>
      </c>
      <c r="AC495" t="n">
        <v>50522.0</v>
      </c>
      <c r="AD495" t="n">
        <v>0.0</v>
      </c>
      <c r="AE495" t="n">
        <v>0.0</v>
      </c>
      <c r="AF495" t="n">
        <v>36000.0</v>
      </c>
      <c r="AG495" t="n">
        <v>0.0</v>
      </c>
      <c r="AH495" t="n">
        <v>0.0</v>
      </c>
      <c r="AI495" t="n">
        <v>0.0</v>
      </c>
      <c r="AJ495" t="n">
        <v>0.0</v>
      </c>
      <c r="AK495" t="n">
        <v>0.0</v>
      </c>
      <c r="AL495" t="n">
        <v>0.0</v>
      </c>
      <c r="AM495" t="n">
        <v>0.0</v>
      </c>
      <c r="AN495" t="n">
        <v>0.0</v>
      </c>
      <c r="AO495" t="n">
        <v>541218.0</v>
      </c>
      <c r="AP495" t="n">
        <v>54121.0</v>
      </c>
      <c r="AQ495" t="n">
        <v>42069.6</v>
      </c>
      <c r="CH495">
        <f>IFERROR(U495*1,0)</f>
      </c>
    </row>
    <row r="496">
      <c r="A496" t="n">
        <v>8.0</v>
      </c>
      <c r="B496">
        <f>IF((K496-G496-H496&gt;2400000),10,(L496/(K496-G496-H496)*100))</f>
      </c>
      <c r="C496">
        <f>IF(N496&gt;2400000,240000,(N496*S496)/100)</f>
      </c>
      <c r="D496">
        <f>IF(S496=0,0,IF((N496-I496)&gt;2400000,((((((N496-I496-J496)-240000))*0.1+(I496+J496)*0.1)))-7000,((((((N496-I496-J496)-(N496-I496-J496)*S496/100)))*0.1+(I496+J496)*0.1)-7000)))</f>
      </c>
      <c r="E496">
        <f>C496-O496</f>
      </c>
      <c r="F496">
        <f>D496-P496</f>
      </c>
      <c r="G496">
        <f>SUMIF(negtgel!U$2:BL$2,'Tsalin uzuulelt'!B$1,negtgel!U496:BL496) + SUMIF(negtgel!U$2:BL$2,'Tsalin uzuulelt'!B$2,negtgel!U496:BL496)+SUMIF(negtgel!U$2:BL$2,'Tsalin uzuulelt'!B$3,negtgel!U496:BL496)+SUMIF(negtgel!U$2:BL$2,'Tsalin uzuulelt'!B$4,negtgel!U496:BL496)+SUMIF(negtgel!U$2:BL$2,'Tsalin uzuulelt'!B$5,negtgel!U496:BL496)</f>
      </c>
      <c r="H496">
        <f>SUMIF(negtgel!U$2:BL$2,'Tsalin uzuulelt'!F$1,negtgel!U496:BL496) + SUMIF(negtgel!U$2:BL$2,'Tsalin uzuulelt'!F$2,negtgel!U496:BL496)+SUMIF(negtgel!U$2:BL$2,'Tsalin uzuulelt'!F$3,negtgel!U496:BL496)+SUMIF(negtgel!U$2:BL$2,'Tsalin uzuulelt'!F$4,negtgel!U496:BL496)+SUMIF(negtgel!U$2:BL$2,'Tsalin uzuulelt'!F$5,negtgel!U496:BL496)</f>
      </c>
      <c r="I496">
        <f>SUMIF(negtgel!U$2:BL$2,'Tsalin uzuulelt'!H$1,negtgel!U496:BL496) + SUMIF(negtgel!U$2:BL$2,'Tsalin uzuulelt'!H$2,negtgel!U496:BL496)+SUMIF(negtgel!U$2:BL$2,'Tsalin uzuulelt'!H$3,negtgel!U496:BL496)+SUMIF(negtgel!U$2:BL$2,'Tsalin uzuulelt'!H$4,negtgel!U496:BL496)+SUMIF(negtgel!U$2:BL$2,'Tsalin uzuulelt'!H$5,negtgel!U496:BL496)</f>
      </c>
      <c r="J496">
        <f>SUMIF(negtgel!U$2:BL$2,'Tsalin uzuulelt'!J$1,negtgel!U496:BL496) + SUMIF(negtgel!U$2:BL$2,'Tsalin uzuulelt'!J$2,negtgel!U496:BL496)+SUMIF(negtgel!U$2:BL$2,'Tsalin uzuulelt'!J$3,negtgel!U496:BL496)+SUMIF(negtgel!U$2:BL$2,'Tsalin uzuulelt'!J$4,negtgel!U496:BL496)+SUMIF(negtgel!U$2:BL$2,'Tsalin uzuulelt'!J$5,negtgel!U496:BL496)</f>
      </c>
      <c r="K496">
        <f>SUMIF(negtgel!U$2:BL$2,'Tsalin uzuulelt'!L$1,negtgel!U496:BL496) + SUMIF(negtgel!U$2:BL$2,'Tsalin uzuulelt'!L$2,negtgel!U496:BL496)+SUMIF(negtgel!U$2:BL$2,'Tsalin uzuulelt'!L$3,negtgel!U496:BL496)+SUMIF(negtgel!U$2:BL$2,'Tsalin uzuulelt'!L$4,negtgel!U496:BL496)+SUMIF(negtgel!U$2:BL$2,'Tsalin uzuulelt'!L$5,negtgel!U496:BL496)</f>
      </c>
      <c r="L496">
        <f>SUMIF(negtgel!U$2:BL$2,'Tsalin uzuulelt'!N$1,negtgel!U496:BL496) + SUMIF(negtgel!U$2:BL$2,'Tsalin uzuulelt'!N$2,negtgel!U496:BL496)+SUMIF(negtgel!U$2:BL$2,'Tsalin uzuulelt'!N$3,negtgel!U496:BL496)+SUMIF(negtgel!U$2:BL$2,'Tsalin uzuulelt'!N$4,negtgel!U496:BL496)+SUMIF(negtgel!U$2:BL$2,'Tsalin uzuulelt'!N$5,negtgel!U496:BL496)</f>
      </c>
      <c r="M496">
        <f>SUMIF(negtgel!U$2:BL$2,'Tsalin uzuulelt'!P$1,negtgel!U496:BL496) + SUMIF(negtgel!U$2:BL$2,'Tsalin uzuulelt'!P$2,negtgel!U496:BL496)+ SUMIF(negtgel!U$2:BL$2,'Tsalin uzuulelt'!P$3,negtgel!U496:BL496)+ SUMIF(negtgel!U$2:BL$2,'Tsalin uzuulelt'!P$4,negtgel!U496:BL496)+ SUMIF(negtgel!U$2:BL$2,'Tsalin uzuulelt'!P$5,negtgel!U496:BL496)</f>
      </c>
      <c r="N496">
        <f>IF(ISNUMBER(U496*1)=CF496,0,K496-H496-G496)</f>
      </c>
      <c r="O496">
        <f>IF(ISNUMBER(U496*1)=CF496,0,L496)</f>
      </c>
      <c r="P496">
        <f>IF(ISNUMBER(U496*1)=CF496,0,M496)</f>
      </c>
      <c r="Q496">
        <f>IF(N496&gt;2400000,N496,0)</f>
      </c>
      <c r="R496">
        <f>IF(L496/Q496*100&lt;3,2,10)</f>
      </c>
      <c r="S496">
        <f>IF(CH496=0,0,IF(B496&gt;9,10,IF(B496&gt;8,B496,IF(B496&gt;7.7,7.8,IF(B496&gt;3,B496,IF(B496&gt;1.5,2))))))</f>
      </c>
      <c r="T496">
        <f>IF(Q496=0,S496,R496)</f>
      </c>
      <c r="U496" t="s">
        <v>3787</v>
      </c>
      <c r="V496"/>
      <c r="W496"/>
      <c r="X496" t="n">
        <v>1.2309429E7</v>
      </c>
      <c r="Y496" t="n">
        <v>8076562.0</v>
      </c>
      <c r="Z496" t="n">
        <v>799856.0</v>
      </c>
      <c r="AA496" t="n">
        <v>937925.0</v>
      </c>
      <c r="AB496" t="n">
        <v>487136.0</v>
      </c>
      <c r="AC496" t="n">
        <v>199410.0</v>
      </c>
      <c r="AD496" t="n">
        <v>625923.0</v>
      </c>
      <c r="AE496" t="n">
        <v>422978.0</v>
      </c>
      <c r="AF496" t="n">
        <v>972000.0</v>
      </c>
      <c r="AG496" t="n">
        <v>0.0</v>
      </c>
      <c r="AH496" t="n">
        <v>0.0</v>
      </c>
      <c r="AI496" t="n">
        <v>0.0</v>
      </c>
      <c r="AJ496" t="n">
        <v>4185349.0</v>
      </c>
      <c r="AK496" t="n">
        <v>0.0</v>
      </c>
      <c r="AL496" t="n">
        <v>270555.0</v>
      </c>
      <c r="AM496" t="n">
        <v>0.0</v>
      </c>
      <c r="AN496" t="n">
        <v>0.0</v>
      </c>
      <c r="AO496" t="n">
        <v>1.7014796E7</v>
      </c>
      <c r="AP496" t="n">
        <v>1642892.0</v>
      </c>
      <c r="AQ496" t="n">
        <v>1383701.4</v>
      </c>
      <c r="CH496">
        <f>IFERROR(U496*1,0)</f>
      </c>
    </row>
    <row r="497">
      <c r="A497" t="n">
        <v>8.0</v>
      </c>
      <c r="B497">
        <f>IF((K497-G497-H497&gt;2400000),10,(L497/(K497-G497-H497)*100))</f>
      </c>
      <c r="C497">
        <f>IF(N497&gt;2400000,240000,(N497*S497)/100)</f>
      </c>
      <c r="D497">
        <f>IF(S497=0,0,IF((N497-I497)&gt;2400000,((((((N497-I497-J497)-240000))*0.1+(I497+J497)*0.1)))-7000,((((((N497-I497-J497)-(N497-I497-J497)*S497/100)))*0.1+(I497+J497)*0.1)-7000)))</f>
      </c>
      <c r="E497">
        <f>C497-O497</f>
      </c>
      <c r="F497">
        <f>D497-P497</f>
      </c>
      <c r="G497">
        <f>SUMIF(negtgel!U$2:BL$2,'Tsalin uzuulelt'!B$1,negtgel!U497:BL497) + SUMIF(negtgel!U$2:BL$2,'Tsalin uzuulelt'!B$2,negtgel!U497:BL497)+SUMIF(negtgel!U$2:BL$2,'Tsalin uzuulelt'!B$3,negtgel!U497:BL497)+SUMIF(negtgel!U$2:BL$2,'Tsalin uzuulelt'!B$4,negtgel!U497:BL497)+SUMIF(negtgel!U$2:BL$2,'Tsalin uzuulelt'!B$5,negtgel!U497:BL497)</f>
      </c>
      <c r="H497">
        <f>SUMIF(negtgel!U$2:BL$2,'Tsalin uzuulelt'!F$1,negtgel!U497:BL497) + SUMIF(negtgel!U$2:BL$2,'Tsalin uzuulelt'!F$2,negtgel!U497:BL497)+SUMIF(negtgel!U$2:BL$2,'Tsalin uzuulelt'!F$3,negtgel!U497:BL497)+SUMIF(negtgel!U$2:BL$2,'Tsalin uzuulelt'!F$4,negtgel!U497:BL497)+SUMIF(negtgel!U$2:BL$2,'Tsalin uzuulelt'!F$5,negtgel!U497:BL497)</f>
      </c>
      <c r="I497">
        <f>SUMIF(negtgel!U$2:BL$2,'Tsalin uzuulelt'!H$1,negtgel!U497:BL497) + SUMIF(negtgel!U$2:BL$2,'Tsalin uzuulelt'!H$2,negtgel!U497:BL497)+SUMIF(negtgel!U$2:BL$2,'Tsalin uzuulelt'!H$3,negtgel!U497:BL497)+SUMIF(negtgel!U$2:BL$2,'Tsalin uzuulelt'!H$4,negtgel!U497:BL497)+SUMIF(negtgel!U$2:BL$2,'Tsalin uzuulelt'!H$5,negtgel!U497:BL497)</f>
      </c>
      <c r="J497">
        <f>SUMIF(negtgel!U$2:BL$2,'Tsalin uzuulelt'!J$1,negtgel!U497:BL497) + SUMIF(negtgel!U$2:BL$2,'Tsalin uzuulelt'!J$2,negtgel!U497:BL497)+SUMIF(negtgel!U$2:BL$2,'Tsalin uzuulelt'!J$3,negtgel!U497:BL497)+SUMIF(negtgel!U$2:BL$2,'Tsalin uzuulelt'!J$4,negtgel!U497:BL497)+SUMIF(negtgel!U$2:BL$2,'Tsalin uzuulelt'!J$5,negtgel!U497:BL497)</f>
      </c>
      <c r="K497">
        <f>SUMIF(negtgel!U$2:BL$2,'Tsalin uzuulelt'!L$1,negtgel!U497:BL497) + SUMIF(negtgel!U$2:BL$2,'Tsalin uzuulelt'!L$2,negtgel!U497:BL497)+SUMIF(negtgel!U$2:BL$2,'Tsalin uzuulelt'!L$3,negtgel!U497:BL497)+SUMIF(negtgel!U$2:BL$2,'Tsalin uzuulelt'!L$4,negtgel!U497:BL497)+SUMIF(negtgel!U$2:BL$2,'Tsalin uzuulelt'!L$5,negtgel!U497:BL497)</f>
      </c>
      <c r="L497">
        <f>SUMIF(negtgel!U$2:BL$2,'Tsalin uzuulelt'!N$1,negtgel!U497:BL497) + SUMIF(negtgel!U$2:BL$2,'Tsalin uzuulelt'!N$2,negtgel!U497:BL497)+SUMIF(negtgel!U$2:BL$2,'Tsalin uzuulelt'!N$3,negtgel!U497:BL497)+SUMIF(negtgel!U$2:BL$2,'Tsalin uzuulelt'!N$4,negtgel!U497:BL497)+SUMIF(negtgel!U$2:BL$2,'Tsalin uzuulelt'!N$5,negtgel!U497:BL497)</f>
      </c>
      <c r="M497">
        <f>SUMIF(negtgel!U$2:BL$2,'Tsalin uzuulelt'!P$1,negtgel!U497:BL497) + SUMIF(negtgel!U$2:BL$2,'Tsalin uzuulelt'!P$2,negtgel!U497:BL497)+ SUMIF(negtgel!U$2:BL$2,'Tsalin uzuulelt'!P$3,negtgel!U497:BL497)+ SUMIF(negtgel!U$2:BL$2,'Tsalin uzuulelt'!P$4,negtgel!U497:BL497)+ SUMIF(negtgel!U$2:BL$2,'Tsalin uzuulelt'!P$5,negtgel!U497:BL497)</f>
      </c>
      <c r="N497">
        <f>IF(ISNUMBER(U497*1)=CF497,0,K497-H497-G497)</f>
      </c>
      <c r="O497">
        <f>IF(ISNUMBER(U497*1)=CF497,0,L497)</f>
      </c>
      <c r="P497">
        <f>IF(ISNUMBER(U497*1)=CF497,0,M497)</f>
      </c>
      <c r="Q497">
        <f>IF(N497&gt;2400000,N497,0)</f>
      </c>
      <c r="R497">
        <f>IF(L497/Q497*100&lt;3,2,10)</f>
      </c>
      <c r="S497">
        <f>IF(CH497=0,0,IF(B497&gt;9,10,IF(B497&gt;8,B497,IF(B497&gt;7.7,7.8,IF(B497&gt;3,B497,IF(B497&gt;1.5,2))))))</f>
      </c>
      <c r="T497">
        <f>IF(Q497=0,S497,R497)</f>
      </c>
      <c r="U497" t="s">
        <v>3788</v>
      </c>
      <c r="V497"/>
      <c r="W497"/>
      <c r="X497"/>
      <c r="Y497"/>
      <c r="Z497"/>
      <c r="AA497"/>
      <c r="AB497"/>
      <c r="AC497"/>
      <c r="AD497"/>
      <c r="AE497"/>
      <c r="AF497"/>
      <c r="AG497"/>
      <c r="AH497"/>
      <c r="AI497"/>
      <c r="AJ497"/>
      <c r="AK497"/>
      <c r="AL497"/>
      <c r="AM497"/>
      <c r="AN497"/>
      <c r="AO497"/>
      <c r="AP497"/>
      <c r="AQ497"/>
      <c r="CH497">
        <f>IFERROR(U497*1,0)</f>
      </c>
    </row>
    <row r="498">
      <c r="A498" t="n">
        <v>8.0</v>
      </c>
      <c r="B498">
        <f>IF((K498-G498-H498&gt;2400000),10,(L498/(K498-G498-H498)*100))</f>
      </c>
      <c r="C498">
        <f>IF(N498&gt;2400000,240000,(N498*S498)/100)</f>
      </c>
      <c r="D498">
        <f>IF(S498=0,0,IF((N498-I498)&gt;2400000,((((((N498-I498-J498)-240000))*0.1+(I498+J498)*0.1)))-7000,((((((N498-I498-J498)-(N498-I498-J498)*S498/100)))*0.1+(I498+J498)*0.1)-7000)))</f>
      </c>
      <c r="E498">
        <f>C498-O498</f>
      </c>
      <c r="F498">
        <f>D498-P498</f>
      </c>
      <c r="G498">
        <f>SUMIF(negtgel!U$2:BL$2,'Tsalin uzuulelt'!B$1,negtgel!U498:BL498) + SUMIF(negtgel!U$2:BL$2,'Tsalin uzuulelt'!B$2,negtgel!U498:BL498)+SUMIF(negtgel!U$2:BL$2,'Tsalin uzuulelt'!B$3,negtgel!U498:BL498)+SUMIF(negtgel!U$2:BL$2,'Tsalin uzuulelt'!B$4,negtgel!U498:BL498)+SUMIF(negtgel!U$2:BL$2,'Tsalin uzuulelt'!B$5,negtgel!U498:BL498)</f>
      </c>
      <c r="H498">
        <f>SUMIF(negtgel!U$2:BL$2,'Tsalin uzuulelt'!F$1,negtgel!U498:BL498) + SUMIF(negtgel!U$2:BL$2,'Tsalin uzuulelt'!F$2,negtgel!U498:BL498)+SUMIF(negtgel!U$2:BL$2,'Tsalin uzuulelt'!F$3,negtgel!U498:BL498)+SUMIF(negtgel!U$2:BL$2,'Tsalin uzuulelt'!F$4,negtgel!U498:BL498)+SUMIF(negtgel!U$2:BL$2,'Tsalin uzuulelt'!F$5,negtgel!U498:BL498)</f>
      </c>
      <c r="I498">
        <f>SUMIF(negtgel!U$2:BL$2,'Tsalin uzuulelt'!H$1,negtgel!U498:BL498) + SUMIF(negtgel!U$2:BL$2,'Tsalin uzuulelt'!H$2,negtgel!U498:BL498)+SUMIF(negtgel!U$2:BL$2,'Tsalin uzuulelt'!H$3,negtgel!U498:BL498)+SUMIF(negtgel!U$2:BL$2,'Tsalin uzuulelt'!H$4,negtgel!U498:BL498)+SUMIF(negtgel!U$2:BL$2,'Tsalin uzuulelt'!H$5,negtgel!U498:BL498)</f>
      </c>
      <c r="J498">
        <f>SUMIF(negtgel!U$2:BL$2,'Tsalin uzuulelt'!J$1,negtgel!U498:BL498) + SUMIF(negtgel!U$2:BL$2,'Tsalin uzuulelt'!J$2,negtgel!U498:BL498)+SUMIF(negtgel!U$2:BL$2,'Tsalin uzuulelt'!J$3,negtgel!U498:BL498)+SUMIF(negtgel!U$2:BL$2,'Tsalin uzuulelt'!J$4,negtgel!U498:BL498)+SUMIF(negtgel!U$2:BL$2,'Tsalin uzuulelt'!J$5,negtgel!U498:BL498)</f>
      </c>
      <c r="K498">
        <f>SUMIF(negtgel!U$2:BL$2,'Tsalin uzuulelt'!L$1,negtgel!U498:BL498) + SUMIF(negtgel!U$2:BL$2,'Tsalin uzuulelt'!L$2,negtgel!U498:BL498)+SUMIF(negtgel!U$2:BL$2,'Tsalin uzuulelt'!L$3,negtgel!U498:BL498)+SUMIF(negtgel!U$2:BL$2,'Tsalin uzuulelt'!L$4,negtgel!U498:BL498)+SUMIF(negtgel!U$2:BL$2,'Tsalin uzuulelt'!L$5,negtgel!U498:BL498)</f>
      </c>
      <c r="L498">
        <f>SUMIF(negtgel!U$2:BL$2,'Tsalin uzuulelt'!N$1,negtgel!U498:BL498) + SUMIF(negtgel!U$2:BL$2,'Tsalin uzuulelt'!N$2,negtgel!U498:BL498)+SUMIF(negtgel!U$2:BL$2,'Tsalin uzuulelt'!N$3,negtgel!U498:BL498)+SUMIF(negtgel!U$2:BL$2,'Tsalin uzuulelt'!N$4,negtgel!U498:BL498)+SUMIF(negtgel!U$2:BL$2,'Tsalin uzuulelt'!N$5,negtgel!U498:BL498)</f>
      </c>
      <c r="M498">
        <f>SUMIF(negtgel!U$2:BL$2,'Tsalin uzuulelt'!P$1,negtgel!U498:BL498) + SUMIF(negtgel!U$2:BL$2,'Tsalin uzuulelt'!P$2,negtgel!U498:BL498)+ SUMIF(negtgel!U$2:BL$2,'Tsalin uzuulelt'!P$3,negtgel!U498:BL498)+ SUMIF(negtgel!U$2:BL$2,'Tsalin uzuulelt'!P$4,negtgel!U498:BL498)+ SUMIF(negtgel!U$2:BL$2,'Tsalin uzuulelt'!P$5,negtgel!U498:BL498)</f>
      </c>
      <c r="N498">
        <f>IF(ISNUMBER(U498*1)=CF498,0,K498-H498-G498)</f>
      </c>
      <c r="O498">
        <f>IF(ISNUMBER(U498*1)=CF498,0,L498)</f>
      </c>
      <c r="P498">
        <f>IF(ISNUMBER(U498*1)=CF498,0,M498)</f>
      </c>
      <c r="Q498">
        <f>IF(N498&gt;2400000,N498,0)</f>
      </c>
      <c r="R498">
        <f>IF(L498/Q498*100&lt;3,2,10)</f>
      </c>
      <c r="S498">
        <f>IF(CH498=0,0,IF(B498&gt;9,10,IF(B498&gt;8,B498,IF(B498&gt;7.7,7.8,IF(B498&gt;3,B498,IF(B498&gt;1.5,2))))))</f>
      </c>
      <c r="T498">
        <f>IF(Q498=0,S498,R498)</f>
      </c>
      <c r="U498" t="n">
        <v>22.0</v>
      </c>
      <c r="V498" t="s">
        <v>3789</v>
      </c>
      <c r="W498" t="s">
        <v>3790</v>
      </c>
      <c r="X498" t="n">
        <v>613669.0</v>
      </c>
      <c r="Y498" t="n">
        <v>80044.0</v>
      </c>
      <c r="Z498" t="n">
        <v>8004.0</v>
      </c>
      <c r="AA498" t="n">
        <v>12007.0</v>
      </c>
      <c r="AB498" t="n">
        <v>0.0</v>
      </c>
      <c r="AC498" t="n">
        <v>0.0</v>
      </c>
      <c r="AD498" t="n">
        <v>0.0</v>
      </c>
      <c r="AE498" t="n">
        <v>0.0</v>
      </c>
      <c r="AF498" t="n">
        <v>9000.0</v>
      </c>
      <c r="AG498" t="n">
        <v>0.0</v>
      </c>
      <c r="AH498" t="n">
        <v>0.0</v>
      </c>
      <c r="AI498" t="n">
        <v>0.0</v>
      </c>
      <c r="AJ498" t="n">
        <v>786387.0</v>
      </c>
      <c r="AK498" t="n">
        <v>0.0</v>
      </c>
      <c r="AL498" t="n">
        <v>0.0</v>
      </c>
      <c r="AM498" t="n">
        <v>0.0</v>
      </c>
      <c r="AN498" t="n">
        <v>0.0</v>
      </c>
      <c r="AO498" t="n">
        <v>895442.0</v>
      </c>
      <c r="AP498" t="n">
        <v>89545.0</v>
      </c>
      <c r="AQ498" t="n">
        <v>73679.8</v>
      </c>
      <c r="CH498">
        <f>IFERROR(U498*1,0)</f>
      </c>
    </row>
    <row r="499">
      <c r="A499" t="n">
        <v>8.0</v>
      </c>
      <c r="B499">
        <f>IF((K499-G499-H499&gt;2400000),10,(L499/(K499-G499-H499)*100))</f>
      </c>
      <c r="C499">
        <f>IF(N499&gt;2400000,240000,(N499*S499)/100)</f>
      </c>
      <c r="D499">
        <f>IF(S499=0,0,IF((N499-I499)&gt;2400000,((((((N499-I499-J499)-240000))*0.1+(I499+J499)*0.1)))-7000,((((((N499-I499-J499)-(N499-I499-J499)*S499/100)))*0.1+(I499+J499)*0.1)-7000)))</f>
      </c>
      <c r="E499">
        <f>C499-O499</f>
      </c>
      <c r="F499">
        <f>D499-P499</f>
      </c>
      <c r="G499">
        <f>SUMIF(negtgel!U$2:BL$2,'Tsalin uzuulelt'!B$1,negtgel!U499:BL499) + SUMIF(negtgel!U$2:BL$2,'Tsalin uzuulelt'!B$2,negtgel!U499:BL499)+SUMIF(negtgel!U$2:BL$2,'Tsalin uzuulelt'!B$3,negtgel!U499:BL499)+SUMIF(negtgel!U$2:BL$2,'Tsalin uzuulelt'!B$4,negtgel!U499:BL499)+SUMIF(negtgel!U$2:BL$2,'Tsalin uzuulelt'!B$5,negtgel!U499:BL499)</f>
      </c>
      <c r="H499">
        <f>SUMIF(negtgel!U$2:BL$2,'Tsalin uzuulelt'!F$1,negtgel!U499:BL499) + SUMIF(negtgel!U$2:BL$2,'Tsalin uzuulelt'!F$2,negtgel!U499:BL499)+SUMIF(negtgel!U$2:BL$2,'Tsalin uzuulelt'!F$3,negtgel!U499:BL499)+SUMIF(negtgel!U$2:BL$2,'Tsalin uzuulelt'!F$4,negtgel!U499:BL499)+SUMIF(negtgel!U$2:BL$2,'Tsalin uzuulelt'!F$5,negtgel!U499:BL499)</f>
      </c>
      <c r="I499">
        <f>SUMIF(negtgel!U$2:BL$2,'Tsalin uzuulelt'!H$1,negtgel!U499:BL499) + SUMIF(negtgel!U$2:BL$2,'Tsalin uzuulelt'!H$2,negtgel!U499:BL499)+SUMIF(negtgel!U$2:BL$2,'Tsalin uzuulelt'!H$3,negtgel!U499:BL499)+SUMIF(negtgel!U$2:BL$2,'Tsalin uzuulelt'!H$4,negtgel!U499:BL499)+SUMIF(negtgel!U$2:BL$2,'Tsalin uzuulelt'!H$5,negtgel!U499:BL499)</f>
      </c>
      <c r="J499">
        <f>SUMIF(negtgel!U$2:BL$2,'Tsalin uzuulelt'!J$1,negtgel!U499:BL499) + SUMIF(negtgel!U$2:BL$2,'Tsalin uzuulelt'!J$2,negtgel!U499:BL499)+SUMIF(negtgel!U$2:BL$2,'Tsalin uzuulelt'!J$3,negtgel!U499:BL499)+SUMIF(negtgel!U$2:BL$2,'Tsalin uzuulelt'!J$4,negtgel!U499:BL499)+SUMIF(negtgel!U$2:BL$2,'Tsalin uzuulelt'!J$5,negtgel!U499:BL499)</f>
      </c>
      <c r="K499">
        <f>SUMIF(negtgel!U$2:BL$2,'Tsalin uzuulelt'!L$1,negtgel!U499:BL499) + SUMIF(negtgel!U$2:BL$2,'Tsalin uzuulelt'!L$2,negtgel!U499:BL499)+SUMIF(negtgel!U$2:BL$2,'Tsalin uzuulelt'!L$3,negtgel!U499:BL499)+SUMIF(negtgel!U$2:BL$2,'Tsalin uzuulelt'!L$4,negtgel!U499:BL499)+SUMIF(negtgel!U$2:BL$2,'Tsalin uzuulelt'!L$5,negtgel!U499:BL499)</f>
      </c>
      <c r="L499">
        <f>SUMIF(negtgel!U$2:BL$2,'Tsalin uzuulelt'!N$1,negtgel!U499:BL499) + SUMIF(negtgel!U$2:BL$2,'Tsalin uzuulelt'!N$2,negtgel!U499:BL499)+SUMIF(negtgel!U$2:BL$2,'Tsalin uzuulelt'!N$3,negtgel!U499:BL499)+SUMIF(negtgel!U$2:BL$2,'Tsalin uzuulelt'!N$4,negtgel!U499:BL499)+SUMIF(negtgel!U$2:BL$2,'Tsalin uzuulelt'!N$5,negtgel!U499:BL499)</f>
      </c>
      <c r="M499">
        <f>SUMIF(negtgel!U$2:BL$2,'Tsalin uzuulelt'!P$1,negtgel!U499:BL499) + SUMIF(negtgel!U$2:BL$2,'Tsalin uzuulelt'!P$2,negtgel!U499:BL499)+ SUMIF(negtgel!U$2:BL$2,'Tsalin uzuulelt'!P$3,negtgel!U499:BL499)+ SUMIF(negtgel!U$2:BL$2,'Tsalin uzuulelt'!P$4,negtgel!U499:BL499)+ SUMIF(negtgel!U$2:BL$2,'Tsalin uzuulelt'!P$5,negtgel!U499:BL499)</f>
      </c>
      <c r="N499">
        <f>IF(ISNUMBER(U499*1)=CF499,0,K499-H499-G499)</f>
      </c>
      <c r="O499">
        <f>IF(ISNUMBER(U499*1)=CF499,0,L499)</f>
      </c>
      <c r="P499">
        <f>IF(ISNUMBER(U499*1)=CF499,0,M499)</f>
      </c>
      <c r="Q499">
        <f>IF(N499&gt;2400000,N499,0)</f>
      </c>
      <c r="R499">
        <f>IF(L499/Q499*100&lt;3,2,10)</f>
      </c>
      <c r="S499">
        <f>IF(CH499=0,0,IF(B499&gt;9,10,IF(B499&gt;8,B499,IF(B499&gt;7.7,7.8,IF(B499&gt;3,B499,IF(B499&gt;1.5,2))))))</f>
      </c>
      <c r="T499">
        <f>IF(Q499=0,S499,R499)</f>
      </c>
      <c r="U499" t="n">
        <v>23.0</v>
      </c>
      <c r="V499" t="s">
        <v>3791</v>
      </c>
      <c r="W499" t="s">
        <v>3792</v>
      </c>
      <c r="X499" t="n">
        <v>535584.0</v>
      </c>
      <c r="Y499" t="n">
        <v>116431.0</v>
      </c>
      <c r="Z499" t="n">
        <v>0.0</v>
      </c>
      <c r="AA499" t="n">
        <v>0.0</v>
      </c>
      <c r="AB499" t="n">
        <v>0.0</v>
      </c>
      <c r="AC499" t="n">
        <v>0.0</v>
      </c>
      <c r="AD499" t="n">
        <v>0.0</v>
      </c>
      <c r="AE499" t="n">
        <v>0.0</v>
      </c>
      <c r="AF499" t="n">
        <v>15000.0</v>
      </c>
      <c r="AG499" t="n">
        <v>0.0</v>
      </c>
      <c r="AH499" t="n">
        <v>0.0</v>
      </c>
      <c r="AI499" t="n">
        <v>0.0</v>
      </c>
      <c r="AJ499" t="n">
        <v>0.0</v>
      </c>
      <c r="AK499" t="n">
        <v>0.0</v>
      </c>
      <c r="AL499" t="n">
        <v>0.0</v>
      </c>
      <c r="AM499" t="n">
        <v>0.0</v>
      </c>
      <c r="AN499" t="n">
        <v>0.0</v>
      </c>
      <c r="AO499" t="n">
        <v>131431.0</v>
      </c>
      <c r="AP499" t="n">
        <v>13143.0</v>
      </c>
      <c r="AQ499" t="n">
        <v>4978.8</v>
      </c>
      <c r="CH499">
        <f>IFERROR(U499*1,0)</f>
      </c>
    </row>
    <row r="500">
      <c r="A500" t="n">
        <v>8.0</v>
      </c>
      <c r="B500">
        <f>IF((K500-G500-H500&gt;2400000),10,(L500/(K500-G500-H500)*100))</f>
      </c>
      <c r="C500">
        <f>IF(N500&gt;2400000,240000,(N500*S500)/100)</f>
      </c>
      <c r="D500">
        <f>IF(S500=0,0,IF((N500-I500)&gt;2400000,((((((N500-I500-J500)-240000))*0.1+(I500+J500)*0.1)))-7000,((((((N500-I500-J500)-(N500-I500-J500)*S500/100)))*0.1+(I500+J500)*0.1)-7000)))</f>
      </c>
      <c r="E500">
        <f>C500-O500</f>
      </c>
      <c r="F500">
        <f>D500-P500</f>
      </c>
      <c r="G500">
        <f>SUMIF(negtgel!U$2:BL$2,'Tsalin uzuulelt'!B$1,negtgel!U500:BL500) + SUMIF(negtgel!U$2:BL$2,'Tsalin uzuulelt'!B$2,negtgel!U500:BL500)+SUMIF(negtgel!U$2:BL$2,'Tsalin uzuulelt'!B$3,negtgel!U500:BL500)+SUMIF(negtgel!U$2:BL$2,'Tsalin uzuulelt'!B$4,negtgel!U500:BL500)+SUMIF(negtgel!U$2:BL$2,'Tsalin uzuulelt'!B$5,negtgel!U500:BL500)</f>
      </c>
      <c r="H500">
        <f>SUMIF(negtgel!U$2:BL$2,'Tsalin uzuulelt'!F$1,negtgel!U500:BL500) + SUMIF(negtgel!U$2:BL$2,'Tsalin uzuulelt'!F$2,negtgel!U500:BL500)+SUMIF(negtgel!U$2:BL$2,'Tsalin uzuulelt'!F$3,negtgel!U500:BL500)+SUMIF(negtgel!U$2:BL$2,'Tsalin uzuulelt'!F$4,negtgel!U500:BL500)+SUMIF(negtgel!U$2:BL$2,'Tsalin uzuulelt'!F$5,negtgel!U500:BL500)</f>
      </c>
      <c r="I500">
        <f>SUMIF(negtgel!U$2:BL$2,'Tsalin uzuulelt'!H$1,negtgel!U500:BL500) + SUMIF(negtgel!U$2:BL$2,'Tsalin uzuulelt'!H$2,negtgel!U500:BL500)+SUMIF(negtgel!U$2:BL$2,'Tsalin uzuulelt'!H$3,negtgel!U500:BL500)+SUMIF(negtgel!U$2:BL$2,'Tsalin uzuulelt'!H$4,negtgel!U500:BL500)+SUMIF(negtgel!U$2:BL$2,'Tsalin uzuulelt'!H$5,negtgel!U500:BL500)</f>
      </c>
      <c r="J500">
        <f>SUMIF(negtgel!U$2:BL$2,'Tsalin uzuulelt'!J$1,negtgel!U500:BL500) + SUMIF(negtgel!U$2:BL$2,'Tsalin uzuulelt'!J$2,negtgel!U500:BL500)+SUMIF(negtgel!U$2:BL$2,'Tsalin uzuulelt'!J$3,negtgel!U500:BL500)+SUMIF(negtgel!U$2:BL$2,'Tsalin uzuulelt'!J$4,negtgel!U500:BL500)+SUMIF(negtgel!U$2:BL$2,'Tsalin uzuulelt'!J$5,negtgel!U500:BL500)</f>
      </c>
      <c r="K500">
        <f>SUMIF(negtgel!U$2:BL$2,'Tsalin uzuulelt'!L$1,negtgel!U500:BL500) + SUMIF(negtgel!U$2:BL$2,'Tsalin uzuulelt'!L$2,negtgel!U500:BL500)+SUMIF(negtgel!U$2:BL$2,'Tsalin uzuulelt'!L$3,negtgel!U500:BL500)+SUMIF(negtgel!U$2:BL$2,'Tsalin uzuulelt'!L$4,negtgel!U500:BL500)+SUMIF(negtgel!U$2:BL$2,'Tsalin uzuulelt'!L$5,negtgel!U500:BL500)</f>
      </c>
      <c r="L500">
        <f>SUMIF(negtgel!U$2:BL$2,'Tsalin uzuulelt'!N$1,negtgel!U500:BL500) + SUMIF(negtgel!U$2:BL$2,'Tsalin uzuulelt'!N$2,negtgel!U500:BL500)+SUMIF(negtgel!U$2:BL$2,'Tsalin uzuulelt'!N$3,negtgel!U500:BL500)+SUMIF(negtgel!U$2:BL$2,'Tsalin uzuulelt'!N$4,negtgel!U500:BL500)+SUMIF(negtgel!U$2:BL$2,'Tsalin uzuulelt'!N$5,negtgel!U500:BL500)</f>
      </c>
      <c r="M500">
        <f>SUMIF(negtgel!U$2:BL$2,'Tsalin uzuulelt'!P$1,negtgel!U500:BL500) + SUMIF(negtgel!U$2:BL$2,'Tsalin uzuulelt'!P$2,negtgel!U500:BL500)+ SUMIF(negtgel!U$2:BL$2,'Tsalin uzuulelt'!P$3,negtgel!U500:BL500)+ SUMIF(negtgel!U$2:BL$2,'Tsalin uzuulelt'!P$4,negtgel!U500:BL500)+ SUMIF(negtgel!U$2:BL$2,'Tsalin uzuulelt'!P$5,negtgel!U500:BL500)</f>
      </c>
      <c r="N500">
        <f>IF(ISNUMBER(U500*1)=CF500,0,K500-H500-G500)</f>
      </c>
      <c r="O500">
        <f>IF(ISNUMBER(U500*1)=CF500,0,L500)</f>
      </c>
      <c r="P500">
        <f>IF(ISNUMBER(U500*1)=CF500,0,M500)</f>
      </c>
      <c r="Q500">
        <f>IF(N500&gt;2400000,N500,0)</f>
      </c>
      <c r="R500">
        <f>IF(L500/Q500*100&lt;3,2,10)</f>
      </c>
      <c r="S500">
        <f>IF(CH500=0,0,IF(B500&gt;9,10,IF(B500&gt;8,B500,IF(B500&gt;7.7,7.8,IF(B500&gt;3,B500,IF(B500&gt;1.5,2))))))</f>
      </c>
      <c r="T500">
        <f>IF(Q500=0,S500,R500)</f>
      </c>
      <c r="U500" t="n">
        <v>24.0</v>
      </c>
      <c r="V500" t="s">
        <v>3793</v>
      </c>
      <c r="W500" t="s">
        <v>3790</v>
      </c>
      <c r="X500" t="n">
        <v>645556.0</v>
      </c>
      <c r="Y500" t="n">
        <v>364879.0</v>
      </c>
      <c r="Z500" t="n">
        <v>54732.0</v>
      </c>
      <c r="AA500" t="n">
        <v>0.0</v>
      </c>
      <c r="AB500" t="n">
        <v>0.0</v>
      </c>
      <c r="AC500" t="n">
        <v>0.0</v>
      </c>
      <c r="AD500" t="n">
        <v>0.0</v>
      </c>
      <c r="AE500" t="n">
        <v>0.0</v>
      </c>
      <c r="AF500" t="n">
        <v>39000.0</v>
      </c>
      <c r="AG500" t="n">
        <v>0.0</v>
      </c>
      <c r="AH500" t="n">
        <v>0.0</v>
      </c>
      <c r="AI500" t="n">
        <v>0.0</v>
      </c>
      <c r="AJ500" t="n">
        <v>0.0</v>
      </c>
      <c r="AK500" t="n">
        <v>0.0</v>
      </c>
      <c r="AL500" t="n">
        <v>0.0</v>
      </c>
      <c r="AM500" t="n">
        <v>0.0</v>
      </c>
      <c r="AN500" t="n">
        <v>0.0</v>
      </c>
      <c r="AO500" t="n">
        <v>458611.0</v>
      </c>
      <c r="AP500" t="n">
        <v>45861.0</v>
      </c>
      <c r="AQ500" t="n">
        <v>34665.0</v>
      </c>
      <c r="CH500">
        <f>IFERROR(U500*1,0)</f>
      </c>
    </row>
    <row r="501">
      <c r="A501" t="n">
        <v>8.0</v>
      </c>
      <c r="B501">
        <f>IF((K501-G501-H501&gt;2400000),10,(L501/(K501-G501-H501)*100))</f>
      </c>
      <c r="C501">
        <f>IF(N501&gt;2400000,240000,(N501*S501)/100)</f>
      </c>
      <c r="D501">
        <f>IF(S501=0,0,IF((N501-I501)&gt;2400000,((((((N501-I501-J501)-240000))*0.1+(I501+J501)*0.1)))-7000,((((((N501-I501-J501)-(N501-I501-J501)*S501/100)))*0.1+(I501+J501)*0.1)-7000)))</f>
      </c>
      <c r="E501">
        <f>C501-O501</f>
      </c>
      <c r="F501">
        <f>D501-P501</f>
      </c>
      <c r="G501">
        <f>SUMIF(negtgel!U$2:BL$2,'Tsalin uzuulelt'!B$1,negtgel!U501:BL501) + SUMIF(negtgel!U$2:BL$2,'Tsalin uzuulelt'!B$2,negtgel!U501:BL501)+SUMIF(negtgel!U$2:BL$2,'Tsalin uzuulelt'!B$3,negtgel!U501:BL501)+SUMIF(negtgel!U$2:BL$2,'Tsalin uzuulelt'!B$4,negtgel!U501:BL501)+SUMIF(negtgel!U$2:BL$2,'Tsalin uzuulelt'!B$5,negtgel!U501:BL501)</f>
      </c>
      <c r="H501">
        <f>SUMIF(negtgel!U$2:BL$2,'Tsalin uzuulelt'!F$1,negtgel!U501:BL501) + SUMIF(negtgel!U$2:BL$2,'Tsalin uzuulelt'!F$2,negtgel!U501:BL501)+SUMIF(negtgel!U$2:BL$2,'Tsalin uzuulelt'!F$3,negtgel!U501:BL501)+SUMIF(negtgel!U$2:BL$2,'Tsalin uzuulelt'!F$4,negtgel!U501:BL501)+SUMIF(negtgel!U$2:BL$2,'Tsalin uzuulelt'!F$5,negtgel!U501:BL501)</f>
      </c>
      <c r="I501">
        <f>SUMIF(negtgel!U$2:BL$2,'Tsalin uzuulelt'!H$1,negtgel!U501:BL501) + SUMIF(negtgel!U$2:BL$2,'Tsalin uzuulelt'!H$2,negtgel!U501:BL501)+SUMIF(negtgel!U$2:BL$2,'Tsalin uzuulelt'!H$3,negtgel!U501:BL501)+SUMIF(negtgel!U$2:BL$2,'Tsalin uzuulelt'!H$4,negtgel!U501:BL501)+SUMIF(negtgel!U$2:BL$2,'Tsalin uzuulelt'!H$5,negtgel!U501:BL501)</f>
      </c>
      <c r="J501">
        <f>SUMIF(negtgel!U$2:BL$2,'Tsalin uzuulelt'!J$1,negtgel!U501:BL501) + SUMIF(negtgel!U$2:BL$2,'Tsalin uzuulelt'!J$2,negtgel!U501:BL501)+SUMIF(negtgel!U$2:BL$2,'Tsalin uzuulelt'!J$3,negtgel!U501:BL501)+SUMIF(negtgel!U$2:BL$2,'Tsalin uzuulelt'!J$4,negtgel!U501:BL501)+SUMIF(negtgel!U$2:BL$2,'Tsalin uzuulelt'!J$5,negtgel!U501:BL501)</f>
      </c>
      <c r="K501">
        <f>SUMIF(negtgel!U$2:BL$2,'Tsalin uzuulelt'!L$1,negtgel!U501:BL501) + SUMIF(negtgel!U$2:BL$2,'Tsalin uzuulelt'!L$2,negtgel!U501:BL501)+SUMIF(negtgel!U$2:BL$2,'Tsalin uzuulelt'!L$3,negtgel!U501:BL501)+SUMIF(negtgel!U$2:BL$2,'Tsalin uzuulelt'!L$4,negtgel!U501:BL501)+SUMIF(negtgel!U$2:BL$2,'Tsalin uzuulelt'!L$5,negtgel!U501:BL501)</f>
      </c>
      <c r="L501">
        <f>SUMIF(negtgel!U$2:BL$2,'Tsalin uzuulelt'!N$1,negtgel!U501:BL501) + SUMIF(negtgel!U$2:BL$2,'Tsalin uzuulelt'!N$2,negtgel!U501:BL501)+SUMIF(negtgel!U$2:BL$2,'Tsalin uzuulelt'!N$3,negtgel!U501:BL501)+SUMIF(negtgel!U$2:BL$2,'Tsalin uzuulelt'!N$4,negtgel!U501:BL501)+SUMIF(negtgel!U$2:BL$2,'Tsalin uzuulelt'!N$5,negtgel!U501:BL501)</f>
      </c>
      <c r="M501">
        <f>SUMIF(negtgel!U$2:BL$2,'Tsalin uzuulelt'!P$1,negtgel!U501:BL501) + SUMIF(negtgel!U$2:BL$2,'Tsalin uzuulelt'!P$2,negtgel!U501:BL501)+ SUMIF(negtgel!U$2:BL$2,'Tsalin uzuulelt'!P$3,negtgel!U501:BL501)+ SUMIF(negtgel!U$2:BL$2,'Tsalin uzuulelt'!P$4,negtgel!U501:BL501)+ SUMIF(negtgel!U$2:BL$2,'Tsalin uzuulelt'!P$5,negtgel!U501:BL501)</f>
      </c>
      <c r="N501">
        <f>IF(ISNUMBER(U501*1)=CF501,0,K501-H501-G501)</f>
      </c>
      <c r="O501">
        <f>IF(ISNUMBER(U501*1)=CF501,0,L501)</f>
      </c>
      <c r="P501">
        <f>IF(ISNUMBER(U501*1)=CF501,0,M501)</f>
      </c>
      <c r="Q501">
        <f>IF(N501&gt;2400000,N501,0)</f>
      </c>
      <c r="R501">
        <f>IF(L501/Q501*100&lt;3,2,10)</f>
      </c>
      <c r="S501">
        <f>IF(CH501=0,0,IF(B501&gt;9,10,IF(B501&gt;8,B501,IF(B501&gt;7.7,7.8,IF(B501&gt;3,B501,IF(B501&gt;1.5,2))))))</f>
      </c>
      <c r="T501">
        <f>IF(Q501=0,S501,R501)</f>
      </c>
      <c r="U501" t="n">
        <v>25.0</v>
      </c>
      <c r="V501" t="s">
        <v>3794</v>
      </c>
      <c r="W501" t="s">
        <v>3792</v>
      </c>
      <c r="X501" t="n">
        <v>496912.0</v>
      </c>
      <c r="Y501" t="n">
        <v>194444.0</v>
      </c>
      <c r="Z501" t="n">
        <v>0.0</v>
      </c>
      <c r="AA501" t="n">
        <v>0.0</v>
      </c>
      <c r="AB501" t="n">
        <v>0.0</v>
      </c>
      <c r="AC501" t="n">
        <v>0.0</v>
      </c>
      <c r="AD501" t="n">
        <v>0.0</v>
      </c>
      <c r="AE501" t="n">
        <v>0.0</v>
      </c>
      <c r="AF501" t="n">
        <v>27000.0</v>
      </c>
      <c r="AG501" t="n">
        <v>0.0</v>
      </c>
      <c r="AH501" t="n">
        <v>0.0</v>
      </c>
      <c r="AI501" t="n">
        <v>0.0</v>
      </c>
      <c r="AJ501" t="n">
        <v>418122.0</v>
      </c>
      <c r="AK501" t="n">
        <v>0.0</v>
      </c>
      <c r="AL501" t="n">
        <v>0.0</v>
      </c>
      <c r="AM501" t="n">
        <v>0.0</v>
      </c>
      <c r="AN501" t="n">
        <v>0.0</v>
      </c>
      <c r="AO501" t="n">
        <v>639566.0</v>
      </c>
      <c r="AP501" t="n">
        <v>63957.0</v>
      </c>
      <c r="AQ501" t="n">
        <v>50830.9</v>
      </c>
      <c r="CH501">
        <f>IFERROR(U501*1,0)</f>
      </c>
    </row>
    <row r="502">
      <c r="A502" t="n">
        <v>8.0</v>
      </c>
      <c r="B502">
        <f>IF((K502-G502-H502&gt;2400000),10,(L502/(K502-G502-H502)*100))</f>
      </c>
      <c r="C502">
        <f>IF(N502&gt;2400000,240000,(N502*S502)/100)</f>
      </c>
      <c r="D502">
        <f>IF(S502=0,0,IF((N502-I502)&gt;2400000,((((((N502-I502-J502)-240000))*0.1+(I502+J502)*0.1)))-7000,((((((N502-I502-J502)-(N502-I502-J502)*S502/100)))*0.1+(I502+J502)*0.1)-7000)))</f>
      </c>
      <c r="E502">
        <f>C502-O502</f>
      </c>
      <c r="F502">
        <f>D502-P502</f>
      </c>
      <c r="G502">
        <f>SUMIF(negtgel!U$2:BL$2,'Tsalin uzuulelt'!B$1,negtgel!U502:BL502) + SUMIF(negtgel!U$2:BL$2,'Tsalin uzuulelt'!B$2,negtgel!U502:BL502)+SUMIF(negtgel!U$2:BL$2,'Tsalin uzuulelt'!B$3,negtgel!U502:BL502)+SUMIF(negtgel!U$2:BL$2,'Tsalin uzuulelt'!B$4,negtgel!U502:BL502)+SUMIF(negtgel!U$2:BL$2,'Tsalin uzuulelt'!B$5,negtgel!U502:BL502)</f>
      </c>
      <c r="H502">
        <f>SUMIF(negtgel!U$2:BL$2,'Tsalin uzuulelt'!F$1,negtgel!U502:BL502) + SUMIF(negtgel!U$2:BL$2,'Tsalin uzuulelt'!F$2,negtgel!U502:BL502)+SUMIF(negtgel!U$2:BL$2,'Tsalin uzuulelt'!F$3,negtgel!U502:BL502)+SUMIF(negtgel!U$2:BL$2,'Tsalin uzuulelt'!F$4,negtgel!U502:BL502)+SUMIF(negtgel!U$2:BL$2,'Tsalin uzuulelt'!F$5,negtgel!U502:BL502)</f>
      </c>
      <c r="I502">
        <f>SUMIF(negtgel!U$2:BL$2,'Tsalin uzuulelt'!H$1,negtgel!U502:BL502) + SUMIF(negtgel!U$2:BL$2,'Tsalin uzuulelt'!H$2,negtgel!U502:BL502)+SUMIF(negtgel!U$2:BL$2,'Tsalin uzuulelt'!H$3,negtgel!U502:BL502)+SUMIF(negtgel!U$2:BL$2,'Tsalin uzuulelt'!H$4,negtgel!U502:BL502)+SUMIF(negtgel!U$2:BL$2,'Tsalin uzuulelt'!H$5,negtgel!U502:BL502)</f>
      </c>
      <c r="J502">
        <f>SUMIF(negtgel!U$2:BL$2,'Tsalin uzuulelt'!J$1,negtgel!U502:BL502) + SUMIF(negtgel!U$2:BL$2,'Tsalin uzuulelt'!J$2,negtgel!U502:BL502)+SUMIF(negtgel!U$2:BL$2,'Tsalin uzuulelt'!J$3,negtgel!U502:BL502)+SUMIF(negtgel!U$2:BL$2,'Tsalin uzuulelt'!J$4,negtgel!U502:BL502)+SUMIF(negtgel!U$2:BL$2,'Tsalin uzuulelt'!J$5,negtgel!U502:BL502)</f>
      </c>
      <c r="K502">
        <f>SUMIF(negtgel!U$2:BL$2,'Tsalin uzuulelt'!L$1,negtgel!U502:BL502) + SUMIF(negtgel!U$2:BL$2,'Tsalin uzuulelt'!L$2,negtgel!U502:BL502)+SUMIF(negtgel!U$2:BL$2,'Tsalin uzuulelt'!L$3,negtgel!U502:BL502)+SUMIF(negtgel!U$2:BL$2,'Tsalin uzuulelt'!L$4,negtgel!U502:BL502)+SUMIF(negtgel!U$2:BL$2,'Tsalin uzuulelt'!L$5,negtgel!U502:BL502)</f>
      </c>
      <c r="L502">
        <f>SUMIF(negtgel!U$2:BL$2,'Tsalin uzuulelt'!N$1,negtgel!U502:BL502) + SUMIF(negtgel!U$2:BL$2,'Tsalin uzuulelt'!N$2,negtgel!U502:BL502)+SUMIF(negtgel!U$2:BL$2,'Tsalin uzuulelt'!N$3,negtgel!U502:BL502)+SUMIF(negtgel!U$2:BL$2,'Tsalin uzuulelt'!N$4,negtgel!U502:BL502)+SUMIF(negtgel!U$2:BL$2,'Tsalin uzuulelt'!N$5,negtgel!U502:BL502)</f>
      </c>
      <c r="M502">
        <f>SUMIF(negtgel!U$2:BL$2,'Tsalin uzuulelt'!P$1,negtgel!U502:BL502) + SUMIF(negtgel!U$2:BL$2,'Tsalin uzuulelt'!P$2,negtgel!U502:BL502)+ SUMIF(negtgel!U$2:BL$2,'Tsalin uzuulelt'!P$3,negtgel!U502:BL502)+ SUMIF(negtgel!U$2:BL$2,'Tsalin uzuulelt'!P$4,negtgel!U502:BL502)+ SUMIF(negtgel!U$2:BL$2,'Tsalin uzuulelt'!P$5,negtgel!U502:BL502)</f>
      </c>
      <c r="N502">
        <f>IF(ISNUMBER(U502*1)=CF502,0,K502-H502-G502)</f>
      </c>
      <c r="O502">
        <f>IF(ISNUMBER(U502*1)=CF502,0,L502)</f>
      </c>
      <c r="P502">
        <f>IF(ISNUMBER(U502*1)=CF502,0,M502)</f>
      </c>
      <c r="Q502">
        <f>IF(N502&gt;2400000,N502,0)</f>
      </c>
      <c r="R502">
        <f>IF(L502/Q502*100&lt;3,2,10)</f>
      </c>
      <c r="S502">
        <f>IF(CH502=0,0,IF(B502&gt;9,10,IF(B502&gt;8,B502,IF(B502&gt;7.7,7.8,IF(B502&gt;3,B502,IF(B502&gt;1.5,2))))))</f>
      </c>
      <c r="T502">
        <f>IF(Q502=0,S502,R502)</f>
      </c>
      <c r="U502" t="n">
        <v>26.0</v>
      </c>
      <c r="V502" t="s">
        <v>3850</v>
      </c>
      <c r="W502" t="s">
        <v>3790</v>
      </c>
      <c r="X502" t="n">
        <v>547759.0</v>
      </c>
      <c r="Y502" t="n">
        <v>119078.0</v>
      </c>
      <c r="Z502" t="n">
        <v>0.0</v>
      </c>
      <c r="AA502" t="n">
        <v>0.0</v>
      </c>
      <c r="AB502" t="n">
        <v>0.0</v>
      </c>
      <c r="AC502" t="n">
        <v>0.0</v>
      </c>
      <c r="AD502" t="n">
        <v>0.0</v>
      </c>
      <c r="AE502" t="n">
        <v>0.0</v>
      </c>
      <c r="AF502" t="n">
        <v>15000.0</v>
      </c>
      <c r="AG502" t="n">
        <v>0.0</v>
      </c>
      <c r="AH502" t="n">
        <v>0.0</v>
      </c>
      <c r="AI502" t="n">
        <v>0.0</v>
      </c>
      <c r="AJ502" t="n">
        <v>520565.0</v>
      </c>
      <c r="AK502" t="n">
        <v>0.0</v>
      </c>
      <c r="AL502" t="n">
        <v>0.0</v>
      </c>
      <c r="AM502" t="n">
        <v>0.0</v>
      </c>
      <c r="AN502" t="n">
        <v>0.0</v>
      </c>
      <c r="AO502" t="n">
        <v>654643.0</v>
      </c>
      <c r="AP502" t="n">
        <v>65464.0</v>
      </c>
      <c r="AQ502" t="n">
        <v>52067.9</v>
      </c>
      <c r="CH502">
        <f>IFERROR(U502*1,0)</f>
      </c>
    </row>
    <row r="503">
      <c r="A503" t="n">
        <v>8.0</v>
      </c>
      <c r="B503">
        <f>IF((K503-G503-H503&gt;2400000),10,(L503/(K503-G503-H503)*100))</f>
      </c>
      <c r="C503">
        <f>IF(N503&gt;2400000,240000,(N503*S503)/100)</f>
      </c>
      <c r="D503">
        <f>IF(S503=0,0,IF((N503-I503)&gt;2400000,((((((N503-I503-J503)-240000))*0.1+(I503+J503)*0.1)))-7000,((((((N503-I503-J503)-(N503-I503-J503)*S503/100)))*0.1+(I503+J503)*0.1)-7000)))</f>
      </c>
      <c r="E503">
        <f>C503-O503</f>
      </c>
      <c r="F503">
        <f>D503-P503</f>
      </c>
      <c r="G503">
        <f>SUMIF(negtgel!U$2:BL$2,'Tsalin uzuulelt'!B$1,negtgel!U503:BL503) + SUMIF(negtgel!U$2:BL$2,'Tsalin uzuulelt'!B$2,negtgel!U503:BL503)+SUMIF(negtgel!U$2:BL$2,'Tsalin uzuulelt'!B$3,negtgel!U503:BL503)+SUMIF(negtgel!U$2:BL$2,'Tsalin uzuulelt'!B$4,negtgel!U503:BL503)+SUMIF(negtgel!U$2:BL$2,'Tsalin uzuulelt'!B$5,negtgel!U503:BL503)</f>
      </c>
      <c r="H503">
        <f>SUMIF(negtgel!U$2:BL$2,'Tsalin uzuulelt'!F$1,negtgel!U503:BL503) + SUMIF(negtgel!U$2:BL$2,'Tsalin uzuulelt'!F$2,negtgel!U503:BL503)+SUMIF(negtgel!U$2:BL$2,'Tsalin uzuulelt'!F$3,negtgel!U503:BL503)+SUMIF(negtgel!U$2:BL$2,'Tsalin uzuulelt'!F$4,negtgel!U503:BL503)+SUMIF(negtgel!U$2:BL$2,'Tsalin uzuulelt'!F$5,negtgel!U503:BL503)</f>
      </c>
      <c r="I503">
        <f>SUMIF(negtgel!U$2:BL$2,'Tsalin uzuulelt'!H$1,negtgel!U503:BL503) + SUMIF(negtgel!U$2:BL$2,'Tsalin uzuulelt'!H$2,negtgel!U503:BL503)+SUMIF(negtgel!U$2:BL$2,'Tsalin uzuulelt'!H$3,negtgel!U503:BL503)+SUMIF(negtgel!U$2:BL$2,'Tsalin uzuulelt'!H$4,negtgel!U503:BL503)+SUMIF(negtgel!U$2:BL$2,'Tsalin uzuulelt'!H$5,negtgel!U503:BL503)</f>
      </c>
      <c r="J503">
        <f>SUMIF(negtgel!U$2:BL$2,'Tsalin uzuulelt'!J$1,negtgel!U503:BL503) + SUMIF(negtgel!U$2:BL$2,'Tsalin uzuulelt'!J$2,negtgel!U503:BL503)+SUMIF(negtgel!U$2:BL$2,'Tsalin uzuulelt'!J$3,negtgel!U503:BL503)+SUMIF(negtgel!U$2:BL$2,'Tsalin uzuulelt'!J$4,negtgel!U503:BL503)+SUMIF(negtgel!U$2:BL$2,'Tsalin uzuulelt'!J$5,negtgel!U503:BL503)</f>
      </c>
      <c r="K503">
        <f>SUMIF(negtgel!U$2:BL$2,'Tsalin uzuulelt'!L$1,negtgel!U503:BL503) + SUMIF(negtgel!U$2:BL$2,'Tsalin uzuulelt'!L$2,negtgel!U503:BL503)+SUMIF(negtgel!U$2:BL$2,'Tsalin uzuulelt'!L$3,negtgel!U503:BL503)+SUMIF(negtgel!U$2:BL$2,'Tsalin uzuulelt'!L$4,negtgel!U503:BL503)+SUMIF(negtgel!U$2:BL$2,'Tsalin uzuulelt'!L$5,negtgel!U503:BL503)</f>
      </c>
      <c r="L503">
        <f>SUMIF(negtgel!U$2:BL$2,'Tsalin uzuulelt'!N$1,negtgel!U503:BL503) + SUMIF(negtgel!U$2:BL$2,'Tsalin uzuulelt'!N$2,negtgel!U503:BL503)+SUMIF(negtgel!U$2:BL$2,'Tsalin uzuulelt'!N$3,negtgel!U503:BL503)+SUMIF(negtgel!U$2:BL$2,'Tsalin uzuulelt'!N$4,negtgel!U503:BL503)+SUMIF(negtgel!U$2:BL$2,'Tsalin uzuulelt'!N$5,negtgel!U503:BL503)</f>
      </c>
      <c r="M503">
        <f>SUMIF(negtgel!U$2:BL$2,'Tsalin uzuulelt'!P$1,negtgel!U503:BL503) + SUMIF(negtgel!U$2:BL$2,'Tsalin uzuulelt'!P$2,negtgel!U503:BL503)+ SUMIF(negtgel!U$2:BL$2,'Tsalin uzuulelt'!P$3,negtgel!U503:BL503)+ SUMIF(negtgel!U$2:BL$2,'Tsalin uzuulelt'!P$4,negtgel!U503:BL503)+ SUMIF(negtgel!U$2:BL$2,'Tsalin uzuulelt'!P$5,negtgel!U503:BL503)</f>
      </c>
      <c r="N503">
        <f>IF(ISNUMBER(U503*1)=CF503,0,K503-H503-G503)</f>
      </c>
      <c r="O503">
        <f>IF(ISNUMBER(U503*1)=CF503,0,L503)</f>
      </c>
      <c r="P503">
        <f>IF(ISNUMBER(U503*1)=CF503,0,M503)</f>
      </c>
      <c r="Q503">
        <f>IF(N503&gt;2400000,N503,0)</f>
      </c>
      <c r="R503">
        <f>IF(L503/Q503*100&lt;3,2,10)</f>
      </c>
      <c r="S503">
        <f>IF(CH503=0,0,IF(B503&gt;9,10,IF(B503&gt;8,B503,IF(B503&gt;7.7,7.8,IF(B503&gt;3,B503,IF(B503&gt;1.5,2))))))</f>
      </c>
      <c r="T503">
        <f>IF(Q503=0,S503,R503)</f>
      </c>
      <c r="U503" t="n">
        <v>49.0</v>
      </c>
      <c r="V503" t="s">
        <v>3877</v>
      </c>
      <c r="W503" t="s">
        <v>3790</v>
      </c>
      <c r="X503" t="n">
        <v>613669.0</v>
      </c>
      <c r="Y503" t="n">
        <v>133406.0</v>
      </c>
      <c r="Z503" t="n">
        <v>0.0</v>
      </c>
      <c r="AA503" t="n">
        <v>0.0</v>
      </c>
      <c r="AB503" t="n">
        <v>0.0</v>
      </c>
      <c r="AC503" t="n">
        <v>0.0</v>
      </c>
      <c r="AD503" t="n">
        <v>0.0</v>
      </c>
      <c r="AE503" t="n">
        <v>0.0</v>
      </c>
      <c r="AF503" t="n">
        <v>15000.0</v>
      </c>
      <c r="AG503" t="n">
        <v>0.0</v>
      </c>
      <c r="AH503" t="n">
        <v>0.0</v>
      </c>
      <c r="AI503" t="n">
        <v>0.0</v>
      </c>
      <c r="AJ503" t="n">
        <v>534475.0</v>
      </c>
      <c r="AK503" t="n">
        <v>0.0</v>
      </c>
      <c r="AL503" t="n">
        <v>0.0</v>
      </c>
      <c r="AM503" t="n">
        <v>0.0</v>
      </c>
      <c r="AN503" t="n">
        <v>0.0</v>
      </c>
      <c r="AO503" t="n">
        <v>682881.0</v>
      </c>
      <c r="AP503" t="n">
        <v>68289.0</v>
      </c>
      <c r="AQ503" t="n">
        <v>54609.3</v>
      </c>
      <c r="CH503">
        <f>IFERROR(U503*1,0)</f>
      </c>
    </row>
    <row r="504">
      <c r="A504" t="n">
        <v>8.0</v>
      </c>
      <c r="B504">
        <f>IF((K504-G504-H504&gt;2400000),10,(L504/(K504-G504-H504)*100))</f>
      </c>
      <c r="C504">
        <f>IF(N504&gt;2400000,240000,(N504*S504)/100)</f>
      </c>
      <c r="D504">
        <f>IF(S504=0,0,IF((N504-I504)&gt;2400000,((((((N504-I504-J504)-240000))*0.1+(I504+J504)*0.1)))-7000,((((((N504-I504-J504)-(N504-I504-J504)*S504/100)))*0.1+(I504+J504)*0.1)-7000)))</f>
      </c>
      <c r="E504">
        <f>C504-O504</f>
      </c>
      <c r="F504">
        <f>D504-P504</f>
      </c>
      <c r="G504">
        <f>SUMIF(negtgel!U$2:BL$2,'Tsalin uzuulelt'!B$1,negtgel!U504:BL504) + SUMIF(negtgel!U$2:BL$2,'Tsalin uzuulelt'!B$2,negtgel!U504:BL504)+SUMIF(negtgel!U$2:BL$2,'Tsalin uzuulelt'!B$3,negtgel!U504:BL504)+SUMIF(negtgel!U$2:BL$2,'Tsalin uzuulelt'!B$4,negtgel!U504:BL504)+SUMIF(negtgel!U$2:BL$2,'Tsalin uzuulelt'!B$5,negtgel!U504:BL504)</f>
      </c>
      <c r="H504">
        <f>SUMIF(negtgel!U$2:BL$2,'Tsalin uzuulelt'!F$1,negtgel!U504:BL504) + SUMIF(negtgel!U$2:BL$2,'Tsalin uzuulelt'!F$2,negtgel!U504:BL504)+SUMIF(negtgel!U$2:BL$2,'Tsalin uzuulelt'!F$3,negtgel!U504:BL504)+SUMIF(negtgel!U$2:BL$2,'Tsalin uzuulelt'!F$4,negtgel!U504:BL504)+SUMIF(negtgel!U$2:BL$2,'Tsalin uzuulelt'!F$5,negtgel!U504:BL504)</f>
      </c>
      <c r="I504">
        <f>SUMIF(negtgel!U$2:BL$2,'Tsalin uzuulelt'!H$1,negtgel!U504:BL504) + SUMIF(negtgel!U$2:BL$2,'Tsalin uzuulelt'!H$2,negtgel!U504:BL504)+SUMIF(negtgel!U$2:BL$2,'Tsalin uzuulelt'!H$3,negtgel!U504:BL504)+SUMIF(negtgel!U$2:BL$2,'Tsalin uzuulelt'!H$4,negtgel!U504:BL504)+SUMIF(negtgel!U$2:BL$2,'Tsalin uzuulelt'!H$5,negtgel!U504:BL504)</f>
      </c>
      <c r="J504">
        <f>SUMIF(negtgel!U$2:BL$2,'Tsalin uzuulelt'!J$1,negtgel!U504:BL504) + SUMIF(negtgel!U$2:BL$2,'Tsalin uzuulelt'!J$2,negtgel!U504:BL504)+SUMIF(negtgel!U$2:BL$2,'Tsalin uzuulelt'!J$3,negtgel!U504:BL504)+SUMIF(negtgel!U$2:BL$2,'Tsalin uzuulelt'!J$4,negtgel!U504:BL504)+SUMIF(negtgel!U$2:BL$2,'Tsalin uzuulelt'!J$5,negtgel!U504:BL504)</f>
      </c>
      <c r="K504">
        <f>SUMIF(negtgel!U$2:BL$2,'Tsalin uzuulelt'!L$1,negtgel!U504:BL504) + SUMIF(negtgel!U$2:BL$2,'Tsalin uzuulelt'!L$2,negtgel!U504:BL504)+SUMIF(negtgel!U$2:BL$2,'Tsalin uzuulelt'!L$3,negtgel!U504:BL504)+SUMIF(negtgel!U$2:BL$2,'Tsalin uzuulelt'!L$4,negtgel!U504:BL504)+SUMIF(negtgel!U$2:BL$2,'Tsalin uzuulelt'!L$5,negtgel!U504:BL504)</f>
      </c>
      <c r="L504">
        <f>SUMIF(negtgel!U$2:BL$2,'Tsalin uzuulelt'!N$1,negtgel!U504:BL504) + SUMIF(negtgel!U$2:BL$2,'Tsalin uzuulelt'!N$2,negtgel!U504:BL504)+SUMIF(negtgel!U$2:BL$2,'Tsalin uzuulelt'!N$3,negtgel!U504:BL504)+SUMIF(negtgel!U$2:BL$2,'Tsalin uzuulelt'!N$4,negtgel!U504:BL504)+SUMIF(negtgel!U$2:BL$2,'Tsalin uzuulelt'!N$5,negtgel!U504:BL504)</f>
      </c>
      <c r="M504">
        <f>SUMIF(negtgel!U$2:BL$2,'Tsalin uzuulelt'!P$1,negtgel!U504:BL504) + SUMIF(negtgel!U$2:BL$2,'Tsalin uzuulelt'!P$2,negtgel!U504:BL504)+ SUMIF(negtgel!U$2:BL$2,'Tsalin uzuulelt'!P$3,negtgel!U504:BL504)+ SUMIF(negtgel!U$2:BL$2,'Tsalin uzuulelt'!P$4,negtgel!U504:BL504)+ SUMIF(negtgel!U$2:BL$2,'Tsalin uzuulelt'!P$5,negtgel!U504:BL504)</f>
      </c>
      <c r="N504">
        <f>IF(ISNUMBER(U504*1)=CF504,0,K504-H504-G504)</f>
      </c>
      <c r="O504">
        <f>IF(ISNUMBER(U504*1)=CF504,0,L504)</f>
      </c>
      <c r="P504">
        <f>IF(ISNUMBER(U504*1)=CF504,0,M504)</f>
      </c>
      <c r="Q504">
        <f>IF(N504&gt;2400000,N504,0)</f>
      </c>
      <c r="R504">
        <f>IF(L504/Q504*100&lt;3,2,10)</f>
      </c>
      <c r="S504">
        <f>IF(CH504=0,0,IF(B504&gt;9,10,IF(B504&gt;8,B504,IF(B504&gt;7.7,7.8,IF(B504&gt;3,B504,IF(B504&gt;1.5,2))))))</f>
      </c>
      <c r="T504">
        <f>IF(Q504=0,S504,R504)</f>
      </c>
      <c r="U504" t="n">
        <v>50.0</v>
      </c>
      <c r="V504" t="s">
        <v>3797</v>
      </c>
      <c r="W504" t="s">
        <v>3790</v>
      </c>
      <c r="X504" t="n">
        <v>613669.0</v>
      </c>
      <c r="Y504" t="n">
        <v>453581.0</v>
      </c>
      <c r="Z504" t="n">
        <v>22679.0</v>
      </c>
      <c r="AA504" t="n">
        <v>68037.0</v>
      </c>
      <c r="AB504" t="n">
        <v>0.0</v>
      </c>
      <c r="AC504" t="n">
        <v>0.0</v>
      </c>
      <c r="AD504" t="n">
        <v>0.0</v>
      </c>
      <c r="AE504" t="n">
        <v>0.0</v>
      </c>
      <c r="AF504" t="n">
        <v>51000.0</v>
      </c>
      <c r="AG504" t="n">
        <v>0.0</v>
      </c>
      <c r="AH504" t="n">
        <v>0.0</v>
      </c>
      <c r="AI504" t="n">
        <v>0.0</v>
      </c>
      <c r="AJ504" t="n">
        <v>0.0</v>
      </c>
      <c r="AK504" t="n">
        <v>0.0</v>
      </c>
      <c r="AL504" t="n">
        <v>0.0</v>
      </c>
      <c r="AM504" t="n">
        <v>0.0</v>
      </c>
      <c r="AN504" t="n">
        <v>0.0</v>
      </c>
      <c r="AO504" t="n">
        <v>595297.0</v>
      </c>
      <c r="AP504" t="n">
        <v>59530.0</v>
      </c>
      <c r="AQ504" t="n">
        <v>47086.7</v>
      </c>
      <c r="CH504">
        <f>IFERROR(U504*1,0)</f>
      </c>
    </row>
    <row r="505">
      <c r="A505" t="n">
        <v>8.0</v>
      </c>
      <c r="B505">
        <f>IF((K505-G505-H505&gt;2400000),10,(L505/(K505-G505-H505)*100))</f>
      </c>
      <c r="C505">
        <f>IF(N505&gt;2400000,240000,(N505*S505)/100)</f>
      </c>
      <c r="D505">
        <f>IF(S505=0,0,IF((N505-I505)&gt;2400000,((((((N505-I505-J505)-240000))*0.1+(I505+J505)*0.1)))-7000,((((((N505-I505-J505)-(N505-I505-J505)*S505/100)))*0.1+(I505+J505)*0.1)-7000)))</f>
      </c>
      <c r="E505">
        <f>C505-O505</f>
      </c>
      <c r="F505">
        <f>D505-P505</f>
      </c>
      <c r="G505">
        <f>SUMIF(negtgel!U$2:BL$2,'Tsalin uzuulelt'!B$1,negtgel!U505:BL505) + SUMIF(negtgel!U$2:BL$2,'Tsalin uzuulelt'!B$2,negtgel!U505:BL505)+SUMIF(negtgel!U$2:BL$2,'Tsalin uzuulelt'!B$3,negtgel!U505:BL505)+SUMIF(negtgel!U$2:BL$2,'Tsalin uzuulelt'!B$4,negtgel!U505:BL505)+SUMIF(negtgel!U$2:BL$2,'Tsalin uzuulelt'!B$5,negtgel!U505:BL505)</f>
      </c>
      <c r="H505">
        <f>SUMIF(negtgel!U$2:BL$2,'Tsalin uzuulelt'!F$1,negtgel!U505:BL505) + SUMIF(negtgel!U$2:BL$2,'Tsalin uzuulelt'!F$2,negtgel!U505:BL505)+SUMIF(negtgel!U$2:BL$2,'Tsalin uzuulelt'!F$3,negtgel!U505:BL505)+SUMIF(negtgel!U$2:BL$2,'Tsalin uzuulelt'!F$4,negtgel!U505:BL505)+SUMIF(negtgel!U$2:BL$2,'Tsalin uzuulelt'!F$5,negtgel!U505:BL505)</f>
      </c>
      <c r="I505">
        <f>SUMIF(negtgel!U$2:BL$2,'Tsalin uzuulelt'!H$1,negtgel!U505:BL505) + SUMIF(negtgel!U$2:BL$2,'Tsalin uzuulelt'!H$2,negtgel!U505:BL505)+SUMIF(negtgel!U$2:BL$2,'Tsalin uzuulelt'!H$3,negtgel!U505:BL505)+SUMIF(negtgel!U$2:BL$2,'Tsalin uzuulelt'!H$4,negtgel!U505:BL505)+SUMIF(negtgel!U$2:BL$2,'Tsalin uzuulelt'!H$5,negtgel!U505:BL505)</f>
      </c>
      <c r="J505">
        <f>SUMIF(negtgel!U$2:BL$2,'Tsalin uzuulelt'!J$1,negtgel!U505:BL505) + SUMIF(negtgel!U$2:BL$2,'Tsalin uzuulelt'!J$2,negtgel!U505:BL505)+SUMIF(negtgel!U$2:BL$2,'Tsalin uzuulelt'!J$3,negtgel!U505:BL505)+SUMIF(negtgel!U$2:BL$2,'Tsalin uzuulelt'!J$4,negtgel!U505:BL505)+SUMIF(negtgel!U$2:BL$2,'Tsalin uzuulelt'!J$5,negtgel!U505:BL505)</f>
      </c>
      <c r="K505">
        <f>SUMIF(negtgel!U$2:BL$2,'Tsalin uzuulelt'!L$1,negtgel!U505:BL505) + SUMIF(negtgel!U$2:BL$2,'Tsalin uzuulelt'!L$2,negtgel!U505:BL505)+SUMIF(negtgel!U$2:BL$2,'Tsalin uzuulelt'!L$3,negtgel!U505:BL505)+SUMIF(negtgel!U$2:BL$2,'Tsalin uzuulelt'!L$4,negtgel!U505:BL505)+SUMIF(negtgel!U$2:BL$2,'Tsalin uzuulelt'!L$5,negtgel!U505:BL505)</f>
      </c>
      <c r="L505">
        <f>SUMIF(negtgel!U$2:BL$2,'Tsalin uzuulelt'!N$1,negtgel!U505:BL505) + SUMIF(negtgel!U$2:BL$2,'Tsalin uzuulelt'!N$2,negtgel!U505:BL505)+SUMIF(negtgel!U$2:BL$2,'Tsalin uzuulelt'!N$3,negtgel!U505:BL505)+SUMIF(negtgel!U$2:BL$2,'Tsalin uzuulelt'!N$4,negtgel!U505:BL505)+SUMIF(negtgel!U$2:BL$2,'Tsalin uzuulelt'!N$5,negtgel!U505:BL505)</f>
      </c>
      <c r="M505">
        <f>SUMIF(negtgel!U$2:BL$2,'Tsalin uzuulelt'!P$1,negtgel!U505:BL505) + SUMIF(negtgel!U$2:BL$2,'Tsalin uzuulelt'!P$2,negtgel!U505:BL505)+ SUMIF(negtgel!U$2:BL$2,'Tsalin uzuulelt'!P$3,negtgel!U505:BL505)+ SUMIF(negtgel!U$2:BL$2,'Tsalin uzuulelt'!P$4,negtgel!U505:BL505)+ SUMIF(negtgel!U$2:BL$2,'Tsalin uzuulelt'!P$5,negtgel!U505:BL505)</f>
      </c>
      <c r="N505">
        <f>IF(ISNUMBER(U505*1)=CF505,0,K505-H505-G505)</f>
      </c>
      <c r="O505">
        <f>IF(ISNUMBER(U505*1)=CF505,0,L505)</f>
      </c>
      <c r="P505">
        <f>IF(ISNUMBER(U505*1)=CF505,0,M505)</f>
      </c>
      <c r="Q505">
        <f>IF(N505&gt;2400000,N505,0)</f>
      </c>
      <c r="R505">
        <f>IF(L505/Q505*100&lt;3,2,10)</f>
      </c>
      <c r="S505">
        <f>IF(CH505=0,0,IF(B505&gt;9,10,IF(B505&gt;8,B505,IF(B505&gt;7.7,7.8,IF(B505&gt;3,B505,IF(B505&gt;1.5,2))))))</f>
      </c>
      <c r="T505">
        <f>IF(Q505=0,S505,R505)</f>
      </c>
      <c r="U505" t="n">
        <v>51.0</v>
      </c>
      <c r="V505" t="s">
        <v>3798</v>
      </c>
      <c r="W505" t="s">
        <v>3792</v>
      </c>
      <c r="X505" t="n">
        <v>496912.0</v>
      </c>
      <c r="Y505" t="n">
        <v>496912.0</v>
      </c>
      <c r="Z505" t="n">
        <v>0.0</v>
      </c>
      <c r="AA505" t="n">
        <v>0.0</v>
      </c>
      <c r="AB505" t="n">
        <v>0.0</v>
      </c>
      <c r="AC505" t="n">
        <v>0.0</v>
      </c>
      <c r="AD505" t="n">
        <v>0.0</v>
      </c>
      <c r="AE505" t="n">
        <v>0.0</v>
      </c>
      <c r="AF505" t="n">
        <v>69000.0</v>
      </c>
      <c r="AG505" t="n">
        <v>0.0</v>
      </c>
      <c r="AH505" t="n">
        <v>0.0</v>
      </c>
      <c r="AI505" t="n">
        <v>0.0</v>
      </c>
      <c r="AJ505" t="n">
        <v>0.0</v>
      </c>
      <c r="AK505" t="n">
        <v>0.0</v>
      </c>
      <c r="AL505" t="n">
        <v>0.0</v>
      </c>
      <c r="AM505" t="n">
        <v>0.0</v>
      </c>
      <c r="AN505" t="n">
        <v>0.0</v>
      </c>
      <c r="AO505" t="n">
        <v>565912.0</v>
      </c>
      <c r="AP505" t="n">
        <v>56591.0</v>
      </c>
      <c r="AQ505" t="n">
        <v>44622.1</v>
      </c>
      <c r="CH505">
        <f>IFERROR(U505*1,0)</f>
      </c>
    </row>
    <row r="506">
      <c r="A506" t="n">
        <v>8.0</v>
      </c>
      <c r="B506">
        <f>IF((K506-G506-H506&gt;2400000),10,(L506/(K506-G506-H506)*100))</f>
      </c>
      <c r="C506">
        <f>IF(N506&gt;2400000,240000,(N506*S506)/100)</f>
      </c>
      <c r="D506">
        <f>IF(S506=0,0,IF((N506-I506)&gt;2400000,((((((N506-I506-J506)-240000))*0.1+(I506+J506)*0.1)))-7000,((((((N506-I506-J506)-(N506-I506-J506)*S506/100)))*0.1+(I506+J506)*0.1)-7000)))</f>
      </c>
      <c r="E506">
        <f>C506-O506</f>
      </c>
      <c r="F506">
        <f>D506-P506</f>
      </c>
      <c r="G506">
        <f>SUMIF(negtgel!U$2:BL$2,'Tsalin uzuulelt'!B$1,negtgel!U506:BL506) + SUMIF(negtgel!U$2:BL$2,'Tsalin uzuulelt'!B$2,negtgel!U506:BL506)+SUMIF(negtgel!U$2:BL$2,'Tsalin uzuulelt'!B$3,negtgel!U506:BL506)+SUMIF(negtgel!U$2:BL$2,'Tsalin uzuulelt'!B$4,negtgel!U506:BL506)+SUMIF(negtgel!U$2:BL$2,'Tsalin uzuulelt'!B$5,negtgel!U506:BL506)</f>
      </c>
      <c r="H506">
        <f>SUMIF(negtgel!U$2:BL$2,'Tsalin uzuulelt'!F$1,negtgel!U506:BL506) + SUMIF(negtgel!U$2:BL$2,'Tsalin uzuulelt'!F$2,negtgel!U506:BL506)+SUMIF(negtgel!U$2:BL$2,'Tsalin uzuulelt'!F$3,negtgel!U506:BL506)+SUMIF(negtgel!U$2:BL$2,'Tsalin uzuulelt'!F$4,negtgel!U506:BL506)+SUMIF(negtgel!U$2:BL$2,'Tsalin uzuulelt'!F$5,negtgel!U506:BL506)</f>
      </c>
      <c r="I506">
        <f>SUMIF(negtgel!U$2:BL$2,'Tsalin uzuulelt'!H$1,negtgel!U506:BL506) + SUMIF(negtgel!U$2:BL$2,'Tsalin uzuulelt'!H$2,negtgel!U506:BL506)+SUMIF(negtgel!U$2:BL$2,'Tsalin uzuulelt'!H$3,negtgel!U506:BL506)+SUMIF(negtgel!U$2:BL$2,'Tsalin uzuulelt'!H$4,negtgel!U506:BL506)+SUMIF(negtgel!U$2:BL$2,'Tsalin uzuulelt'!H$5,negtgel!U506:BL506)</f>
      </c>
      <c r="J506">
        <f>SUMIF(negtgel!U$2:BL$2,'Tsalin uzuulelt'!J$1,negtgel!U506:BL506) + SUMIF(negtgel!U$2:BL$2,'Tsalin uzuulelt'!J$2,negtgel!U506:BL506)+SUMIF(negtgel!U$2:BL$2,'Tsalin uzuulelt'!J$3,negtgel!U506:BL506)+SUMIF(negtgel!U$2:BL$2,'Tsalin uzuulelt'!J$4,negtgel!U506:BL506)+SUMIF(negtgel!U$2:BL$2,'Tsalin uzuulelt'!J$5,negtgel!U506:BL506)</f>
      </c>
      <c r="K506">
        <f>SUMIF(negtgel!U$2:BL$2,'Tsalin uzuulelt'!L$1,negtgel!U506:BL506) + SUMIF(negtgel!U$2:BL$2,'Tsalin uzuulelt'!L$2,negtgel!U506:BL506)+SUMIF(negtgel!U$2:BL$2,'Tsalin uzuulelt'!L$3,negtgel!U506:BL506)+SUMIF(negtgel!U$2:BL$2,'Tsalin uzuulelt'!L$4,negtgel!U506:BL506)+SUMIF(negtgel!U$2:BL$2,'Tsalin uzuulelt'!L$5,negtgel!U506:BL506)</f>
      </c>
      <c r="L506">
        <f>SUMIF(negtgel!U$2:BL$2,'Tsalin uzuulelt'!N$1,negtgel!U506:BL506) + SUMIF(negtgel!U$2:BL$2,'Tsalin uzuulelt'!N$2,negtgel!U506:BL506)+SUMIF(negtgel!U$2:BL$2,'Tsalin uzuulelt'!N$3,negtgel!U506:BL506)+SUMIF(negtgel!U$2:BL$2,'Tsalin uzuulelt'!N$4,negtgel!U506:BL506)+SUMIF(negtgel!U$2:BL$2,'Tsalin uzuulelt'!N$5,negtgel!U506:BL506)</f>
      </c>
      <c r="M506">
        <f>SUMIF(negtgel!U$2:BL$2,'Tsalin uzuulelt'!P$1,negtgel!U506:BL506) + SUMIF(negtgel!U$2:BL$2,'Tsalin uzuulelt'!P$2,negtgel!U506:BL506)+ SUMIF(negtgel!U$2:BL$2,'Tsalin uzuulelt'!P$3,negtgel!U506:BL506)+ SUMIF(negtgel!U$2:BL$2,'Tsalin uzuulelt'!P$4,negtgel!U506:BL506)+ SUMIF(negtgel!U$2:BL$2,'Tsalin uzuulelt'!P$5,negtgel!U506:BL506)</f>
      </c>
      <c r="N506">
        <f>IF(ISNUMBER(U506*1)=CF506,0,K506-H506-G506)</f>
      </c>
      <c r="O506">
        <f>IF(ISNUMBER(U506*1)=CF506,0,L506)</f>
      </c>
      <c r="P506">
        <f>IF(ISNUMBER(U506*1)=CF506,0,M506)</f>
      </c>
      <c r="Q506">
        <f>IF(N506&gt;2400000,N506,0)</f>
      </c>
      <c r="R506">
        <f>IF(L506/Q506*100&lt;3,2,10)</f>
      </c>
      <c r="S506">
        <f>IF(CH506=0,0,IF(B506&gt;9,10,IF(B506&gt;8,B506,IF(B506&gt;7.7,7.8,IF(B506&gt;3,B506,IF(B506&gt;1.5,2))))))</f>
      </c>
      <c r="T506">
        <f>IF(Q506=0,S506,R506)</f>
      </c>
      <c r="U506" t="n">
        <v>52.0</v>
      </c>
      <c r="V506" t="s">
        <v>3799</v>
      </c>
      <c r="W506" t="s">
        <v>3785</v>
      </c>
      <c r="X506" t="n">
        <v>795935.0</v>
      </c>
      <c r="Y506" t="n">
        <v>484482.0</v>
      </c>
      <c r="Z506" t="n">
        <v>72672.0</v>
      </c>
      <c r="AA506" t="n">
        <v>96896.0</v>
      </c>
      <c r="AB506" t="n">
        <v>0.0</v>
      </c>
      <c r="AC506" t="n">
        <v>0.0</v>
      </c>
      <c r="AD506" t="n">
        <v>0.0</v>
      </c>
      <c r="AE506" t="n">
        <v>0.0</v>
      </c>
      <c r="AF506" t="n">
        <v>42000.0</v>
      </c>
      <c r="AG506" t="n">
        <v>0.0</v>
      </c>
      <c r="AH506" t="n">
        <v>0.0</v>
      </c>
      <c r="AI506" t="n">
        <v>0.0</v>
      </c>
      <c r="AJ506" t="n">
        <v>0.0</v>
      </c>
      <c r="AK506" t="n">
        <v>0.0</v>
      </c>
      <c r="AL506" t="n">
        <v>0.0</v>
      </c>
      <c r="AM506" t="n">
        <v>0.0</v>
      </c>
      <c r="AN506" t="n">
        <v>0.0</v>
      </c>
      <c r="AO506" t="n">
        <v>696050.0</v>
      </c>
      <c r="AP506" t="n">
        <v>69605.0</v>
      </c>
      <c r="AQ506" t="n">
        <v>56064.5</v>
      </c>
      <c r="CH506">
        <f>IFERROR(U506*1,0)</f>
      </c>
    </row>
    <row r="507">
      <c r="A507" t="n">
        <v>8.0</v>
      </c>
      <c r="B507">
        <f>IF((K507-G507-H507&gt;2400000),10,(L507/(K507-G507-H507)*100))</f>
      </c>
      <c r="C507">
        <f>IF(N507&gt;2400000,240000,(N507*S507)/100)</f>
      </c>
      <c r="D507">
        <f>IF(S507=0,0,IF((N507-I507)&gt;2400000,((((((N507-I507-J507)-240000))*0.1+(I507+J507)*0.1)))-7000,((((((N507-I507-J507)-(N507-I507-J507)*S507/100)))*0.1+(I507+J507)*0.1)-7000)))</f>
      </c>
      <c r="E507">
        <f>C507-O507</f>
      </c>
      <c r="F507">
        <f>D507-P507</f>
      </c>
      <c r="G507">
        <f>SUMIF(negtgel!U$2:BL$2,'Tsalin uzuulelt'!B$1,negtgel!U507:BL507) + SUMIF(negtgel!U$2:BL$2,'Tsalin uzuulelt'!B$2,negtgel!U507:BL507)+SUMIF(negtgel!U$2:BL$2,'Tsalin uzuulelt'!B$3,negtgel!U507:BL507)+SUMIF(negtgel!U$2:BL$2,'Tsalin uzuulelt'!B$4,negtgel!U507:BL507)+SUMIF(negtgel!U$2:BL$2,'Tsalin uzuulelt'!B$5,negtgel!U507:BL507)</f>
      </c>
      <c r="H507">
        <f>SUMIF(negtgel!U$2:BL$2,'Tsalin uzuulelt'!F$1,negtgel!U507:BL507) + SUMIF(negtgel!U$2:BL$2,'Tsalin uzuulelt'!F$2,negtgel!U507:BL507)+SUMIF(negtgel!U$2:BL$2,'Tsalin uzuulelt'!F$3,negtgel!U507:BL507)+SUMIF(negtgel!U$2:BL$2,'Tsalin uzuulelt'!F$4,negtgel!U507:BL507)+SUMIF(negtgel!U$2:BL$2,'Tsalin uzuulelt'!F$5,negtgel!U507:BL507)</f>
      </c>
      <c r="I507">
        <f>SUMIF(negtgel!U$2:BL$2,'Tsalin uzuulelt'!H$1,negtgel!U507:BL507) + SUMIF(negtgel!U$2:BL$2,'Tsalin uzuulelt'!H$2,negtgel!U507:BL507)+SUMIF(negtgel!U$2:BL$2,'Tsalin uzuulelt'!H$3,negtgel!U507:BL507)+SUMIF(negtgel!U$2:BL$2,'Tsalin uzuulelt'!H$4,negtgel!U507:BL507)+SUMIF(negtgel!U$2:BL$2,'Tsalin uzuulelt'!H$5,negtgel!U507:BL507)</f>
      </c>
      <c r="J507">
        <f>SUMIF(negtgel!U$2:BL$2,'Tsalin uzuulelt'!J$1,negtgel!U507:BL507) + SUMIF(negtgel!U$2:BL$2,'Tsalin uzuulelt'!J$2,negtgel!U507:BL507)+SUMIF(negtgel!U$2:BL$2,'Tsalin uzuulelt'!J$3,negtgel!U507:BL507)+SUMIF(negtgel!U$2:BL$2,'Tsalin uzuulelt'!J$4,negtgel!U507:BL507)+SUMIF(negtgel!U$2:BL$2,'Tsalin uzuulelt'!J$5,negtgel!U507:BL507)</f>
      </c>
      <c r="K507">
        <f>SUMIF(negtgel!U$2:BL$2,'Tsalin uzuulelt'!L$1,negtgel!U507:BL507) + SUMIF(negtgel!U$2:BL$2,'Tsalin uzuulelt'!L$2,negtgel!U507:BL507)+SUMIF(negtgel!U$2:BL$2,'Tsalin uzuulelt'!L$3,negtgel!U507:BL507)+SUMIF(negtgel!U$2:BL$2,'Tsalin uzuulelt'!L$4,negtgel!U507:BL507)+SUMIF(negtgel!U$2:BL$2,'Tsalin uzuulelt'!L$5,negtgel!U507:BL507)</f>
      </c>
      <c r="L507">
        <f>SUMIF(negtgel!U$2:BL$2,'Tsalin uzuulelt'!N$1,negtgel!U507:BL507) + SUMIF(negtgel!U$2:BL$2,'Tsalin uzuulelt'!N$2,negtgel!U507:BL507)+SUMIF(negtgel!U$2:BL$2,'Tsalin uzuulelt'!N$3,negtgel!U507:BL507)+SUMIF(negtgel!U$2:BL$2,'Tsalin uzuulelt'!N$4,negtgel!U507:BL507)+SUMIF(negtgel!U$2:BL$2,'Tsalin uzuulelt'!N$5,negtgel!U507:BL507)</f>
      </c>
      <c r="M507">
        <f>SUMIF(negtgel!U$2:BL$2,'Tsalin uzuulelt'!P$1,negtgel!U507:BL507) + SUMIF(negtgel!U$2:BL$2,'Tsalin uzuulelt'!P$2,negtgel!U507:BL507)+ SUMIF(negtgel!U$2:BL$2,'Tsalin uzuulelt'!P$3,negtgel!U507:BL507)+ SUMIF(negtgel!U$2:BL$2,'Tsalin uzuulelt'!P$4,negtgel!U507:BL507)+ SUMIF(negtgel!U$2:BL$2,'Tsalin uzuulelt'!P$5,negtgel!U507:BL507)</f>
      </c>
      <c r="N507">
        <f>IF(ISNUMBER(U507*1)=CF507,0,K507-H507-G507)</f>
      </c>
      <c r="O507">
        <f>IF(ISNUMBER(U507*1)=CF507,0,L507)</f>
      </c>
      <c r="P507">
        <f>IF(ISNUMBER(U507*1)=CF507,0,M507)</f>
      </c>
      <c r="Q507">
        <f>IF(N507&gt;2400000,N507,0)</f>
      </c>
      <c r="R507">
        <f>IF(L507/Q507*100&lt;3,2,10)</f>
      </c>
      <c r="S507">
        <f>IF(CH507=0,0,IF(B507&gt;9,10,IF(B507&gt;8,B507,IF(B507&gt;7.7,7.8,IF(B507&gt;3,B507,IF(B507&gt;1.5,2))))))</f>
      </c>
      <c r="T507">
        <f>IF(Q507=0,S507,R507)</f>
      </c>
      <c r="U507" t="n">
        <v>53.0</v>
      </c>
      <c r="V507" t="s">
        <v>3800</v>
      </c>
      <c r="W507" t="s">
        <v>3790</v>
      </c>
      <c r="X507" t="n">
        <v>613669.0</v>
      </c>
      <c r="Y507" t="n">
        <v>346856.0</v>
      </c>
      <c r="Z507" t="n">
        <v>52028.0</v>
      </c>
      <c r="AA507" t="n">
        <v>69371.0</v>
      </c>
      <c r="AB507" t="n">
        <v>0.0</v>
      </c>
      <c r="AC507" t="n">
        <v>0.0</v>
      </c>
      <c r="AD507" t="n">
        <v>0.0</v>
      </c>
      <c r="AE507" t="n">
        <v>0.0</v>
      </c>
      <c r="AF507" t="n">
        <v>39000.0</v>
      </c>
      <c r="AG507" t="n">
        <v>0.0</v>
      </c>
      <c r="AH507" t="n">
        <v>0.0</v>
      </c>
      <c r="AI507" t="n">
        <v>0.0</v>
      </c>
      <c r="AJ507" t="n">
        <v>0.0</v>
      </c>
      <c r="AK507" t="n">
        <v>0.0</v>
      </c>
      <c r="AL507" t="n">
        <v>0.0</v>
      </c>
      <c r="AM507" t="n">
        <v>0.0</v>
      </c>
      <c r="AN507" t="n">
        <v>0.0</v>
      </c>
      <c r="AO507" t="n">
        <v>507255.0</v>
      </c>
      <c r="AP507" t="n">
        <v>50726.0</v>
      </c>
      <c r="AQ507" t="n">
        <v>39043.0</v>
      </c>
      <c r="CH507">
        <f>IFERROR(U507*1,0)</f>
      </c>
    </row>
    <row r="508">
      <c r="A508" t="n">
        <v>8.0</v>
      </c>
      <c r="B508">
        <f>IF((K508-G508-H508&gt;2400000),10,(L508/(K508-G508-H508)*100))</f>
      </c>
      <c r="C508">
        <f>IF(N508&gt;2400000,240000,(N508*S508)/100)</f>
      </c>
      <c r="D508">
        <f>IF(S508=0,0,IF((N508-I508)&gt;2400000,((((((N508-I508-J508)-240000))*0.1+(I508+J508)*0.1)))-7000,((((((N508-I508-J508)-(N508-I508-J508)*S508/100)))*0.1+(I508+J508)*0.1)-7000)))</f>
      </c>
      <c r="E508">
        <f>C508-O508</f>
      </c>
      <c r="F508">
        <f>D508-P508</f>
      </c>
      <c r="G508">
        <f>SUMIF(negtgel!U$2:BL$2,'Tsalin uzuulelt'!B$1,negtgel!U508:BL508) + SUMIF(negtgel!U$2:BL$2,'Tsalin uzuulelt'!B$2,negtgel!U508:BL508)+SUMIF(negtgel!U$2:BL$2,'Tsalin uzuulelt'!B$3,negtgel!U508:BL508)+SUMIF(negtgel!U$2:BL$2,'Tsalin uzuulelt'!B$4,negtgel!U508:BL508)+SUMIF(negtgel!U$2:BL$2,'Tsalin uzuulelt'!B$5,negtgel!U508:BL508)</f>
      </c>
      <c r="H508">
        <f>SUMIF(negtgel!U$2:BL$2,'Tsalin uzuulelt'!F$1,negtgel!U508:BL508) + SUMIF(negtgel!U$2:BL$2,'Tsalin uzuulelt'!F$2,negtgel!U508:BL508)+SUMIF(negtgel!U$2:BL$2,'Tsalin uzuulelt'!F$3,negtgel!U508:BL508)+SUMIF(negtgel!U$2:BL$2,'Tsalin uzuulelt'!F$4,negtgel!U508:BL508)+SUMIF(negtgel!U$2:BL$2,'Tsalin uzuulelt'!F$5,negtgel!U508:BL508)</f>
      </c>
      <c r="I508">
        <f>SUMIF(negtgel!U$2:BL$2,'Tsalin uzuulelt'!H$1,negtgel!U508:BL508) + SUMIF(negtgel!U$2:BL$2,'Tsalin uzuulelt'!H$2,negtgel!U508:BL508)+SUMIF(negtgel!U$2:BL$2,'Tsalin uzuulelt'!H$3,negtgel!U508:BL508)+SUMIF(negtgel!U$2:BL$2,'Tsalin uzuulelt'!H$4,negtgel!U508:BL508)+SUMIF(negtgel!U$2:BL$2,'Tsalin uzuulelt'!H$5,negtgel!U508:BL508)</f>
      </c>
      <c r="J508">
        <f>SUMIF(negtgel!U$2:BL$2,'Tsalin uzuulelt'!J$1,negtgel!U508:BL508) + SUMIF(negtgel!U$2:BL$2,'Tsalin uzuulelt'!J$2,negtgel!U508:BL508)+SUMIF(negtgel!U$2:BL$2,'Tsalin uzuulelt'!J$3,negtgel!U508:BL508)+SUMIF(negtgel!U$2:BL$2,'Tsalin uzuulelt'!J$4,negtgel!U508:BL508)+SUMIF(negtgel!U$2:BL$2,'Tsalin uzuulelt'!J$5,negtgel!U508:BL508)</f>
      </c>
      <c r="K508">
        <f>SUMIF(negtgel!U$2:BL$2,'Tsalin uzuulelt'!L$1,negtgel!U508:BL508) + SUMIF(negtgel!U$2:BL$2,'Tsalin uzuulelt'!L$2,negtgel!U508:BL508)+SUMIF(negtgel!U$2:BL$2,'Tsalin uzuulelt'!L$3,negtgel!U508:BL508)+SUMIF(negtgel!U$2:BL$2,'Tsalin uzuulelt'!L$4,negtgel!U508:BL508)+SUMIF(negtgel!U$2:BL$2,'Tsalin uzuulelt'!L$5,negtgel!U508:BL508)</f>
      </c>
      <c r="L508">
        <f>SUMIF(negtgel!U$2:BL$2,'Tsalin uzuulelt'!N$1,negtgel!U508:BL508) + SUMIF(negtgel!U$2:BL$2,'Tsalin uzuulelt'!N$2,negtgel!U508:BL508)+SUMIF(negtgel!U$2:BL$2,'Tsalin uzuulelt'!N$3,negtgel!U508:BL508)+SUMIF(negtgel!U$2:BL$2,'Tsalin uzuulelt'!N$4,negtgel!U508:BL508)+SUMIF(negtgel!U$2:BL$2,'Tsalin uzuulelt'!N$5,negtgel!U508:BL508)</f>
      </c>
      <c r="M508">
        <f>SUMIF(negtgel!U$2:BL$2,'Tsalin uzuulelt'!P$1,negtgel!U508:BL508) + SUMIF(negtgel!U$2:BL$2,'Tsalin uzuulelt'!P$2,negtgel!U508:BL508)+ SUMIF(negtgel!U$2:BL$2,'Tsalin uzuulelt'!P$3,negtgel!U508:BL508)+ SUMIF(negtgel!U$2:BL$2,'Tsalin uzuulelt'!P$4,negtgel!U508:BL508)+ SUMIF(negtgel!U$2:BL$2,'Tsalin uzuulelt'!P$5,negtgel!U508:BL508)</f>
      </c>
      <c r="N508">
        <f>IF(ISNUMBER(U508*1)=CF508,0,K508-H508-G508)</f>
      </c>
      <c r="O508">
        <f>IF(ISNUMBER(U508*1)=CF508,0,L508)</f>
      </c>
      <c r="P508">
        <f>IF(ISNUMBER(U508*1)=CF508,0,M508)</f>
      </c>
      <c r="Q508">
        <f>IF(N508&gt;2400000,N508,0)</f>
      </c>
      <c r="R508">
        <f>IF(L508/Q508*100&lt;3,2,10)</f>
      </c>
      <c r="S508">
        <f>IF(CH508=0,0,IF(B508&gt;9,10,IF(B508&gt;8,B508,IF(B508&gt;7.7,7.8,IF(B508&gt;3,B508,IF(B508&gt;1.5,2))))))</f>
      </c>
      <c r="T508">
        <f>IF(Q508=0,S508,R508)</f>
      </c>
      <c r="U508" t="n">
        <v>54.0</v>
      </c>
      <c r="V508" t="s">
        <v>3801</v>
      </c>
      <c r="W508" t="s">
        <v>3790</v>
      </c>
      <c r="X508" t="n">
        <v>580710.0</v>
      </c>
      <c r="Y508" t="n">
        <v>580710.0</v>
      </c>
      <c r="Z508" t="n">
        <v>0.0</v>
      </c>
      <c r="AA508" t="n">
        <v>0.0</v>
      </c>
      <c r="AB508" t="n">
        <v>0.0</v>
      </c>
      <c r="AC508" t="n">
        <v>0.0</v>
      </c>
      <c r="AD508" t="n">
        <v>0.0</v>
      </c>
      <c r="AE508" t="n">
        <v>0.0</v>
      </c>
      <c r="AF508" t="n">
        <v>69000.0</v>
      </c>
      <c r="AG508" t="n">
        <v>0.0</v>
      </c>
      <c r="AH508" t="n">
        <v>0.0</v>
      </c>
      <c r="AI508" t="n">
        <v>0.0</v>
      </c>
      <c r="AJ508" t="n">
        <v>0.0</v>
      </c>
      <c r="AK508" t="n">
        <v>0.0</v>
      </c>
      <c r="AL508" t="n">
        <v>0.0</v>
      </c>
      <c r="AM508" t="n">
        <v>0.0</v>
      </c>
      <c r="AN508" t="n">
        <v>0.0</v>
      </c>
      <c r="AO508" t="n">
        <v>649710.0</v>
      </c>
      <c r="AP508" t="n">
        <v>64971.0</v>
      </c>
      <c r="AQ508" t="n">
        <v>52163.9</v>
      </c>
      <c r="CH508">
        <f>IFERROR(U508*1,0)</f>
      </c>
    </row>
    <row r="509">
      <c r="A509" t="n">
        <v>8.0</v>
      </c>
      <c r="B509">
        <f>IF((K509-G509-H509&gt;2400000),10,(L509/(K509-G509-H509)*100))</f>
      </c>
      <c r="C509">
        <f>IF(N509&gt;2400000,240000,(N509*S509)/100)</f>
      </c>
      <c r="D509">
        <f>IF(S509=0,0,IF((N509-I509)&gt;2400000,((((((N509-I509-J509)-240000))*0.1+(I509+J509)*0.1)))-7000,((((((N509-I509-J509)-(N509-I509-J509)*S509/100)))*0.1+(I509+J509)*0.1)-7000)))</f>
      </c>
      <c r="E509">
        <f>C509-O509</f>
      </c>
      <c r="F509">
        <f>D509-P509</f>
      </c>
      <c r="G509">
        <f>SUMIF(negtgel!U$2:BL$2,'Tsalin uzuulelt'!B$1,negtgel!U509:BL509) + SUMIF(negtgel!U$2:BL$2,'Tsalin uzuulelt'!B$2,negtgel!U509:BL509)+SUMIF(negtgel!U$2:BL$2,'Tsalin uzuulelt'!B$3,negtgel!U509:BL509)+SUMIF(negtgel!U$2:BL$2,'Tsalin uzuulelt'!B$4,negtgel!U509:BL509)+SUMIF(negtgel!U$2:BL$2,'Tsalin uzuulelt'!B$5,negtgel!U509:BL509)</f>
      </c>
      <c r="H509">
        <f>SUMIF(negtgel!U$2:BL$2,'Tsalin uzuulelt'!F$1,negtgel!U509:BL509) + SUMIF(negtgel!U$2:BL$2,'Tsalin uzuulelt'!F$2,negtgel!U509:BL509)+SUMIF(negtgel!U$2:BL$2,'Tsalin uzuulelt'!F$3,negtgel!U509:BL509)+SUMIF(negtgel!U$2:BL$2,'Tsalin uzuulelt'!F$4,negtgel!U509:BL509)+SUMIF(negtgel!U$2:BL$2,'Tsalin uzuulelt'!F$5,negtgel!U509:BL509)</f>
      </c>
      <c r="I509">
        <f>SUMIF(negtgel!U$2:BL$2,'Tsalin uzuulelt'!H$1,negtgel!U509:BL509) + SUMIF(negtgel!U$2:BL$2,'Tsalin uzuulelt'!H$2,negtgel!U509:BL509)+SUMIF(negtgel!U$2:BL$2,'Tsalin uzuulelt'!H$3,negtgel!U509:BL509)+SUMIF(negtgel!U$2:BL$2,'Tsalin uzuulelt'!H$4,negtgel!U509:BL509)+SUMIF(negtgel!U$2:BL$2,'Tsalin uzuulelt'!H$5,negtgel!U509:BL509)</f>
      </c>
      <c r="J509">
        <f>SUMIF(negtgel!U$2:BL$2,'Tsalin uzuulelt'!J$1,negtgel!U509:BL509) + SUMIF(negtgel!U$2:BL$2,'Tsalin uzuulelt'!J$2,negtgel!U509:BL509)+SUMIF(negtgel!U$2:BL$2,'Tsalin uzuulelt'!J$3,negtgel!U509:BL509)+SUMIF(negtgel!U$2:BL$2,'Tsalin uzuulelt'!J$4,negtgel!U509:BL509)+SUMIF(negtgel!U$2:BL$2,'Tsalin uzuulelt'!J$5,negtgel!U509:BL509)</f>
      </c>
      <c r="K509">
        <f>SUMIF(negtgel!U$2:BL$2,'Tsalin uzuulelt'!L$1,negtgel!U509:BL509) + SUMIF(negtgel!U$2:BL$2,'Tsalin uzuulelt'!L$2,negtgel!U509:BL509)+SUMIF(negtgel!U$2:BL$2,'Tsalin uzuulelt'!L$3,negtgel!U509:BL509)+SUMIF(negtgel!U$2:BL$2,'Tsalin uzuulelt'!L$4,negtgel!U509:BL509)+SUMIF(negtgel!U$2:BL$2,'Tsalin uzuulelt'!L$5,negtgel!U509:BL509)</f>
      </c>
      <c r="L509">
        <f>SUMIF(negtgel!U$2:BL$2,'Tsalin uzuulelt'!N$1,negtgel!U509:BL509) + SUMIF(negtgel!U$2:BL$2,'Tsalin uzuulelt'!N$2,negtgel!U509:BL509)+SUMIF(negtgel!U$2:BL$2,'Tsalin uzuulelt'!N$3,negtgel!U509:BL509)+SUMIF(negtgel!U$2:BL$2,'Tsalin uzuulelt'!N$4,negtgel!U509:BL509)+SUMIF(negtgel!U$2:BL$2,'Tsalin uzuulelt'!N$5,negtgel!U509:BL509)</f>
      </c>
      <c r="M509">
        <f>SUMIF(negtgel!U$2:BL$2,'Tsalin uzuulelt'!P$1,negtgel!U509:BL509) + SUMIF(negtgel!U$2:BL$2,'Tsalin uzuulelt'!P$2,negtgel!U509:BL509)+ SUMIF(negtgel!U$2:BL$2,'Tsalin uzuulelt'!P$3,negtgel!U509:BL509)+ SUMIF(negtgel!U$2:BL$2,'Tsalin uzuulelt'!P$4,negtgel!U509:BL509)+ SUMIF(negtgel!U$2:BL$2,'Tsalin uzuulelt'!P$5,negtgel!U509:BL509)</f>
      </c>
      <c r="N509">
        <f>IF(ISNUMBER(U509*1)=CF509,0,K509-H509-G509)</f>
      </c>
      <c r="O509">
        <f>IF(ISNUMBER(U509*1)=CF509,0,L509)</f>
      </c>
      <c r="P509">
        <f>IF(ISNUMBER(U509*1)=CF509,0,M509)</f>
      </c>
      <c r="Q509">
        <f>IF(N509&gt;2400000,N509,0)</f>
      </c>
      <c r="R509">
        <f>IF(L509/Q509*100&lt;3,2,10)</f>
      </c>
      <c r="S509">
        <f>IF(CH509=0,0,IF(B509&gt;9,10,IF(B509&gt;8,B509,IF(B509&gt;7.7,7.8,IF(B509&gt;3,B509,IF(B509&gt;1.5,2))))))</f>
      </c>
      <c r="T509">
        <f>IF(Q509=0,S509,R509)</f>
      </c>
      <c r="U509" t="n">
        <v>55.0</v>
      </c>
      <c r="V509" t="s">
        <v>3802</v>
      </c>
      <c r="W509" t="s">
        <v>3792</v>
      </c>
      <c r="X509" t="n">
        <v>496912.0</v>
      </c>
      <c r="Y509" t="n">
        <v>367283.0</v>
      </c>
      <c r="Z509" t="n">
        <v>0.0</v>
      </c>
      <c r="AA509" t="n">
        <v>0.0</v>
      </c>
      <c r="AB509" t="n">
        <v>0.0</v>
      </c>
      <c r="AC509" t="n">
        <v>0.0</v>
      </c>
      <c r="AD509" t="n">
        <v>0.0</v>
      </c>
      <c r="AE509" t="n">
        <v>0.0</v>
      </c>
      <c r="AF509" t="n">
        <v>51000.0</v>
      </c>
      <c r="AG509" t="n">
        <v>0.0</v>
      </c>
      <c r="AH509" t="n">
        <v>0.0</v>
      </c>
      <c r="AI509" t="n">
        <v>0.0</v>
      </c>
      <c r="AJ509" t="n">
        <v>0.0</v>
      </c>
      <c r="AK509" t="n">
        <v>0.0</v>
      </c>
      <c r="AL509" t="n">
        <v>0.0</v>
      </c>
      <c r="AM509" t="n">
        <v>0.0</v>
      </c>
      <c r="AN509" t="n">
        <v>0.0</v>
      </c>
      <c r="AO509" t="n">
        <v>418283.0</v>
      </c>
      <c r="AP509" t="n">
        <v>41829.0</v>
      </c>
      <c r="AQ509" t="n">
        <v>31155.5</v>
      </c>
      <c r="CH509">
        <f>IFERROR(U509*1,0)</f>
      </c>
    </row>
    <row r="510">
      <c r="A510" t="n">
        <v>8.0</v>
      </c>
      <c r="B510">
        <f>IF((K510-G510-H510&gt;2400000),10,(L510/(K510-G510-H510)*100))</f>
      </c>
      <c r="C510">
        <f>IF(N510&gt;2400000,240000,(N510*S510)/100)</f>
      </c>
      <c r="D510">
        <f>IF(S510=0,0,IF((N510-I510)&gt;2400000,((((((N510-I510-J510)-240000))*0.1+(I510+J510)*0.1)))-7000,((((((N510-I510-J510)-(N510-I510-J510)*S510/100)))*0.1+(I510+J510)*0.1)-7000)))</f>
      </c>
      <c r="E510">
        <f>C510-O510</f>
      </c>
      <c r="F510">
        <f>D510-P510</f>
      </c>
      <c r="G510">
        <f>SUMIF(negtgel!U$2:BL$2,'Tsalin uzuulelt'!B$1,negtgel!U510:BL510) + SUMIF(negtgel!U$2:BL$2,'Tsalin uzuulelt'!B$2,negtgel!U510:BL510)+SUMIF(negtgel!U$2:BL$2,'Tsalin uzuulelt'!B$3,negtgel!U510:BL510)+SUMIF(negtgel!U$2:BL$2,'Tsalin uzuulelt'!B$4,negtgel!U510:BL510)+SUMIF(negtgel!U$2:BL$2,'Tsalin uzuulelt'!B$5,negtgel!U510:BL510)</f>
      </c>
      <c r="H510">
        <f>SUMIF(negtgel!U$2:BL$2,'Tsalin uzuulelt'!F$1,negtgel!U510:BL510) + SUMIF(negtgel!U$2:BL$2,'Tsalin uzuulelt'!F$2,negtgel!U510:BL510)+SUMIF(negtgel!U$2:BL$2,'Tsalin uzuulelt'!F$3,negtgel!U510:BL510)+SUMIF(negtgel!U$2:BL$2,'Tsalin uzuulelt'!F$4,negtgel!U510:BL510)+SUMIF(negtgel!U$2:BL$2,'Tsalin uzuulelt'!F$5,negtgel!U510:BL510)</f>
      </c>
      <c r="I510">
        <f>SUMIF(negtgel!U$2:BL$2,'Tsalin uzuulelt'!H$1,negtgel!U510:BL510) + SUMIF(negtgel!U$2:BL$2,'Tsalin uzuulelt'!H$2,negtgel!U510:BL510)+SUMIF(negtgel!U$2:BL$2,'Tsalin uzuulelt'!H$3,negtgel!U510:BL510)+SUMIF(negtgel!U$2:BL$2,'Tsalin uzuulelt'!H$4,negtgel!U510:BL510)+SUMIF(negtgel!U$2:BL$2,'Tsalin uzuulelt'!H$5,negtgel!U510:BL510)</f>
      </c>
      <c r="J510">
        <f>SUMIF(negtgel!U$2:BL$2,'Tsalin uzuulelt'!J$1,negtgel!U510:BL510) + SUMIF(negtgel!U$2:BL$2,'Tsalin uzuulelt'!J$2,negtgel!U510:BL510)+SUMIF(negtgel!U$2:BL$2,'Tsalin uzuulelt'!J$3,negtgel!U510:BL510)+SUMIF(negtgel!U$2:BL$2,'Tsalin uzuulelt'!J$4,negtgel!U510:BL510)+SUMIF(negtgel!U$2:BL$2,'Tsalin uzuulelt'!J$5,negtgel!U510:BL510)</f>
      </c>
      <c r="K510">
        <f>SUMIF(negtgel!U$2:BL$2,'Tsalin uzuulelt'!L$1,negtgel!U510:BL510) + SUMIF(negtgel!U$2:BL$2,'Tsalin uzuulelt'!L$2,negtgel!U510:BL510)+SUMIF(negtgel!U$2:BL$2,'Tsalin uzuulelt'!L$3,negtgel!U510:BL510)+SUMIF(negtgel!U$2:BL$2,'Tsalin uzuulelt'!L$4,negtgel!U510:BL510)+SUMIF(negtgel!U$2:BL$2,'Tsalin uzuulelt'!L$5,negtgel!U510:BL510)</f>
      </c>
      <c r="L510">
        <f>SUMIF(negtgel!U$2:BL$2,'Tsalin uzuulelt'!N$1,negtgel!U510:BL510) + SUMIF(negtgel!U$2:BL$2,'Tsalin uzuulelt'!N$2,negtgel!U510:BL510)+SUMIF(negtgel!U$2:BL$2,'Tsalin uzuulelt'!N$3,negtgel!U510:BL510)+SUMIF(negtgel!U$2:BL$2,'Tsalin uzuulelt'!N$4,negtgel!U510:BL510)+SUMIF(negtgel!U$2:BL$2,'Tsalin uzuulelt'!N$5,negtgel!U510:BL510)</f>
      </c>
      <c r="M510">
        <f>SUMIF(negtgel!U$2:BL$2,'Tsalin uzuulelt'!P$1,negtgel!U510:BL510) + SUMIF(negtgel!U$2:BL$2,'Tsalin uzuulelt'!P$2,negtgel!U510:BL510)+ SUMIF(negtgel!U$2:BL$2,'Tsalin uzuulelt'!P$3,negtgel!U510:BL510)+ SUMIF(negtgel!U$2:BL$2,'Tsalin uzuulelt'!P$4,negtgel!U510:BL510)+ SUMIF(negtgel!U$2:BL$2,'Tsalin uzuulelt'!P$5,negtgel!U510:BL510)</f>
      </c>
      <c r="N510">
        <f>IF(ISNUMBER(U510*1)=CF510,0,K510-H510-G510)</f>
      </c>
      <c r="O510">
        <f>IF(ISNUMBER(U510*1)=CF510,0,L510)</f>
      </c>
      <c r="P510">
        <f>IF(ISNUMBER(U510*1)=CF510,0,M510)</f>
      </c>
      <c r="Q510">
        <f>IF(N510&gt;2400000,N510,0)</f>
      </c>
      <c r="R510">
        <f>IF(L510/Q510*100&lt;3,2,10)</f>
      </c>
      <c r="S510">
        <f>IF(CH510=0,0,IF(B510&gt;9,10,IF(B510&gt;8,B510,IF(B510&gt;7.7,7.8,IF(B510&gt;3,B510,IF(B510&gt;1.5,2))))))</f>
      </c>
      <c r="T510">
        <f>IF(Q510=0,S510,R510)</f>
      </c>
      <c r="U510" t="n">
        <v>56.0</v>
      </c>
      <c r="V510" t="s">
        <v>3803</v>
      </c>
      <c r="W510" t="s">
        <v>3790</v>
      </c>
      <c r="X510" t="n">
        <v>733863.0</v>
      </c>
      <c r="Y510" t="n">
        <v>414792.0</v>
      </c>
      <c r="Z510" t="n">
        <v>82958.0</v>
      </c>
      <c r="AA510" t="n">
        <v>82958.0</v>
      </c>
      <c r="AB510" t="n">
        <v>0.0</v>
      </c>
      <c r="AC510" t="n">
        <v>62219.0</v>
      </c>
      <c r="AD510" t="n">
        <v>0.0</v>
      </c>
      <c r="AE510" t="n">
        <v>0.0</v>
      </c>
      <c r="AF510" t="n">
        <v>39000.0</v>
      </c>
      <c r="AG510" t="n">
        <v>0.0</v>
      </c>
      <c r="AH510" t="n">
        <v>0.0</v>
      </c>
      <c r="AI510" t="n">
        <v>0.0</v>
      </c>
      <c r="AJ510" t="n">
        <v>0.0</v>
      </c>
      <c r="AK510" t="n">
        <v>0.0</v>
      </c>
      <c r="AL510" t="n">
        <v>0.0</v>
      </c>
      <c r="AM510" t="n">
        <v>0.0</v>
      </c>
      <c r="AN510" t="n">
        <v>0.0</v>
      </c>
      <c r="AO510" t="n">
        <v>681927.0</v>
      </c>
      <c r="AP510" t="n">
        <v>68193.0</v>
      </c>
      <c r="AQ510" t="n">
        <v>54763.4</v>
      </c>
      <c r="CH510">
        <f>IFERROR(U510*1,0)</f>
      </c>
    </row>
    <row r="511">
      <c r="A511" t="n">
        <v>8.0</v>
      </c>
      <c r="B511">
        <f>IF((K511-G511-H511&gt;2400000),10,(L511/(K511-G511-H511)*100))</f>
      </c>
      <c r="C511">
        <f>IF(N511&gt;2400000,240000,(N511*S511)/100)</f>
      </c>
      <c r="D511">
        <f>IF(S511=0,0,IF((N511-I511)&gt;2400000,((((((N511-I511-J511)-240000))*0.1+(I511+J511)*0.1)))-7000,((((((N511-I511-J511)-(N511-I511-J511)*S511/100)))*0.1+(I511+J511)*0.1)-7000)))</f>
      </c>
      <c r="E511">
        <f>C511-O511</f>
      </c>
      <c r="F511">
        <f>D511-P511</f>
      </c>
      <c r="G511">
        <f>SUMIF(negtgel!U$2:BL$2,'Tsalin uzuulelt'!B$1,negtgel!U511:BL511) + SUMIF(negtgel!U$2:BL$2,'Tsalin uzuulelt'!B$2,negtgel!U511:BL511)+SUMIF(negtgel!U$2:BL$2,'Tsalin uzuulelt'!B$3,negtgel!U511:BL511)+SUMIF(negtgel!U$2:BL$2,'Tsalin uzuulelt'!B$4,negtgel!U511:BL511)+SUMIF(negtgel!U$2:BL$2,'Tsalin uzuulelt'!B$5,negtgel!U511:BL511)</f>
      </c>
      <c r="H511">
        <f>SUMIF(negtgel!U$2:BL$2,'Tsalin uzuulelt'!F$1,negtgel!U511:BL511) + SUMIF(negtgel!U$2:BL$2,'Tsalin uzuulelt'!F$2,negtgel!U511:BL511)+SUMIF(negtgel!U$2:BL$2,'Tsalin uzuulelt'!F$3,negtgel!U511:BL511)+SUMIF(negtgel!U$2:BL$2,'Tsalin uzuulelt'!F$4,negtgel!U511:BL511)+SUMIF(negtgel!U$2:BL$2,'Tsalin uzuulelt'!F$5,negtgel!U511:BL511)</f>
      </c>
      <c r="I511">
        <f>SUMIF(negtgel!U$2:BL$2,'Tsalin uzuulelt'!H$1,negtgel!U511:BL511) + SUMIF(negtgel!U$2:BL$2,'Tsalin uzuulelt'!H$2,negtgel!U511:BL511)+SUMIF(negtgel!U$2:BL$2,'Tsalin uzuulelt'!H$3,negtgel!U511:BL511)+SUMIF(negtgel!U$2:BL$2,'Tsalin uzuulelt'!H$4,negtgel!U511:BL511)+SUMIF(negtgel!U$2:BL$2,'Tsalin uzuulelt'!H$5,negtgel!U511:BL511)</f>
      </c>
      <c r="J511">
        <f>SUMIF(negtgel!U$2:BL$2,'Tsalin uzuulelt'!J$1,negtgel!U511:BL511) + SUMIF(negtgel!U$2:BL$2,'Tsalin uzuulelt'!J$2,negtgel!U511:BL511)+SUMIF(negtgel!U$2:BL$2,'Tsalin uzuulelt'!J$3,negtgel!U511:BL511)+SUMIF(negtgel!U$2:BL$2,'Tsalin uzuulelt'!J$4,negtgel!U511:BL511)+SUMIF(negtgel!U$2:BL$2,'Tsalin uzuulelt'!J$5,negtgel!U511:BL511)</f>
      </c>
      <c r="K511">
        <f>SUMIF(negtgel!U$2:BL$2,'Tsalin uzuulelt'!L$1,negtgel!U511:BL511) + SUMIF(negtgel!U$2:BL$2,'Tsalin uzuulelt'!L$2,negtgel!U511:BL511)+SUMIF(negtgel!U$2:BL$2,'Tsalin uzuulelt'!L$3,negtgel!U511:BL511)+SUMIF(negtgel!U$2:BL$2,'Tsalin uzuulelt'!L$4,negtgel!U511:BL511)+SUMIF(negtgel!U$2:BL$2,'Tsalin uzuulelt'!L$5,negtgel!U511:BL511)</f>
      </c>
      <c r="L511">
        <f>SUMIF(negtgel!U$2:BL$2,'Tsalin uzuulelt'!N$1,negtgel!U511:BL511) + SUMIF(negtgel!U$2:BL$2,'Tsalin uzuulelt'!N$2,negtgel!U511:BL511)+SUMIF(negtgel!U$2:BL$2,'Tsalin uzuulelt'!N$3,negtgel!U511:BL511)+SUMIF(negtgel!U$2:BL$2,'Tsalin uzuulelt'!N$4,negtgel!U511:BL511)+SUMIF(negtgel!U$2:BL$2,'Tsalin uzuulelt'!N$5,negtgel!U511:BL511)</f>
      </c>
      <c r="M511">
        <f>SUMIF(negtgel!U$2:BL$2,'Tsalin uzuulelt'!P$1,negtgel!U511:BL511) + SUMIF(negtgel!U$2:BL$2,'Tsalin uzuulelt'!P$2,negtgel!U511:BL511)+ SUMIF(negtgel!U$2:BL$2,'Tsalin uzuulelt'!P$3,negtgel!U511:BL511)+ SUMIF(negtgel!U$2:BL$2,'Tsalin uzuulelt'!P$4,negtgel!U511:BL511)+ SUMIF(negtgel!U$2:BL$2,'Tsalin uzuulelt'!P$5,negtgel!U511:BL511)</f>
      </c>
      <c r="N511">
        <f>IF(ISNUMBER(U511*1)=CF511,0,K511-H511-G511)</f>
      </c>
      <c r="O511">
        <f>IF(ISNUMBER(U511*1)=CF511,0,L511)</f>
      </c>
      <c r="P511">
        <f>IF(ISNUMBER(U511*1)=CF511,0,M511)</f>
      </c>
      <c r="Q511">
        <f>IF(N511&gt;2400000,N511,0)</f>
      </c>
      <c r="R511">
        <f>IF(L511/Q511*100&lt;3,2,10)</f>
      </c>
      <c r="S511">
        <f>IF(CH511=0,0,IF(B511&gt;9,10,IF(B511&gt;8,B511,IF(B511&gt;7.7,7.8,IF(B511&gt;3,B511,IF(B511&gt;1.5,2))))))</f>
      </c>
      <c r="T511">
        <f>IF(Q511=0,S511,R511)</f>
      </c>
      <c r="U511" t="s">
        <v>3787</v>
      </c>
      <c r="V511"/>
      <c r="W511"/>
      <c r="X511" t="n">
        <v>6203485.0</v>
      </c>
      <c r="Y511" t="n">
        <v>3602013.0</v>
      </c>
      <c r="Z511" t="n">
        <v>278936.0</v>
      </c>
      <c r="AA511" t="n">
        <v>382060.0</v>
      </c>
      <c r="AB511" t="n">
        <v>0.0</v>
      </c>
      <c r="AC511" t="n">
        <v>110818.0</v>
      </c>
      <c r="AD511" t="n">
        <v>0.0</v>
      </c>
      <c r="AE511" t="n">
        <v>0.0</v>
      </c>
      <c r="AF511" t="n">
        <v>408000.0</v>
      </c>
      <c r="AG511" t="n">
        <v>0.0</v>
      </c>
      <c r="AH511" t="n">
        <v>0.0</v>
      </c>
      <c r="AI511" t="n">
        <v>0.0</v>
      </c>
      <c r="AJ511" t="n">
        <v>534475.0</v>
      </c>
      <c r="AK511" t="n">
        <v>0.0</v>
      </c>
      <c r="AL511" t="n">
        <v>0.0</v>
      </c>
      <c r="AM511" t="n">
        <v>0.0</v>
      </c>
      <c r="AN511" t="n">
        <v>0.0</v>
      </c>
      <c r="AO511" t="n">
        <v>5316302.0</v>
      </c>
      <c r="AP511" t="n">
        <v>531633.0</v>
      </c>
      <c r="AQ511" t="n">
        <v>419547.2</v>
      </c>
      <c r="CH511">
        <f>IFERROR(U511*1,0)</f>
      </c>
    </row>
    <row r="512">
      <c r="A512" t="n">
        <v>8.0</v>
      </c>
      <c r="B512">
        <f>IF((K512-G512-H512&gt;2400000),10,(L512/(K512-G512-H512)*100))</f>
      </c>
      <c r="C512">
        <f>IF(N512&gt;2400000,240000,(N512*S512)/100)</f>
      </c>
      <c r="D512">
        <f>IF(S512=0,0,IF((N512-I512)&gt;2400000,((((((N512-I512-J512)-240000))*0.1+(I512+J512)*0.1)))-7000,((((((N512-I512-J512)-(N512-I512-J512)*S512/100)))*0.1+(I512+J512)*0.1)-7000)))</f>
      </c>
      <c r="E512">
        <f>C512-O512</f>
      </c>
      <c r="F512">
        <f>D512-P512</f>
      </c>
      <c r="G512">
        <f>SUMIF(negtgel!U$2:BL$2,'Tsalin uzuulelt'!B$1,negtgel!U512:BL512) + SUMIF(negtgel!U$2:BL$2,'Tsalin uzuulelt'!B$2,negtgel!U512:BL512)+SUMIF(negtgel!U$2:BL$2,'Tsalin uzuulelt'!B$3,negtgel!U512:BL512)+SUMIF(negtgel!U$2:BL$2,'Tsalin uzuulelt'!B$4,negtgel!U512:BL512)+SUMIF(negtgel!U$2:BL$2,'Tsalin uzuulelt'!B$5,negtgel!U512:BL512)</f>
      </c>
      <c r="H512">
        <f>SUMIF(negtgel!U$2:BL$2,'Tsalin uzuulelt'!F$1,negtgel!U512:BL512) + SUMIF(negtgel!U$2:BL$2,'Tsalin uzuulelt'!F$2,negtgel!U512:BL512)+SUMIF(negtgel!U$2:BL$2,'Tsalin uzuulelt'!F$3,negtgel!U512:BL512)+SUMIF(negtgel!U$2:BL$2,'Tsalin uzuulelt'!F$4,negtgel!U512:BL512)+SUMIF(negtgel!U$2:BL$2,'Tsalin uzuulelt'!F$5,negtgel!U512:BL512)</f>
      </c>
      <c r="I512">
        <f>SUMIF(negtgel!U$2:BL$2,'Tsalin uzuulelt'!H$1,negtgel!U512:BL512) + SUMIF(negtgel!U$2:BL$2,'Tsalin uzuulelt'!H$2,negtgel!U512:BL512)+SUMIF(negtgel!U$2:BL$2,'Tsalin uzuulelt'!H$3,negtgel!U512:BL512)+SUMIF(negtgel!U$2:BL$2,'Tsalin uzuulelt'!H$4,negtgel!U512:BL512)+SUMIF(negtgel!U$2:BL$2,'Tsalin uzuulelt'!H$5,negtgel!U512:BL512)</f>
      </c>
      <c r="J512">
        <f>SUMIF(negtgel!U$2:BL$2,'Tsalin uzuulelt'!J$1,negtgel!U512:BL512) + SUMIF(negtgel!U$2:BL$2,'Tsalin uzuulelt'!J$2,negtgel!U512:BL512)+SUMIF(negtgel!U$2:BL$2,'Tsalin uzuulelt'!J$3,negtgel!U512:BL512)+SUMIF(negtgel!U$2:BL$2,'Tsalin uzuulelt'!J$4,negtgel!U512:BL512)+SUMIF(negtgel!U$2:BL$2,'Tsalin uzuulelt'!J$5,negtgel!U512:BL512)</f>
      </c>
      <c r="K512">
        <f>SUMIF(negtgel!U$2:BL$2,'Tsalin uzuulelt'!L$1,negtgel!U512:BL512) + SUMIF(negtgel!U$2:BL$2,'Tsalin uzuulelt'!L$2,negtgel!U512:BL512)+SUMIF(negtgel!U$2:BL$2,'Tsalin uzuulelt'!L$3,negtgel!U512:BL512)+SUMIF(negtgel!U$2:BL$2,'Tsalin uzuulelt'!L$4,negtgel!U512:BL512)+SUMIF(negtgel!U$2:BL$2,'Tsalin uzuulelt'!L$5,negtgel!U512:BL512)</f>
      </c>
      <c r="L512">
        <f>SUMIF(negtgel!U$2:BL$2,'Tsalin uzuulelt'!N$1,negtgel!U512:BL512) + SUMIF(negtgel!U$2:BL$2,'Tsalin uzuulelt'!N$2,negtgel!U512:BL512)+SUMIF(negtgel!U$2:BL$2,'Tsalin uzuulelt'!N$3,negtgel!U512:BL512)+SUMIF(negtgel!U$2:BL$2,'Tsalin uzuulelt'!N$4,negtgel!U512:BL512)+SUMIF(negtgel!U$2:BL$2,'Tsalin uzuulelt'!N$5,negtgel!U512:BL512)</f>
      </c>
      <c r="M512">
        <f>SUMIF(negtgel!U$2:BL$2,'Tsalin uzuulelt'!P$1,negtgel!U512:BL512) + SUMIF(negtgel!U$2:BL$2,'Tsalin uzuulelt'!P$2,negtgel!U512:BL512)+ SUMIF(negtgel!U$2:BL$2,'Tsalin uzuulelt'!P$3,negtgel!U512:BL512)+ SUMIF(negtgel!U$2:BL$2,'Tsalin uzuulelt'!P$4,negtgel!U512:BL512)+ SUMIF(negtgel!U$2:BL$2,'Tsalin uzuulelt'!P$5,negtgel!U512:BL512)</f>
      </c>
      <c r="N512">
        <f>IF(ISNUMBER(U512*1)=CF512,0,K512-H512-G512)</f>
      </c>
      <c r="O512">
        <f>IF(ISNUMBER(U512*1)=CF512,0,L512)</f>
      </c>
      <c r="P512">
        <f>IF(ISNUMBER(U512*1)=CF512,0,M512)</f>
      </c>
      <c r="Q512">
        <f>IF(N512&gt;2400000,N512,0)</f>
      </c>
      <c r="R512">
        <f>IF(L512/Q512*100&lt;3,2,10)</f>
      </c>
      <c r="S512">
        <f>IF(CH512=0,0,IF(B512&gt;9,10,IF(B512&gt;8,B512,IF(B512&gt;7.7,7.8,IF(B512&gt;3,B512,IF(B512&gt;1.5,2))))))</f>
      </c>
      <c r="T512">
        <f>IF(Q512=0,S512,R512)</f>
      </c>
      <c r="U512" t="s">
        <v>3804</v>
      </c>
      <c r="V512"/>
      <c r="W512"/>
      <c r="X512"/>
      <c r="Y512"/>
      <c r="Z512"/>
      <c r="AA512"/>
      <c r="AB512"/>
      <c r="AC512"/>
      <c r="AD512"/>
      <c r="AE512"/>
      <c r="AF512"/>
      <c r="AG512"/>
      <c r="AH512"/>
      <c r="AI512"/>
      <c r="AJ512"/>
      <c r="AK512"/>
      <c r="AL512"/>
      <c r="AM512"/>
      <c r="AN512"/>
      <c r="AO512"/>
      <c r="AP512"/>
      <c r="AQ512"/>
      <c r="CH512">
        <f>IFERROR(U512*1,0)</f>
      </c>
    </row>
    <row r="513">
      <c r="A513" t="n">
        <v>8.0</v>
      </c>
      <c r="B513">
        <f>IF((K513-G513-H513&gt;2400000),10,(L513/(K513-G513-H513)*100))</f>
      </c>
      <c r="C513">
        <f>IF(N513&gt;2400000,240000,(N513*S513)/100)</f>
      </c>
      <c r="D513">
        <f>IF(S513=0,0,IF((N513-I513)&gt;2400000,((((((N513-I513-J513)-240000))*0.1+(I513+J513)*0.1)))-7000,((((((N513-I513-J513)-(N513-I513-J513)*S513/100)))*0.1+(I513+J513)*0.1)-7000)))</f>
      </c>
      <c r="E513">
        <f>C513-O513</f>
      </c>
      <c r="F513">
        <f>D513-P513</f>
      </c>
      <c r="G513">
        <f>SUMIF(negtgel!U$2:BL$2,'Tsalin uzuulelt'!B$1,negtgel!U513:BL513) + SUMIF(negtgel!U$2:BL$2,'Tsalin uzuulelt'!B$2,negtgel!U513:BL513)+SUMIF(negtgel!U$2:BL$2,'Tsalin uzuulelt'!B$3,negtgel!U513:BL513)+SUMIF(negtgel!U$2:BL$2,'Tsalin uzuulelt'!B$4,negtgel!U513:BL513)+SUMIF(negtgel!U$2:BL$2,'Tsalin uzuulelt'!B$5,negtgel!U513:BL513)</f>
      </c>
      <c r="H513">
        <f>SUMIF(negtgel!U$2:BL$2,'Tsalin uzuulelt'!F$1,negtgel!U513:BL513) + SUMIF(negtgel!U$2:BL$2,'Tsalin uzuulelt'!F$2,negtgel!U513:BL513)+SUMIF(negtgel!U$2:BL$2,'Tsalin uzuulelt'!F$3,negtgel!U513:BL513)+SUMIF(negtgel!U$2:BL$2,'Tsalin uzuulelt'!F$4,negtgel!U513:BL513)+SUMIF(negtgel!U$2:BL$2,'Tsalin uzuulelt'!F$5,negtgel!U513:BL513)</f>
      </c>
      <c r="I513">
        <f>SUMIF(negtgel!U$2:BL$2,'Tsalin uzuulelt'!H$1,negtgel!U513:BL513) + SUMIF(negtgel!U$2:BL$2,'Tsalin uzuulelt'!H$2,negtgel!U513:BL513)+SUMIF(negtgel!U$2:BL$2,'Tsalin uzuulelt'!H$3,negtgel!U513:BL513)+SUMIF(negtgel!U$2:BL$2,'Tsalin uzuulelt'!H$4,negtgel!U513:BL513)+SUMIF(negtgel!U$2:BL$2,'Tsalin uzuulelt'!H$5,negtgel!U513:BL513)</f>
      </c>
      <c r="J513">
        <f>SUMIF(negtgel!U$2:BL$2,'Tsalin uzuulelt'!J$1,negtgel!U513:BL513) + SUMIF(negtgel!U$2:BL$2,'Tsalin uzuulelt'!J$2,negtgel!U513:BL513)+SUMIF(negtgel!U$2:BL$2,'Tsalin uzuulelt'!J$3,negtgel!U513:BL513)+SUMIF(negtgel!U$2:BL$2,'Tsalin uzuulelt'!J$4,negtgel!U513:BL513)+SUMIF(negtgel!U$2:BL$2,'Tsalin uzuulelt'!J$5,negtgel!U513:BL513)</f>
      </c>
      <c r="K513">
        <f>SUMIF(negtgel!U$2:BL$2,'Tsalin uzuulelt'!L$1,negtgel!U513:BL513) + SUMIF(negtgel!U$2:BL$2,'Tsalin uzuulelt'!L$2,negtgel!U513:BL513)+SUMIF(negtgel!U$2:BL$2,'Tsalin uzuulelt'!L$3,negtgel!U513:BL513)+SUMIF(negtgel!U$2:BL$2,'Tsalin uzuulelt'!L$4,negtgel!U513:BL513)+SUMIF(negtgel!U$2:BL$2,'Tsalin uzuulelt'!L$5,negtgel!U513:BL513)</f>
      </c>
      <c r="L513">
        <f>SUMIF(negtgel!U$2:BL$2,'Tsalin uzuulelt'!N$1,negtgel!U513:BL513) + SUMIF(negtgel!U$2:BL$2,'Tsalin uzuulelt'!N$2,negtgel!U513:BL513)+SUMIF(negtgel!U$2:BL$2,'Tsalin uzuulelt'!N$3,negtgel!U513:BL513)+SUMIF(negtgel!U$2:BL$2,'Tsalin uzuulelt'!N$4,negtgel!U513:BL513)+SUMIF(negtgel!U$2:BL$2,'Tsalin uzuulelt'!N$5,negtgel!U513:BL513)</f>
      </c>
      <c r="M513">
        <f>SUMIF(negtgel!U$2:BL$2,'Tsalin uzuulelt'!P$1,negtgel!U513:BL513) + SUMIF(negtgel!U$2:BL$2,'Tsalin uzuulelt'!P$2,negtgel!U513:BL513)+ SUMIF(negtgel!U$2:BL$2,'Tsalin uzuulelt'!P$3,negtgel!U513:BL513)+ SUMIF(negtgel!U$2:BL$2,'Tsalin uzuulelt'!P$4,negtgel!U513:BL513)+ SUMIF(negtgel!U$2:BL$2,'Tsalin uzuulelt'!P$5,negtgel!U513:BL513)</f>
      </c>
      <c r="N513">
        <f>IF(ISNUMBER(U513*1)=CF513,0,K513-H513-G513)</f>
      </c>
      <c r="O513">
        <f>IF(ISNUMBER(U513*1)=CF513,0,L513)</f>
      </c>
      <c r="P513">
        <f>IF(ISNUMBER(U513*1)=CF513,0,M513)</f>
      </c>
      <c r="Q513">
        <f>IF(N513&gt;2400000,N513,0)</f>
      </c>
      <c r="R513">
        <f>IF(L513/Q513*100&lt;3,2,10)</f>
      </c>
      <c r="S513">
        <f>IF(CH513=0,0,IF(B513&gt;9,10,IF(B513&gt;8,B513,IF(B513&gt;7.7,7.8,IF(B513&gt;3,B513,IF(B513&gt;1.5,2))))))</f>
      </c>
      <c r="T513">
        <f>IF(Q513=0,S513,R513)</f>
      </c>
      <c r="U513" t="n">
        <v>57.0</v>
      </c>
      <c r="V513" t="s">
        <v>3805</v>
      </c>
      <c r="W513" t="s">
        <v>3790</v>
      </c>
      <c r="X513" t="n">
        <v>645556.0</v>
      </c>
      <c r="Y513" t="n">
        <v>140338.0</v>
      </c>
      <c r="Z513" t="n">
        <v>14034.0</v>
      </c>
      <c r="AA513" t="n">
        <v>23857.0</v>
      </c>
      <c r="AB513" t="n">
        <v>0.0</v>
      </c>
      <c r="AC513" t="n">
        <v>0.0</v>
      </c>
      <c r="AD513" t="n">
        <v>0.0</v>
      </c>
      <c r="AE513" t="n">
        <v>0.0</v>
      </c>
      <c r="AF513" t="n">
        <v>15000.0</v>
      </c>
      <c r="AG513" t="n">
        <v>0.0</v>
      </c>
      <c r="AH513" t="n">
        <v>0.0</v>
      </c>
      <c r="AI513" t="n">
        <v>0.0</v>
      </c>
      <c r="AJ513" t="n">
        <v>0.0</v>
      </c>
      <c r="AK513" t="n">
        <v>0.0</v>
      </c>
      <c r="AL513" t="n">
        <v>0.0</v>
      </c>
      <c r="AM513" t="n">
        <v>0.0</v>
      </c>
      <c r="AN513" t="n">
        <v>0.0</v>
      </c>
      <c r="AO513" t="n">
        <v>193229.0</v>
      </c>
      <c r="AP513" t="n">
        <v>19323.0</v>
      </c>
      <c r="AQ513" t="n">
        <v>10540.6</v>
      </c>
      <c r="CH513">
        <f>IFERROR(U513*1,0)</f>
      </c>
    </row>
    <row r="514">
      <c r="A514" t="n">
        <v>8.0</v>
      </c>
      <c r="B514">
        <f>IF((K514-G514-H514&gt;2400000),10,(L514/(K514-G514-H514)*100))</f>
      </c>
      <c r="C514">
        <f>IF(N514&gt;2400000,240000,(N514*S514)/100)</f>
      </c>
      <c r="D514">
        <f>IF(S514=0,0,IF((N514-I514)&gt;2400000,((((((N514-I514-J514)-240000))*0.1+(I514+J514)*0.1)))-7000,((((((N514-I514-J514)-(N514-I514-J514)*S514/100)))*0.1+(I514+J514)*0.1)-7000)))</f>
      </c>
      <c r="E514">
        <f>C514-O514</f>
      </c>
      <c r="F514">
        <f>D514-P514</f>
      </c>
      <c r="G514">
        <f>SUMIF(negtgel!U$2:BL$2,'Tsalin uzuulelt'!B$1,negtgel!U514:BL514) + SUMIF(negtgel!U$2:BL$2,'Tsalin uzuulelt'!B$2,negtgel!U514:BL514)+SUMIF(negtgel!U$2:BL$2,'Tsalin uzuulelt'!B$3,negtgel!U514:BL514)+SUMIF(negtgel!U$2:BL$2,'Tsalin uzuulelt'!B$4,negtgel!U514:BL514)+SUMIF(negtgel!U$2:BL$2,'Tsalin uzuulelt'!B$5,negtgel!U514:BL514)</f>
      </c>
      <c r="H514">
        <f>SUMIF(negtgel!U$2:BL$2,'Tsalin uzuulelt'!F$1,negtgel!U514:BL514) + SUMIF(negtgel!U$2:BL$2,'Tsalin uzuulelt'!F$2,negtgel!U514:BL514)+SUMIF(negtgel!U$2:BL$2,'Tsalin uzuulelt'!F$3,negtgel!U514:BL514)+SUMIF(negtgel!U$2:BL$2,'Tsalin uzuulelt'!F$4,negtgel!U514:BL514)+SUMIF(negtgel!U$2:BL$2,'Tsalin uzuulelt'!F$5,negtgel!U514:BL514)</f>
      </c>
      <c r="I514">
        <f>SUMIF(negtgel!U$2:BL$2,'Tsalin uzuulelt'!H$1,negtgel!U514:BL514) + SUMIF(negtgel!U$2:BL$2,'Tsalin uzuulelt'!H$2,negtgel!U514:BL514)+SUMIF(negtgel!U$2:BL$2,'Tsalin uzuulelt'!H$3,negtgel!U514:BL514)+SUMIF(negtgel!U$2:BL$2,'Tsalin uzuulelt'!H$4,negtgel!U514:BL514)+SUMIF(negtgel!U$2:BL$2,'Tsalin uzuulelt'!H$5,negtgel!U514:BL514)</f>
      </c>
      <c r="J514">
        <f>SUMIF(negtgel!U$2:BL$2,'Tsalin uzuulelt'!J$1,negtgel!U514:BL514) + SUMIF(negtgel!U$2:BL$2,'Tsalin uzuulelt'!J$2,negtgel!U514:BL514)+SUMIF(negtgel!U$2:BL$2,'Tsalin uzuulelt'!J$3,negtgel!U514:BL514)+SUMIF(negtgel!U$2:BL$2,'Tsalin uzuulelt'!J$4,negtgel!U514:BL514)+SUMIF(negtgel!U$2:BL$2,'Tsalin uzuulelt'!J$5,negtgel!U514:BL514)</f>
      </c>
      <c r="K514">
        <f>SUMIF(negtgel!U$2:BL$2,'Tsalin uzuulelt'!L$1,negtgel!U514:BL514) + SUMIF(negtgel!U$2:BL$2,'Tsalin uzuulelt'!L$2,negtgel!U514:BL514)+SUMIF(negtgel!U$2:BL$2,'Tsalin uzuulelt'!L$3,negtgel!U514:BL514)+SUMIF(negtgel!U$2:BL$2,'Tsalin uzuulelt'!L$4,negtgel!U514:BL514)+SUMIF(negtgel!U$2:BL$2,'Tsalin uzuulelt'!L$5,negtgel!U514:BL514)</f>
      </c>
      <c r="L514">
        <f>SUMIF(negtgel!U$2:BL$2,'Tsalin uzuulelt'!N$1,negtgel!U514:BL514) + SUMIF(negtgel!U$2:BL$2,'Tsalin uzuulelt'!N$2,negtgel!U514:BL514)+SUMIF(negtgel!U$2:BL$2,'Tsalin uzuulelt'!N$3,negtgel!U514:BL514)+SUMIF(negtgel!U$2:BL$2,'Tsalin uzuulelt'!N$4,negtgel!U514:BL514)+SUMIF(negtgel!U$2:BL$2,'Tsalin uzuulelt'!N$5,negtgel!U514:BL514)</f>
      </c>
      <c r="M514">
        <f>SUMIF(negtgel!U$2:BL$2,'Tsalin uzuulelt'!P$1,negtgel!U514:BL514) + SUMIF(negtgel!U$2:BL$2,'Tsalin uzuulelt'!P$2,negtgel!U514:BL514)+ SUMIF(negtgel!U$2:BL$2,'Tsalin uzuulelt'!P$3,negtgel!U514:BL514)+ SUMIF(negtgel!U$2:BL$2,'Tsalin uzuulelt'!P$4,negtgel!U514:BL514)+ SUMIF(negtgel!U$2:BL$2,'Tsalin uzuulelt'!P$5,negtgel!U514:BL514)</f>
      </c>
      <c r="N514">
        <f>IF(ISNUMBER(U514*1)=CF514,0,K514-H514-G514)</f>
      </c>
      <c r="O514">
        <f>IF(ISNUMBER(U514*1)=CF514,0,L514)</f>
      </c>
      <c r="P514">
        <f>IF(ISNUMBER(U514*1)=CF514,0,M514)</f>
      </c>
      <c r="Q514">
        <f>IF(N514&gt;2400000,N514,0)</f>
      </c>
      <c r="R514">
        <f>IF(L514/Q514*100&lt;3,2,10)</f>
      </c>
      <c r="S514">
        <f>IF(CH514=0,0,IF(B514&gt;9,10,IF(B514&gt;8,B514,IF(B514&gt;7.7,7.8,IF(B514&gt;3,B514,IF(B514&gt;1.5,2))))))</f>
      </c>
      <c r="T514">
        <f>IF(Q514=0,S514,R514)</f>
      </c>
      <c r="U514" t="n">
        <v>58.0</v>
      </c>
      <c r="V514" t="s">
        <v>3851</v>
      </c>
      <c r="W514" t="s">
        <v>3790</v>
      </c>
      <c r="X514" t="n">
        <v>580710.0</v>
      </c>
      <c r="Y514" t="n">
        <v>227234.0</v>
      </c>
      <c r="Z514" t="n">
        <v>0.0</v>
      </c>
      <c r="AA514" t="n">
        <v>0.0</v>
      </c>
      <c r="AB514" t="n">
        <v>0.0</v>
      </c>
      <c r="AC514" t="n">
        <v>0.0</v>
      </c>
      <c r="AD514" t="n">
        <v>0.0</v>
      </c>
      <c r="AE514" t="n">
        <v>0.0</v>
      </c>
      <c r="AF514" t="n">
        <v>27000.0</v>
      </c>
      <c r="AG514" t="n">
        <v>0.0</v>
      </c>
      <c r="AH514" t="n">
        <v>0.0</v>
      </c>
      <c r="AI514" t="n">
        <v>0.0</v>
      </c>
      <c r="AJ514" t="n">
        <v>425139.0</v>
      </c>
      <c r="AK514" t="n">
        <v>0.0</v>
      </c>
      <c r="AL514" t="n">
        <v>0.0</v>
      </c>
      <c r="AM514" t="n">
        <v>0.0</v>
      </c>
      <c r="AN514" t="n">
        <v>0.0</v>
      </c>
      <c r="AO514" t="n">
        <v>679373.0</v>
      </c>
      <c r="AP514" t="n">
        <v>67937.0</v>
      </c>
      <c r="AQ514" t="n">
        <v>54413.6</v>
      </c>
      <c r="CH514">
        <f>IFERROR(U514*1,0)</f>
      </c>
    </row>
    <row r="515">
      <c r="A515" t="n">
        <v>8.0</v>
      </c>
      <c r="B515">
        <f>IF((K515-G515-H515&gt;2400000),10,(L515/(K515-G515-H515)*100))</f>
      </c>
      <c r="C515">
        <f>IF(N515&gt;2400000,240000,(N515*S515)/100)</f>
      </c>
      <c r="D515">
        <f>IF(S515=0,0,IF((N515-I515)&gt;2400000,((((((N515-I515-J515)-240000))*0.1+(I515+J515)*0.1)))-7000,((((((N515-I515-J515)-(N515-I515-J515)*S515/100)))*0.1+(I515+J515)*0.1)-7000)))</f>
      </c>
      <c r="E515">
        <f>C515-O515</f>
      </c>
      <c r="F515">
        <f>D515-P515</f>
      </c>
      <c r="G515">
        <f>SUMIF(negtgel!U$2:BL$2,'Tsalin uzuulelt'!B$1,negtgel!U515:BL515) + SUMIF(negtgel!U$2:BL$2,'Tsalin uzuulelt'!B$2,negtgel!U515:BL515)+SUMIF(negtgel!U$2:BL$2,'Tsalin uzuulelt'!B$3,negtgel!U515:BL515)+SUMIF(negtgel!U$2:BL$2,'Tsalin uzuulelt'!B$4,negtgel!U515:BL515)+SUMIF(negtgel!U$2:BL$2,'Tsalin uzuulelt'!B$5,negtgel!U515:BL515)</f>
      </c>
      <c r="H515">
        <f>SUMIF(negtgel!U$2:BL$2,'Tsalin uzuulelt'!F$1,negtgel!U515:BL515) + SUMIF(negtgel!U$2:BL$2,'Tsalin uzuulelt'!F$2,negtgel!U515:BL515)+SUMIF(negtgel!U$2:BL$2,'Tsalin uzuulelt'!F$3,negtgel!U515:BL515)+SUMIF(negtgel!U$2:BL$2,'Tsalin uzuulelt'!F$4,negtgel!U515:BL515)+SUMIF(negtgel!U$2:BL$2,'Tsalin uzuulelt'!F$5,negtgel!U515:BL515)</f>
      </c>
      <c r="I515">
        <f>SUMIF(negtgel!U$2:BL$2,'Tsalin uzuulelt'!H$1,negtgel!U515:BL515) + SUMIF(negtgel!U$2:BL$2,'Tsalin uzuulelt'!H$2,negtgel!U515:BL515)+SUMIF(negtgel!U$2:BL$2,'Tsalin uzuulelt'!H$3,negtgel!U515:BL515)+SUMIF(negtgel!U$2:BL$2,'Tsalin uzuulelt'!H$4,negtgel!U515:BL515)+SUMIF(negtgel!U$2:BL$2,'Tsalin uzuulelt'!H$5,negtgel!U515:BL515)</f>
      </c>
      <c r="J515">
        <f>SUMIF(negtgel!U$2:BL$2,'Tsalin uzuulelt'!J$1,negtgel!U515:BL515) + SUMIF(negtgel!U$2:BL$2,'Tsalin uzuulelt'!J$2,negtgel!U515:BL515)+SUMIF(negtgel!U$2:BL$2,'Tsalin uzuulelt'!J$3,negtgel!U515:BL515)+SUMIF(negtgel!U$2:BL$2,'Tsalin uzuulelt'!J$4,negtgel!U515:BL515)+SUMIF(negtgel!U$2:BL$2,'Tsalin uzuulelt'!J$5,negtgel!U515:BL515)</f>
      </c>
      <c r="K515">
        <f>SUMIF(negtgel!U$2:BL$2,'Tsalin uzuulelt'!L$1,negtgel!U515:BL515) + SUMIF(negtgel!U$2:BL$2,'Tsalin uzuulelt'!L$2,negtgel!U515:BL515)+SUMIF(negtgel!U$2:BL$2,'Tsalin uzuulelt'!L$3,negtgel!U515:BL515)+SUMIF(negtgel!U$2:BL$2,'Tsalin uzuulelt'!L$4,negtgel!U515:BL515)+SUMIF(negtgel!U$2:BL$2,'Tsalin uzuulelt'!L$5,negtgel!U515:BL515)</f>
      </c>
      <c r="L515">
        <f>SUMIF(negtgel!U$2:BL$2,'Tsalin uzuulelt'!N$1,negtgel!U515:BL515) + SUMIF(negtgel!U$2:BL$2,'Tsalin uzuulelt'!N$2,negtgel!U515:BL515)+SUMIF(negtgel!U$2:BL$2,'Tsalin uzuulelt'!N$3,negtgel!U515:BL515)+SUMIF(negtgel!U$2:BL$2,'Tsalin uzuulelt'!N$4,negtgel!U515:BL515)+SUMIF(negtgel!U$2:BL$2,'Tsalin uzuulelt'!N$5,negtgel!U515:BL515)</f>
      </c>
      <c r="M515">
        <f>SUMIF(negtgel!U$2:BL$2,'Tsalin uzuulelt'!P$1,negtgel!U515:BL515) + SUMIF(negtgel!U$2:BL$2,'Tsalin uzuulelt'!P$2,negtgel!U515:BL515)+ SUMIF(negtgel!U$2:BL$2,'Tsalin uzuulelt'!P$3,negtgel!U515:BL515)+ SUMIF(negtgel!U$2:BL$2,'Tsalin uzuulelt'!P$4,negtgel!U515:BL515)+ SUMIF(negtgel!U$2:BL$2,'Tsalin uzuulelt'!P$5,negtgel!U515:BL515)</f>
      </c>
      <c r="N515">
        <f>IF(ISNUMBER(U515*1)=CF515,0,K515-H515-G515)</f>
      </c>
      <c r="O515">
        <f>IF(ISNUMBER(U515*1)=CF515,0,L515)</f>
      </c>
      <c r="P515">
        <f>IF(ISNUMBER(U515*1)=CF515,0,M515)</f>
      </c>
      <c r="Q515">
        <f>IF(N515&gt;2400000,N515,0)</f>
      </c>
      <c r="R515">
        <f>IF(L515/Q515*100&lt;3,2,10)</f>
      </c>
      <c r="S515">
        <f>IF(CH515=0,0,IF(B515&gt;9,10,IF(B515&gt;8,B515,IF(B515&gt;7.7,7.8,IF(B515&gt;3,B515,IF(B515&gt;1.5,2))))))</f>
      </c>
      <c r="T515">
        <f>IF(Q515=0,S515,R515)</f>
      </c>
      <c r="U515" t="n">
        <v>59.0</v>
      </c>
      <c r="V515" t="s">
        <v>3852</v>
      </c>
      <c r="W515" t="s">
        <v>3792</v>
      </c>
      <c r="X515" t="n">
        <v>496912.0</v>
      </c>
      <c r="Y515" t="n">
        <v>237654.0</v>
      </c>
      <c r="Z515" t="n">
        <v>0.0</v>
      </c>
      <c r="AA515" t="n">
        <v>0.0</v>
      </c>
      <c r="AB515" t="n">
        <v>23765.0</v>
      </c>
      <c r="AC515" t="n">
        <v>0.0</v>
      </c>
      <c r="AD515" t="n">
        <v>0.0</v>
      </c>
      <c r="AE515" t="n">
        <v>0.0</v>
      </c>
      <c r="AF515" t="n">
        <v>33000.0</v>
      </c>
      <c r="AG515" t="n">
        <v>0.0</v>
      </c>
      <c r="AH515" t="n">
        <v>0.0</v>
      </c>
      <c r="AI515" t="n">
        <v>0.0</v>
      </c>
      <c r="AJ515" t="n">
        <v>0.0</v>
      </c>
      <c r="AK515" t="n">
        <v>0.0</v>
      </c>
      <c r="AL515" t="n">
        <v>0.0</v>
      </c>
      <c r="AM515" t="n">
        <v>0.0</v>
      </c>
      <c r="AN515" t="n">
        <v>0.0</v>
      </c>
      <c r="AO515" t="n">
        <v>294419.0</v>
      </c>
      <c r="AP515" t="n">
        <v>29441.0</v>
      </c>
      <c r="AQ515" t="n">
        <v>19827.7</v>
      </c>
      <c r="CH515">
        <f>IFERROR(U515*1,0)</f>
      </c>
    </row>
    <row r="516">
      <c r="A516" t="n">
        <v>8.0</v>
      </c>
      <c r="B516">
        <f>IF((K516-G516-H516&gt;2400000),10,(L516/(K516-G516-H516)*100))</f>
      </c>
      <c r="C516">
        <f>IF(N516&gt;2400000,240000,(N516*S516)/100)</f>
      </c>
      <c r="D516">
        <f>IF(S516=0,0,IF((N516-I516)&gt;2400000,((((((N516-I516-J516)-240000))*0.1+(I516+J516)*0.1)))-7000,((((((N516-I516-J516)-(N516-I516-J516)*S516/100)))*0.1+(I516+J516)*0.1)-7000)))</f>
      </c>
      <c r="E516">
        <f>C516-O516</f>
      </c>
      <c r="F516">
        <f>D516-P516</f>
      </c>
      <c r="G516">
        <f>SUMIF(negtgel!U$2:BL$2,'Tsalin uzuulelt'!B$1,negtgel!U516:BL516) + SUMIF(negtgel!U$2:BL$2,'Tsalin uzuulelt'!B$2,negtgel!U516:BL516)+SUMIF(negtgel!U$2:BL$2,'Tsalin uzuulelt'!B$3,negtgel!U516:BL516)+SUMIF(negtgel!U$2:BL$2,'Tsalin uzuulelt'!B$4,negtgel!U516:BL516)+SUMIF(negtgel!U$2:BL$2,'Tsalin uzuulelt'!B$5,negtgel!U516:BL516)</f>
      </c>
      <c r="H516">
        <f>SUMIF(negtgel!U$2:BL$2,'Tsalin uzuulelt'!F$1,negtgel!U516:BL516) + SUMIF(negtgel!U$2:BL$2,'Tsalin uzuulelt'!F$2,negtgel!U516:BL516)+SUMIF(negtgel!U$2:BL$2,'Tsalin uzuulelt'!F$3,negtgel!U516:BL516)+SUMIF(negtgel!U$2:BL$2,'Tsalin uzuulelt'!F$4,negtgel!U516:BL516)+SUMIF(negtgel!U$2:BL$2,'Tsalin uzuulelt'!F$5,negtgel!U516:BL516)</f>
      </c>
      <c r="I516">
        <f>SUMIF(negtgel!U$2:BL$2,'Tsalin uzuulelt'!H$1,negtgel!U516:BL516) + SUMIF(negtgel!U$2:BL$2,'Tsalin uzuulelt'!H$2,negtgel!U516:BL516)+SUMIF(negtgel!U$2:BL$2,'Tsalin uzuulelt'!H$3,negtgel!U516:BL516)+SUMIF(negtgel!U$2:BL$2,'Tsalin uzuulelt'!H$4,negtgel!U516:BL516)+SUMIF(negtgel!U$2:BL$2,'Tsalin uzuulelt'!H$5,negtgel!U516:BL516)</f>
      </c>
      <c r="J516">
        <f>SUMIF(negtgel!U$2:BL$2,'Tsalin uzuulelt'!J$1,negtgel!U516:BL516) + SUMIF(negtgel!U$2:BL$2,'Tsalin uzuulelt'!J$2,negtgel!U516:BL516)+SUMIF(negtgel!U$2:BL$2,'Tsalin uzuulelt'!J$3,negtgel!U516:BL516)+SUMIF(negtgel!U$2:BL$2,'Tsalin uzuulelt'!J$4,negtgel!U516:BL516)+SUMIF(negtgel!U$2:BL$2,'Tsalin uzuulelt'!J$5,negtgel!U516:BL516)</f>
      </c>
      <c r="K516">
        <f>SUMIF(negtgel!U$2:BL$2,'Tsalin uzuulelt'!L$1,negtgel!U516:BL516) + SUMIF(negtgel!U$2:BL$2,'Tsalin uzuulelt'!L$2,negtgel!U516:BL516)+SUMIF(negtgel!U$2:BL$2,'Tsalin uzuulelt'!L$3,negtgel!U516:BL516)+SUMIF(negtgel!U$2:BL$2,'Tsalin uzuulelt'!L$4,negtgel!U516:BL516)+SUMIF(negtgel!U$2:BL$2,'Tsalin uzuulelt'!L$5,negtgel!U516:BL516)</f>
      </c>
      <c r="L516">
        <f>SUMIF(negtgel!U$2:BL$2,'Tsalin uzuulelt'!N$1,negtgel!U516:BL516) + SUMIF(negtgel!U$2:BL$2,'Tsalin uzuulelt'!N$2,negtgel!U516:BL516)+SUMIF(negtgel!U$2:BL$2,'Tsalin uzuulelt'!N$3,negtgel!U516:BL516)+SUMIF(negtgel!U$2:BL$2,'Tsalin uzuulelt'!N$4,negtgel!U516:BL516)+SUMIF(negtgel!U$2:BL$2,'Tsalin uzuulelt'!N$5,negtgel!U516:BL516)</f>
      </c>
      <c r="M516">
        <f>SUMIF(negtgel!U$2:BL$2,'Tsalin uzuulelt'!P$1,negtgel!U516:BL516) + SUMIF(negtgel!U$2:BL$2,'Tsalin uzuulelt'!P$2,negtgel!U516:BL516)+ SUMIF(negtgel!U$2:BL$2,'Tsalin uzuulelt'!P$3,negtgel!U516:BL516)+ SUMIF(negtgel!U$2:BL$2,'Tsalin uzuulelt'!P$4,negtgel!U516:BL516)+ SUMIF(negtgel!U$2:BL$2,'Tsalin uzuulelt'!P$5,negtgel!U516:BL516)</f>
      </c>
      <c r="N516">
        <f>IF(ISNUMBER(U516*1)=CF516,0,K516-H516-G516)</f>
      </c>
      <c r="O516">
        <f>IF(ISNUMBER(U516*1)=CF516,0,L516)</f>
      </c>
      <c r="P516">
        <f>IF(ISNUMBER(U516*1)=CF516,0,M516)</f>
      </c>
      <c r="Q516">
        <f>IF(N516&gt;2400000,N516,0)</f>
      </c>
      <c r="R516">
        <f>IF(L516/Q516*100&lt;3,2,10)</f>
      </c>
      <c r="S516">
        <f>IF(CH516=0,0,IF(B516&gt;9,10,IF(B516&gt;8,B516,IF(B516&gt;7.7,7.8,IF(B516&gt;3,B516,IF(B516&gt;1.5,2))))))</f>
      </c>
      <c r="T516">
        <f>IF(Q516=0,S516,R516)</f>
      </c>
      <c r="U516" t="s">
        <v>3787</v>
      </c>
      <c r="V516"/>
      <c r="W516"/>
      <c r="X516" t="n">
        <v>6486942.0</v>
      </c>
      <c r="Y516" t="n">
        <v>3881354.0</v>
      </c>
      <c r="Z516" t="n">
        <v>191945.0</v>
      </c>
      <c r="AA516" t="n">
        <v>414944.0</v>
      </c>
      <c r="AB516" t="n">
        <v>101828.0</v>
      </c>
      <c r="AC516" t="n">
        <v>0.0</v>
      </c>
      <c r="AD516" t="n">
        <v>0.0</v>
      </c>
      <c r="AE516" t="n">
        <v>0.0</v>
      </c>
      <c r="AF516" t="n">
        <v>459000.0</v>
      </c>
      <c r="AG516" t="n">
        <v>0.0</v>
      </c>
      <c r="AH516" t="n">
        <v>0.0</v>
      </c>
      <c r="AI516" t="n">
        <v>0.0</v>
      </c>
      <c r="AJ516" t="n">
        <v>2125414.0</v>
      </c>
      <c r="AK516" t="n">
        <v>0.0</v>
      </c>
      <c r="AL516" t="n">
        <v>0.0</v>
      </c>
      <c r="AM516" t="n">
        <v>0.0</v>
      </c>
      <c r="AN516" t="n">
        <v>0.0</v>
      </c>
      <c r="AO516" t="n">
        <v>7174485.0</v>
      </c>
      <c r="AP516" t="n">
        <v>717448.0</v>
      </c>
      <c r="AQ516" t="n">
        <v>573293.7</v>
      </c>
      <c r="CH516">
        <f>IFERROR(U516*1,0)</f>
      </c>
    </row>
    <row r="517">
      <c r="A517" t="n">
        <v>8.0</v>
      </c>
      <c r="B517">
        <f>IF((K517-G517-H517&gt;2400000),10,(L517/(K517-G517-H517)*100))</f>
      </c>
      <c r="C517">
        <f>IF(N517&gt;2400000,240000,(N517*S517)/100)</f>
      </c>
      <c r="D517">
        <f>IF(S517=0,0,IF((N517-I517)&gt;2400000,((((((N517-I517-J517)-240000))*0.1+(I517+J517)*0.1)))-7000,((((((N517-I517-J517)-(N517-I517-J517)*S517/100)))*0.1+(I517+J517)*0.1)-7000)))</f>
      </c>
      <c r="E517">
        <f>C517-O517</f>
      </c>
      <c r="F517">
        <f>D517-P517</f>
      </c>
      <c r="G517">
        <f>SUMIF(negtgel!U$2:BL$2,'Tsalin uzuulelt'!B$1,negtgel!U517:BL517) + SUMIF(negtgel!U$2:BL$2,'Tsalin uzuulelt'!B$2,negtgel!U517:BL517)+SUMIF(negtgel!U$2:BL$2,'Tsalin uzuulelt'!B$3,negtgel!U517:BL517)+SUMIF(negtgel!U$2:BL$2,'Tsalin uzuulelt'!B$4,negtgel!U517:BL517)+SUMIF(negtgel!U$2:BL$2,'Tsalin uzuulelt'!B$5,negtgel!U517:BL517)</f>
      </c>
      <c r="H517">
        <f>SUMIF(negtgel!U$2:BL$2,'Tsalin uzuulelt'!F$1,negtgel!U517:BL517) + SUMIF(negtgel!U$2:BL$2,'Tsalin uzuulelt'!F$2,negtgel!U517:BL517)+SUMIF(negtgel!U$2:BL$2,'Tsalin uzuulelt'!F$3,negtgel!U517:BL517)+SUMIF(negtgel!U$2:BL$2,'Tsalin uzuulelt'!F$4,negtgel!U517:BL517)+SUMIF(negtgel!U$2:BL$2,'Tsalin uzuulelt'!F$5,negtgel!U517:BL517)</f>
      </c>
      <c r="I517">
        <f>SUMIF(negtgel!U$2:BL$2,'Tsalin uzuulelt'!H$1,negtgel!U517:BL517) + SUMIF(negtgel!U$2:BL$2,'Tsalin uzuulelt'!H$2,negtgel!U517:BL517)+SUMIF(negtgel!U$2:BL$2,'Tsalin uzuulelt'!H$3,negtgel!U517:BL517)+SUMIF(negtgel!U$2:BL$2,'Tsalin uzuulelt'!H$4,negtgel!U517:BL517)+SUMIF(negtgel!U$2:BL$2,'Tsalin uzuulelt'!H$5,negtgel!U517:BL517)</f>
      </c>
      <c r="J517">
        <f>SUMIF(negtgel!U$2:BL$2,'Tsalin uzuulelt'!J$1,negtgel!U517:BL517) + SUMIF(negtgel!U$2:BL$2,'Tsalin uzuulelt'!J$2,negtgel!U517:BL517)+SUMIF(negtgel!U$2:BL$2,'Tsalin uzuulelt'!J$3,negtgel!U517:BL517)+SUMIF(negtgel!U$2:BL$2,'Tsalin uzuulelt'!J$4,negtgel!U517:BL517)+SUMIF(negtgel!U$2:BL$2,'Tsalin uzuulelt'!J$5,negtgel!U517:BL517)</f>
      </c>
      <c r="K517">
        <f>SUMIF(negtgel!U$2:BL$2,'Tsalin uzuulelt'!L$1,negtgel!U517:BL517) + SUMIF(negtgel!U$2:BL$2,'Tsalin uzuulelt'!L$2,negtgel!U517:BL517)+SUMIF(negtgel!U$2:BL$2,'Tsalin uzuulelt'!L$3,negtgel!U517:BL517)+SUMIF(negtgel!U$2:BL$2,'Tsalin uzuulelt'!L$4,negtgel!U517:BL517)+SUMIF(negtgel!U$2:BL$2,'Tsalin uzuulelt'!L$5,negtgel!U517:BL517)</f>
      </c>
      <c r="L517">
        <f>SUMIF(negtgel!U$2:BL$2,'Tsalin uzuulelt'!N$1,negtgel!U517:BL517) + SUMIF(negtgel!U$2:BL$2,'Tsalin uzuulelt'!N$2,negtgel!U517:BL517)+SUMIF(negtgel!U$2:BL$2,'Tsalin uzuulelt'!N$3,negtgel!U517:BL517)+SUMIF(negtgel!U$2:BL$2,'Tsalin uzuulelt'!N$4,negtgel!U517:BL517)+SUMIF(negtgel!U$2:BL$2,'Tsalin uzuulelt'!N$5,negtgel!U517:BL517)</f>
      </c>
      <c r="M517">
        <f>SUMIF(negtgel!U$2:BL$2,'Tsalin uzuulelt'!P$1,negtgel!U517:BL517) + SUMIF(negtgel!U$2:BL$2,'Tsalin uzuulelt'!P$2,negtgel!U517:BL517)+ SUMIF(negtgel!U$2:BL$2,'Tsalin uzuulelt'!P$3,negtgel!U517:BL517)+ SUMIF(negtgel!U$2:BL$2,'Tsalin uzuulelt'!P$4,negtgel!U517:BL517)+ SUMIF(negtgel!U$2:BL$2,'Tsalin uzuulelt'!P$5,negtgel!U517:BL517)</f>
      </c>
      <c r="N517">
        <f>IF(ISNUMBER(U517*1)=CF517,0,K517-H517-G517)</f>
      </c>
      <c r="O517">
        <f>IF(ISNUMBER(U517*1)=CF517,0,L517)</f>
      </c>
      <c r="P517">
        <f>IF(ISNUMBER(U517*1)=CF517,0,M517)</f>
      </c>
      <c r="Q517">
        <f>IF(N517&gt;2400000,N517,0)</f>
      </c>
      <c r="R517">
        <f>IF(L517/Q517*100&lt;3,2,10)</f>
      </c>
      <c r="S517">
        <f>IF(CH517=0,0,IF(B517&gt;9,10,IF(B517&gt;8,B517,IF(B517&gt;7.7,7.8,IF(B517&gt;3,B517,IF(B517&gt;1.5,2))))))</f>
      </c>
      <c r="T517">
        <f>IF(Q517=0,S517,R517)</f>
      </c>
      <c r="U517" t="s">
        <v>3815</v>
      </c>
      <c r="V517"/>
      <c r="W517"/>
      <c r="X517"/>
      <c r="Y517"/>
      <c r="Z517"/>
      <c r="AA517"/>
      <c r="AB517"/>
      <c r="AC517"/>
      <c r="AD517"/>
      <c r="AE517"/>
      <c r="AF517"/>
      <c r="AG517"/>
      <c r="AH517"/>
      <c r="AI517"/>
      <c r="AJ517"/>
      <c r="AK517"/>
      <c r="AL517"/>
      <c r="AM517"/>
      <c r="AN517"/>
      <c r="AO517"/>
      <c r="AP517"/>
      <c r="AQ517"/>
      <c r="CH517">
        <f>IFERROR(U517*1,0)</f>
      </c>
    </row>
    <row r="518">
      <c r="A518" t="n">
        <v>8.0</v>
      </c>
      <c r="B518">
        <f>IF((K518-G518-H518&gt;2400000),10,(L518/(K518-G518-H518)*100))</f>
      </c>
      <c r="C518">
        <f>IF(N518&gt;2400000,240000,(N518*S518)/100)</f>
      </c>
      <c r="D518">
        <f>IF(S518=0,0,IF((N518-I518)&gt;2400000,((((((N518-I518-J518)-240000))*0.1+(I518+J518)*0.1)))-7000,((((((N518-I518-J518)-(N518-I518-J518)*S518/100)))*0.1+(I518+J518)*0.1)-7000)))</f>
      </c>
      <c r="E518">
        <f>C518-O518</f>
      </c>
      <c r="F518">
        <f>D518-P518</f>
      </c>
      <c r="G518">
        <f>SUMIF(negtgel!U$2:BL$2,'Tsalin uzuulelt'!B$1,negtgel!U518:BL518) + SUMIF(negtgel!U$2:BL$2,'Tsalin uzuulelt'!B$2,negtgel!U518:BL518)+SUMIF(negtgel!U$2:BL$2,'Tsalin uzuulelt'!B$3,negtgel!U518:BL518)+SUMIF(negtgel!U$2:BL$2,'Tsalin uzuulelt'!B$4,negtgel!U518:BL518)+SUMIF(negtgel!U$2:BL$2,'Tsalin uzuulelt'!B$5,negtgel!U518:BL518)</f>
      </c>
      <c r="H518">
        <f>SUMIF(negtgel!U$2:BL$2,'Tsalin uzuulelt'!F$1,negtgel!U518:BL518) + SUMIF(negtgel!U$2:BL$2,'Tsalin uzuulelt'!F$2,negtgel!U518:BL518)+SUMIF(negtgel!U$2:BL$2,'Tsalin uzuulelt'!F$3,negtgel!U518:BL518)+SUMIF(negtgel!U$2:BL$2,'Tsalin uzuulelt'!F$4,negtgel!U518:BL518)+SUMIF(negtgel!U$2:BL$2,'Tsalin uzuulelt'!F$5,negtgel!U518:BL518)</f>
      </c>
      <c r="I518">
        <f>SUMIF(negtgel!U$2:BL$2,'Tsalin uzuulelt'!H$1,negtgel!U518:BL518) + SUMIF(negtgel!U$2:BL$2,'Tsalin uzuulelt'!H$2,negtgel!U518:BL518)+SUMIF(negtgel!U$2:BL$2,'Tsalin uzuulelt'!H$3,negtgel!U518:BL518)+SUMIF(negtgel!U$2:BL$2,'Tsalin uzuulelt'!H$4,negtgel!U518:BL518)+SUMIF(negtgel!U$2:BL$2,'Tsalin uzuulelt'!H$5,negtgel!U518:BL518)</f>
      </c>
      <c r="J518">
        <f>SUMIF(negtgel!U$2:BL$2,'Tsalin uzuulelt'!J$1,negtgel!U518:BL518) + SUMIF(negtgel!U$2:BL$2,'Tsalin uzuulelt'!J$2,negtgel!U518:BL518)+SUMIF(negtgel!U$2:BL$2,'Tsalin uzuulelt'!J$3,negtgel!U518:BL518)+SUMIF(negtgel!U$2:BL$2,'Tsalin uzuulelt'!J$4,negtgel!U518:BL518)+SUMIF(negtgel!U$2:BL$2,'Tsalin uzuulelt'!J$5,negtgel!U518:BL518)</f>
      </c>
      <c r="K518">
        <f>SUMIF(negtgel!U$2:BL$2,'Tsalin uzuulelt'!L$1,negtgel!U518:BL518) + SUMIF(negtgel!U$2:BL$2,'Tsalin uzuulelt'!L$2,negtgel!U518:BL518)+SUMIF(negtgel!U$2:BL$2,'Tsalin uzuulelt'!L$3,negtgel!U518:BL518)+SUMIF(negtgel!U$2:BL$2,'Tsalin uzuulelt'!L$4,negtgel!U518:BL518)+SUMIF(negtgel!U$2:BL$2,'Tsalin uzuulelt'!L$5,negtgel!U518:BL518)</f>
      </c>
      <c r="L518">
        <f>SUMIF(negtgel!U$2:BL$2,'Tsalin uzuulelt'!N$1,negtgel!U518:BL518) + SUMIF(negtgel!U$2:BL$2,'Tsalin uzuulelt'!N$2,negtgel!U518:BL518)+SUMIF(negtgel!U$2:BL$2,'Tsalin uzuulelt'!N$3,negtgel!U518:BL518)+SUMIF(negtgel!U$2:BL$2,'Tsalin uzuulelt'!N$4,negtgel!U518:BL518)+SUMIF(negtgel!U$2:BL$2,'Tsalin uzuulelt'!N$5,negtgel!U518:BL518)</f>
      </c>
      <c r="M518">
        <f>SUMIF(negtgel!U$2:BL$2,'Tsalin uzuulelt'!P$1,negtgel!U518:BL518) + SUMIF(negtgel!U$2:BL$2,'Tsalin uzuulelt'!P$2,negtgel!U518:BL518)+ SUMIF(negtgel!U$2:BL$2,'Tsalin uzuulelt'!P$3,negtgel!U518:BL518)+ SUMIF(negtgel!U$2:BL$2,'Tsalin uzuulelt'!P$4,negtgel!U518:BL518)+ SUMIF(negtgel!U$2:BL$2,'Tsalin uzuulelt'!P$5,negtgel!U518:BL518)</f>
      </c>
      <c r="N518">
        <f>IF(ISNUMBER(U518*1)=CF518,0,K518-H518-G518)</f>
      </c>
      <c r="O518">
        <f>IF(ISNUMBER(U518*1)=CF518,0,L518)</f>
      </c>
      <c r="P518">
        <f>IF(ISNUMBER(U518*1)=CF518,0,M518)</f>
      </c>
      <c r="Q518">
        <f>IF(N518&gt;2400000,N518,0)</f>
      </c>
      <c r="R518">
        <f>IF(L518/Q518*100&lt;3,2,10)</f>
      </c>
      <c r="S518">
        <f>IF(CH518=0,0,IF(B518&gt;9,10,IF(B518&gt;8,B518,IF(B518&gt;7.7,7.8,IF(B518&gt;3,B518,IF(B518&gt;1.5,2))))))</f>
      </c>
      <c r="T518">
        <f>IF(Q518=0,S518,R518)</f>
      </c>
      <c r="U518" t="n">
        <v>68.0</v>
      </c>
      <c r="V518" t="s">
        <v>3816</v>
      </c>
      <c r="W518" t="s">
        <v>3790</v>
      </c>
      <c r="X518" t="n">
        <v>547759.0</v>
      </c>
      <c r="Y518" t="n">
        <v>547759.0</v>
      </c>
      <c r="Z518" t="n">
        <v>0.0</v>
      </c>
      <c r="AA518" t="n">
        <v>0.0</v>
      </c>
      <c r="AB518" t="n">
        <v>0.0</v>
      </c>
      <c r="AC518" t="n">
        <v>0.0</v>
      </c>
      <c r="AD518" t="n">
        <v>219104.0</v>
      </c>
      <c r="AE518" t="n">
        <v>0.0</v>
      </c>
      <c r="AF518" t="n">
        <v>69000.0</v>
      </c>
      <c r="AG518" t="n">
        <v>0.0</v>
      </c>
      <c r="AH518" t="n">
        <v>0.0</v>
      </c>
      <c r="AI518" t="n">
        <v>0.0</v>
      </c>
      <c r="AJ518" t="n">
        <v>0.0</v>
      </c>
      <c r="AK518" t="n">
        <v>0.0</v>
      </c>
      <c r="AL518" t="n">
        <v>0.0</v>
      </c>
      <c r="AM518" t="n">
        <v>0.0</v>
      </c>
      <c r="AN518" t="n">
        <v>0.0</v>
      </c>
      <c r="AO518" t="n">
        <v>835863.0</v>
      </c>
      <c r="AP518" t="n">
        <v>83586.0</v>
      </c>
      <c r="AQ518" t="n">
        <v>68917.7</v>
      </c>
      <c r="CH518">
        <f>IFERROR(U518*1,0)</f>
      </c>
    </row>
    <row r="519">
      <c r="A519" t="n">
        <v>8.0</v>
      </c>
      <c r="B519">
        <f>IF((K519-G519-H519&gt;2400000),10,(L519/(K519-G519-H519)*100))</f>
      </c>
      <c r="C519">
        <f>IF(N519&gt;2400000,240000,(N519*S519)/100)</f>
      </c>
      <c r="D519">
        <f>IF(S519=0,0,IF((N519-I519)&gt;2400000,((((((N519-I519-J519)-240000))*0.1+(I519+J519)*0.1)))-7000,((((((N519-I519-J519)-(N519-I519-J519)*S519/100)))*0.1+(I519+J519)*0.1)-7000)))</f>
      </c>
      <c r="E519">
        <f>C519-O519</f>
      </c>
      <c r="F519">
        <f>D519-P519</f>
      </c>
      <c r="G519">
        <f>SUMIF(negtgel!U$2:BL$2,'Tsalin uzuulelt'!B$1,negtgel!U519:BL519) + SUMIF(negtgel!U$2:BL$2,'Tsalin uzuulelt'!B$2,negtgel!U519:BL519)+SUMIF(negtgel!U$2:BL$2,'Tsalin uzuulelt'!B$3,negtgel!U519:BL519)+SUMIF(negtgel!U$2:BL$2,'Tsalin uzuulelt'!B$4,negtgel!U519:BL519)+SUMIF(negtgel!U$2:BL$2,'Tsalin uzuulelt'!B$5,negtgel!U519:BL519)</f>
      </c>
      <c r="H519">
        <f>SUMIF(negtgel!U$2:BL$2,'Tsalin uzuulelt'!F$1,negtgel!U519:BL519) + SUMIF(negtgel!U$2:BL$2,'Tsalin uzuulelt'!F$2,negtgel!U519:BL519)+SUMIF(negtgel!U$2:BL$2,'Tsalin uzuulelt'!F$3,negtgel!U519:BL519)+SUMIF(negtgel!U$2:BL$2,'Tsalin uzuulelt'!F$4,negtgel!U519:BL519)+SUMIF(negtgel!U$2:BL$2,'Tsalin uzuulelt'!F$5,negtgel!U519:BL519)</f>
      </c>
      <c r="I519">
        <f>SUMIF(negtgel!U$2:BL$2,'Tsalin uzuulelt'!H$1,negtgel!U519:BL519) + SUMIF(negtgel!U$2:BL$2,'Tsalin uzuulelt'!H$2,negtgel!U519:BL519)+SUMIF(negtgel!U$2:BL$2,'Tsalin uzuulelt'!H$3,negtgel!U519:BL519)+SUMIF(negtgel!U$2:BL$2,'Tsalin uzuulelt'!H$4,negtgel!U519:BL519)+SUMIF(negtgel!U$2:BL$2,'Tsalin uzuulelt'!H$5,negtgel!U519:BL519)</f>
      </c>
      <c r="J519">
        <f>SUMIF(negtgel!U$2:BL$2,'Tsalin uzuulelt'!J$1,negtgel!U519:BL519) + SUMIF(negtgel!U$2:BL$2,'Tsalin uzuulelt'!J$2,negtgel!U519:BL519)+SUMIF(negtgel!U$2:BL$2,'Tsalin uzuulelt'!J$3,negtgel!U519:BL519)+SUMIF(negtgel!U$2:BL$2,'Tsalin uzuulelt'!J$4,negtgel!U519:BL519)+SUMIF(negtgel!U$2:BL$2,'Tsalin uzuulelt'!J$5,negtgel!U519:BL519)</f>
      </c>
      <c r="K519">
        <f>SUMIF(negtgel!U$2:BL$2,'Tsalin uzuulelt'!L$1,negtgel!U519:BL519) + SUMIF(negtgel!U$2:BL$2,'Tsalin uzuulelt'!L$2,negtgel!U519:BL519)+SUMIF(negtgel!U$2:BL$2,'Tsalin uzuulelt'!L$3,negtgel!U519:BL519)+SUMIF(negtgel!U$2:BL$2,'Tsalin uzuulelt'!L$4,negtgel!U519:BL519)+SUMIF(negtgel!U$2:BL$2,'Tsalin uzuulelt'!L$5,negtgel!U519:BL519)</f>
      </c>
      <c r="L519">
        <f>SUMIF(negtgel!U$2:BL$2,'Tsalin uzuulelt'!N$1,negtgel!U519:BL519) + SUMIF(negtgel!U$2:BL$2,'Tsalin uzuulelt'!N$2,negtgel!U519:BL519)+SUMIF(negtgel!U$2:BL$2,'Tsalin uzuulelt'!N$3,negtgel!U519:BL519)+SUMIF(negtgel!U$2:BL$2,'Tsalin uzuulelt'!N$4,negtgel!U519:BL519)+SUMIF(negtgel!U$2:BL$2,'Tsalin uzuulelt'!N$5,negtgel!U519:BL519)</f>
      </c>
      <c r="M519">
        <f>SUMIF(negtgel!U$2:BL$2,'Tsalin uzuulelt'!P$1,negtgel!U519:BL519) + SUMIF(negtgel!U$2:BL$2,'Tsalin uzuulelt'!P$2,negtgel!U519:BL519)+ SUMIF(negtgel!U$2:BL$2,'Tsalin uzuulelt'!P$3,negtgel!U519:BL519)+ SUMIF(negtgel!U$2:BL$2,'Tsalin uzuulelt'!P$4,negtgel!U519:BL519)+ SUMIF(negtgel!U$2:BL$2,'Tsalin uzuulelt'!P$5,negtgel!U519:BL519)</f>
      </c>
      <c r="N519">
        <f>IF(ISNUMBER(U519*1)=CF519,0,K519-H519-G519)</f>
      </c>
      <c r="O519">
        <f>IF(ISNUMBER(U519*1)=CF519,0,L519)</f>
      </c>
      <c r="P519">
        <f>IF(ISNUMBER(U519*1)=CF519,0,M519)</f>
      </c>
      <c r="Q519">
        <f>IF(N519&gt;2400000,N519,0)</f>
      </c>
      <c r="R519">
        <f>IF(L519/Q519*100&lt;3,2,10)</f>
      </c>
      <c r="S519">
        <f>IF(CH519=0,0,IF(B519&gt;9,10,IF(B519&gt;8,B519,IF(B519&gt;7.7,7.8,IF(B519&gt;3,B519,IF(B519&gt;1.5,2))))))</f>
      </c>
      <c r="T519">
        <f>IF(Q519=0,S519,R519)</f>
      </c>
      <c r="U519" t="n">
        <v>69.0</v>
      </c>
      <c r="V519" t="s">
        <v>3817</v>
      </c>
      <c r="W519" t="s">
        <v>3790</v>
      </c>
      <c r="X519" t="n">
        <v>677436.0</v>
      </c>
      <c r="Y519" t="n">
        <v>235630.0</v>
      </c>
      <c r="Z519" t="n">
        <v>47126.0</v>
      </c>
      <c r="AA519" t="n">
        <v>47126.0</v>
      </c>
      <c r="AB519" t="n">
        <v>0.0</v>
      </c>
      <c r="AC519" t="n">
        <v>0.0</v>
      </c>
      <c r="AD519" t="n">
        <v>0.0</v>
      </c>
      <c r="AE519" t="n">
        <v>0.0</v>
      </c>
      <c r="AF519" t="n">
        <v>24000.0</v>
      </c>
      <c r="AG519" t="n">
        <v>0.0</v>
      </c>
      <c r="AH519" t="n">
        <v>0.0</v>
      </c>
      <c r="AI519" t="n">
        <v>0.0</v>
      </c>
      <c r="AJ519" t="n">
        <v>0.0</v>
      </c>
      <c r="AK519" t="n">
        <v>0.0</v>
      </c>
      <c r="AL519" t="n">
        <v>0.0</v>
      </c>
      <c r="AM519" t="n">
        <v>0.0</v>
      </c>
      <c r="AN519" t="n">
        <v>0.0</v>
      </c>
      <c r="AO519" t="n">
        <v>353882.0</v>
      </c>
      <c r="AP519" t="n">
        <v>35389.0</v>
      </c>
      <c r="AQ519" t="n">
        <v>25089.4</v>
      </c>
      <c r="CH519">
        <f>IFERROR(U519*1,0)</f>
      </c>
    </row>
    <row r="520">
      <c r="A520" t="n">
        <v>8.0</v>
      </c>
      <c r="B520">
        <f>IF((K520-G520-H520&gt;2400000),10,(L520/(K520-G520-H520)*100))</f>
      </c>
      <c r="C520">
        <f>IF(N520&gt;2400000,240000,(N520*S520)/100)</f>
      </c>
      <c r="D520">
        <f>IF(S520=0,0,IF((N520-I520)&gt;2400000,((((((N520-I520-J520)-240000))*0.1+(I520+J520)*0.1)))-7000,((((((N520-I520-J520)-(N520-I520-J520)*S520/100)))*0.1+(I520+J520)*0.1)-7000)))</f>
      </c>
      <c r="E520">
        <f>C520-O520</f>
      </c>
      <c r="F520">
        <f>D520-P520</f>
      </c>
      <c r="G520">
        <f>SUMIF(negtgel!U$2:BL$2,'Tsalin uzuulelt'!B$1,negtgel!U520:BL520) + SUMIF(negtgel!U$2:BL$2,'Tsalin uzuulelt'!B$2,negtgel!U520:BL520)+SUMIF(negtgel!U$2:BL$2,'Tsalin uzuulelt'!B$3,negtgel!U520:BL520)+SUMIF(negtgel!U$2:BL$2,'Tsalin uzuulelt'!B$4,negtgel!U520:BL520)+SUMIF(negtgel!U$2:BL$2,'Tsalin uzuulelt'!B$5,negtgel!U520:BL520)</f>
      </c>
      <c r="H520">
        <f>SUMIF(negtgel!U$2:BL$2,'Tsalin uzuulelt'!F$1,negtgel!U520:BL520) + SUMIF(negtgel!U$2:BL$2,'Tsalin uzuulelt'!F$2,negtgel!U520:BL520)+SUMIF(negtgel!U$2:BL$2,'Tsalin uzuulelt'!F$3,negtgel!U520:BL520)+SUMIF(negtgel!U$2:BL$2,'Tsalin uzuulelt'!F$4,negtgel!U520:BL520)+SUMIF(negtgel!U$2:BL$2,'Tsalin uzuulelt'!F$5,negtgel!U520:BL520)</f>
      </c>
      <c r="I520">
        <f>SUMIF(negtgel!U$2:BL$2,'Tsalin uzuulelt'!H$1,negtgel!U520:BL520) + SUMIF(negtgel!U$2:BL$2,'Tsalin uzuulelt'!H$2,negtgel!U520:BL520)+SUMIF(negtgel!U$2:BL$2,'Tsalin uzuulelt'!H$3,negtgel!U520:BL520)+SUMIF(negtgel!U$2:BL$2,'Tsalin uzuulelt'!H$4,negtgel!U520:BL520)+SUMIF(negtgel!U$2:BL$2,'Tsalin uzuulelt'!H$5,negtgel!U520:BL520)</f>
      </c>
      <c r="J520">
        <f>SUMIF(negtgel!U$2:BL$2,'Tsalin uzuulelt'!J$1,negtgel!U520:BL520) + SUMIF(negtgel!U$2:BL$2,'Tsalin uzuulelt'!J$2,negtgel!U520:BL520)+SUMIF(negtgel!U$2:BL$2,'Tsalin uzuulelt'!J$3,negtgel!U520:BL520)+SUMIF(negtgel!U$2:BL$2,'Tsalin uzuulelt'!J$4,negtgel!U520:BL520)+SUMIF(negtgel!U$2:BL$2,'Tsalin uzuulelt'!J$5,negtgel!U520:BL520)</f>
      </c>
      <c r="K520">
        <f>SUMIF(negtgel!U$2:BL$2,'Tsalin uzuulelt'!L$1,negtgel!U520:BL520) + SUMIF(negtgel!U$2:BL$2,'Tsalin uzuulelt'!L$2,negtgel!U520:BL520)+SUMIF(negtgel!U$2:BL$2,'Tsalin uzuulelt'!L$3,negtgel!U520:BL520)+SUMIF(negtgel!U$2:BL$2,'Tsalin uzuulelt'!L$4,negtgel!U520:BL520)+SUMIF(negtgel!U$2:BL$2,'Tsalin uzuulelt'!L$5,negtgel!U520:BL520)</f>
      </c>
      <c r="L520">
        <f>SUMIF(negtgel!U$2:BL$2,'Tsalin uzuulelt'!N$1,negtgel!U520:BL520) + SUMIF(negtgel!U$2:BL$2,'Tsalin uzuulelt'!N$2,negtgel!U520:BL520)+SUMIF(negtgel!U$2:BL$2,'Tsalin uzuulelt'!N$3,negtgel!U520:BL520)+SUMIF(negtgel!U$2:BL$2,'Tsalin uzuulelt'!N$4,negtgel!U520:BL520)+SUMIF(negtgel!U$2:BL$2,'Tsalin uzuulelt'!N$5,negtgel!U520:BL520)</f>
      </c>
      <c r="M520">
        <f>SUMIF(negtgel!U$2:BL$2,'Tsalin uzuulelt'!P$1,negtgel!U520:BL520) + SUMIF(negtgel!U$2:BL$2,'Tsalin uzuulelt'!P$2,negtgel!U520:BL520)+ SUMIF(negtgel!U$2:BL$2,'Tsalin uzuulelt'!P$3,negtgel!U520:BL520)+ SUMIF(negtgel!U$2:BL$2,'Tsalin uzuulelt'!P$4,negtgel!U520:BL520)+ SUMIF(negtgel!U$2:BL$2,'Tsalin uzuulelt'!P$5,negtgel!U520:BL520)</f>
      </c>
      <c r="N520">
        <f>IF(ISNUMBER(U520*1)=CF520,0,K520-H520-G520)</f>
      </c>
      <c r="O520">
        <f>IF(ISNUMBER(U520*1)=CF520,0,L520)</f>
      </c>
      <c r="P520">
        <f>IF(ISNUMBER(U520*1)=CF520,0,M520)</f>
      </c>
      <c r="Q520">
        <f>IF(N520&gt;2400000,N520,0)</f>
      </c>
      <c r="R520">
        <f>IF(L520/Q520*100&lt;3,2,10)</f>
      </c>
      <c r="S520">
        <f>IF(CH520=0,0,IF(B520&gt;9,10,IF(B520&gt;8,B520,IF(B520&gt;7.7,7.8,IF(B520&gt;3,B520,IF(B520&gt;1.5,2))))))</f>
      </c>
      <c r="T520">
        <f>IF(Q520=0,S520,R520)</f>
      </c>
      <c r="U520" t="n">
        <v>70.0</v>
      </c>
      <c r="V520" t="s">
        <v>3818</v>
      </c>
      <c r="W520" t="s">
        <v>3785</v>
      </c>
      <c r="X520" t="n">
        <v>795935.0</v>
      </c>
      <c r="Y520" t="n">
        <v>588300.0</v>
      </c>
      <c r="Z520" t="n">
        <v>117660.0</v>
      </c>
      <c r="AA520" t="n">
        <v>105894.0</v>
      </c>
      <c r="AB520" t="n">
        <v>0.0</v>
      </c>
      <c r="AC520" t="n">
        <v>0.0</v>
      </c>
      <c r="AD520" t="n">
        <v>0.0</v>
      </c>
      <c r="AE520" t="n">
        <v>0.0</v>
      </c>
      <c r="AF520" t="n">
        <v>51000.0</v>
      </c>
      <c r="AG520" t="n">
        <v>0.0</v>
      </c>
      <c r="AH520" t="n">
        <v>0.0</v>
      </c>
      <c r="AI520" t="n">
        <v>0.0</v>
      </c>
      <c r="AJ520" t="n">
        <v>0.0</v>
      </c>
      <c r="AK520" t="n">
        <v>0.0</v>
      </c>
      <c r="AL520" t="n">
        <v>0.0</v>
      </c>
      <c r="AM520" t="n">
        <v>0.0</v>
      </c>
      <c r="AN520" t="n">
        <v>0.0</v>
      </c>
      <c r="AO520" t="n">
        <v>862854.0</v>
      </c>
      <c r="AP520" t="n">
        <v>86286.0</v>
      </c>
      <c r="AQ520" t="n">
        <v>71166.9</v>
      </c>
      <c r="CH520">
        <f>IFERROR(U520*1,0)</f>
      </c>
    </row>
    <row r="521">
      <c r="A521" t="n">
        <v>8.0</v>
      </c>
      <c r="B521">
        <f>IF((K521-G521-H521&gt;2400000),10,(L521/(K521-G521-H521)*100))</f>
      </c>
      <c r="C521">
        <f>IF(N521&gt;2400000,240000,(N521*S521)/100)</f>
      </c>
      <c r="D521">
        <f>IF(S521=0,0,IF((N521-I521)&gt;2400000,((((((N521-I521-J521)-240000))*0.1+(I521+J521)*0.1)))-7000,((((((N521-I521-J521)-(N521-I521-J521)*S521/100)))*0.1+(I521+J521)*0.1)-7000)))</f>
      </c>
      <c r="E521">
        <f>C521-O521</f>
      </c>
      <c r="F521">
        <f>D521-P521</f>
      </c>
      <c r="G521">
        <f>SUMIF(negtgel!U$2:BL$2,'Tsalin uzuulelt'!B$1,negtgel!U521:BL521) + SUMIF(negtgel!U$2:BL$2,'Tsalin uzuulelt'!B$2,negtgel!U521:BL521)+SUMIF(negtgel!U$2:BL$2,'Tsalin uzuulelt'!B$3,negtgel!U521:BL521)+SUMIF(negtgel!U$2:BL$2,'Tsalin uzuulelt'!B$4,negtgel!U521:BL521)+SUMIF(negtgel!U$2:BL$2,'Tsalin uzuulelt'!B$5,negtgel!U521:BL521)</f>
      </c>
      <c r="H521">
        <f>SUMIF(negtgel!U$2:BL$2,'Tsalin uzuulelt'!F$1,negtgel!U521:BL521) + SUMIF(negtgel!U$2:BL$2,'Tsalin uzuulelt'!F$2,negtgel!U521:BL521)+SUMIF(negtgel!U$2:BL$2,'Tsalin uzuulelt'!F$3,negtgel!U521:BL521)+SUMIF(negtgel!U$2:BL$2,'Tsalin uzuulelt'!F$4,negtgel!U521:BL521)+SUMIF(negtgel!U$2:BL$2,'Tsalin uzuulelt'!F$5,negtgel!U521:BL521)</f>
      </c>
      <c r="I521">
        <f>SUMIF(negtgel!U$2:BL$2,'Tsalin uzuulelt'!H$1,negtgel!U521:BL521) + SUMIF(negtgel!U$2:BL$2,'Tsalin uzuulelt'!H$2,negtgel!U521:BL521)+SUMIF(negtgel!U$2:BL$2,'Tsalin uzuulelt'!H$3,negtgel!U521:BL521)+SUMIF(negtgel!U$2:BL$2,'Tsalin uzuulelt'!H$4,negtgel!U521:BL521)+SUMIF(negtgel!U$2:BL$2,'Tsalin uzuulelt'!H$5,negtgel!U521:BL521)</f>
      </c>
      <c r="J521">
        <f>SUMIF(negtgel!U$2:BL$2,'Tsalin uzuulelt'!J$1,negtgel!U521:BL521) + SUMIF(negtgel!U$2:BL$2,'Tsalin uzuulelt'!J$2,negtgel!U521:BL521)+SUMIF(negtgel!U$2:BL$2,'Tsalin uzuulelt'!J$3,negtgel!U521:BL521)+SUMIF(negtgel!U$2:BL$2,'Tsalin uzuulelt'!J$4,negtgel!U521:BL521)+SUMIF(negtgel!U$2:BL$2,'Tsalin uzuulelt'!J$5,negtgel!U521:BL521)</f>
      </c>
      <c r="K521">
        <f>SUMIF(negtgel!U$2:BL$2,'Tsalin uzuulelt'!L$1,negtgel!U521:BL521) + SUMIF(negtgel!U$2:BL$2,'Tsalin uzuulelt'!L$2,negtgel!U521:BL521)+SUMIF(negtgel!U$2:BL$2,'Tsalin uzuulelt'!L$3,negtgel!U521:BL521)+SUMIF(negtgel!U$2:BL$2,'Tsalin uzuulelt'!L$4,negtgel!U521:BL521)+SUMIF(negtgel!U$2:BL$2,'Tsalin uzuulelt'!L$5,negtgel!U521:BL521)</f>
      </c>
      <c r="L521">
        <f>SUMIF(negtgel!U$2:BL$2,'Tsalin uzuulelt'!N$1,negtgel!U521:BL521) + SUMIF(negtgel!U$2:BL$2,'Tsalin uzuulelt'!N$2,negtgel!U521:BL521)+SUMIF(negtgel!U$2:BL$2,'Tsalin uzuulelt'!N$3,negtgel!U521:BL521)+SUMIF(negtgel!U$2:BL$2,'Tsalin uzuulelt'!N$4,negtgel!U521:BL521)+SUMIF(negtgel!U$2:BL$2,'Tsalin uzuulelt'!N$5,negtgel!U521:BL521)</f>
      </c>
      <c r="M521">
        <f>SUMIF(negtgel!U$2:BL$2,'Tsalin uzuulelt'!P$1,negtgel!U521:BL521) + SUMIF(negtgel!U$2:BL$2,'Tsalin uzuulelt'!P$2,negtgel!U521:BL521)+ SUMIF(negtgel!U$2:BL$2,'Tsalin uzuulelt'!P$3,negtgel!U521:BL521)+ SUMIF(negtgel!U$2:BL$2,'Tsalin uzuulelt'!P$4,negtgel!U521:BL521)+ SUMIF(negtgel!U$2:BL$2,'Tsalin uzuulelt'!P$5,negtgel!U521:BL521)</f>
      </c>
      <c r="N521">
        <f>IF(ISNUMBER(U521*1)=CF521,0,K521-H521-G521)</f>
      </c>
      <c r="O521">
        <f>IF(ISNUMBER(U521*1)=CF521,0,L521)</f>
      </c>
      <c r="P521">
        <f>IF(ISNUMBER(U521*1)=CF521,0,M521)</f>
      </c>
      <c r="Q521">
        <f>IF(N521&gt;2400000,N521,0)</f>
      </c>
      <c r="R521">
        <f>IF(L521/Q521*100&lt;3,2,10)</f>
      </c>
      <c r="S521">
        <f>IF(CH521=0,0,IF(B521&gt;9,10,IF(B521&gt;8,B521,IF(B521&gt;7.7,7.8,IF(B521&gt;3,B521,IF(B521&gt;1.5,2))))))</f>
      </c>
      <c r="T521">
        <f>IF(Q521=0,S521,R521)</f>
      </c>
      <c r="U521" t="n">
        <v>71.0</v>
      </c>
      <c r="V521" t="s">
        <v>3819</v>
      </c>
      <c r="W521" t="s">
        <v>3820</v>
      </c>
      <c r="X521" t="n">
        <v>698795.0</v>
      </c>
      <c r="Y521" t="n">
        <v>364589.0</v>
      </c>
      <c r="Z521" t="n">
        <v>54688.0</v>
      </c>
      <c r="AA521" t="n">
        <v>65626.0</v>
      </c>
      <c r="AB521" t="n">
        <v>0.0</v>
      </c>
      <c r="AC521" t="n">
        <v>0.0</v>
      </c>
      <c r="AD521" t="n">
        <v>0.0</v>
      </c>
      <c r="AE521" t="n">
        <v>0.0</v>
      </c>
      <c r="AF521" t="n">
        <v>36000.0</v>
      </c>
      <c r="AG521" t="n">
        <v>0.0</v>
      </c>
      <c r="AH521" t="n">
        <v>0.0</v>
      </c>
      <c r="AI521" t="n">
        <v>0.0</v>
      </c>
      <c r="AJ521" t="n">
        <v>0.0</v>
      </c>
      <c r="AK521" t="n">
        <v>0.0</v>
      </c>
      <c r="AL521" t="n">
        <v>0.0</v>
      </c>
      <c r="AM521" t="n">
        <v>0.0</v>
      </c>
      <c r="AN521" t="n">
        <v>0.0</v>
      </c>
      <c r="AO521" t="n">
        <v>520903.0</v>
      </c>
      <c r="AP521" t="n">
        <v>52090.0</v>
      </c>
      <c r="AQ521" t="n">
        <v>40241.3</v>
      </c>
      <c r="CH521">
        <f>IFERROR(U521*1,0)</f>
      </c>
    </row>
    <row r="522">
      <c r="A522" t="n">
        <v>8.0</v>
      </c>
      <c r="B522">
        <f>IF((K522-G522-H522&gt;2400000),10,(L522/(K522-G522-H522)*100))</f>
      </c>
      <c r="C522">
        <f>IF(N522&gt;2400000,240000,(N522*S522)/100)</f>
      </c>
      <c r="D522">
        <f>IF(S522=0,0,IF((N522-I522)&gt;2400000,((((((N522-I522-J522)-240000))*0.1+(I522+J522)*0.1)))-7000,((((((N522-I522-J522)-(N522-I522-J522)*S522/100)))*0.1+(I522+J522)*0.1)-7000)))</f>
      </c>
      <c r="E522">
        <f>C522-O522</f>
      </c>
      <c r="F522">
        <f>D522-P522</f>
      </c>
      <c r="G522">
        <f>SUMIF(negtgel!U$2:BL$2,'Tsalin uzuulelt'!B$1,negtgel!U522:BL522) + SUMIF(negtgel!U$2:BL$2,'Tsalin uzuulelt'!B$2,negtgel!U522:BL522)+SUMIF(negtgel!U$2:BL$2,'Tsalin uzuulelt'!B$3,negtgel!U522:BL522)+SUMIF(negtgel!U$2:BL$2,'Tsalin uzuulelt'!B$4,negtgel!U522:BL522)+SUMIF(negtgel!U$2:BL$2,'Tsalin uzuulelt'!B$5,negtgel!U522:BL522)</f>
      </c>
      <c r="H522">
        <f>SUMIF(negtgel!U$2:BL$2,'Tsalin uzuulelt'!F$1,negtgel!U522:BL522) + SUMIF(negtgel!U$2:BL$2,'Tsalin uzuulelt'!F$2,negtgel!U522:BL522)+SUMIF(negtgel!U$2:BL$2,'Tsalin uzuulelt'!F$3,negtgel!U522:BL522)+SUMIF(negtgel!U$2:BL$2,'Tsalin uzuulelt'!F$4,negtgel!U522:BL522)+SUMIF(negtgel!U$2:BL$2,'Tsalin uzuulelt'!F$5,negtgel!U522:BL522)</f>
      </c>
      <c r="I522">
        <f>SUMIF(negtgel!U$2:BL$2,'Tsalin uzuulelt'!H$1,negtgel!U522:BL522) + SUMIF(negtgel!U$2:BL$2,'Tsalin uzuulelt'!H$2,negtgel!U522:BL522)+SUMIF(negtgel!U$2:BL$2,'Tsalin uzuulelt'!H$3,negtgel!U522:BL522)+SUMIF(negtgel!U$2:BL$2,'Tsalin uzuulelt'!H$4,negtgel!U522:BL522)+SUMIF(negtgel!U$2:BL$2,'Tsalin uzuulelt'!H$5,negtgel!U522:BL522)</f>
      </c>
      <c r="J522">
        <f>SUMIF(negtgel!U$2:BL$2,'Tsalin uzuulelt'!J$1,negtgel!U522:BL522) + SUMIF(negtgel!U$2:BL$2,'Tsalin uzuulelt'!J$2,negtgel!U522:BL522)+SUMIF(negtgel!U$2:BL$2,'Tsalin uzuulelt'!J$3,negtgel!U522:BL522)+SUMIF(negtgel!U$2:BL$2,'Tsalin uzuulelt'!J$4,negtgel!U522:BL522)+SUMIF(negtgel!U$2:BL$2,'Tsalin uzuulelt'!J$5,negtgel!U522:BL522)</f>
      </c>
      <c r="K522">
        <f>SUMIF(negtgel!U$2:BL$2,'Tsalin uzuulelt'!L$1,negtgel!U522:BL522) + SUMIF(negtgel!U$2:BL$2,'Tsalin uzuulelt'!L$2,negtgel!U522:BL522)+SUMIF(negtgel!U$2:BL$2,'Tsalin uzuulelt'!L$3,negtgel!U522:BL522)+SUMIF(negtgel!U$2:BL$2,'Tsalin uzuulelt'!L$4,negtgel!U522:BL522)+SUMIF(negtgel!U$2:BL$2,'Tsalin uzuulelt'!L$5,negtgel!U522:BL522)</f>
      </c>
      <c r="L522">
        <f>SUMIF(negtgel!U$2:BL$2,'Tsalin uzuulelt'!N$1,negtgel!U522:BL522) + SUMIF(negtgel!U$2:BL$2,'Tsalin uzuulelt'!N$2,negtgel!U522:BL522)+SUMIF(negtgel!U$2:BL$2,'Tsalin uzuulelt'!N$3,negtgel!U522:BL522)+SUMIF(negtgel!U$2:BL$2,'Tsalin uzuulelt'!N$4,negtgel!U522:BL522)+SUMIF(negtgel!U$2:BL$2,'Tsalin uzuulelt'!N$5,negtgel!U522:BL522)</f>
      </c>
      <c r="M522">
        <f>SUMIF(negtgel!U$2:BL$2,'Tsalin uzuulelt'!P$1,negtgel!U522:BL522) + SUMIF(negtgel!U$2:BL$2,'Tsalin uzuulelt'!P$2,negtgel!U522:BL522)+ SUMIF(negtgel!U$2:BL$2,'Tsalin uzuulelt'!P$3,negtgel!U522:BL522)+ SUMIF(negtgel!U$2:BL$2,'Tsalin uzuulelt'!P$4,negtgel!U522:BL522)+ SUMIF(negtgel!U$2:BL$2,'Tsalin uzuulelt'!P$5,negtgel!U522:BL522)</f>
      </c>
      <c r="N522">
        <f>IF(ISNUMBER(U522*1)=CF522,0,K522-H522-G522)</f>
      </c>
      <c r="O522">
        <f>IF(ISNUMBER(U522*1)=CF522,0,L522)</f>
      </c>
      <c r="P522">
        <f>IF(ISNUMBER(U522*1)=CF522,0,M522)</f>
      </c>
      <c r="Q522">
        <f>IF(N522&gt;2400000,N522,0)</f>
      </c>
      <c r="R522">
        <f>IF(L522/Q522*100&lt;3,2,10)</f>
      </c>
      <c r="S522">
        <f>IF(CH522=0,0,IF(B522&gt;9,10,IF(B522&gt;8,B522,IF(B522&gt;7.7,7.8,IF(B522&gt;3,B522,IF(B522&gt;1.5,2))))))</f>
      </c>
      <c r="T522">
        <f>IF(Q522=0,S522,R522)</f>
      </c>
      <c r="U522" t="n">
        <v>72.0</v>
      </c>
      <c r="V522" t="s">
        <v>3821</v>
      </c>
      <c r="W522" t="s">
        <v>3790</v>
      </c>
      <c r="X522" t="n">
        <v>547759.0</v>
      </c>
      <c r="Y522" t="n">
        <v>547759.0</v>
      </c>
      <c r="Z522" t="n">
        <v>0.0</v>
      </c>
      <c r="AA522" t="n">
        <v>0.0</v>
      </c>
      <c r="AB522" t="n">
        <v>0.0</v>
      </c>
      <c r="AC522" t="n">
        <v>0.0</v>
      </c>
      <c r="AD522" t="n">
        <v>0.0</v>
      </c>
      <c r="AE522" t="n">
        <v>0.0</v>
      </c>
      <c r="AF522" t="n">
        <v>69000.0</v>
      </c>
      <c r="AG522" t="n">
        <v>0.0</v>
      </c>
      <c r="AH522" t="n">
        <v>0.0</v>
      </c>
      <c r="AI522" t="n">
        <v>0.0</v>
      </c>
      <c r="AJ522" t="n">
        <v>0.0</v>
      </c>
      <c r="AK522" t="n">
        <v>0.0</v>
      </c>
      <c r="AL522" t="n">
        <v>0.0</v>
      </c>
      <c r="AM522" t="n">
        <v>0.0</v>
      </c>
      <c r="AN522" t="n">
        <v>0.0</v>
      </c>
      <c r="AO522" t="n">
        <v>616759.0</v>
      </c>
      <c r="AP522" t="n">
        <v>61676.0</v>
      </c>
      <c r="AQ522" t="n">
        <v>49198.3</v>
      </c>
      <c r="CH522">
        <f>IFERROR(U522*1,0)</f>
      </c>
    </row>
    <row r="523">
      <c r="A523" t="n">
        <v>8.0</v>
      </c>
      <c r="B523">
        <f>IF((K523-G523-H523&gt;2400000),10,(L523/(K523-G523-H523)*100))</f>
      </c>
      <c r="C523">
        <f>IF(N523&gt;2400000,240000,(N523*S523)/100)</f>
      </c>
      <c r="D523">
        <f>IF(S523=0,0,IF((N523-I523)&gt;2400000,((((((N523-I523-J523)-240000))*0.1+(I523+J523)*0.1)))-7000,((((((N523-I523-J523)-(N523-I523-J523)*S523/100)))*0.1+(I523+J523)*0.1)-7000)))</f>
      </c>
      <c r="E523">
        <f>C523-O523</f>
      </c>
      <c r="F523">
        <f>D523-P523</f>
      </c>
      <c r="G523">
        <f>SUMIF(negtgel!U$2:BL$2,'Tsalin uzuulelt'!B$1,negtgel!U523:BL523) + SUMIF(negtgel!U$2:BL$2,'Tsalin uzuulelt'!B$2,negtgel!U523:BL523)+SUMIF(negtgel!U$2:BL$2,'Tsalin uzuulelt'!B$3,negtgel!U523:BL523)+SUMIF(negtgel!U$2:BL$2,'Tsalin uzuulelt'!B$4,negtgel!U523:BL523)+SUMIF(negtgel!U$2:BL$2,'Tsalin uzuulelt'!B$5,negtgel!U523:BL523)</f>
      </c>
      <c r="H523">
        <f>SUMIF(negtgel!U$2:BL$2,'Tsalin uzuulelt'!F$1,negtgel!U523:BL523) + SUMIF(negtgel!U$2:BL$2,'Tsalin uzuulelt'!F$2,negtgel!U523:BL523)+SUMIF(negtgel!U$2:BL$2,'Tsalin uzuulelt'!F$3,negtgel!U523:BL523)+SUMIF(negtgel!U$2:BL$2,'Tsalin uzuulelt'!F$4,negtgel!U523:BL523)+SUMIF(negtgel!U$2:BL$2,'Tsalin uzuulelt'!F$5,negtgel!U523:BL523)</f>
      </c>
      <c r="I523">
        <f>SUMIF(negtgel!U$2:BL$2,'Tsalin uzuulelt'!H$1,negtgel!U523:BL523) + SUMIF(negtgel!U$2:BL$2,'Tsalin uzuulelt'!H$2,negtgel!U523:BL523)+SUMIF(negtgel!U$2:BL$2,'Tsalin uzuulelt'!H$3,negtgel!U523:BL523)+SUMIF(negtgel!U$2:BL$2,'Tsalin uzuulelt'!H$4,negtgel!U523:BL523)+SUMIF(negtgel!U$2:BL$2,'Tsalin uzuulelt'!H$5,negtgel!U523:BL523)</f>
      </c>
      <c r="J523">
        <f>SUMIF(negtgel!U$2:BL$2,'Tsalin uzuulelt'!J$1,negtgel!U523:BL523) + SUMIF(negtgel!U$2:BL$2,'Tsalin uzuulelt'!J$2,negtgel!U523:BL523)+SUMIF(negtgel!U$2:BL$2,'Tsalin uzuulelt'!J$3,negtgel!U523:BL523)+SUMIF(negtgel!U$2:BL$2,'Tsalin uzuulelt'!J$4,negtgel!U523:BL523)+SUMIF(negtgel!U$2:BL$2,'Tsalin uzuulelt'!J$5,negtgel!U523:BL523)</f>
      </c>
      <c r="K523">
        <f>SUMIF(negtgel!U$2:BL$2,'Tsalin uzuulelt'!L$1,negtgel!U523:BL523) + SUMIF(negtgel!U$2:BL$2,'Tsalin uzuulelt'!L$2,negtgel!U523:BL523)+SUMIF(negtgel!U$2:BL$2,'Tsalin uzuulelt'!L$3,negtgel!U523:BL523)+SUMIF(negtgel!U$2:BL$2,'Tsalin uzuulelt'!L$4,negtgel!U523:BL523)+SUMIF(negtgel!U$2:BL$2,'Tsalin uzuulelt'!L$5,negtgel!U523:BL523)</f>
      </c>
      <c r="L523">
        <f>SUMIF(negtgel!U$2:BL$2,'Tsalin uzuulelt'!N$1,negtgel!U523:BL523) + SUMIF(negtgel!U$2:BL$2,'Tsalin uzuulelt'!N$2,negtgel!U523:BL523)+SUMIF(negtgel!U$2:BL$2,'Tsalin uzuulelt'!N$3,negtgel!U523:BL523)+SUMIF(negtgel!U$2:BL$2,'Tsalin uzuulelt'!N$4,negtgel!U523:BL523)+SUMIF(negtgel!U$2:BL$2,'Tsalin uzuulelt'!N$5,negtgel!U523:BL523)</f>
      </c>
      <c r="M523">
        <f>SUMIF(negtgel!U$2:BL$2,'Tsalin uzuulelt'!P$1,negtgel!U523:BL523) + SUMIF(negtgel!U$2:BL$2,'Tsalin uzuulelt'!P$2,negtgel!U523:BL523)+ SUMIF(negtgel!U$2:BL$2,'Tsalin uzuulelt'!P$3,negtgel!U523:BL523)+ SUMIF(negtgel!U$2:BL$2,'Tsalin uzuulelt'!P$4,negtgel!U523:BL523)+ SUMIF(negtgel!U$2:BL$2,'Tsalin uzuulelt'!P$5,negtgel!U523:BL523)</f>
      </c>
      <c r="N523">
        <f>IF(ISNUMBER(U523*1)=CF523,0,K523-H523-G523)</f>
      </c>
      <c r="O523">
        <f>IF(ISNUMBER(U523*1)=CF523,0,L523)</f>
      </c>
      <c r="P523">
        <f>IF(ISNUMBER(U523*1)=CF523,0,M523)</f>
      </c>
      <c r="Q523">
        <f>IF(N523&gt;2400000,N523,0)</f>
      </c>
      <c r="R523">
        <f>IF(L523/Q523*100&lt;3,2,10)</f>
      </c>
      <c r="S523">
        <f>IF(CH523=0,0,IF(B523&gt;9,10,IF(B523&gt;8,B523,IF(B523&gt;7.7,7.8,IF(B523&gt;3,B523,IF(B523&gt;1.5,2))))))</f>
      </c>
      <c r="T523">
        <f>IF(Q523=0,S523,R523)</f>
      </c>
      <c r="U523" t="n">
        <v>73.0</v>
      </c>
      <c r="V523" t="s">
        <v>3822</v>
      </c>
      <c r="W523" t="s">
        <v>3823</v>
      </c>
      <c r="X523" t="n">
        <v>539547.0</v>
      </c>
      <c r="Y523" t="n">
        <v>0.0</v>
      </c>
      <c r="Z523" t="n">
        <v>0.0</v>
      </c>
      <c r="AA523" t="n">
        <v>0.0</v>
      </c>
      <c r="AB523" t="n">
        <v>0.0</v>
      </c>
      <c r="AC523" t="n">
        <v>0.0</v>
      </c>
      <c r="AD523" t="n">
        <v>0.0</v>
      </c>
      <c r="AE523" t="n">
        <v>0.0</v>
      </c>
      <c r="AF523" t="n">
        <v>0.0</v>
      </c>
      <c r="AG523" t="n">
        <v>0.0</v>
      </c>
      <c r="AH523" t="n">
        <v>0.0</v>
      </c>
      <c r="AI523" t="n">
        <v>0.0</v>
      </c>
      <c r="AJ523" t="n">
        <v>0.0</v>
      </c>
      <c r="AK523" t="n">
        <v>0.0</v>
      </c>
      <c r="AL523" t="n">
        <v>0.0</v>
      </c>
      <c r="AM523" t="n">
        <v>0.0</v>
      </c>
      <c r="AN523" t="n">
        <v>0.0</v>
      </c>
      <c r="AO523" t="n">
        <v>0.0</v>
      </c>
      <c r="AP523" t="n">
        <v>0.0</v>
      </c>
      <c r="AQ523" t="n">
        <v>0.0</v>
      </c>
      <c r="CH523">
        <f>IFERROR(U523*1,0)</f>
      </c>
    </row>
    <row r="524">
      <c r="A524" t="n">
        <v>8.0</v>
      </c>
      <c r="B524">
        <f>IF((K524-G524-H524&gt;2400000),10,(L524/(K524-G524-H524)*100))</f>
      </c>
      <c r="C524">
        <f>IF(N524&gt;2400000,240000,(N524*S524)/100)</f>
      </c>
      <c r="D524">
        <f>IF(S524=0,0,IF((N524-I524)&gt;2400000,((((((N524-I524-J524)-240000))*0.1+(I524+J524)*0.1)))-7000,((((((N524-I524-J524)-(N524-I524-J524)*S524/100)))*0.1+(I524+J524)*0.1)-7000)))</f>
      </c>
      <c r="E524">
        <f>C524-O524</f>
      </c>
      <c r="F524">
        <f>D524-P524</f>
      </c>
      <c r="G524">
        <f>SUMIF(negtgel!U$2:BL$2,'Tsalin uzuulelt'!B$1,negtgel!U524:BL524) + SUMIF(negtgel!U$2:BL$2,'Tsalin uzuulelt'!B$2,negtgel!U524:BL524)+SUMIF(negtgel!U$2:BL$2,'Tsalin uzuulelt'!B$3,negtgel!U524:BL524)+SUMIF(negtgel!U$2:BL$2,'Tsalin uzuulelt'!B$4,negtgel!U524:BL524)+SUMIF(negtgel!U$2:BL$2,'Tsalin uzuulelt'!B$5,negtgel!U524:BL524)</f>
      </c>
      <c r="H524">
        <f>SUMIF(negtgel!U$2:BL$2,'Tsalin uzuulelt'!F$1,negtgel!U524:BL524) + SUMIF(negtgel!U$2:BL$2,'Tsalin uzuulelt'!F$2,negtgel!U524:BL524)+SUMIF(negtgel!U$2:BL$2,'Tsalin uzuulelt'!F$3,negtgel!U524:BL524)+SUMIF(negtgel!U$2:BL$2,'Tsalin uzuulelt'!F$4,negtgel!U524:BL524)+SUMIF(negtgel!U$2:BL$2,'Tsalin uzuulelt'!F$5,negtgel!U524:BL524)</f>
      </c>
      <c r="I524">
        <f>SUMIF(negtgel!U$2:BL$2,'Tsalin uzuulelt'!H$1,negtgel!U524:BL524) + SUMIF(negtgel!U$2:BL$2,'Tsalin uzuulelt'!H$2,negtgel!U524:BL524)+SUMIF(negtgel!U$2:BL$2,'Tsalin uzuulelt'!H$3,negtgel!U524:BL524)+SUMIF(negtgel!U$2:BL$2,'Tsalin uzuulelt'!H$4,negtgel!U524:BL524)+SUMIF(negtgel!U$2:BL$2,'Tsalin uzuulelt'!H$5,negtgel!U524:BL524)</f>
      </c>
      <c r="J524">
        <f>SUMIF(negtgel!U$2:BL$2,'Tsalin uzuulelt'!J$1,negtgel!U524:BL524) + SUMIF(negtgel!U$2:BL$2,'Tsalin uzuulelt'!J$2,negtgel!U524:BL524)+SUMIF(negtgel!U$2:BL$2,'Tsalin uzuulelt'!J$3,negtgel!U524:BL524)+SUMIF(negtgel!U$2:BL$2,'Tsalin uzuulelt'!J$4,negtgel!U524:BL524)+SUMIF(negtgel!U$2:BL$2,'Tsalin uzuulelt'!J$5,negtgel!U524:BL524)</f>
      </c>
      <c r="K524">
        <f>SUMIF(negtgel!U$2:BL$2,'Tsalin uzuulelt'!L$1,negtgel!U524:BL524) + SUMIF(negtgel!U$2:BL$2,'Tsalin uzuulelt'!L$2,negtgel!U524:BL524)+SUMIF(negtgel!U$2:BL$2,'Tsalin uzuulelt'!L$3,negtgel!U524:BL524)+SUMIF(negtgel!U$2:BL$2,'Tsalin uzuulelt'!L$4,negtgel!U524:BL524)+SUMIF(negtgel!U$2:BL$2,'Tsalin uzuulelt'!L$5,negtgel!U524:BL524)</f>
      </c>
      <c r="L524">
        <f>SUMIF(negtgel!U$2:BL$2,'Tsalin uzuulelt'!N$1,negtgel!U524:BL524) + SUMIF(negtgel!U$2:BL$2,'Tsalin uzuulelt'!N$2,negtgel!U524:BL524)+SUMIF(negtgel!U$2:BL$2,'Tsalin uzuulelt'!N$3,negtgel!U524:BL524)+SUMIF(negtgel!U$2:BL$2,'Tsalin uzuulelt'!N$4,negtgel!U524:BL524)+SUMIF(negtgel!U$2:BL$2,'Tsalin uzuulelt'!N$5,negtgel!U524:BL524)</f>
      </c>
      <c r="M524">
        <f>SUMIF(negtgel!U$2:BL$2,'Tsalin uzuulelt'!P$1,negtgel!U524:BL524) + SUMIF(negtgel!U$2:BL$2,'Tsalin uzuulelt'!P$2,negtgel!U524:BL524)+ SUMIF(negtgel!U$2:BL$2,'Tsalin uzuulelt'!P$3,negtgel!U524:BL524)+ SUMIF(negtgel!U$2:BL$2,'Tsalin uzuulelt'!P$4,negtgel!U524:BL524)+ SUMIF(negtgel!U$2:BL$2,'Tsalin uzuulelt'!P$5,negtgel!U524:BL524)</f>
      </c>
      <c r="N524">
        <f>IF(ISNUMBER(U524*1)=CF524,0,K524-H524-G524)</f>
      </c>
      <c r="O524">
        <f>IF(ISNUMBER(U524*1)=CF524,0,L524)</f>
      </c>
      <c r="P524">
        <f>IF(ISNUMBER(U524*1)=CF524,0,M524)</f>
      </c>
      <c r="Q524">
        <f>IF(N524&gt;2400000,N524,0)</f>
      </c>
      <c r="R524">
        <f>IF(L524/Q524*100&lt;3,2,10)</f>
      </c>
      <c r="S524">
        <f>IF(CH524=0,0,IF(B524&gt;9,10,IF(B524&gt;8,B524,IF(B524&gt;7.7,7.8,IF(B524&gt;3,B524,IF(B524&gt;1.5,2))))))</f>
      </c>
      <c r="T524">
        <f>IF(Q524=0,S524,R524)</f>
      </c>
      <c r="U524" t="n">
        <v>74.0</v>
      </c>
      <c r="V524" t="s">
        <v>3824</v>
      </c>
      <c r="W524" t="s">
        <v>3790</v>
      </c>
      <c r="X524" t="n">
        <v>677436.0</v>
      </c>
      <c r="Y524" t="n">
        <v>235630.0</v>
      </c>
      <c r="Z524" t="n">
        <v>47126.0</v>
      </c>
      <c r="AA524" t="n">
        <v>47126.0</v>
      </c>
      <c r="AB524" t="n">
        <v>0.0</v>
      </c>
      <c r="AC524" t="n">
        <v>35344.0</v>
      </c>
      <c r="AD524" t="n">
        <v>0.0</v>
      </c>
      <c r="AE524" t="n">
        <v>0.0</v>
      </c>
      <c r="AF524" t="n">
        <v>24000.0</v>
      </c>
      <c r="AG524" t="n">
        <v>0.0</v>
      </c>
      <c r="AH524" t="n">
        <v>0.0</v>
      </c>
      <c r="AI524" t="n">
        <v>0.0</v>
      </c>
      <c r="AJ524" t="n">
        <v>0.0</v>
      </c>
      <c r="AK524" t="n">
        <v>0.0</v>
      </c>
      <c r="AL524" t="n">
        <v>0.0</v>
      </c>
      <c r="AM524" t="n">
        <v>0.0</v>
      </c>
      <c r="AN524" t="n">
        <v>0.0</v>
      </c>
      <c r="AO524" t="n">
        <v>389226.0</v>
      </c>
      <c r="AP524" t="n">
        <v>38923.0</v>
      </c>
      <c r="AQ524" t="n">
        <v>28270.3</v>
      </c>
      <c r="CH524">
        <f>IFERROR(U524*1,0)</f>
      </c>
    </row>
    <row r="525">
      <c r="A525" t="n">
        <v>8.0</v>
      </c>
      <c r="B525">
        <f>IF((K525-G525-H525&gt;2400000),10,(L525/(K525-G525-H525)*100))</f>
      </c>
      <c r="C525">
        <f>IF(N525&gt;2400000,240000,(N525*S525)/100)</f>
      </c>
      <c r="D525">
        <f>IF(S525=0,0,IF((N525-I525)&gt;2400000,((((((N525-I525-J525)-240000))*0.1+(I525+J525)*0.1)))-7000,((((((N525-I525-J525)-(N525-I525-J525)*S525/100)))*0.1+(I525+J525)*0.1)-7000)))</f>
      </c>
      <c r="E525">
        <f>C525-O525</f>
      </c>
      <c r="F525">
        <f>D525-P525</f>
      </c>
      <c r="G525">
        <f>SUMIF(negtgel!U$2:BL$2,'Tsalin uzuulelt'!B$1,negtgel!U525:BL525) + SUMIF(negtgel!U$2:BL$2,'Tsalin uzuulelt'!B$2,negtgel!U525:BL525)+SUMIF(negtgel!U$2:BL$2,'Tsalin uzuulelt'!B$3,negtgel!U525:BL525)+SUMIF(negtgel!U$2:BL$2,'Tsalin uzuulelt'!B$4,negtgel!U525:BL525)+SUMIF(negtgel!U$2:BL$2,'Tsalin uzuulelt'!B$5,negtgel!U525:BL525)</f>
      </c>
      <c r="H525">
        <f>SUMIF(negtgel!U$2:BL$2,'Tsalin uzuulelt'!F$1,negtgel!U525:BL525) + SUMIF(negtgel!U$2:BL$2,'Tsalin uzuulelt'!F$2,negtgel!U525:BL525)+SUMIF(negtgel!U$2:BL$2,'Tsalin uzuulelt'!F$3,negtgel!U525:BL525)+SUMIF(negtgel!U$2:BL$2,'Tsalin uzuulelt'!F$4,negtgel!U525:BL525)+SUMIF(negtgel!U$2:BL$2,'Tsalin uzuulelt'!F$5,negtgel!U525:BL525)</f>
      </c>
      <c r="I525">
        <f>SUMIF(negtgel!U$2:BL$2,'Tsalin uzuulelt'!H$1,negtgel!U525:BL525) + SUMIF(negtgel!U$2:BL$2,'Tsalin uzuulelt'!H$2,negtgel!U525:BL525)+SUMIF(negtgel!U$2:BL$2,'Tsalin uzuulelt'!H$3,negtgel!U525:BL525)+SUMIF(negtgel!U$2:BL$2,'Tsalin uzuulelt'!H$4,negtgel!U525:BL525)+SUMIF(negtgel!U$2:BL$2,'Tsalin uzuulelt'!H$5,negtgel!U525:BL525)</f>
      </c>
      <c r="J525">
        <f>SUMIF(negtgel!U$2:BL$2,'Tsalin uzuulelt'!J$1,negtgel!U525:BL525) + SUMIF(negtgel!U$2:BL$2,'Tsalin uzuulelt'!J$2,negtgel!U525:BL525)+SUMIF(negtgel!U$2:BL$2,'Tsalin uzuulelt'!J$3,negtgel!U525:BL525)+SUMIF(negtgel!U$2:BL$2,'Tsalin uzuulelt'!J$4,negtgel!U525:BL525)+SUMIF(negtgel!U$2:BL$2,'Tsalin uzuulelt'!J$5,negtgel!U525:BL525)</f>
      </c>
      <c r="K525">
        <f>SUMIF(negtgel!U$2:BL$2,'Tsalin uzuulelt'!L$1,negtgel!U525:BL525) + SUMIF(negtgel!U$2:BL$2,'Tsalin uzuulelt'!L$2,negtgel!U525:BL525)+SUMIF(negtgel!U$2:BL$2,'Tsalin uzuulelt'!L$3,negtgel!U525:BL525)+SUMIF(negtgel!U$2:BL$2,'Tsalin uzuulelt'!L$4,negtgel!U525:BL525)+SUMIF(negtgel!U$2:BL$2,'Tsalin uzuulelt'!L$5,negtgel!U525:BL525)</f>
      </c>
      <c r="L525">
        <f>SUMIF(negtgel!U$2:BL$2,'Tsalin uzuulelt'!N$1,negtgel!U525:BL525) + SUMIF(negtgel!U$2:BL$2,'Tsalin uzuulelt'!N$2,negtgel!U525:BL525)+SUMIF(negtgel!U$2:BL$2,'Tsalin uzuulelt'!N$3,negtgel!U525:BL525)+SUMIF(negtgel!U$2:BL$2,'Tsalin uzuulelt'!N$4,negtgel!U525:BL525)+SUMIF(negtgel!U$2:BL$2,'Tsalin uzuulelt'!N$5,negtgel!U525:BL525)</f>
      </c>
      <c r="M525">
        <f>SUMIF(negtgel!U$2:BL$2,'Tsalin uzuulelt'!P$1,negtgel!U525:BL525) + SUMIF(negtgel!U$2:BL$2,'Tsalin uzuulelt'!P$2,negtgel!U525:BL525)+ SUMIF(negtgel!U$2:BL$2,'Tsalin uzuulelt'!P$3,negtgel!U525:BL525)+ SUMIF(negtgel!U$2:BL$2,'Tsalin uzuulelt'!P$4,negtgel!U525:BL525)+ SUMIF(negtgel!U$2:BL$2,'Tsalin uzuulelt'!P$5,negtgel!U525:BL525)</f>
      </c>
      <c r="N525">
        <f>IF(ISNUMBER(U525*1)=CF525,0,K525-H525-G525)</f>
      </c>
      <c r="O525">
        <f>IF(ISNUMBER(U525*1)=CF525,0,L525)</f>
      </c>
      <c r="P525">
        <f>IF(ISNUMBER(U525*1)=CF525,0,M525)</f>
      </c>
      <c r="Q525">
        <f>IF(N525&gt;2400000,N525,0)</f>
      </c>
      <c r="R525">
        <f>IF(L525/Q525*100&lt;3,2,10)</f>
      </c>
      <c r="S525">
        <f>IF(CH525=0,0,IF(B525&gt;9,10,IF(B525&gt;8,B525,IF(B525&gt;7.7,7.8,IF(B525&gt;3,B525,IF(B525&gt;1.5,2))))))</f>
      </c>
      <c r="T525">
        <f>IF(Q525=0,S525,R525)</f>
      </c>
      <c r="U525" t="s">
        <v>3787</v>
      </c>
      <c r="V525"/>
      <c r="W525"/>
      <c r="X525" t="n">
        <v>4484667.0</v>
      </c>
      <c r="Y525" t="n">
        <v>2519667.0</v>
      </c>
      <c r="Z525" t="n">
        <v>266600.0</v>
      </c>
      <c r="AA525" t="n">
        <v>265772.0</v>
      </c>
      <c r="AB525" t="n">
        <v>0.0</v>
      </c>
      <c r="AC525" t="n">
        <v>35344.0</v>
      </c>
      <c r="AD525" t="n">
        <v>219104.0</v>
      </c>
      <c r="AE525" t="n">
        <v>0.0</v>
      </c>
      <c r="AF525" t="n">
        <v>273000.0</v>
      </c>
      <c r="AG525" t="n">
        <v>0.0</v>
      </c>
      <c r="AH525" t="n">
        <v>0.0</v>
      </c>
      <c r="AI525" t="n">
        <v>0.0</v>
      </c>
      <c r="AJ525" t="n">
        <v>0.0</v>
      </c>
      <c r="AK525" t="n">
        <v>0.0</v>
      </c>
      <c r="AL525" t="n">
        <v>0.0</v>
      </c>
      <c r="AM525" t="n">
        <v>0.0</v>
      </c>
      <c r="AN525" t="n">
        <v>0.0</v>
      </c>
      <c r="AO525" t="n">
        <v>3579487.0</v>
      </c>
      <c r="AP525" t="n">
        <v>357950.0</v>
      </c>
      <c r="AQ525" t="n">
        <v>282883.9</v>
      </c>
      <c r="CH525">
        <f>IFERROR(U525*1,0)</f>
      </c>
    </row>
    <row r="526">
      <c r="A526" t="n">
        <v>8.0</v>
      </c>
      <c r="B526">
        <f>IF((K526-G526-H526&gt;2400000),10,(L526/(K526-G526-H526)*100))</f>
      </c>
      <c r="C526">
        <f>IF(N526&gt;2400000,240000,(N526*S526)/100)</f>
      </c>
      <c r="D526">
        <f>IF(S526=0,0,IF((N526-I526)&gt;2400000,((((((N526-I526-J526)-240000))*0.1+(I526+J526)*0.1)))-7000,((((((N526-I526-J526)-(N526-I526-J526)*S526/100)))*0.1+(I526+J526)*0.1)-7000)))</f>
      </c>
      <c r="E526">
        <f>C526-O526</f>
      </c>
      <c r="F526">
        <f>D526-P526</f>
      </c>
      <c r="G526">
        <f>SUMIF(negtgel!U$2:BL$2,'Tsalin uzuulelt'!B$1,negtgel!U526:BL526) + SUMIF(negtgel!U$2:BL$2,'Tsalin uzuulelt'!B$2,negtgel!U526:BL526)+SUMIF(negtgel!U$2:BL$2,'Tsalin uzuulelt'!B$3,negtgel!U526:BL526)+SUMIF(negtgel!U$2:BL$2,'Tsalin uzuulelt'!B$4,negtgel!U526:BL526)+SUMIF(negtgel!U$2:BL$2,'Tsalin uzuulelt'!B$5,negtgel!U526:BL526)</f>
      </c>
      <c r="H526">
        <f>SUMIF(negtgel!U$2:BL$2,'Tsalin uzuulelt'!F$1,negtgel!U526:BL526) + SUMIF(negtgel!U$2:BL$2,'Tsalin uzuulelt'!F$2,negtgel!U526:BL526)+SUMIF(negtgel!U$2:BL$2,'Tsalin uzuulelt'!F$3,negtgel!U526:BL526)+SUMIF(negtgel!U$2:BL$2,'Tsalin uzuulelt'!F$4,negtgel!U526:BL526)+SUMIF(negtgel!U$2:BL$2,'Tsalin uzuulelt'!F$5,negtgel!U526:BL526)</f>
      </c>
      <c r="I526">
        <f>SUMIF(negtgel!U$2:BL$2,'Tsalin uzuulelt'!H$1,negtgel!U526:BL526) + SUMIF(negtgel!U$2:BL$2,'Tsalin uzuulelt'!H$2,negtgel!U526:BL526)+SUMIF(negtgel!U$2:BL$2,'Tsalin uzuulelt'!H$3,negtgel!U526:BL526)+SUMIF(negtgel!U$2:BL$2,'Tsalin uzuulelt'!H$4,negtgel!U526:BL526)+SUMIF(negtgel!U$2:BL$2,'Tsalin uzuulelt'!H$5,negtgel!U526:BL526)</f>
      </c>
      <c r="J526">
        <f>SUMIF(negtgel!U$2:BL$2,'Tsalin uzuulelt'!J$1,negtgel!U526:BL526) + SUMIF(negtgel!U$2:BL$2,'Tsalin uzuulelt'!J$2,negtgel!U526:BL526)+SUMIF(negtgel!U$2:BL$2,'Tsalin uzuulelt'!J$3,negtgel!U526:BL526)+SUMIF(negtgel!U$2:BL$2,'Tsalin uzuulelt'!J$4,negtgel!U526:BL526)+SUMIF(negtgel!U$2:BL$2,'Tsalin uzuulelt'!J$5,negtgel!U526:BL526)</f>
      </c>
      <c r="K526">
        <f>SUMIF(negtgel!U$2:BL$2,'Tsalin uzuulelt'!L$1,negtgel!U526:BL526) + SUMIF(negtgel!U$2:BL$2,'Tsalin uzuulelt'!L$2,negtgel!U526:BL526)+SUMIF(negtgel!U$2:BL$2,'Tsalin uzuulelt'!L$3,negtgel!U526:BL526)+SUMIF(negtgel!U$2:BL$2,'Tsalin uzuulelt'!L$4,negtgel!U526:BL526)+SUMIF(negtgel!U$2:BL$2,'Tsalin uzuulelt'!L$5,negtgel!U526:BL526)</f>
      </c>
      <c r="L526">
        <f>SUMIF(negtgel!U$2:BL$2,'Tsalin uzuulelt'!N$1,negtgel!U526:BL526) + SUMIF(negtgel!U$2:BL$2,'Tsalin uzuulelt'!N$2,negtgel!U526:BL526)+SUMIF(negtgel!U$2:BL$2,'Tsalin uzuulelt'!N$3,negtgel!U526:BL526)+SUMIF(negtgel!U$2:BL$2,'Tsalin uzuulelt'!N$4,negtgel!U526:BL526)+SUMIF(negtgel!U$2:BL$2,'Tsalin uzuulelt'!N$5,negtgel!U526:BL526)</f>
      </c>
      <c r="M526">
        <f>SUMIF(negtgel!U$2:BL$2,'Tsalin uzuulelt'!P$1,negtgel!U526:BL526) + SUMIF(negtgel!U$2:BL$2,'Tsalin uzuulelt'!P$2,negtgel!U526:BL526)+ SUMIF(negtgel!U$2:BL$2,'Tsalin uzuulelt'!P$3,negtgel!U526:BL526)+ SUMIF(negtgel!U$2:BL$2,'Tsalin uzuulelt'!P$4,negtgel!U526:BL526)+ SUMIF(negtgel!U$2:BL$2,'Tsalin uzuulelt'!P$5,negtgel!U526:BL526)</f>
      </c>
      <c r="N526">
        <f>IF(ISNUMBER(U526*1)=CF526,0,K526-H526-G526)</f>
      </c>
      <c r="O526">
        <f>IF(ISNUMBER(U526*1)=CF526,0,L526)</f>
      </c>
      <c r="P526">
        <f>IF(ISNUMBER(U526*1)=CF526,0,M526)</f>
      </c>
      <c r="Q526">
        <f>IF(N526&gt;2400000,N526,0)</f>
      </c>
      <c r="R526">
        <f>IF(L526/Q526*100&lt;3,2,10)</f>
      </c>
      <c r="S526">
        <f>IF(CH526=0,0,IF(B526&gt;9,10,IF(B526&gt;8,B526,IF(B526&gt;7.7,7.8,IF(B526&gt;3,B526,IF(B526&gt;1.5,2))))))</f>
      </c>
      <c r="T526">
        <f>IF(Q526=0,S526,R526)</f>
      </c>
      <c r="U526" t="s">
        <v>3825</v>
      </c>
      <c r="V526"/>
      <c r="W526"/>
      <c r="X526"/>
      <c r="Y526"/>
      <c r="Z526"/>
      <c r="AA526"/>
      <c r="AB526"/>
      <c r="AC526"/>
      <c r="AD526"/>
      <c r="AE526"/>
      <c r="AF526"/>
      <c r="AG526"/>
      <c r="AH526"/>
      <c r="AI526"/>
      <c r="AJ526"/>
      <c r="AK526"/>
      <c r="AL526"/>
      <c r="AM526"/>
      <c r="AN526"/>
      <c r="AO526"/>
      <c r="AP526"/>
      <c r="AQ526"/>
      <c r="CH526">
        <f>IFERROR(U526*1,0)</f>
      </c>
    </row>
    <row r="527">
      <c r="A527" t="n">
        <v>8.0</v>
      </c>
      <c r="B527">
        <f>IF((K527-G527-H527&gt;2400000),10,(L527/(K527-G527-H527)*100))</f>
      </c>
      <c r="C527">
        <f>IF(N527&gt;2400000,240000,(N527*S527)/100)</f>
      </c>
      <c r="D527">
        <f>IF(S527=0,0,IF((N527-I527)&gt;2400000,((((((N527-I527-J527)-240000))*0.1+(I527+J527)*0.1)))-7000,((((((N527-I527-J527)-(N527-I527-J527)*S527/100)))*0.1+(I527+J527)*0.1)-7000)))</f>
      </c>
      <c r="E527">
        <f>C527-O527</f>
      </c>
      <c r="F527">
        <f>D527-P527</f>
      </c>
      <c r="G527">
        <f>SUMIF(negtgel!U$2:BL$2,'Tsalin uzuulelt'!B$1,negtgel!U527:BL527) + SUMIF(negtgel!U$2:BL$2,'Tsalin uzuulelt'!B$2,negtgel!U527:BL527)+SUMIF(negtgel!U$2:BL$2,'Tsalin uzuulelt'!B$3,negtgel!U527:BL527)+SUMIF(negtgel!U$2:BL$2,'Tsalin uzuulelt'!B$4,negtgel!U527:BL527)+SUMIF(negtgel!U$2:BL$2,'Tsalin uzuulelt'!B$5,negtgel!U527:BL527)</f>
      </c>
      <c r="H527">
        <f>SUMIF(negtgel!U$2:BL$2,'Tsalin uzuulelt'!F$1,negtgel!U527:BL527) + SUMIF(negtgel!U$2:BL$2,'Tsalin uzuulelt'!F$2,negtgel!U527:BL527)+SUMIF(negtgel!U$2:BL$2,'Tsalin uzuulelt'!F$3,negtgel!U527:BL527)+SUMIF(negtgel!U$2:BL$2,'Tsalin uzuulelt'!F$4,negtgel!U527:BL527)+SUMIF(negtgel!U$2:BL$2,'Tsalin uzuulelt'!F$5,negtgel!U527:BL527)</f>
      </c>
      <c r="I527">
        <f>SUMIF(negtgel!U$2:BL$2,'Tsalin uzuulelt'!H$1,negtgel!U527:BL527) + SUMIF(negtgel!U$2:BL$2,'Tsalin uzuulelt'!H$2,negtgel!U527:BL527)+SUMIF(negtgel!U$2:BL$2,'Tsalin uzuulelt'!H$3,negtgel!U527:BL527)+SUMIF(negtgel!U$2:BL$2,'Tsalin uzuulelt'!H$4,negtgel!U527:BL527)+SUMIF(negtgel!U$2:BL$2,'Tsalin uzuulelt'!H$5,negtgel!U527:BL527)</f>
      </c>
      <c r="J527">
        <f>SUMIF(negtgel!U$2:BL$2,'Tsalin uzuulelt'!J$1,negtgel!U527:BL527) + SUMIF(negtgel!U$2:BL$2,'Tsalin uzuulelt'!J$2,negtgel!U527:BL527)+SUMIF(negtgel!U$2:BL$2,'Tsalin uzuulelt'!J$3,negtgel!U527:BL527)+SUMIF(negtgel!U$2:BL$2,'Tsalin uzuulelt'!J$4,negtgel!U527:BL527)+SUMIF(negtgel!U$2:BL$2,'Tsalin uzuulelt'!J$5,negtgel!U527:BL527)</f>
      </c>
      <c r="K527">
        <f>SUMIF(negtgel!U$2:BL$2,'Tsalin uzuulelt'!L$1,negtgel!U527:BL527) + SUMIF(negtgel!U$2:BL$2,'Tsalin uzuulelt'!L$2,negtgel!U527:BL527)+SUMIF(negtgel!U$2:BL$2,'Tsalin uzuulelt'!L$3,negtgel!U527:BL527)+SUMIF(negtgel!U$2:BL$2,'Tsalin uzuulelt'!L$4,negtgel!U527:BL527)+SUMIF(negtgel!U$2:BL$2,'Tsalin uzuulelt'!L$5,negtgel!U527:BL527)</f>
      </c>
      <c r="L527">
        <f>SUMIF(negtgel!U$2:BL$2,'Tsalin uzuulelt'!N$1,negtgel!U527:BL527) + SUMIF(negtgel!U$2:BL$2,'Tsalin uzuulelt'!N$2,negtgel!U527:BL527)+SUMIF(negtgel!U$2:BL$2,'Tsalin uzuulelt'!N$3,negtgel!U527:BL527)+SUMIF(negtgel!U$2:BL$2,'Tsalin uzuulelt'!N$4,negtgel!U527:BL527)+SUMIF(negtgel!U$2:BL$2,'Tsalin uzuulelt'!N$5,negtgel!U527:BL527)</f>
      </c>
      <c r="M527">
        <f>SUMIF(negtgel!U$2:BL$2,'Tsalin uzuulelt'!P$1,negtgel!U527:BL527) + SUMIF(negtgel!U$2:BL$2,'Tsalin uzuulelt'!P$2,negtgel!U527:BL527)+ SUMIF(negtgel!U$2:BL$2,'Tsalin uzuulelt'!P$3,negtgel!U527:BL527)+ SUMIF(negtgel!U$2:BL$2,'Tsalin uzuulelt'!P$4,negtgel!U527:BL527)+ SUMIF(negtgel!U$2:BL$2,'Tsalin uzuulelt'!P$5,negtgel!U527:BL527)</f>
      </c>
      <c r="N527">
        <f>IF(ISNUMBER(U527*1)=CF527,0,K527-H527-G527)</f>
      </c>
      <c r="O527">
        <f>IF(ISNUMBER(U527*1)=CF527,0,L527)</f>
      </c>
      <c r="P527">
        <f>IF(ISNUMBER(U527*1)=CF527,0,M527)</f>
      </c>
      <c r="Q527">
        <f>IF(N527&gt;2400000,N527,0)</f>
      </c>
      <c r="R527">
        <f>IF(L527/Q527*100&lt;3,2,10)</f>
      </c>
      <c r="S527">
        <f>IF(CH527=0,0,IF(B527&gt;9,10,IF(B527&gt;8,B527,IF(B527&gt;7.7,7.8,IF(B527&gt;3,B527,IF(B527&gt;1.5,2))))))</f>
      </c>
      <c r="T527">
        <f>IF(Q527=0,S527,R527)</f>
      </c>
      <c r="U527" t="n">
        <v>75.0</v>
      </c>
      <c r="V527" t="s">
        <v>3827</v>
      </c>
      <c r="W527" t="s">
        <v>3790</v>
      </c>
      <c r="X527" t="n">
        <v>580710.0</v>
      </c>
      <c r="Y527" t="n">
        <v>479717.0</v>
      </c>
      <c r="Z527" t="n">
        <v>0.0</v>
      </c>
      <c r="AA527" t="n">
        <v>0.0</v>
      </c>
      <c r="AB527" t="n">
        <v>0.0</v>
      </c>
      <c r="AC527" t="n">
        <v>0.0</v>
      </c>
      <c r="AD527" t="n">
        <v>0.0</v>
      </c>
      <c r="AE527" t="n">
        <v>0.0</v>
      </c>
      <c r="AF527" t="n">
        <v>57000.0</v>
      </c>
      <c r="AG527" t="n">
        <v>0.0</v>
      </c>
      <c r="AH527" t="n">
        <v>0.0</v>
      </c>
      <c r="AI527" t="n">
        <v>0.0</v>
      </c>
      <c r="AJ527" t="n">
        <v>0.0</v>
      </c>
      <c r="AK527" t="n">
        <v>0.0</v>
      </c>
      <c r="AL527" t="n">
        <v>0.0</v>
      </c>
      <c r="AM527" t="n">
        <v>0.0</v>
      </c>
      <c r="AN527" t="n">
        <v>0.0</v>
      </c>
      <c r="AO527" t="n">
        <v>536717.0</v>
      </c>
      <c r="AP527" t="n">
        <v>53671.0</v>
      </c>
      <c r="AQ527" t="n">
        <v>41874.5</v>
      </c>
      <c r="CH527">
        <f>IFERROR(U527*1,0)</f>
      </c>
    </row>
    <row r="528">
      <c r="A528" t="n">
        <v>8.0</v>
      </c>
      <c r="B528">
        <f>IF((K528-G528-H528&gt;2400000),10,(L528/(K528-G528-H528)*100))</f>
      </c>
      <c r="C528">
        <f>IF(N528&gt;2400000,240000,(N528*S528)/100)</f>
      </c>
      <c r="D528">
        <f>IF(S528=0,0,IF((N528-I528)&gt;2400000,((((((N528-I528-J528)-240000))*0.1+(I528+J528)*0.1)))-7000,((((((N528-I528-J528)-(N528-I528-J528)*S528/100)))*0.1+(I528+J528)*0.1)-7000)))</f>
      </c>
      <c r="E528">
        <f>C528-O528</f>
      </c>
      <c r="F528">
        <f>D528-P528</f>
      </c>
      <c r="G528">
        <f>SUMIF(negtgel!U$2:BL$2,'Tsalin uzuulelt'!B$1,negtgel!U528:BL528) + SUMIF(negtgel!U$2:BL$2,'Tsalin uzuulelt'!B$2,negtgel!U528:BL528)+SUMIF(negtgel!U$2:BL$2,'Tsalin uzuulelt'!B$3,negtgel!U528:BL528)+SUMIF(negtgel!U$2:BL$2,'Tsalin uzuulelt'!B$4,negtgel!U528:BL528)+SUMIF(negtgel!U$2:BL$2,'Tsalin uzuulelt'!B$5,negtgel!U528:BL528)</f>
      </c>
      <c r="H528">
        <f>SUMIF(negtgel!U$2:BL$2,'Tsalin uzuulelt'!F$1,negtgel!U528:BL528) + SUMIF(negtgel!U$2:BL$2,'Tsalin uzuulelt'!F$2,negtgel!U528:BL528)+SUMIF(negtgel!U$2:BL$2,'Tsalin uzuulelt'!F$3,negtgel!U528:BL528)+SUMIF(negtgel!U$2:BL$2,'Tsalin uzuulelt'!F$4,negtgel!U528:BL528)+SUMIF(negtgel!U$2:BL$2,'Tsalin uzuulelt'!F$5,negtgel!U528:BL528)</f>
      </c>
      <c r="I528">
        <f>SUMIF(negtgel!U$2:BL$2,'Tsalin uzuulelt'!H$1,negtgel!U528:BL528) + SUMIF(negtgel!U$2:BL$2,'Tsalin uzuulelt'!H$2,negtgel!U528:BL528)+SUMIF(negtgel!U$2:BL$2,'Tsalin uzuulelt'!H$3,negtgel!U528:BL528)+SUMIF(negtgel!U$2:BL$2,'Tsalin uzuulelt'!H$4,negtgel!U528:BL528)+SUMIF(negtgel!U$2:BL$2,'Tsalin uzuulelt'!H$5,negtgel!U528:BL528)</f>
      </c>
      <c r="J528">
        <f>SUMIF(negtgel!U$2:BL$2,'Tsalin uzuulelt'!J$1,negtgel!U528:BL528) + SUMIF(negtgel!U$2:BL$2,'Tsalin uzuulelt'!J$2,negtgel!U528:BL528)+SUMIF(negtgel!U$2:BL$2,'Tsalin uzuulelt'!J$3,negtgel!U528:BL528)+SUMIF(negtgel!U$2:BL$2,'Tsalin uzuulelt'!J$4,negtgel!U528:BL528)+SUMIF(negtgel!U$2:BL$2,'Tsalin uzuulelt'!J$5,negtgel!U528:BL528)</f>
      </c>
      <c r="K528">
        <f>SUMIF(negtgel!U$2:BL$2,'Tsalin uzuulelt'!L$1,negtgel!U528:BL528) + SUMIF(negtgel!U$2:BL$2,'Tsalin uzuulelt'!L$2,negtgel!U528:BL528)+SUMIF(negtgel!U$2:BL$2,'Tsalin uzuulelt'!L$3,negtgel!U528:BL528)+SUMIF(negtgel!U$2:BL$2,'Tsalin uzuulelt'!L$4,negtgel!U528:BL528)+SUMIF(negtgel!U$2:BL$2,'Tsalin uzuulelt'!L$5,negtgel!U528:BL528)</f>
      </c>
      <c r="L528">
        <f>SUMIF(negtgel!U$2:BL$2,'Tsalin uzuulelt'!N$1,negtgel!U528:BL528) + SUMIF(negtgel!U$2:BL$2,'Tsalin uzuulelt'!N$2,negtgel!U528:BL528)+SUMIF(negtgel!U$2:BL$2,'Tsalin uzuulelt'!N$3,negtgel!U528:BL528)+SUMIF(negtgel!U$2:BL$2,'Tsalin uzuulelt'!N$4,negtgel!U528:BL528)+SUMIF(negtgel!U$2:BL$2,'Tsalin uzuulelt'!N$5,negtgel!U528:BL528)</f>
      </c>
      <c r="M528">
        <f>SUMIF(negtgel!U$2:BL$2,'Tsalin uzuulelt'!P$1,negtgel!U528:BL528) + SUMIF(negtgel!U$2:BL$2,'Tsalin uzuulelt'!P$2,negtgel!U528:BL528)+ SUMIF(negtgel!U$2:BL$2,'Tsalin uzuulelt'!P$3,negtgel!U528:BL528)+ SUMIF(negtgel!U$2:BL$2,'Tsalin uzuulelt'!P$4,negtgel!U528:BL528)+ SUMIF(negtgel!U$2:BL$2,'Tsalin uzuulelt'!P$5,negtgel!U528:BL528)</f>
      </c>
      <c r="N528">
        <f>IF(ISNUMBER(U528*1)=CF528,0,K528-H528-G528)</f>
      </c>
      <c r="O528">
        <f>IF(ISNUMBER(U528*1)=CF528,0,L528)</f>
      </c>
      <c r="P528">
        <f>IF(ISNUMBER(U528*1)=CF528,0,M528)</f>
      </c>
      <c r="Q528">
        <f>IF(N528&gt;2400000,N528,0)</f>
      </c>
      <c r="R528">
        <f>IF(L528/Q528*100&lt;3,2,10)</f>
      </c>
      <c r="S528">
        <f>IF(CH528=0,0,IF(B528&gt;9,10,IF(B528&gt;8,B528,IF(B528&gt;7.7,7.8,IF(B528&gt;3,B528,IF(B528&gt;1.5,2))))))</f>
      </c>
      <c r="T528">
        <f>IF(Q528=0,S528,R528)</f>
      </c>
      <c r="U528" t="n">
        <v>76.0</v>
      </c>
      <c r="V528" t="s">
        <v>3828</v>
      </c>
      <c r="W528" t="s">
        <v>3792</v>
      </c>
      <c r="X528" t="n">
        <v>500784.0</v>
      </c>
      <c r="Y528" t="n">
        <v>0.0</v>
      </c>
      <c r="Z528" t="n">
        <v>0.0</v>
      </c>
      <c r="AA528" t="n">
        <v>0.0</v>
      </c>
      <c r="AB528" t="n">
        <v>0.0</v>
      </c>
      <c r="AC528" t="n">
        <v>0.0</v>
      </c>
      <c r="AD528" t="n">
        <v>0.0</v>
      </c>
      <c r="AE528" t="n">
        <v>0.0</v>
      </c>
      <c r="AF528" t="n">
        <v>0.0</v>
      </c>
      <c r="AG528" t="n">
        <v>0.0</v>
      </c>
      <c r="AH528" t="n">
        <v>0.0</v>
      </c>
      <c r="AI528" t="n">
        <v>0.0</v>
      </c>
      <c r="AJ528" t="n">
        <v>0.0</v>
      </c>
      <c r="AK528" t="n">
        <v>0.0</v>
      </c>
      <c r="AL528" t="n">
        <v>0.0</v>
      </c>
      <c r="AM528" t="n">
        <v>0.0</v>
      </c>
      <c r="AN528" t="n">
        <v>0.0</v>
      </c>
      <c r="AO528" t="n">
        <v>0.0</v>
      </c>
      <c r="AP528" t="n">
        <v>0.0</v>
      </c>
      <c r="AQ528" t="n">
        <v>0.0</v>
      </c>
      <c r="CH528">
        <f>IFERROR(U528*1,0)</f>
      </c>
    </row>
    <row r="529">
      <c r="A529" t="n">
        <v>8.0</v>
      </c>
      <c r="B529">
        <f>IF((K529-G529-H529&gt;2400000),10,(L529/(K529-G529-H529)*100))</f>
      </c>
      <c r="C529">
        <f>IF(N529&gt;2400000,240000,(N529*S529)/100)</f>
      </c>
      <c r="D529">
        <f>IF(S529=0,0,IF((N529-I529)&gt;2400000,((((((N529-I529-J529)-240000))*0.1+(I529+J529)*0.1)))-7000,((((((N529-I529-J529)-(N529-I529-J529)*S529/100)))*0.1+(I529+J529)*0.1)-7000)))</f>
      </c>
      <c r="E529">
        <f>C529-O529</f>
      </c>
      <c r="F529">
        <f>D529-P529</f>
      </c>
      <c r="G529">
        <f>SUMIF(negtgel!U$2:BL$2,'Tsalin uzuulelt'!B$1,negtgel!U529:BL529) + SUMIF(negtgel!U$2:BL$2,'Tsalin uzuulelt'!B$2,negtgel!U529:BL529)+SUMIF(negtgel!U$2:BL$2,'Tsalin uzuulelt'!B$3,negtgel!U529:BL529)+SUMIF(negtgel!U$2:BL$2,'Tsalin uzuulelt'!B$4,negtgel!U529:BL529)+SUMIF(negtgel!U$2:BL$2,'Tsalin uzuulelt'!B$5,negtgel!U529:BL529)</f>
      </c>
      <c r="H529">
        <f>SUMIF(negtgel!U$2:BL$2,'Tsalin uzuulelt'!F$1,negtgel!U529:BL529) + SUMIF(negtgel!U$2:BL$2,'Tsalin uzuulelt'!F$2,negtgel!U529:BL529)+SUMIF(negtgel!U$2:BL$2,'Tsalin uzuulelt'!F$3,negtgel!U529:BL529)+SUMIF(negtgel!U$2:BL$2,'Tsalin uzuulelt'!F$4,negtgel!U529:BL529)+SUMIF(negtgel!U$2:BL$2,'Tsalin uzuulelt'!F$5,negtgel!U529:BL529)</f>
      </c>
      <c r="I529">
        <f>SUMIF(negtgel!U$2:BL$2,'Tsalin uzuulelt'!H$1,negtgel!U529:BL529) + SUMIF(negtgel!U$2:BL$2,'Tsalin uzuulelt'!H$2,negtgel!U529:BL529)+SUMIF(negtgel!U$2:BL$2,'Tsalin uzuulelt'!H$3,negtgel!U529:BL529)+SUMIF(negtgel!U$2:BL$2,'Tsalin uzuulelt'!H$4,negtgel!U529:BL529)+SUMIF(negtgel!U$2:BL$2,'Tsalin uzuulelt'!H$5,negtgel!U529:BL529)</f>
      </c>
      <c r="J529">
        <f>SUMIF(negtgel!U$2:BL$2,'Tsalin uzuulelt'!J$1,negtgel!U529:BL529) + SUMIF(negtgel!U$2:BL$2,'Tsalin uzuulelt'!J$2,negtgel!U529:BL529)+SUMIF(negtgel!U$2:BL$2,'Tsalin uzuulelt'!J$3,negtgel!U529:BL529)+SUMIF(negtgel!U$2:BL$2,'Tsalin uzuulelt'!J$4,negtgel!U529:BL529)+SUMIF(negtgel!U$2:BL$2,'Tsalin uzuulelt'!J$5,negtgel!U529:BL529)</f>
      </c>
      <c r="K529">
        <f>SUMIF(negtgel!U$2:BL$2,'Tsalin uzuulelt'!L$1,negtgel!U529:BL529) + SUMIF(negtgel!U$2:BL$2,'Tsalin uzuulelt'!L$2,negtgel!U529:BL529)+SUMIF(negtgel!U$2:BL$2,'Tsalin uzuulelt'!L$3,negtgel!U529:BL529)+SUMIF(negtgel!U$2:BL$2,'Tsalin uzuulelt'!L$4,negtgel!U529:BL529)+SUMIF(negtgel!U$2:BL$2,'Tsalin uzuulelt'!L$5,negtgel!U529:BL529)</f>
      </c>
      <c r="L529">
        <f>SUMIF(negtgel!U$2:BL$2,'Tsalin uzuulelt'!N$1,negtgel!U529:BL529) + SUMIF(negtgel!U$2:BL$2,'Tsalin uzuulelt'!N$2,negtgel!U529:BL529)+SUMIF(negtgel!U$2:BL$2,'Tsalin uzuulelt'!N$3,negtgel!U529:BL529)+SUMIF(negtgel!U$2:BL$2,'Tsalin uzuulelt'!N$4,negtgel!U529:BL529)+SUMIF(negtgel!U$2:BL$2,'Tsalin uzuulelt'!N$5,negtgel!U529:BL529)</f>
      </c>
      <c r="M529">
        <f>SUMIF(negtgel!U$2:BL$2,'Tsalin uzuulelt'!P$1,negtgel!U529:BL529) + SUMIF(negtgel!U$2:BL$2,'Tsalin uzuulelt'!P$2,negtgel!U529:BL529)+ SUMIF(negtgel!U$2:BL$2,'Tsalin uzuulelt'!P$3,negtgel!U529:BL529)+ SUMIF(negtgel!U$2:BL$2,'Tsalin uzuulelt'!P$4,negtgel!U529:BL529)+ SUMIF(negtgel!U$2:BL$2,'Tsalin uzuulelt'!P$5,negtgel!U529:BL529)</f>
      </c>
      <c r="N529">
        <f>IF(ISNUMBER(U529*1)=CF529,0,K529-H529-G529)</f>
      </c>
      <c r="O529">
        <f>IF(ISNUMBER(U529*1)=CF529,0,L529)</f>
      </c>
      <c r="P529">
        <f>IF(ISNUMBER(U529*1)=CF529,0,M529)</f>
      </c>
      <c r="Q529">
        <f>IF(N529&gt;2400000,N529,0)</f>
      </c>
      <c r="R529">
        <f>IF(L529/Q529*100&lt;3,2,10)</f>
      </c>
      <c r="S529">
        <f>IF(CH529=0,0,IF(B529&gt;9,10,IF(B529&gt;8,B529,IF(B529&gt;7.7,7.8,IF(B529&gt;3,B529,IF(B529&gt;1.5,2))))))</f>
      </c>
      <c r="T529">
        <f>IF(Q529=0,S529,R529)</f>
      </c>
      <c r="U529" t="n">
        <v>77.0</v>
      </c>
      <c r="V529" t="s">
        <v>3829</v>
      </c>
      <c r="W529" t="s">
        <v>3792</v>
      </c>
      <c r="X529" t="n">
        <v>496912.0</v>
      </c>
      <c r="Y529" t="n">
        <v>216049.0</v>
      </c>
      <c r="Z529" t="n">
        <v>0.0</v>
      </c>
      <c r="AA529" t="n">
        <v>0.0</v>
      </c>
      <c r="AB529" t="n">
        <v>21605.0</v>
      </c>
      <c r="AC529" t="n">
        <v>0.0</v>
      </c>
      <c r="AD529" t="n">
        <v>0.0</v>
      </c>
      <c r="AE529" t="n">
        <v>0.0</v>
      </c>
      <c r="AF529" t="n">
        <v>30000.0</v>
      </c>
      <c r="AG529" t="n">
        <v>0.0</v>
      </c>
      <c r="AH529" t="n">
        <v>0.0</v>
      </c>
      <c r="AI529" t="n">
        <v>0.0</v>
      </c>
      <c r="AJ529" t="n">
        <v>392996.0</v>
      </c>
      <c r="AK529" t="n">
        <v>0.0</v>
      </c>
      <c r="AL529" t="n">
        <v>0.0</v>
      </c>
      <c r="AM529" t="n">
        <v>0.0</v>
      </c>
      <c r="AN529" t="n">
        <v>0.0</v>
      </c>
      <c r="AO529" t="n">
        <v>660650.0</v>
      </c>
      <c r="AP529" t="n">
        <v>66065.0</v>
      </c>
      <c r="AQ529" t="n">
        <v>52758.5</v>
      </c>
      <c r="CH529">
        <f>IFERROR(U529*1,0)</f>
      </c>
    </row>
    <row r="530">
      <c r="A530" t="n">
        <v>8.0</v>
      </c>
      <c r="B530">
        <f>IF((K530-G530-H530&gt;2400000),10,(L530/(K530-G530-H530)*100))</f>
      </c>
      <c r="C530">
        <f>IF(N530&gt;2400000,240000,(N530*S530)/100)</f>
      </c>
      <c r="D530">
        <f>IF(S530=0,0,IF((N530-I530)&gt;2400000,((((((N530-I530-J530)-240000))*0.1+(I530+J530)*0.1)))-7000,((((((N530-I530-J530)-(N530-I530-J530)*S530/100)))*0.1+(I530+J530)*0.1)-7000)))</f>
      </c>
      <c r="E530">
        <f>C530-O530</f>
      </c>
      <c r="F530">
        <f>D530-P530</f>
      </c>
      <c r="G530">
        <f>SUMIF(negtgel!U$2:BL$2,'Tsalin uzuulelt'!B$1,negtgel!U530:BL530) + SUMIF(negtgel!U$2:BL$2,'Tsalin uzuulelt'!B$2,negtgel!U530:BL530)+SUMIF(negtgel!U$2:BL$2,'Tsalin uzuulelt'!B$3,negtgel!U530:BL530)+SUMIF(negtgel!U$2:BL$2,'Tsalin uzuulelt'!B$4,negtgel!U530:BL530)+SUMIF(negtgel!U$2:BL$2,'Tsalin uzuulelt'!B$5,negtgel!U530:BL530)</f>
      </c>
      <c r="H530">
        <f>SUMIF(negtgel!U$2:BL$2,'Tsalin uzuulelt'!F$1,negtgel!U530:BL530) + SUMIF(negtgel!U$2:BL$2,'Tsalin uzuulelt'!F$2,negtgel!U530:BL530)+SUMIF(negtgel!U$2:BL$2,'Tsalin uzuulelt'!F$3,negtgel!U530:BL530)+SUMIF(negtgel!U$2:BL$2,'Tsalin uzuulelt'!F$4,negtgel!U530:BL530)+SUMIF(negtgel!U$2:BL$2,'Tsalin uzuulelt'!F$5,negtgel!U530:BL530)</f>
      </c>
      <c r="I530">
        <f>SUMIF(negtgel!U$2:BL$2,'Tsalin uzuulelt'!H$1,negtgel!U530:BL530) + SUMIF(negtgel!U$2:BL$2,'Tsalin uzuulelt'!H$2,negtgel!U530:BL530)+SUMIF(negtgel!U$2:BL$2,'Tsalin uzuulelt'!H$3,negtgel!U530:BL530)+SUMIF(negtgel!U$2:BL$2,'Tsalin uzuulelt'!H$4,negtgel!U530:BL530)+SUMIF(negtgel!U$2:BL$2,'Tsalin uzuulelt'!H$5,negtgel!U530:BL530)</f>
      </c>
      <c r="J530">
        <f>SUMIF(negtgel!U$2:BL$2,'Tsalin uzuulelt'!J$1,negtgel!U530:BL530) + SUMIF(negtgel!U$2:BL$2,'Tsalin uzuulelt'!J$2,negtgel!U530:BL530)+SUMIF(negtgel!U$2:BL$2,'Tsalin uzuulelt'!J$3,negtgel!U530:BL530)+SUMIF(negtgel!U$2:BL$2,'Tsalin uzuulelt'!J$4,negtgel!U530:BL530)+SUMIF(negtgel!U$2:BL$2,'Tsalin uzuulelt'!J$5,negtgel!U530:BL530)</f>
      </c>
      <c r="K530">
        <f>SUMIF(negtgel!U$2:BL$2,'Tsalin uzuulelt'!L$1,negtgel!U530:BL530) + SUMIF(negtgel!U$2:BL$2,'Tsalin uzuulelt'!L$2,negtgel!U530:BL530)+SUMIF(negtgel!U$2:BL$2,'Tsalin uzuulelt'!L$3,negtgel!U530:BL530)+SUMIF(negtgel!U$2:BL$2,'Tsalin uzuulelt'!L$4,negtgel!U530:BL530)+SUMIF(negtgel!U$2:BL$2,'Tsalin uzuulelt'!L$5,negtgel!U530:BL530)</f>
      </c>
      <c r="L530">
        <f>SUMIF(negtgel!U$2:BL$2,'Tsalin uzuulelt'!N$1,negtgel!U530:BL530) + SUMIF(negtgel!U$2:BL$2,'Tsalin uzuulelt'!N$2,negtgel!U530:BL530)+SUMIF(negtgel!U$2:BL$2,'Tsalin uzuulelt'!N$3,negtgel!U530:BL530)+SUMIF(negtgel!U$2:BL$2,'Tsalin uzuulelt'!N$4,negtgel!U530:BL530)+SUMIF(negtgel!U$2:BL$2,'Tsalin uzuulelt'!N$5,negtgel!U530:BL530)</f>
      </c>
      <c r="M530">
        <f>SUMIF(negtgel!U$2:BL$2,'Tsalin uzuulelt'!P$1,negtgel!U530:BL530) + SUMIF(negtgel!U$2:BL$2,'Tsalin uzuulelt'!P$2,negtgel!U530:BL530)+ SUMIF(negtgel!U$2:BL$2,'Tsalin uzuulelt'!P$3,negtgel!U530:BL530)+ SUMIF(negtgel!U$2:BL$2,'Tsalin uzuulelt'!P$4,negtgel!U530:BL530)+ SUMIF(negtgel!U$2:BL$2,'Tsalin uzuulelt'!P$5,negtgel!U530:BL530)</f>
      </c>
      <c r="N530">
        <f>IF(ISNUMBER(U530*1)=CF530,0,K530-H530-G530)</f>
      </c>
      <c r="O530">
        <f>IF(ISNUMBER(U530*1)=CF530,0,L530)</f>
      </c>
      <c r="P530">
        <f>IF(ISNUMBER(U530*1)=CF530,0,M530)</f>
      </c>
      <c r="Q530">
        <f>IF(N530&gt;2400000,N530,0)</f>
      </c>
      <c r="R530">
        <f>IF(L530/Q530*100&lt;3,2,10)</f>
      </c>
      <c r="S530">
        <f>IF(CH530=0,0,IF(B530&gt;9,10,IF(B530&gt;8,B530,IF(B530&gt;7.7,7.8,IF(B530&gt;3,B530,IF(B530&gt;1.5,2))))))</f>
      </c>
      <c r="T530">
        <f>IF(Q530=0,S530,R530)</f>
      </c>
      <c r="U530" t="n">
        <v>78.0</v>
      </c>
      <c r="V530" t="s">
        <v>3831</v>
      </c>
      <c r="W530" t="s">
        <v>3820</v>
      </c>
      <c r="X530" t="n">
        <v>663720.0</v>
      </c>
      <c r="Y530" t="n">
        <v>115430.0</v>
      </c>
      <c r="Z530" t="n">
        <v>11543.0</v>
      </c>
      <c r="AA530" t="n">
        <v>19623.0</v>
      </c>
      <c r="AB530" t="n">
        <v>0.0</v>
      </c>
      <c r="AC530" t="n">
        <v>0.0</v>
      </c>
      <c r="AD530" t="n">
        <v>0.0</v>
      </c>
      <c r="AE530" t="n">
        <v>0.0</v>
      </c>
      <c r="AF530" t="n">
        <v>12000.0</v>
      </c>
      <c r="AG530" t="n">
        <v>0.0</v>
      </c>
      <c r="AH530" t="n">
        <v>0.0</v>
      </c>
      <c r="AI530" t="n">
        <v>0.0</v>
      </c>
      <c r="AJ530" t="n">
        <v>811560.0</v>
      </c>
      <c r="AK530" t="n">
        <v>0.0</v>
      </c>
      <c r="AL530" t="n">
        <v>0.0</v>
      </c>
      <c r="AM530" t="n">
        <v>0.0</v>
      </c>
      <c r="AN530" t="n">
        <v>0.0</v>
      </c>
      <c r="AO530" t="n">
        <v>970156.0</v>
      </c>
      <c r="AP530" t="n">
        <v>97015.0</v>
      </c>
      <c r="AQ530" t="n">
        <v>80434.0</v>
      </c>
      <c r="CH530">
        <f>IFERROR(U530*1,0)</f>
      </c>
    </row>
    <row r="531">
      <c r="A531" t="n">
        <v>8.0</v>
      </c>
      <c r="B531">
        <f>IF((K531-G531-H531&gt;2400000),10,(L531/(K531-G531-H531)*100))</f>
      </c>
      <c r="C531">
        <f>IF(N531&gt;2400000,240000,(N531*S531)/100)</f>
      </c>
      <c r="D531">
        <f>IF(S531=0,0,IF((N531-I531)&gt;2400000,((((((N531-I531-J531)-240000))*0.1+(I531+J531)*0.1)))-7000,((((((N531-I531-J531)-(N531-I531-J531)*S531/100)))*0.1+(I531+J531)*0.1)-7000)))</f>
      </c>
      <c r="E531">
        <f>C531-O531</f>
      </c>
      <c r="F531">
        <f>D531-P531</f>
      </c>
      <c r="G531">
        <f>SUMIF(negtgel!U$2:BL$2,'Tsalin uzuulelt'!B$1,negtgel!U531:BL531) + SUMIF(negtgel!U$2:BL$2,'Tsalin uzuulelt'!B$2,negtgel!U531:BL531)+SUMIF(negtgel!U$2:BL$2,'Tsalin uzuulelt'!B$3,negtgel!U531:BL531)+SUMIF(negtgel!U$2:BL$2,'Tsalin uzuulelt'!B$4,negtgel!U531:BL531)+SUMIF(negtgel!U$2:BL$2,'Tsalin uzuulelt'!B$5,negtgel!U531:BL531)</f>
      </c>
      <c r="H531">
        <f>SUMIF(negtgel!U$2:BL$2,'Tsalin uzuulelt'!F$1,negtgel!U531:BL531) + SUMIF(negtgel!U$2:BL$2,'Tsalin uzuulelt'!F$2,negtgel!U531:BL531)+SUMIF(negtgel!U$2:BL$2,'Tsalin uzuulelt'!F$3,negtgel!U531:BL531)+SUMIF(negtgel!U$2:BL$2,'Tsalin uzuulelt'!F$4,negtgel!U531:BL531)+SUMIF(negtgel!U$2:BL$2,'Tsalin uzuulelt'!F$5,negtgel!U531:BL531)</f>
      </c>
      <c r="I531">
        <f>SUMIF(negtgel!U$2:BL$2,'Tsalin uzuulelt'!H$1,negtgel!U531:BL531) + SUMIF(negtgel!U$2:BL$2,'Tsalin uzuulelt'!H$2,negtgel!U531:BL531)+SUMIF(negtgel!U$2:BL$2,'Tsalin uzuulelt'!H$3,negtgel!U531:BL531)+SUMIF(negtgel!U$2:BL$2,'Tsalin uzuulelt'!H$4,negtgel!U531:BL531)+SUMIF(negtgel!U$2:BL$2,'Tsalin uzuulelt'!H$5,negtgel!U531:BL531)</f>
      </c>
      <c r="J531">
        <f>SUMIF(negtgel!U$2:BL$2,'Tsalin uzuulelt'!J$1,negtgel!U531:BL531) + SUMIF(negtgel!U$2:BL$2,'Tsalin uzuulelt'!J$2,negtgel!U531:BL531)+SUMIF(negtgel!U$2:BL$2,'Tsalin uzuulelt'!J$3,negtgel!U531:BL531)+SUMIF(negtgel!U$2:BL$2,'Tsalin uzuulelt'!J$4,negtgel!U531:BL531)+SUMIF(negtgel!U$2:BL$2,'Tsalin uzuulelt'!J$5,negtgel!U531:BL531)</f>
      </c>
      <c r="K531">
        <f>SUMIF(negtgel!U$2:BL$2,'Tsalin uzuulelt'!L$1,negtgel!U531:BL531) + SUMIF(negtgel!U$2:BL$2,'Tsalin uzuulelt'!L$2,negtgel!U531:BL531)+SUMIF(negtgel!U$2:BL$2,'Tsalin uzuulelt'!L$3,negtgel!U531:BL531)+SUMIF(negtgel!U$2:BL$2,'Tsalin uzuulelt'!L$4,negtgel!U531:BL531)+SUMIF(negtgel!U$2:BL$2,'Tsalin uzuulelt'!L$5,negtgel!U531:BL531)</f>
      </c>
      <c r="L531">
        <f>SUMIF(negtgel!U$2:BL$2,'Tsalin uzuulelt'!N$1,negtgel!U531:BL531) + SUMIF(negtgel!U$2:BL$2,'Tsalin uzuulelt'!N$2,negtgel!U531:BL531)+SUMIF(negtgel!U$2:BL$2,'Tsalin uzuulelt'!N$3,negtgel!U531:BL531)+SUMIF(negtgel!U$2:BL$2,'Tsalin uzuulelt'!N$4,negtgel!U531:BL531)+SUMIF(negtgel!U$2:BL$2,'Tsalin uzuulelt'!N$5,negtgel!U531:BL531)</f>
      </c>
      <c r="M531">
        <f>SUMIF(negtgel!U$2:BL$2,'Tsalin uzuulelt'!P$1,negtgel!U531:BL531) + SUMIF(negtgel!U$2:BL$2,'Tsalin uzuulelt'!P$2,negtgel!U531:BL531)+ SUMIF(negtgel!U$2:BL$2,'Tsalin uzuulelt'!P$3,negtgel!U531:BL531)+ SUMIF(negtgel!U$2:BL$2,'Tsalin uzuulelt'!P$4,negtgel!U531:BL531)+ SUMIF(negtgel!U$2:BL$2,'Tsalin uzuulelt'!P$5,negtgel!U531:BL531)</f>
      </c>
      <c r="N531">
        <f>IF(ISNUMBER(U531*1)=CF531,0,K531-H531-G531)</f>
      </c>
      <c r="O531">
        <f>IF(ISNUMBER(U531*1)=CF531,0,L531)</f>
      </c>
      <c r="P531">
        <f>IF(ISNUMBER(U531*1)=CF531,0,M531)</f>
      </c>
      <c r="Q531">
        <f>IF(N531&gt;2400000,N531,0)</f>
      </c>
      <c r="R531">
        <f>IF(L531/Q531*100&lt;3,2,10)</f>
      </c>
      <c r="S531">
        <f>IF(CH531=0,0,IF(B531&gt;9,10,IF(B531&gt;8,B531,IF(B531&gt;7.7,7.8,IF(B531&gt;3,B531,IF(B531&gt;1.5,2))))))</f>
      </c>
      <c r="T531">
        <f>IF(Q531=0,S531,R531)</f>
      </c>
      <c r="U531" t="n">
        <v>79.0</v>
      </c>
      <c r="V531" t="s">
        <v>3868</v>
      </c>
      <c r="W531" t="s">
        <v>3790</v>
      </c>
      <c r="X531" t="n">
        <v>645556.0</v>
      </c>
      <c r="Y531" t="n">
        <v>645556.0</v>
      </c>
      <c r="Z531" t="n">
        <v>109745.0</v>
      </c>
      <c r="AA531" t="n">
        <v>96833.0</v>
      </c>
      <c r="AB531" t="n">
        <v>0.0</v>
      </c>
      <c r="AC531" t="n">
        <v>0.0</v>
      </c>
      <c r="AD531" t="n">
        <v>0.0</v>
      </c>
      <c r="AE531" t="n">
        <v>0.0</v>
      </c>
      <c r="AF531" t="n">
        <v>619734.0</v>
      </c>
      <c r="AG531" t="n">
        <v>0.0</v>
      </c>
      <c r="AH531" t="n">
        <v>0.0</v>
      </c>
      <c r="AI531" t="n">
        <v>0.0</v>
      </c>
      <c r="AJ531" t="n">
        <v>0.0</v>
      </c>
      <c r="AK531" t="n">
        <v>0.0</v>
      </c>
      <c r="AL531" t="n">
        <v>0.0</v>
      </c>
      <c r="AM531" t="n">
        <v>0.0</v>
      </c>
      <c r="AN531" t="n">
        <v>0.0</v>
      </c>
      <c r="AO531" t="n">
        <v>1471868.0</v>
      </c>
      <c r="AP531" t="n">
        <v>147187.0</v>
      </c>
      <c r="AQ531" t="n">
        <v>131665.5</v>
      </c>
      <c r="CH531">
        <f>IFERROR(U531*1,0)</f>
      </c>
    </row>
    <row r="532">
      <c r="A532" t="n">
        <v>8.0</v>
      </c>
      <c r="B532">
        <f>IF((K532-G532-H532&gt;2400000),10,(L532/(K532-G532-H532)*100))</f>
      </c>
      <c r="C532">
        <f>IF(N532&gt;2400000,240000,(N532*S532)/100)</f>
      </c>
      <c r="D532">
        <f>IF(S532=0,0,IF((N532-I532)&gt;2400000,((((((N532-I532-J532)-240000))*0.1+(I532+J532)*0.1)))-7000,((((((N532-I532-J532)-(N532-I532-J532)*S532/100)))*0.1+(I532+J532)*0.1)-7000)))</f>
      </c>
      <c r="E532">
        <f>C532-O532</f>
      </c>
      <c r="F532">
        <f>D532-P532</f>
      </c>
      <c r="G532">
        <f>SUMIF(negtgel!U$2:BL$2,'Tsalin uzuulelt'!B$1,negtgel!U532:BL532) + SUMIF(negtgel!U$2:BL$2,'Tsalin uzuulelt'!B$2,negtgel!U532:BL532)+SUMIF(negtgel!U$2:BL$2,'Tsalin uzuulelt'!B$3,negtgel!U532:BL532)+SUMIF(negtgel!U$2:BL$2,'Tsalin uzuulelt'!B$4,negtgel!U532:BL532)+SUMIF(negtgel!U$2:BL$2,'Tsalin uzuulelt'!B$5,negtgel!U532:BL532)</f>
      </c>
      <c r="H532">
        <f>SUMIF(negtgel!U$2:BL$2,'Tsalin uzuulelt'!F$1,negtgel!U532:BL532) + SUMIF(negtgel!U$2:BL$2,'Tsalin uzuulelt'!F$2,negtgel!U532:BL532)+SUMIF(negtgel!U$2:BL$2,'Tsalin uzuulelt'!F$3,negtgel!U532:BL532)+SUMIF(negtgel!U$2:BL$2,'Tsalin uzuulelt'!F$4,negtgel!U532:BL532)+SUMIF(negtgel!U$2:BL$2,'Tsalin uzuulelt'!F$5,negtgel!U532:BL532)</f>
      </c>
      <c r="I532">
        <f>SUMIF(negtgel!U$2:BL$2,'Tsalin uzuulelt'!H$1,negtgel!U532:BL532) + SUMIF(negtgel!U$2:BL$2,'Tsalin uzuulelt'!H$2,negtgel!U532:BL532)+SUMIF(negtgel!U$2:BL$2,'Tsalin uzuulelt'!H$3,negtgel!U532:BL532)+SUMIF(negtgel!U$2:BL$2,'Tsalin uzuulelt'!H$4,negtgel!U532:BL532)+SUMIF(negtgel!U$2:BL$2,'Tsalin uzuulelt'!H$5,negtgel!U532:BL532)</f>
      </c>
      <c r="J532">
        <f>SUMIF(negtgel!U$2:BL$2,'Tsalin uzuulelt'!J$1,negtgel!U532:BL532) + SUMIF(negtgel!U$2:BL$2,'Tsalin uzuulelt'!J$2,negtgel!U532:BL532)+SUMIF(negtgel!U$2:BL$2,'Tsalin uzuulelt'!J$3,negtgel!U532:BL532)+SUMIF(negtgel!U$2:BL$2,'Tsalin uzuulelt'!J$4,negtgel!U532:BL532)+SUMIF(negtgel!U$2:BL$2,'Tsalin uzuulelt'!J$5,negtgel!U532:BL532)</f>
      </c>
      <c r="K532">
        <f>SUMIF(negtgel!U$2:BL$2,'Tsalin uzuulelt'!L$1,negtgel!U532:BL532) + SUMIF(negtgel!U$2:BL$2,'Tsalin uzuulelt'!L$2,negtgel!U532:BL532)+SUMIF(negtgel!U$2:BL$2,'Tsalin uzuulelt'!L$3,negtgel!U532:BL532)+SUMIF(negtgel!U$2:BL$2,'Tsalin uzuulelt'!L$4,negtgel!U532:BL532)+SUMIF(negtgel!U$2:BL$2,'Tsalin uzuulelt'!L$5,negtgel!U532:BL532)</f>
      </c>
      <c r="L532">
        <f>SUMIF(negtgel!U$2:BL$2,'Tsalin uzuulelt'!N$1,negtgel!U532:BL532) + SUMIF(negtgel!U$2:BL$2,'Tsalin uzuulelt'!N$2,negtgel!U532:BL532)+SUMIF(negtgel!U$2:BL$2,'Tsalin uzuulelt'!N$3,negtgel!U532:BL532)+SUMIF(negtgel!U$2:BL$2,'Tsalin uzuulelt'!N$4,negtgel!U532:BL532)+SUMIF(negtgel!U$2:BL$2,'Tsalin uzuulelt'!N$5,negtgel!U532:BL532)</f>
      </c>
      <c r="M532">
        <f>SUMIF(negtgel!U$2:BL$2,'Tsalin uzuulelt'!P$1,negtgel!U532:BL532) + SUMIF(negtgel!U$2:BL$2,'Tsalin uzuulelt'!P$2,negtgel!U532:BL532)+ SUMIF(negtgel!U$2:BL$2,'Tsalin uzuulelt'!P$3,negtgel!U532:BL532)+ SUMIF(negtgel!U$2:BL$2,'Tsalin uzuulelt'!P$4,negtgel!U532:BL532)+ SUMIF(negtgel!U$2:BL$2,'Tsalin uzuulelt'!P$5,negtgel!U532:BL532)</f>
      </c>
      <c r="N532">
        <f>IF(ISNUMBER(U532*1)=CF532,0,K532-H532-G532)</f>
      </c>
      <c r="O532">
        <f>IF(ISNUMBER(U532*1)=CF532,0,L532)</f>
      </c>
      <c r="P532">
        <f>IF(ISNUMBER(U532*1)=CF532,0,M532)</f>
      </c>
      <c r="Q532">
        <f>IF(N532&gt;2400000,N532,0)</f>
      </c>
      <c r="R532">
        <f>IF(L532/Q532*100&lt;3,2,10)</f>
      </c>
      <c r="S532">
        <f>IF(CH532=0,0,IF(B532&gt;9,10,IF(B532&gt;8,B532,IF(B532&gt;7.7,7.8,IF(B532&gt;3,B532,IF(B532&gt;1.5,2))))))</f>
      </c>
      <c r="T532">
        <f>IF(Q532=0,S532,R532)</f>
      </c>
      <c r="U532" t="n">
        <v>80.0</v>
      </c>
      <c r="V532" t="s">
        <v>3833</v>
      </c>
      <c r="W532" t="s">
        <v>3790</v>
      </c>
      <c r="X532" t="n">
        <v>645556.0</v>
      </c>
      <c r="Y532" t="n">
        <v>364879.0</v>
      </c>
      <c r="Z532" t="n">
        <v>54732.0</v>
      </c>
      <c r="AA532" t="n">
        <v>62029.0</v>
      </c>
      <c r="AB532" t="n">
        <v>0.0</v>
      </c>
      <c r="AC532" t="n">
        <v>0.0</v>
      </c>
      <c r="AD532" t="n">
        <v>0.0</v>
      </c>
      <c r="AE532" t="n">
        <v>0.0</v>
      </c>
      <c r="AF532" t="n">
        <v>39000.0</v>
      </c>
      <c r="AG532" t="n">
        <v>0.0</v>
      </c>
      <c r="AH532" t="n">
        <v>0.0</v>
      </c>
      <c r="AI532" t="n">
        <v>0.0</v>
      </c>
      <c r="AJ532" t="n">
        <v>0.0</v>
      </c>
      <c r="AK532" t="n">
        <v>0.0</v>
      </c>
      <c r="AL532" t="n">
        <v>0.0</v>
      </c>
      <c r="AM532" t="n">
        <v>0.0</v>
      </c>
      <c r="AN532" t="n">
        <v>0.0</v>
      </c>
      <c r="AO532" t="n">
        <v>520640.0</v>
      </c>
      <c r="AP532" t="n">
        <v>52064.0</v>
      </c>
      <c r="AQ532" t="n">
        <v>40247.6</v>
      </c>
      <c r="CH532">
        <f>IFERROR(U532*1,0)</f>
      </c>
    </row>
    <row r="533">
      <c r="A533" t="n">
        <v>8.0</v>
      </c>
      <c r="B533">
        <f>IF((K533-G533-H533&gt;2400000),10,(L533/(K533-G533-H533)*100))</f>
      </c>
      <c r="C533">
        <f>IF(N533&gt;2400000,240000,(N533*S533)/100)</f>
      </c>
      <c r="D533">
        <f>IF(S533=0,0,IF((N533-I533)&gt;2400000,((((((N533-I533-J533)-240000))*0.1+(I533+J533)*0.1)))-7000,((((((N533-I533-J533)-(N533-I533-J533)*S533/100)))*0.1+(I533+J533)*0.1)-7000)))</f>
      </c>
      <c r="E533">
        <f>C533-O533</f>
      </c>
      <c r="F533">
        <f>D533-P533</f>
      </c>
      <c r="G533">
        <f>SUMIF(negtgel!U$2:BL$2,'Tsalin uzuulelt'!B$1,negtgel!U533:BL533) + SUMIF(negtgel!U$2:BL$2,'Tsalin uzuulelt'!B$2,negtgel!U533:BL533)+SUMIF(negtgel!U$2:BL$2,'Tsalin uzuulelt'!B$3,negtgel!U533:BL533)+SUMIF(negtgel!U$2:BL$2,'Tsalin uzuulelt'!B$4,negtgel!U533:BL533)+SUMIF(negtgel!U$2:BL$2,'Tsalin uzuulelt'!B$5,negtgel!U533:BL533)</f>
      </c>
      <c r="H533">
        <f>SUMIF(negtgel!U$2:BL$2,'Tsalin uzuulelt'!F$1,negtgel!U533:BL533) + SUMIF(negtgel!U$2:BL$2,'Tsalin uzuulelt'!F$2,negtgel!U533:BL533)+SUMIF(negtgel!U$2:BL$2,'Tsalin uzuulelt'!F$3,negtgel!U533:BL533)+SUMIF(negtgel!U$2:BL$2,'Tsalin uzuulelt'!F$4,negtgel!U533:BL533)+SUMIF(negtgel!U$2:BL$2,'Tsalin uzuulelt'!F$5,negtgel!U533:BL533)</f>
      </c>
      <c r="I533">
        <f>SUMIF(negtgel!U$2:BL$2,'Tsalin uzuulelt'!H$1,negtgel!U533:BL533) + SUMIF(negtgel!U$2:BL$2,'Tsalin uzuulelt'!H$2,negtgel!U533:BL533)+SUMIF(negtgel!U$2:BL$2,'Tsalin uzuulelt'!H$3,negtgel!U533:BL533)+SUMIF(negtgel!U$2:BL$2,'Tsalin uzuulelt'!H$4,negtgel!U533:BL533)+SUMIF(negtgel!U$2:BL$2,'Tsalin uzuulelt'!H$5,negtgel!U533:BL533)</f>
      </c>
      <c r="J533">
        <f>SUMIF(negtgel!U$2:BL$2,'Tsalin uzuulelt'!J$1,negtgel!U533:BL533) + SUMIF(negtgel!U$2:BL$2,'Tsalin uzuulelt'!J$2,negtgel!U533:BL533)+SUMIF(negtgel!U$2:BL$2,'Tsalin uzuulelt'!J$3,negtgel!U533:BL533)+SUMIF(negtgel!U$2:BL$2,'Tsalin uzuulelt'!J$4,negtgel!U533:BL533)+SUMIF(negtgel!U$2:BL$2,'Tsalin uzuulelt'!J$5,negtgel!U533:BL533)</f>
      </c>
      <c r="K533">
        <f>SUMIF(negtgel!U$2:BL$2,'Tsalin uzuulelt'!L$1,negtgel!U533:BL533) + SUMIF(negtgel!U$2:BL$2,'Tsalin uzuulelt'!L$2,negtgel!U533:BL533)+SUMIF(negtgel!U$2:BL$2,'Tsalin uzuulelt'!L$3,negtgel!U533:BL533)+SUMIF(negtgel!U$2:BL$2,'Tsalin uzuulelt'!L$4,negtgel!U533:BL533)+SUMIF(negtgel!U$2:BL$2,'Tsalin uzuulelt'!L$5,negtgel!U533:BL533)</f>
      </c>
      <c r="L533">
        <f>SUMIF(negtgel!U$2:BL$2,'Tsalin uzuulelt'!N$1,negtgel!U533:BL533) + SUMIF(negtgel!U$2:BL$2,'Tsalin uzuulelt'!N$2,negtgel!U533:BL533)+SUMIF(negtgel!U$2:BL$2,'Tsalin uzuulelt'!N$3,negtgel!U533:BL533)+SUMIF(negtgel!U$2:BL$2,'Tsalin uzuulelt'!N$4,negtgel!U533:BL533)+SUMIF(negtgel!U$2:BL$2,'Tsalin uzuulelt'!N$5,negtgel!U533:BL533)</f>
      </c>
      <c r="M533">
        <f>SUMIF(negtgel!U$2:BL$2,'Tsalin uzuulelt'!P$1,negtgel!U533:BL533) + SUMIF(negtgel!U$2:BL$2,'Tsalin uzuulelt'!P$2,negtgel!U533:BL533)+ SUMIF(negtgel!U$2:BL$2,'Tsalin uzuulelt'!P$3,negtgel!U533:BL533)+ SUMIF(negtgel!U$2:BL$2,'Tsalin uzuulelt'!P$4,negtgel!U533:BL533)+ SUMIF(negtgel!U$2:BL$2,'Tsalin uzuulelt'!P$5,negtgel!U533:BL533)</f>
      </c>
      <c r="N533">
        <f>IF(ISNUMBER(U533*1)=CF533,0,K533-H533-G533)</f>
      </c>
      <c r="O533">
        <f>IF(ISNUMBER(U533*1)=CF533,0,L533)</f>
      </c>
      <c r="P533">
        <f>IF(ISNUMBER(U533*1)=CF533,0,M533)</f>
      </c>
      <c r="Q533">
        <f>IF(N533&gt;2400000,N533,0)</f>
      </c>
      <c r="R533">
        <f>IF(L533/Q533*100&lt;3,2,10)</f>
      </c>
      <c r="S533">
        <f>IF(CH533=0,0,IF(B533&gt;9,10,IF(B533&gt;8,B533,IF(B533&gt;7.7,7.8,IF(B533&gt;3,B533,IF(B533&gt;1.5,2))))))</f>
      </c>
      <c r="T533">
        <f>IF(Q533=0,S533,R533)</f>
      </c>
      <c r="U533" t="n">
        <v>81.0</v>
      </c>
      <c r="V533" t="s">
        <v>3835</v>
      </c>
      <c r="W533" t="s">
        <v>3790</v>
      </c>
      <c r="X533" t="n">
        <v>613669.0</v>
      </c>
      <c r="Y533" t="n">
        <v>240131.0</v>
      </c>
      <c r="Z533" t="n">
        <v>12007.0</v>
      </c>
      <c r="AA533" t="n">
        <v>0.0</v>
      </c>
      <c r="AB533" t="n">
        <v>0.0</v>
      </c>
      <c r="AC533" t="n">
        <v>0.0</v>
      </c>
      <c r="AD533" t="n">
        <v>0.0</v>
      </c>
      <c r="AE533" t="n">
        <v>0.0</v>
      </c>
      <c r="AF533" t="n">
        <v>27000.0</v>
      </c>
      <c r="AG533" t="n">
        <v>0.0</v>
      </c>
      <c r="AH533" t="n">
        <v>0.0</v>
      </c>
      <c r="AI533" t="n">
        <v>0.0</v>
      </c>
      <c r="AJ533" t="n">
        <v>0.0</v>
      </c>
      <c r="AK533" t="n">
        <v>0.0</v>
      </c>
      <c r="AL533" t="n">
        <v>0.0</v>
      </c>
      <c r="AM533" t="n">
        <v>0.0</v>
      </c>
      <c r="AN533" t="n">
        <v>0.0</v>
      </c>
      <c r="AO533" t="n">
        <v>279138.0</v>
      </c>
      <c r="AP533" t="n">
        <v>27914.0</v>
      </c>
      <c r="AQ533" t="n">
        <v>18392.4</v>
      </c>
      <c r="CH533">
        <f>IFERROR(U533*1,0)</f>
      </c>
    </row>
    <row r="534">
      <c r="A534" t="n">
        <v>8.0</v>
      </c>
      <c r="B534">
        <f>IF((K534-G534-H534&gt;2400000),10,(L534/(K534-G534-H534)*100))</f>
      </c>
      <c r="C534">
        <f>IF(N534&gt;2400000,240000,(N534*S534)/100)</f>
      </c>
      <c r="D534">
        <f>IF(S534=0,0,IF((N534-I534)&gt;2400000,((((((N534-I534-J534)-240000))*0.1+(I534+J534)*0.1)))-7000,((((((N534-I534-J534)-(N534-I534-J534)*S534/100)))*0.1+(I534+J534)*0.1)-7000)))</f>
      </c>
      <c r="E534">
        <f>C534-O534</f>
      </c>
      <c r="F534">
        <f>D534-P534</f>
      </c>
      <c r="G534">
        <f>SUMIF(negtgel!U$2:BL$2,'Tsalin uzuulelt'!B$1,negtgel!U534:BL534) + SUMIF(negtgel!U$2:BL$2,'Tsalin uzuulelt'!B$2,negtgel!U534:BL534)+SUMIF(negtgel!U$2:BL$2,'Tsalin uzuulelt'!B$3,negtgel!U534:BL534)+SUMIF(negtgel!U$2:BL$2,'Tsalin uzuulelt'!B$4,negtgel!U534:BL534)+SUMIF(negtgel!U$2:BL$2,'Tsalin uzuulelt'!B$5,negtgel!U534:BL534)</f>
      </c>
      <c r="H534">
        <f>SUMIF(negtgel!U$2:BL$2,'Tsalin uzuulelt'!F$1,negtgel!U534:BL534) + SUMIF(negtgel!U$2:BL$2,'Tsalin uzuulelt'!F$2,negtgel!U534:BL534)+SUMIF(negtgel!U$2:BL$2,'Tsalin uzuulelt'!F$3,negtgel!U534:BL534)+SUMIF(negtgel!U$2:BL$2,'Tsalin uzuulelt'!F$4,negtgel!U534:BL534)+SUMIF(negtgel!U$2:BL$2,'Tsalin uzuulelt'!F$5,negtgel!U534:BL534)</f>
      </c>
      <c r="I534">
        <f>SUMIF(negtgel!U$2:BL$2,'Tsalin uzuulelt'!H$1,negtgel!U534:BL534) + SUMIF(negtgel!U$2:BL$2,'Tsalin uzuulelt'!H$2,negtgel!U534:BL534)+SUMIF(negtgel!U$2:BL$2,'Tsalin uzuulelt'!H$3,negtgel!U534:BL534)+SUMIF(negtgel!U$2:BL$2,'Tsalin uzuulelt'!H$4,negtgel!U534:BL534)+SUMIF(negtgel!U$2:BL$2,'Tsalin uzuulelt'!H$5,negtgel!U534:BL534)</f>
      </c>
      <c r="J534">
        <f>SUMIF(negtgel!U$2:BL$2,'Tsalin uzuulelt'!J$1,negtgel!U534:BL534) + SUMIF(negtgel!U$2:BL$2,'Tsalin uzuulelt'!J$2,negtgel!U534:BL534)+SUMIF(negtgel!U$2:BL$2,'Tsalin uzuulelt'!J$3,negtgel!U534:BL534)+SUMIF(negtgel!U$2:BL$2,'Tsalin uzuulelt'!J$4,negtgel!U534:BL534)+SUMIF(negtgel!U$2:BL$2,'Tsalin uzuulelt'!J$5,negtgel!U534:BL534)</f>
      </c>
      <c r="K534">
        <f>SUMIF(negtgel!U$2:BL$2,'Tsalin uzuulelt'!L$1,negtgel!U534:BL534) + SUMIF(negtgel!U$2:BL$2,'Tsalin uzuulelt'!L$2,negtgel!U534:BL534)+SUMIF(negtgel!U$2:BL$2,'Tsalin uzuulelt'!L$3,negtgel!U534:BL534)+SUMIF(negtgel!U$2:BL$2,'Tsalin uzuulelt'!L$4,negtgel!U534:BL534)+SUMIF(negtgel!U$2:BL$2,'Tsalin uzuulelt'!L$5,negtgel!U534:BL534)</f>
      </c>
      <c r="L534">
        <f>SUMIF(negtgel!U$2:BL$2,'Tsalin uzuulelt'!N$1,negtgel!U534:BL534) + SUMIF(negtgel!U$2:BL$2,'Tsalin uzuulelt'!N$2,negtgel!U534:BL534)+SUMIF(negtgel!U$2:BL$2,'Tsalin uzuulelt'!N$3,negtgel!U534:BL534)+SUMIF(negtgel!U$2:BL$2,'Tsalin uzuulelt'!N$4,negtgel!U534:BL534)+SUMIF(negtgel!U$2:BL$2,'Tsalin uzuulelt'!N$5,negtgel!U534:BL534)</f>
      </c>
      <c r="M534">
        <f>SUMIF(negtgel!U$2:BL$2,'Tsalin uzuulelt'!P$1,negtgel!U534:BL534) + SUMIF(negtgel!U$2:BL$2,'Tsalin uzuulelt'!P$2,negtgel!U534:BL534)+ SUMIF(negtgel!U$2:BL$2,'Tsalin uzuulelt'!P$3,negtgel!U534:BL534)+ SUMIF(negtgel!U$2:BL$2,'Tsalin uzuulelt'!P$4,negtgel!U534:BL534)+ SUMIF(negtgel!U$2:BL$2,'Tsalin uzuulelt'!P$5,negtgel!U534:BL534)</f>
      </c>
      <c r="N534">
        <f>IF(ISNUMBER(U534*1)=CF534,0,K534-H534-G534)</f>
      </c>
      <c r="O534">
        <f>IF(ISNUMBER(U534*1)=CF534,0,L534)</f>
      </c>
      <c r="P534">
        <f>IF(ISNUMBER(U534*1)=CF534,0,M534)</f>
      </c>
      <c r="Q534">
        <f>IF(N534&gt;2400000,N534,0)</f>
      </c>
      <c r="R534">
        <f>IF(L534/Q534*100&lt;3,2,10)</f>
      </c>
      <c r="S534">
        <f>IF(CH534=0,0,IF(B534&gt;9,10,IF(B534&gt;8,B534,IF(B534&gt;7.7,7.8,IF(B534&gt;3,B534,IF(B534&gt;1.5,2))))))</f>
      </c>
      <c r="T534">
        <f>IF(Q534=0,S534,R534)</f>
      </c>
      <c r="U534" t="s">
        <v>3787</v>
      </c>
      <c r="V534"/>
      <c r="W534"/>
      <c r="X534" t="n">
        <v>4146907.0</v>
      </c>
      <c r="Y534" t="n">
        <v>2061762.0</v>
      </c>
      <c r="Z534" t="n">
        <v>188027.0</v>
      </c>
      <c r="AA534" t="n">
        <v>178485.0</v>
      </c>
      <c r="AB534" t="n">
        <v>21605.0</v>
      </c>
      <c r="AC534" t="n">
        <v>0.0</v>
      </c>
      <c r="AD534" t="n">
        <v>0.0</v>
      </c>
      <c r="AE534" t="n">
        <v>0.0</v>
      </c>
      <c r="AF534" t="n">
        <v>784734.0</v>
      </c>
      <c r="AG534" t="n">
        <v>0.0</v>
      </c>
      <c r="AH534" t="n">
        <v>0.0</v>
      </c>
      <c r="AI534" t="n">
        <v>0.0</v>
      </c>
      <c r="AJ534" t="n">
        <v>1204556.0</v>
      </c>
      <c r="AK534" t="n">
        <v>0.0</v>
      </c>
      <c r="AL534" t="n">
        <v>0.0</v>
      </c>
      <c r="AM534" t="n">
        <v>0.0</v>
      </c>
      <c r="AN534" t="n">
        <v>0.0</v>
      </c>
      <c r="AO534" t="n">
        <v>4439169.0</v>
      </c>
      <c r="AP534" t="n">
        <v>443916.0</v>
      </c>
      <c r="AQ534" t="n">
        <v>365372.5</v>
      </c>
      <c r="CH534">
        <f>IFERROR(U534*1,0)</f>
      </c>
    </row>
    <row r="535">
      <c r="A535" t="n">
        <v>8.0</v>
      </c>
      <c r="B535">
        <f>IF((K535-G535-H535&gt;2400000),10,(L535/(K535-G535-H535)*100))</f>
      </c>
      <c r="C535">
        <f>IF(N535&gt;2400000,240000,(N535*S535)/100)</f>
      </c>
      <c r="D535">
        <f>IF(S535=0,0,IF((N535-I535)&gt;2400000,((((((N535-I535-J535)-240000))*0.1+(I535+J535)*0.1)))-7000,((((((N535-I535-J535)-(N535-I535-J535)*S535/100)))*0.1+(I535+J535)*0.1)-7000)))</f>
      </c>
      <c r="E535">
        <f>C535-O535</f>
      </c>
      <c r="F535">
        <f>D535-P535</f>
      </c>
      <c r="G535">
        <f>SUMIF(negtgel!U$2:BL$2,'Tsalin uzuulelt'!B$1,negtgel!U535:BL535) + SUMIF(negtgel!U$2:BL$2,'Tsalin uzuulelt'!B$2,negtgel!U535:BL535)+SUMIF(negtgel!U$2:BL$2,'Tsalin uzuulelt'!B$3,negtgel!U535:BL535)+SUMIF(negtgel!U$2:BL$2,'Tsalin uzuulelt'!B$4,negtgel!U535:BL535)+SUMIF(negtgel!U$2:BL$2,'Tsalin uzuulelt'!B$5,negtgel!U535:BL535)</f>
      </c>
      <c r="H535">
        <f>SUMIF(negtgel!U$2:BL$2,'Tsalin uzuulelt'!F$1,negtgel!U535:BL535) + SUMIF(negtgel!U$2:BL$2,'Tsalin uzuulelt'!F$2,negtgel!U535:BL535)+SUMIF(negtgel!U$2:BL$2,'Tsalin uzuulelt'!F$3,negtgel!U535:BL535)+SUMIF(negtgel!U$2:BL$2,'Tsalin uzuulelt'!F$4,negtgel!U535:BL535)+SUMIF(negtgel!U$2:BL$2,'Tsalin uzuulelt'!F$5,negtgel!U535:BL535)</f>
      </c>
      <c r="I535">
        <f>SUMIF(negtgel!U$2:BL$2,'Tsalin uzuulelt'!H$1,negtgel!U535:BL535) + SUMIF(negtgel!U$2:BL$2,'Tsalin uzuulelt'!H$2,negtgel!U535:BL535)+SUMIF(negtgel!U$2:BL$2,'Tsalin uzuulelt'!H$3,negtgel!U535:BL535)+SUMIF(negtgel!U$2:BL$2,'Tsalin uzuulelt'!H$4,negtgel!U535:BL535)+SUMIF(negtgel!U$2:BL$2,'Tsalin uzuulelt'!H$5,negtgel!U535:BL535)</f>
      </c>
      <c r="J535">
        <f>SUMIF(negtgel!U$2:BL$2,'Tsalin uzuulelt'!J$1,negtgel!U535:BL535) + SUMIF(negtgel!U$2:BL$2,'Tsalin uzuulelt'!J$2,negtgel!U535:BL535)+SUMIF(negtgel!U$2:BL$2,'Tsalin uzuulelt'!J$3,negtgel!U535:BL535)+SUMIF(negtgel!U$2:BL$2,'Tsalin uzuulelt'!J$4,negtgel!U535:BL535)+SUMIF(negtgel!U$2:BL$2,'Tsalin uzuulelt'!J$5,negtgel!U535:BL535)</f>
      </c>
      <c r="K535">
        <f>SUMIF(negtgel!U$2:BL$2,'Tsalin uzuulelt'!L$1,negtgel!U535:BL535) + SUMIF(negtgel!U$2:BL$2,'Tsalin uzuulelt'!L$2,negtgel!U535:BL535)+SUMIF(negtgel!U$2:BL$2,'Tsalin uzuulelt'!L$3,negtgel!U535:BL535)+SUMIF(negtgel!U$2:BL$2,'Tsalin uzuulelt'!L$4,negtgel!U535:BL535)+SUMIF(negtgel!U$2:BL$2,'Tsalin uzuulelt'!L$5,negtgel!U535:BL535)</f>
      </c>
      <c r="L535">
        <f>SUMIF(negtgel!U$2:BL$2,'Tsalin uzuulelt'!N$1,negtgel!U535:BL535) + SUMIF(negtgel!U$2:BL$2,'Tsalin uzuulelt'!N$2,negtgel!U535:BL535)+SUMIF(negtgel!U$2:BL$2,'Tsalin uzuulelt'!N$3,negtgel!U535:BL535)+SUMIF(negtgel!U$2:BL$2,'Tsalin uzuulelt'!N$4,negtgel!U535:BL535)+SUMIF(negtgel!U$2:BL$2,'Tsalin uzuulelt'!N$5,negtgel!U535:BL535)</f>
      </c>
      <c r="M535">
        <f>SUMIF(negtgel!U$2:BL$2,'Tsalin uzuulelt'!P$1,negtgel!U535:BL535) + SUMIF(negtgel!U$2:BL$2,'Tsalin uzuulelt'!P$2,negtgel!U535:BL535)+ SUMIF(negtgel!U$2:BL$2,'Tsalin uzuulelt'!P$3,negtgel!U535:BL535)+ SUMIF(negtgel!U$2:BL$2,'Tsalin uzuulelt'!P$4,negtgel!U535:BL535)+ SUMIF(negtgel!U$2:BL$2,'Tsalin uzuulelt'!P$5,negtgel!U535:BL535)</f>
      </c>
      <c r="N535">
        <f>IF(ISNUMBER(U535*1)=CF535,0,K535-H535-G535)</f>
      </c>
      <c r="O535">
        <f>IF(ISNUMBER(U535*1)=CF535,0,L535)</f>
      </c>
      <c r="P535">
        <f>IF(ISNUMBER(U535*1)=CF535,0,M535)</f>
      </c>
      <c r="Q535">
        <f>IF(N535&gt;2400000,N535,0)</f>
      </c>
      <c r="R535">
        <f>IF(L535/Q535*100&lt;3,2,10)</f>
      </c>
      <c r="S535">
        <f>IF(CH535=0,0,IF(B535&gt;9,10,IF(B535&gt;8,B535,IF(B535&gt;7.7,7.8,IF(B535&gt;3,B535,IF(B535&gt;1.5,2))))))</f>
      </c>
      <c r="T535">
        <f>IF(Q535=0,S535,R535)</f>
      </c>
      <c r="U535" t="s">
        <v>3836</v>
      </c>
      <c r="V535"/>
      <c r="W535"/>
      <c r="X535"/>
      <c r="Y535"/>
      <c r="Z535"/>
      <c r="AA535"/>
      <c r="AB535"/>
      <c r="AC535"/>
      <c r="AD535"/>
      <c r="AE535"/>
      <c r="AF535"/>
      <c r="AG535"/>
      <c r="AH535"/>
      <c r="AI535"/>
      <c r="AJ535"/>
      <c r="AK535"/>
      <c r="AL535"/>
      <c r="AM535"/>
      <c r="AN535"/>
      <c r="AO535"/>
      <c r="AP535"/>
      <c r="AQ535"/>
      <c r="CH535">
        <f>IFERROR(U535*1,0)</f>
      </c>
    </row>
    <row r="536">
      <c r="A536" t="n">
        <v>8.0</v>
      </c>
      <c r="B536">
        <f>IF((K536-G536-H536&gt;2400000),10,(L536/(K536-G536-H536)*100))</f>
      </c>
      <c r="C536">
        <f>IF(N536&gt;2400000,240000,(N536*S536)/100)</f>
      </c>
      <c r="D536">
        <f>IF(S536=0,0,IF((N536-I536)&gt;2400000,((((((N536-I536-J536)-240000))*0.1+(I536+J536)*0.1)))-7000,((((((N536-I536-J536)-(N536-I536-J536)*S536/100)))*0.1+(I536+J536)*0.1)-7000)))</f>
      </c>
      <c r="E536">
        <f>C536-O536</f>
      </c>
      <c r="F536">
        <f>D536-P536</f>
      </c>
      <c r="G536">
        <f>SUMIF(negtgel!U$2:BL$2,'Tsalin uzuulelt'!B$1,negtgel!U536:BL536) + SUMIF(negtgel!U$2:BL$2,'Tsalin uzuulelt'!B$2,negtgel!U536:BL536)+SUMIF(negtgel!U$2:BL$2,'Tsalin uzuulelt'!B$3,negtgel!U536:BL536)+SUMIF(negtgel!U$2:BL$2,'Tsalin uzuulelt'!B$4,negtgel!U536:BL536)+SUMIF(negtgel!U$2:BL$2,'Tsalin uzuulelt'!B$5,negtgel!U536:BL536)</f>
      </c>
      <c r="H536">
        <f>SUMIF(negtgel!U$2:BL$2,'Tsalin uzuulelt'!F$1,negtgel!U536:BL536) + SUMIF(negtgel!U$2:BL$2,'Tsalin uzuulelt'!F$2,negtgel!U536:BL536)+SUMIF(negtgel!U$2:BL$2,'Tsalin uzuulelt'!F$3,negtgel!U536:BL536)+SUMIF(negtgel!U$2:BL$2,'Tsalin uzuulelt'!F$4,negtgel!U536:BL536)+SUMIF(negtgel!U$2:BL$2,'Tsalin uzuulelt'!F$5,negtgel!U536:BL536)</f>
      </c>
      <c r="I536">
        <f>SUMIF(negtgel!U$2:BL$2,'Tsalin uzuulelt'!H$1,negtgel!U536:BL536) + SUMIF(negtgel!U$2:BL$2,'Tsalin uzuulelt'!H$2,negtgel!U536:BL536)+SUMIF(negtgel!U$2:BL$2,'Tsalin uzuulelt'!H$3,negtgel!U536:BL536)+SUMIF(negtgel!U$2:BL$2,'Tsalin uzuulelt'!H$4,negtgel!U536:BL536)+SUMIF(negtgel!U$2:BL$2,'Tsalin uzuulelt'!H$5,negtgel!U536:BL536)</f>
      </c>
      <c r="J536">
        <f>SUMIF(negtgel!U$2:BL$2,'Tsalin uzuulelt'!J$1,negtgel!U536:BL536) + SUMIF(negtgel!U$2:BL$2,'Tsalin uzuulelt'!J$2,negtgel!U536:BL536)+SUMIF(negtgel!U$2:BL$2,'Tsalin uzuulelt'!J$3,negtgel!U536:BL536)+SUMIF(negtgel!U$2:BL$2,'Tsalin uzuulelt'!J$4,negtgel!U536:BL536)+SUMIF(negtgel!U$2:BL$2,'Tsalin uzuulelt'!J$5,negtgel!U536:BL536)</f>
      </c>
      <c r="K536">
        <f>SUMIF(negtgel!U$2:BL$2,'Tsalin uzuulelt'!L$1,negtgel!U536:BL536) + SUMIF(negtgel!U$2:BL$2,'Tsalin uzuulelt'!L$2,negtgel!U536:BL536)+SUMIF(negtgel!U$2:BL$2,'Tsalin uzuulelt'!L$3,negtgel!U536:BL536)+SUMIF(negtgel!U$2:BL$2,'Tsalin uzuulelt'!L$4,negtgel!U536:BL536)+SUMIF(negtgel!U$2:BL$2,'Tsalin uzuulelt'!L$5,negtgel!U536:BL536)</f>
      </c>
      <c r="L536">
        <f>SUMIF(negtgel!U$2:BL$2,'Tsalin uzuulelt'!N$1,negtgel!U536:BL536) + SUMIF(negtgel!U$2:BL$2,'Tsalin uzuulelt'!N$2,negtgel!U536:BL536)+SUMIF(negtgel!U$2:BL$2,'Tsalin uzuulelt'!N$3,negtgel!U536:BL536)+SUMIF(negtgel!U$2:BL$2,'Tsalin uzuulelt'!N$4,negtgel!U536:BL536)+SUMIF(negtgel!U$2:BL$2,'Tsalin uzuulelt'!N$5,negtgel!U536:BL536)</f>
      </c>
      <c r="M536">
        <f>SUMIF(negtgel!U$2:BL$2,'Tsalin uzuulelt'!P$1,negtgel!U536:BL536) + SUMIF(negtgel!U$2:BL$2,'Tsalin uzuulelt'!P$2,negtgel!U536:BL536)+ SUMIF(negtgel!U$2:BL$2,'Tsalin uzuulelt'!P$3,negtgel!U536:BL536)+ SUMIF(negtgel!U$2:BL$2,'Tsalin uzuulelt'!P$4,negtgel!U536:BL536)+ SUMIF(negtgel!U$2:BL$2,'Tsalin uzuulelt'!P$5,negtgel!U536:BL536)</f>
      </c>
      <c r="N536">
        <f>IF(ISNUMBER(U536*1)=CF536,0,K536-H536-G536)</f>
      </c>
      <c r="O536">
        <f>IF(ISNUMBER(U536*1)=CF536,0,L536)</f>
      </c>
      <c r="P536">
        <f>IF(ISNUMBER(U536*1)=CF536,0,M536)</f>
      </c>
      <c r="Q536">
        <f>IF(N536&gt;2400000,N536,0)</f>
      </c>
      <c r="R536">
        <f>IF(L536/Q536*100&lt;3,2,10)</f>
      </c>
      <c r="S536">
        <f>IF(CH536=0,0,IF(B536&gt;9,10,IF(B536&gt;8,B536,IF(B536&gt;7.7,7.8,IF(B536&gt;3,B536,IF(B536&gt;1.5,2))))))</f>
      </c>
      <c r="T536">
        <f>IF(Q536=0,S536,R536)</f>
      </c>
      <c r="U536" t="n">
        <v>82.0</v>
      </c>
      <c r="V536" t="s">
        <v>3837</v>
      </c>
      <c r="W536" t="s">
        <v>3820</v>
      </c>
      <c r="X536" t="n">
        <v>645556.0</v>
      </c>
      <c r="Y536" t="n">
        <v>280677.0</v>
      </c>
      <c r="Z536" t="n">
        <v>42102.0</v>
      </c>
      <c r="AA536" t="n">
        <v>56135.0</v>
      </c>
      <c r="AB536" t="n">
        <v>0.0</v>
      </c>
      <c r="AC536" t="n">
        <v>0.0</v>
      </c>
      <c r="AD536" t="n">
        <v>0.0</v>
      </c>
      <c r="AE536" t="n">
        <v>0.0</v>
      </c>
      <c r="AF536" t="n">
        <v>30000.0</v>
      </c>
      <c r="AG536" t="n">
        <v>0.0</v>
      </c>
      <c r="AH536" t="n">
        <v>0.0</v>
      </c>
      <c r="AI536" t="n">
        <v>0.0</v>
      </c>
      <c r="AJ536" t="n">
        <v>0.0</v>
      </c>
      <c r="AK536" t="n">
        <v>0.0</v>
      </c>
      <c r="AL536" t="n">
        <v>0.0</v>
      </c>
      <c r="AM536" t="n">
        <v>0.0</v>
      </c>
      <c r="AN536" t="n">
        <v>0.0</v>
      </c>
      <c r="AO536" t="n">
        <v>408914.0</v>
      </c>
      <c r="AP536" t="n">
        <v>40891.0</v>
      </c>
      <c r="AQ536" t="n">
        <v>30102.3</v>
      </c>
      <c r="CH536">
        <f>IFERROR(U536*1,0)</f>
      </c>
    </row>
    <row r="537">
      <c r="A537" t="n">
        <v>8.0</v>
      </c>
      <c r="B537">
        <f>IF((K537-G537-H537&gt;2400000),10,(L537/(K537-G537-H537)*100))</f>
      </c>
      <c r="C537">
        <f>IF(N537&gt;2400000,240000,(N537*S537)/100)</f>
      </c>
      <c r="D537">
        <f>IF(S537=0,0,IF((N537-I537)&gt;2400000,((((((N537-I537-J537)-240000))*0.1+(I537+J537)*0.1)))-7000,((((((N537-I537-J537)-(N537-I537-J537)*S537/100)))*0.1+(I537+J537)*0.1)-7000)))</f>
      </c>
      <c r="E537">
        <f>C537-O537</f>
      </c>
      <c r="F537">
        <f>D537-P537</f>
      </c>
      <c r="G537">
        <f>SUMIF(negtgel!U$2:BL$2,'Tsalin uzuulelt'!B$1,negtgel!U537:BL537) + SUMIF(negtgel!U$2:BL$2,'Tsalin uzuulelt'!B$2,negtgel!U537:BL537)+SUMIF(negtgel!U$2:BL$2,'Tsalin uzuulelt'!B$3,negtgel!U537:BL537)+SUMIF(negtgel!U$2:BL$2,'Tsalin uzuulelt'!B$4,negtgel!U537:BL537)+SUMIF(negtgel!U$2:BL$2,'Tsalin uzuulelt'!B$5,negtgel!U537:BL537)</f>
      </c>
      <c r="H537">
        <f>SUMIF(negtgel!U$2:BL$2,'Tsalin uzuulelt'!F$1,negtgel!U537:BL537) + SUMIF(negtgel!U$2:BL$2,'Tsalin uzuulelt'!F$2,negtgel!U537:BL537)+SUMIF(negtgel!U$2:BL$2,'Tsalin uzuulelt'!F$3,negtgel!U537:BL537)+SUMIF(negtgel!U$2:BL$2,'Tsalin uzuulelt'!F$4,negtgel!U537:BL537)+SUMIF(negtgel!U$2:BL$2,'Tsalin uzuulelt'!F$5,negtgel!U537:BL537)</f>
      </c>
      <c r="I537">
        <f>SUMIF(negtgel!U$2:BL$2,'Tsalin uzuulelt'!H$1,negtgel!U537:BL537) + SUMIF(negtgel!U$2:BL$2,'Tsalin uzuulelt'!H$2,negtgel!U537:BL537)+SUMIF(negtgel!U$2:BL$2,'Tsalin uzuulelt'!H$3,negtgel!U537:BL537)+SUMIF(negtgel!U$2:BL$2,'Tsalin uzuulelt'!H$4,negtgel!U537:BL537)+SUMIF(negtgel!U$2:BL$2,'Tsalin uzuulelt'!H$5,negtgel!U537:BL537)</f>
      </c>
      <c r="J537">
        <f>SUMIF(negtgel!U$2:BL$2,'Tsalin uzuulelt'!J$1,negtgel!U537:BL537) + SUMIF(negtgel!U$2:BL$2,'Tsalin uzuulelt'!J$2,negtgel!U537:BL537)+SUMIF(negtgel!U$2:BL$2,'Tsalin uzuulelt'!J$3,negtgel!U537:BL537)+SUMIF(negtgel!U$2:BL$2,'Tsalin uzuulelt'!J$4,negtgel!U537:BL537)+SUMIF(negtgel!U$2:BL$2,'Tsalin uzuulelt'!J$5,negtgel!U537:BL537)</f>
      </c>
      <c r="K537">
        <f>SUMIF(negtgel!U$2:BL$2,'Tsalin uzuulelt'!L$1,negtgel!U537:BL537) + SUMIF(negtgel!U$2:BL$2,'Tsalin uzuulelt'!L$2,negtgel!U537:BL537)+SUMIF(negtgel!U$2:BL$2,'Tsalin uzuulelt'!L$3,negtgel!U537:BL537)+SUMIF(negtgel!U$2:BL$2,'Tsalin uzuulelt'!L$4,negtgel!U537:BL537)+SUMIF(negtgel!U$2:BL$2,'Tsalin uzuulelt'!L$5,negtgel!U537:BL537)</f>
      </c>
      <c r="L537">
        <f>SUMIF(negtgel!U$2:BL$2,'Tsalin uzuulelt'!N$1,negtgel!U537:BL537) + SUMIF(negtgel!U$2:BL$2,'Tsalin uzuulelt'!N$2,negtgel!U537:BL537)+SUMIF(negtgel!U$2:BL$2,'Tsalin uzuulelt'!N$3,negtgel!U537:BL537)+SUMIF(negtgel!U$2:BL$2,'Tsalin uzuulelt'!N$4,negtgel!U537:BL537)+SUMIF(negtgel!U$2:BL$2,'Tsalin uzuulelt'!N$5,negtgel!U537:BL537)</f>
      </c>
      <c r="M537">
        <f>SUMIF(negtgel!U$2:BL$2,'Tsalin uzuulelt'!P$1,negtgel!U537:BL537) + SUMIF(negtgel!U$2:BL$2,'Tsalin uzuulelt'!P$2,negtgel!U537:BL537)+ SUMIF(negtgel!U$2:BL$2,'Tsalin uzuulelt'!P$3,negtgel!U537:BL537)+ SUMIF(negtgel!U$2:BL$2,'Tsalin uzuulelt'!P$4,negtgel!U537:BL537)+ SUMIF(negtgel!U$2:BL$2,'Tsalin uzuulelt'!P$5,negtgel!U537:BL537)</f>
      </c>
      <c r="N537">
        <f>IF(ISNUMBER(U537*1)=CF537,0,K537-H537-G537)</f>
      </c>
      <c r="O537">
        <f>IF(ISNUMBER(U537*1)=CF537,0,L537)</f>
      </c>
      <c r="P537">
        <f>IF(ISNUMBER(U537*1)=CF537,0,M537)</f>
      </c>
      <c r="Q537">
        <f>IF(N537&gt;2400000,N537,0)</f>
      </c>
      <c r="R537">
        <f>IF(L537/Q537*100&lt;3,2,10)</f>
      </c>
      <c r="S537">
        <f>IF(CH537=0,0,IF(B537&gt;9,10,IF(B537&gt;8,B537,IF(B537&gt;7.7,7.8,IF(B537&gt;3,B537,IF(B537&gt;1.5,2))))))</f>
      </c>
      <c r="T537">
        <f>IF(Q537=0,S537,R537)</f>
      </c>
      <c r="U537" t="n">
        <v>83.0</v>
      </c>
      <c r="V537" t="s">
        <v>3838</v>
      </c>
      <c r="W537" t="s">
        <v>3790</v>
      </c>
      <c r="X537" t="n">
        <v>677436.0</v>
      </c>
      <c r="Y537" t="n">
        <v>294537.0</v>
      </c>
      <c r="Z537" t="n">
        <v>73634.0</v>
      </c>
      <c r="AA537" t="n">
        <v>58907.0</v>
      </c>
      <c r="AB537" t="n">
        <v>0.0</v>
      </c>
      <c r="AC537" t="n">
        <v>0.0</v>
      </c>
      <c r="AD537" t="n">
        <v>0.0</v>
      </c>
      <c r="AE537" t="n">
        <v>0.0</v>
      </c>
      <c r="AF537" t="n">
        <v>30000.0</v>
      </c>
      <c r="AG537" t="n">
        <v>0.0</v>
      </c>
      <c r="AH537" t="n">
        <v>0.0</v>
      </c>
      <c r="AI537" t="n">
        <v>0.0</v>
      </c>
      <c r="AJ537" t="n">
        <v>0.0</v>
      </c>
      <c r="AK537" t="n">
        <v>0.0</v>
      </c>
      <c r="AL537" t="n">
        <v>0.0</v>
      </c>
      <c r="AM537" t="n">
        <v>0.0</v>
      </c>
      <c r="AN537" t="n">
        <v>0.0</v>
      </c>
      <c r="AO537" t="n">
        <v>457078.0</v>
      </c>
      <c r="AP537" t="n">
        <v>45708.0</v>
      </c>
      <c r="AQ537" t="n">
        <v>34437.0</v>
      </c>
      <c r="CH537">
        <f>IFERROR(U537*1,0)</f>
      </c>
    </row>
    <row r="538">
      <c r="A538" t="n">
        <v>8.0</v>
      </c>
      <c r="B538">
        <f>IF((K538-G538-H538&gt;2400000),10,(L538/(K538-G538-H538)*100))</f>
      </c>
      <c r="C538">
        <f>IF(N538&gt;2400000,240000,(N538*S538)/100)</f>
      </c>
      <c r="D538">
        <f>IF(S538=0,0,IF((N538-I538)&gt;2400000,((((((N538-I538-J538)-240000))*0.1+(I538+J538)*0.1)))-7000,((((((N538-I538-J538)-(N538-I538-J538)*S538/100)))*0.1+(I538+J538)*0.1)-7000)))</f>
      </c>
      <c r="E538">
        <f>C538-O538</f>
      </c>
      <c r="F538">
        <f>D538-P538</f>
      </c>
      <c r="G538">
        <f>SUMIF(negtgel!U$2:BL$2,'Tsalin uzuulelt'!B$1,negtgel!U538:BL538) + SUMIF(negtgel!U$2:BL$2,'Tsalin uzuulelt'!B$2,negtgel!U538:BL538)+SUMIF(negtgel!U$2:BL$2,'Tsalin uzuulelt'!B$3,negtgel!U538:BL538)+SUMIF(negtgel!U$2:BL$2,'Tsalin uzuulelt'!B$4,negtgel!U538:BL538)+SUMIF(negtgel!U$2:BL$2,'Tsalin uzuulelt'!B$5,negtgel!U538:BL538)</f>
      </c>
      <c r="H538">
        <f>SUMIF(negtgel!U$2:BL$2,'Tsalin uzuulelt'!F$1,negtgel!U538:BL538) + SUMIF(negtgel!U$2:BL$2,'Tsalin uzuulelt'!F$2,negtgel!U538:BL538)+SUMIF(negtgel!U$2:BL$2,'Tsalin uzuulelt'!F$3,negtgel!U538:BL538)+SUMIF(negtgel!U$2:BL$2,'Tsalin uzuulelt'!F$4,negtgel!U538:BL538)+SUMIF(negtgel!U$2:BL$2,'Tsalin uzuulelt'!F$5,negtgel!U538:BL538)</f>
      </c>
      <c r="I538">
        <f>SUMIF(negtgel!U$2:BL$2,'Tsalin uzuulelt'!H$1,negtgel!U538:BL538) + SUMIF(negtgel!U$2:BL$2,'Tsalin uzuulelt'!H$2,negtgel!U538:BL538)+SUMIF(negtgel!U$2:BL$2,'Tsalin uzuulelt'!H$3,negtgel!U538:BL538)+SUMIF(negtgel!U$2:BL$2,'Tsalin uzuulelt'!H$4,negtgel!U538:BL538)+SUMIF(negtgel!U$2:BL$2,'Tsalin uzuulelt'!H$5,negtgel!U538:BL538)</f>
      </c>
      <c r="J538">
        <f>SUMIF(negtgel!U$2:BL$2,'Tsalin uzuulelt'!J$1,negtgel!U538:BL538) + SUMIF(negtgel!U$2:BL$2,'Tsalin uzuulelt'!J$2,negtgel!U538:BL538)+SUMIF(negtgel!U$2:BL$2,'Tsalin uzuulelt'!J$3,negtgel!U538:BL538)+SUMIF(negtgel!U$2:BL$2,'Tsalin uzuulelt'!J$4,negtgel!U538:BL538)+SUMIF(negtgel!U$2:BL$2,'Tsalin uzuulelt'!J$5,negtgel!U538:BL538)</f>
      </c>
      <c r="K538">
        <f>SUMIF(negtgel!U$2:BL$2,'Tsalin uzuulelt'!L$1,negtgel!U538:BL538) + SUMIF(negtgel!U$2:BL$2,'Tsalin uzuulelt'!L$2,negtgel!U538:BL538)+SUMIF(negtgel!U$2:BL$2,'Tsalin uzuulelt'!L$3,negtgel!U538:BL538)+SUMIF(negtgel!U$2:BL$2,'Tsalin uzuulelt'!L$4,negtgel!U538:BL538)+SUMIF(negtgel!U$2:BL$2,'Tsalin uzuulelt'!L$5,negtgel!U538:BL538)</f>
      </c>
      <c r="L538">
        <f>SUMIF(negtgel!U$2:BL$2,'Tsalin uzuulelt'!N$1,negtgel!U538:BL538) + SUMIF(negtgel!U$2:BL$2,'Tsalin uzuulelt'!N$2,negtgel!U538:BL538)+SUMIF(negtgel!U$2:BL$2,'Tsalin uzuulelt'!N$3,negtgel!U538:BL538)+SUMIF(negtgel!U$2:BL$2,'Tsalin uzuulelt'!N$4,negtgel!U538:BL538)+SUMIF(negtgel!U$2:BL$2,'Tsalin uzuulelt'!N$5,negtgel!U538:BL538)</f>
      </c>
      <c r="M538">
        <f>SUMIF(negtgel!U$2:BL$2,'Tsalin uzuulelt'!P$1,negtgel!U538:BL538) + SUMIF(negtgel!U$2:BL$2,'Tsalin uzuulelt'!P$2,negtgel!U538:BL538)+ SUMIF(negtgel!U$2:BL$2,'Tsalin uzuulelt'!P$3,negtgel!U538:BL538)+ SUMIF(negtgel!U$2:BL$2,'Tsalin uzuulelt'!P$4,negtgel!U538:BL538)+ SUMIF(negtgel!U$2:BL$2,'Tsalin uzuulelt'!P$5,negtgel!U538:BL538)</f>
      </c>
      <c r="N538">
        <f>IF(ISNUMBER(U538*1)=CF538,0,K538-H538-G538)</f>
      </c>
      <c r="O538">
        <f>IF(ISNUMBER(U538*1)=CF538,0,L538)</f>
      </c>
      <c r="P538">
        <f>IF(ISNUMBER(U538*1)=CF538,0,M538)</f>
      </c>
      <c r="Q538">
        <f>IF(N538&gt;2400000,N538,0)</f>
      </c>
      <c r="R538">
        <f>IF(L538/Q538*100&lt;3,2,10)</f>
      </c>
      <c r="S538">
        <f>IF(CH538=0,0,IF(B538&gt;9,10,IF(B538&gt;8,B538,IF(B538&gt;7.7,7.8,IF(B538&gt;3,B538,IF(B538&gt;1.5,2))))))</f>
      </c>
      <c r="T538">
        <f>IF(Q538=0,S538,R538)</f>
      </c>
      <c r="U538" t="n">
        <v>84.0</v>
      </c>
      <c r="V538" t="s">
        <v>3839</v>
      </c>
      <c r="W538" t="s">
        <v>3790</v>
      </c>
      <c r="X538" t="n">
        <v>677436.0</v>
      </c>
      <c r="Y538" t="n">
        <v>530167.0</v>
      </c>
      <c r="Z538" t="n">
        <v>106033.0</v>
      </c>
      <c r="AA538" t="n">
        <v>116637.0</v>
      </c>
      <c r="AB538" t="n">
        <v>0.0</v>
      </c>
      <c r="AC538" t="n">
        <v>0.0</v>
      </c>
      <c r="AD538" t="n">
        <v>0.0</v>
      </c>
      <c r="AE538" t="n">
        <v>0.0</v>
      </c>
      <c r="AF538" t="n">
        <v>54000.0</v>
      </c>
      <c r="AG538" t="n">
        <v>0.0</v>
      </c>
      <c r="AH538" t="n">
        <v>0.0</v>
      </c>
      <c r="AI538" t="n">
        <v>0.0</v>
      </c>
      <c r="AJ538" t="n">
        <v>0.0</v>
      </c>
      <c r="AK538" t="n">
        <v>0.0</v>
      </c>
      <c r="AL538" t="n">
        <v>0.0</v>
      </c>
      <c r="AM538" t="n">
        <v>0.0</v>
      </c>
      <c r="AN538" t="n">
        <v>0.0</v>
      </c>
      <c r="AO538" t="n">
        <v>806837.0</v>
      </c>
      <c r="AP538" t="n">
        <v>80685.0</v>
      </c>
      <c r="AQ538" t="n">
        <v>66155.3</v>
      </c>
      <c r="CH538">
        <f>IFERROR(U538*1,0)</f>
      </c>
    </row>
    <row r="539">
      <c r="A539" t="n">
        <v>8.0</v>
      </c>
      <c r="B539">
        <f>IF((K539-G539-H539&gt;2400000),10,(L539/(K539-G539-H539)*100))</f>
      </c>
      <c r="C539">
        <f>IF(N539&gt;2400000,240000,(N539*S539)/100)</f>
      </c>
      <c r="D539">
        <f>IF(S539=0,0,IF((N539-I539)&gt;2400000,((((((N539-I539-J539)-240000))*0.1+(I539+J539)*0.1)))-7000,((((((N539-I539-J539)-(N539-I539-J539)*S539/100)))*0.1+(I539+J539)*0.1)-7000)))</f>
      </c>
      <c r="E539">
        <f>C539-O539</f>
      </c>
      <c r="F539">
        <f>D539-P539</f>
      </c>
      <c r="G539">
        <f>SUMIF(negtgel!U$2:BL$2,'Tsalin uzuulelt'!B$1,negtgel!U539:BL539) + SUMIF(negtgel!U$2:BL$2,'Tsalin uzuulelt'!B$2,negtgel!U539:BL539)+SUMIF(negtgel!U$2:BL$2,'Tsalin uzuulelt'!B$3,negtgel!U539:BL539)+SUMIF(negtgel!U$2:BL$2,'Tsalin uzuulelt'!B$4,negtgel!U539:BL539)+SUMIF(negtgel!U$2:BL$2,'Tsalin uzuulelt'!B$5,negtgel!U539:BL539)</f>
      </c>
      <c r="H539">
        <f>SUMIF(negtgel!U$2:BL$2,'Tsalin uzuulelt'!F$1,negtgel!U539:BL539) + SUMIF(negtgel!U$2:BL$2,'Tsalin uzuulelt'!F$2,negtgel!U539:BL539)+SUMIF(negtgel!U$2:BL$2,'Tsalin uzuulelt'!F$3,negtgel!U539:BL539)+SUMIF(negtgel!U$2:BL$2,'Tsalin uzuulelt'!F$4,negtgel!U539:BL539)+SUMIF(negtgel!U$2:BL$2,'Tsalin uzuulelt'!F$5,negtgel!U539:BL539)</f>
      </c>
      <c r="I539">
        <f>SUMIF(negtgel!U$2:BL$2,'Tsalin uzuulelt'!H$1,negtgel!U539:BL539) + SUMIF(negtgel!U$2:BL$2,'Tsalin uzuulelt'!H$2,negtgel!U539:BL539)+SUMIF(negtgel!U$2:BL$2,'Tsalin uzuulelt'!H$3,negtgel!U539:BL539)+SUMIF(negtgel!U$2:BL$2,'Tsalin uzuulelt'!H$4,negtgel!U539:BL539)+SUMIF(negtgel!U$2:BL$2,'Tsalin uzuulelt'!H$5,negtgel!U539:BL539)</f>
      </c>
      <c r="J539">
        <f>SUMIF(negtgel!U$2:BL$2,'Tsalin uzuulelt'!J$1,negtgel!U539:BL539) + SUMIF(negtgel!U$2:BL$2,'Tsalin uzuulelt'!J$2,negtgel!U539:BL539)+SUMIF(negtgel!U$2:BL$2,'Tsalin uzuulelt'!J$3,negtgel!U539:BL539)+SUMIF(negtgel!U$2:BL$2,'Tsalin uzuulelt'!J$4,negtgel!U539:BL539)+SUMIF(negtgel!U$2:BL$2,'Tsalin uzuulelt'!J$5,negtgel!U539:BL539)</f>
      </c>
      <c r="K539">
        <f>SUMIF(negtgel!U$2:BL$2,'Tsalin uzuulelt'!L$1,negtgel!U539:BL539) + SUMIF(negtgel!U$2:BL$2,'Tsalin uzuulelt'!L$2,negtgel!U539:BL539)+SUMIF(negtgel!U$2:BL$2,'Tsalin uzuulelt'!L$3,negtgel!U539:BL539)+SUMIF(negtgel!U$2:BL$2,'Tsalin uzuulelt'!L$4,negtgel!U539:BL539)+SUMIF(negtgel!U$2:BL$2,'Tsalin uzuulelt'!L$5,negtgel!U539:BL539)</f>
      </c>
      <c r="L539">
        <f>SUMIF(negtgel!U$2:BL$2,'Tsalin uzuulelt'!N$1,negtgel!U539:BL539) + SUMIF(negtgel!U$2:BL$2,'Tsalin uzuulelt'!N$2,negtgel!U539:BL539)+SUMIF(negtgel!U$2:BL$2,'Tsalin uzuulelt'!N$3,negtgel!U539:BL539)+SUMIF(negtgel!U$2:BL$2,'Tsalin uzuulelt'!N$4,negtgel!U539:BL539)+SUMIF(negtgel!U$2:BL$2,'Tsalin uzuulelt'!N$5,negtgel!U539:BL539)</f>
      </c>
      <c r="M539">
        <f>SUMIF(negtgel!U$2:BL$2,'Tsalin uzuulelt'!P$1,negtgel!U539:BL539) + SUMIF(negtgel!U$2:BL$2,'Tsalin uzuulelt'!P$2,negtgel!U539:BL539)+ SUMIF(negtgel!U$2:BL$2,'Tsalin uzuulelt'!P$3,negtgel!U539:BL539)+ SUMIF(negtgel!U$2:BL$2,'Tsalin uzuulelt'!P$4,negtgel!U539:BL539)+ SUMIF(negtgel!U$2:BL$2,'Tsalin uzuulelt'!P$5,negtgel!U539:BL539)</f>
      </c>
      <c r="N539">
        <f>IF(ISNUMBER(U539*1)=CF539,0,K539-H539-G539)</f>
      </c>
      <c r="O539">
        <f>IF(ISNUMBER(U539*1)=CF539,0,L539)</f>
      </c>
      <c r="P539">
        <f>IF(ISNUMBER(U539*1)=CF539,0,M539)</f>
      </c>
      <c r="Q539">
        <f>IF(N539&gt;2400000,N539,0)</f>
      </c>
      <c r="R539">
        <f>IF(L539/Q539*100&lt;3,2,10)</f>
      </c>
      <c r="S539">
        <f>IF(CH539=0,0,IF(B539&gt;9,10,IF(B539&gt;8,B539,IF(B539&gt;7.7,7.8,IF(B539&gt;3,B539,IF(B539&gt;1.5,2))))))</f>
      </c>
      <c r="T539">
        <f>IF(Q539=0,S539,R539)</f>
      </c>
      <c r="U539" t="n">
        <v>85.0</v>
      </c>
      <c r="V539" t="s">
        <v>3840</v>
      </c>
      <c r="W539" t="s">
        <v>3820</v>
      </c>
      <c r="X539" t="n">
        <v>677436.0</v>
      </c>
      <c r="Y539" t="n">
        <v>471260.0</v>
      </c>
      <c r="Z539" t="n">
        <v>94252.0</v>
      </c>
      <c r="AA539" t="n">
        <v>94252.0</v>
      </c>
      <c r="AB539" t="n">
        <v>23563.0</v>
      </c>
      <c r="AC539" t="n">
        <v>0.0</v>
      </c>
      <c r="AD539" t="n">
        <v>0.0</v>
      </c>
      <c r="AE539" t="n">
        <v>0.0</v>
      </c>
      <c r="AF539" t="n">
        <v>48000.0</v>
      </c>
      <c r="AG539" t="n">
        <v>0.0</v>
      </c>
      <c r="AH539" t="n">
        <v>0.0</v>
      </c>
      <c r="AI539" t="n">
        <v>0.0</v>
      </c>
      <c r="AJ539" t="n">
        <v>0.0</v>
      </c>
      <c r="AK539" t="n">
        <v>0.0</v>
      </c>
      <c r="AL539" t="n">
        <v>0.0</v>
      </c>
      <c r="AM539" t="n">
        <v>0.0</v>
      </c>
      <c r="AN539" t="n">
        <v>0.0</v>
      </c>
      <c r="AO539" t="n">
        <v>731327.0</v>
      </c>
      <c r="AP539" t="n">
        <v>73134.0</v>
      </c>
      <c r="AQ539" t="n">
        <v>59299.4</v>
      </c>
      <c r="CH539">
        <f>IFERROR(U539*1,0)</f>
      </c>
    </row>
    <row r="540">
      <c r="A540" t="n">
        <v>8.0</v>
      </c>
      <c r="B540">
        <f>IF((K540-G540-H540&gt;2400000),10,(L540/(K540-G540-H540)*100))</f>
      </c>
      <c r="C540">
        <f>IF(N540&gt;2400000,240000,(N540*S540)/100)</f>
      </c>
      <c r="D540">
        <f>IF(S540=0,0,IF((N540-I540)&gt;2400000,((((((N540-I540-J540)-240000))*0.1+(I540+J540)*0.1)))-7000,((((((N540-I540-J540)-(N540-I540-J540)*S540/100)))*0.1+(I540+J540)*0.1)-7000)))</f>
      </c>
      <c r="E540">
        <f>C540-O540</f>
      </c>
      <c r="F540">
        <f>D540-P540</f>
      </c>
      <c r="G540">
        <f>SUMIF(negtgel!U$2:BL$2,'Tsalin uzuulelt'!B$1,negtgel!U540:BL540) + SUMIF(negtgel!U$2:BL$2,'Tsalin uzuulelt'!B$2,negtgel!U540:BL540)+SUMIF(negtgel!U$2:BL$2,'Tsalin uzuulelt'!B$3,negtgel!U540:BL540)+SUMIF(negtgel!U$2:BL$2,'Tsalin uzuulelt'!B$4,negtgel!U540:BL540)+SUMIF(negtgel!U$2:BL$2,'Tsalin uzuulelt'!B$5,negtgel!U540:BL540)</f>
      </c>
      <c r="H540">
        <f>SUMIF(negtgel!U$2:BL$2,'Tsalin uzuulelt'!F$1,negtgel!U540:BL540) + SUMIF(negtgel!U$2:BL$2,'Tsalin uzuulelt'!F$2,negtgel!U540:BL540)+SUMIF(negtgel!U$2:BL$2,'Tsalin uzuulelt'!F$3,negtgel!U540:BL540)+SUMIF(negtgel!U$2:BL$2,'Tsalin uzuulelt'!F$4,negtgel!U540:BL540)+SUMIF(negtgel!U$2:BL$2,'Tsalin uzuulelt'!F$5,negtgel!U540:BL540)</f>
      </c>
      <c r="I540">
        <f>SUMIF(negtgel!U$2:BL$2,'Tsalin uzuulelt'!H$1,negtgel!U540:BL540) + SUMIF(negtgel!U$2:BL$2,'Tsalin uzuulelt'!H$2,negtgel!U540:BL540)+SUMIF(negtgel!U$2:BL$2,'Tsalin uzuulelt'!H$3,negtgel!U540:BL540)+SUMIF(negtgel!U$2:BL$2,'Tsalin uzuulelt'!H$4,negtgel!U540:BL540)+SUMIF(negtgel!U$2:BL$2,'Tsalin uzuulelt'!H$5,negtgel!U540:BL540)</f>
      </c>
      <c r="J540">
        <f>SUMIF(negtgel!U$2:BL$2,'Tsalin uzuulelt'!J$1,negtgel!U540:BL540) + SUMIF(negtgel!U$2:BL$2,'Tsalin uzuulelt'!J$2,negtgel!U540:BL540)+SUMIF(negtgel!U$2:BL$2,'Tsalin uzuulelt'!J$3,negtgel!U540:BL540)+SUMIF(negtgel!U$2:BL$2,'Tsalin uzuulelt'!J$4,negtgel!U540:BL540)+SUMIF(negtgel!U$2:BL$2,'Tsalin uzuulelt'!J$5,negtgel!U540:BL540)</f>
      </c>
      <c r="K540">
        <f>SUMIF(negtgel!U$2:BL$2,'Tsalin uzuulelt'!L$1,negtgel!U540:BL540) + SUMIF(negtgel!U$2:BL$2,'Tsalin uzuulelt'!L$2,negtgel!U540:BL540)+SUMIF(negtgel!U$2:BL$2,'Tsalin uzuulelt'!L$3,negtgel!U540:BL540)+SUMIF(negtgel!U$2:BL$2,'Tsalin uzuulelt'!L$4,negtgel!U540:BL540)+SUMIF(negtgel!U$2:BL$2,'Tsalin uzuulelt'!L$5,negtgel!U540:BL540)</f>
      </c>
      <c r="L540">
        <f>SUMIF(negtgel!U$2:BL$2,'Tsalin uzuulelt'!N$1,negtgel!U540:BL540) + SUMIF(negtgel!U$2:BL$2,'Tsalin uzuulelt'!N$2,negtgel!U540:BL540)+SUMIF(negtgel!U$2:BL$2,'Tsalin uzuulelt'!N$3,negtgel!U540:BL540)+SUMIF(negtgel!U$2:BL$2,'Tsalin uzuulelt'!N$4,negtgel!U540:BL540)+SUMIF(negtgel!U$2:BL$2,'Tsalin uzuulelt'!N$5,negtgel!U540:BL540)</f>
      </c>
      <c r="M540">
        <f>SUMIF(negtgel!U$2:BL$2,'Tsalin uzuulelt'!P$1,negtgel!U540:BL540) + SUMIF(negtgel!U$2:BL$2,'Tsalin uzuulelt'!P$2,negtgel!U540:BL540)+ SUMIF(negtgel!U$2:BL$2,'Tsalin uzuulelt'!P$3,negtgel!U540:BL540)+ SUMIF(negtgel!U$2:BL$2,'Tsalin uzuulelt'!P$4,negtgel!U540:BL540)+ SUMIF(negtgel!U$2:BL$2,'Tsalin uzuulelt'!P$5,negtgel!U540:BL540)</f>
      </c>
      <c r="N540">
        <f>IF(ISNUMBER(U540*1)=CF540,0,K540-H540-G540)</f>
      </c>
      <c r="O540">
        <f>IF(ISNUMBER(U540*1)=CF540,0,L540)</f>
      </c>
      <c r="P540">
        <f>IF(ISNUMBER(U540*1)=CF540,0,M540)</f>
      </c>
      <c r="Q540">
        <f>IF(N540&gt;2400000,N540,0)</f>
      </c>
      <c r="R540">
        <f>IF(L540/Q540*100&lt;3,2,10)</f>
      </c>
      <c r="S540">
        <f>IF(CH540=0,0,IF(B540&gt;9,10,IF(B540&gt;8,B540,IF(B540&gt;7.7,7.8,IF(B540&gt;3,B540,IF(B540&gt;1.5,2))))))</f>
      </c>
      <c r="T540">
        <f>IF(Q540=0,S540,R540)</f>
      </c>
      <c r="U540" t="n">
        <v>86.0</v>
      </c>
      <c r="V540" t="s">
        <v>3841</v>
      </c>
      <c r="W540" t="s">
        <v>3790</v>
      </c>
      <c r="X540" t="n">
        <v>613669.0</v>
      </c>
      <c r="Y540" t="n">
        <v>160088.0</v>
      </c>
      <c r="Z540" t="n">
        <v>8004.0</v>
      </c>
      <c r="AA540" t="n">
        <v>28816.0</v>
      </c>
      <c r="AB540" t="n">
        <v>0.0</v>
      </c>
      <c r="AC540" t="n">
        <v>0.0</v>
      </c>
      <c r="AD540" t="n">
        <v>0.0</v>
      </c>
      <c r="AE540" t="n">
        <v>0.0</v>
      </c>
      <c r="AF540" t="n">
        <v>18000.0</v>
      </c>
      <c r="AG540" t="n">
        <v>0.0</v>
      </c>
      <c r="AH540" t="n">
        <v>0.0</v>
      </c>
      <c r="AI540" t="n">
        <v>0.0</v>
      </c>
      <c r="AJ540" t="n">
        <v>735900.0</v>
      </c>
      <c r="AK540" t="n">
        <v>0.0</v>
      </c>
      <c r="AL540" t="n">
        <v>0.0</v>
      </c>
      <c r="AM540" t="n">
        <v>0.0</v>
      </c>
      <c r="AN540" t="n">
        <v>0.0</v>
      </c>
      <c r="AO540" t="n">
        <v>950808.0</v>
      </c>
      <c r="AP540" t="n">
        <v>95081.0</v>
      </c>
      <c r="AQ540" t="n">
        <v>78752.7</v>
      </c>
      <c r="CH540">
        <f>IFERROR(U540*1,0)</f>
      </c>
    </row>
    <row r="541">
      <c r="A541" t="n">
        <v>8.0</v>
      </c>
      <c r="B541">
        <f>IF((K541-G541-H541&gt;2400000),10,(L541/(K541-G541-H541)*100))</f>
      </c>
      <c r="C541">
        <f>IF(N541&gt;2400000,240000,(N541*S541)/100)</f>
      </c>
      <c r="D541">
        <f>IF(S541=0,0,IF((N541-I541)&gt;2400000,((((((N541-I541-J541)-240000))*0.1+(I541+J541)*0.1)))-7000,((((((N541-I541-J541)-(N541-I541-J541)*S541/100)))*0.1+(I541+J541)*0.1)-7000)))</f>
      </c>
      <c r="E541">
        <f>C541-O541</f>
      </c>
      <c r="F541">
        <f>D541-P541</f>
      </c>
      <c r="G541">
        <f>SUMIF(negtgel!U$2:BL$2,'Tsalin uzuulelt'!B$1,negtgel!U541:BL541) + SUMIF(negtgel!U$2:BL$2,'Tsalin uzuulelt'!B$2,negtgel!U541:BL541)+SUMIF(negtgel!U$2:BL$2,'Tsalin uzuulelt'!B$3,negtgel!U541:BL541)+SUMIF(negtgel!U$2:BL$2,'Tsalin uzuulelt'!B$4,negtgel!U541:BL541)+SUMIF(negtgel!U$2:BL$2,'Tsalin uzuulelt'!B$5,negtgel!U541:BL541)</f>
      </c>
      <c r="H541">
        <f>SUMIF(negtgel!U$2:BL$2,'Tsalin uzuulelt'!F$1,negtgel!U541:BL541) + SUMIF(negtgel!U$2:BL$2,'Tsalin uzuulelt'!F$2,negtgel!U541:BL541)+SUMIF(negtgel!U$2:BL$2,'Tsalin uzuulelt'!F$3,negtgel!U541:BL541)+SUMIF(negtgel!U$2:BL$2,'Tsalin uzuulelt'!F$4,negtgel!U541:BL541)+SUMIF(negtgel!U$2:BL$2,'Tsalin uzuulelt'!F$5,negtgel!U541:BL541)</f>
      </c>
      <c r="I541">
        <f>SUMIF(negtgel!U$2:BL$2,'Tsalin uzuulelt'!H$1,negtgel!U541:BL541) + SUMIF(negtgel!U$2:BL$2,'Tsalin uzuulelt'!H$2,negtgel!U541:BL541)+SUMIF(negtgel!U$2:BL$2,'Tsalin uzuulelt'!H$3,negtgel!U541:BL541)+SUMIF(negtgel!U$2:BL$2,'Tsalin uzuulelt'!H$4,negtgel!U541:BL541)+SUMIF(negtgel!U$2:BL$2,'Tsalin uzuulelt'!H$5,negtgel!U541:BL541)</f>
      </c>
      <c r="J541">
        <f>SUMIF(negtgel!U$2:BL$2,'Tsalin uzuulelt'!J$1,negtgel!U541:BL541) + SUMIF(negtgel!U$2:BL$2,'Tsalin uzuulelt'!J$2,negtgel!U541:BL541)+SUMIF(negtgel!U$2:BL$2,'Tsalin uzuulelt'!J$3,negtgel!U541:BL541)+SUMIF(negtgel!U$2:BL$2,'Tsalin uzuulelt'!J$4,negtgel!U541:BL541)+SUMIF(negtgel!U$2:BL$2,'Tsalin uzuulelt'!J$5,negtgel!U541:BL541)</f>
      </c>
      <c r="K541">
        <f>SUMIF(negtgel!U$2:BL$2,'Tsalin uzuulelt'!L$1,negtgel!U541:BL541) + SUMIF(negtgel!U$2:BL$2,'Tsalin uzuulelt'!L$2,negtgel!U541:BL541)+SUMIF(negtgel!U$2:BL$2,'Tsalin uzuulelt'!L$3,negtgel!U541:BL541)+SUMIF(negtgel!U$2:BL$2,'Tsalin uzuulelt'!L$4,negtgel!U541:BL541)+SUMIF(negtgel!U$2:BL$2,'Tsalin uzuulelt'!L$5,negtgel!U541:BL541)</f>
      </c>
      <c r="L541">
        <f>SUMIF(negtgel!U$2:BL$2,'Tsalin uzuulelt'!N$1,negtgel!U541:BL541) + SUMIF(negtgel!U$2:BL$2,'Tsalin uzuulelt'!N$2,negtgel!U541:BL541)+SUMIF(negtgel!U$2:BL$2,'Tsalin uzuulelt'!N$3,negtgel!U541:BL541)+SUMIF(negtgel!U$2:BL$2,'Tsalin uzuulelt'!N$4,negtgel!U541:BL541)+SUMIF(negtgel!U$2:BL$2,'Tsalin uzuulelt'!N$5,negtgel!U541:BL541)</f>
      </c>
      <c r="M541">
        <f>SUMIF(negtgel!U$2:BL$2,'Tsalin uzuulelt'!P$1,negtgel!U541:BL541) + SUMIF(negtgel!U$2:BL$2,'Tsalin uzuulelt'!P$2,negtgel!U541:BL541)+ SUMIF(negtgel!U$2:BL$2,'Tsalin uzuulelt'!P$3,negtgel!U541:BL541)+ SUMIF(negtgel!U$2:BL$2,'Tsalin uzuulelt'!P$4,negtgel!U541:BL541)+ SUMIF(negtgel!U$2:BL$2,'Tsalin uzuulelt'!P$5,negtgel!U541:BL541)</f>
      </c>
      <c r="N541">
        <f>IF(ISNUMBER(U541*1)=CF541,0,K541-H541-G541)</f>
      </c>
      <c r="O541">
        <f>IF(ISNUMBER(U541*1)=CF541,0,L541)</f>
      </c>
      <c r="P541">
        <f>IF(ISNUMBER(U541*1)=CF541,0,M541)</f>
      </c>
      <c r="Q541">
        <f>IF(N541&gt;2400000,N541,0)</f>
      </c>
      <c r="R541">
        <f>IF(L541/Q541*100&lt;3,2,10)</f>
      </c>
      <c r="S541">
        <f>IF(CH541=0,0,IF(B541&gt;9,10,IF(B541&gt;8,B541,IF(B541&gt;7.7,7.8,IF(B541&gt;3,B541,IF(B541&gt;1.5,2))))))</f>
      </c>
      <c r="T541">
        <f>IF(Q541=0,S541,R541)</f>
      </c>
      <c r="U541" t="n">
        <v>87.0</v>
      </c>
      <c r="V541" t="s">
        <v>3842</v>
      </c>
      <c r="W541" t="s">
        <v>3790</v>
      </c>
      <c r="X541" t="n">
        <v>645556.0</v>
      </c>
      <c r="Y541" t="n">
        <v>196474.0</v>
      </c>
      <c r="Z541" t="n">
        <v>33401.0</v>
      </c>
      <c r="AA541" t="n">
        <v>35365.0</v>
      </c>
      <c r="AB541" t="n">
        <v>0.0</v>
      </c>
      <c r="AC541" t="n">
        <v>0.0</v>
      </c>
      <c r="AD541" t="n">
        <v>0.0</v>
      </c>
      <c r="AE541" t="n">
        <v>0.0</v>
      </c>
      <c r="AF541" t="n">
        <v>21000.0</v>
      </c>
      <c r="AG541" t="n">
        <v>0.0</v>
      </c>
      <c r="AH541" t="n">
        <v>0.0</v>
      </c>
      <c r="AI541" t="n">
        <v>0.0</v>
      </c>
      <c r="AJ541" t="n">
        <v>0.0</v>
      </c>
      <c r="AK541" t="n">
        <v>0.0</v>
      </c>
      <c r="AL541" t="n">
        <v>0.0</v>
      </c>
      <c r="AM541" t="n">
        <v>0.0</v>
      </c>
      <c r="AN541" t="n">
        <v>0.0</v>
      </c>
      <c r="AO541" t="n">
        <v>286240.0</v>
      </c>
      <c r="AP541" t="n">
        <v>28624.0</v>
      </c>
      <c r="AQ541" t="n">
        <v>18971.6</v>
      </c>
      <c r="CH541">
        <f>IFERROR(U541*1,0)</f>
      </c>
    </row>
    <row r="542">
      <c r="A542" t="n">
        <v>8.0</v>
      </c>
      <c r="B542">
        <f>IF((K542-G542-H542&gt;2400000),10,(L542/(K542-G542-H542)*100))</f>
      </c>
      <c r="C542">
        <f>IF(N542&gt;2400000,240000,(N542*S542)/100)</f>
      </c>
      <c r="D542">
        <f>IF(S542=0,0,IF((N542-I542)&gt;2400000,((((((N542-I542-J542)-240000))*0.1+(I542+J542)*0.1)))-7000,((((((N542-I542-J542)-(N542-I542-J542)*S542/100)))*0.1+(I542+J542)*0.1)-7000)))</f>
      </c>
      <c r="E542">
        <f>C542-O542</f>
      </c>
      <c r="F542">
        <f>D542-P542</f>
      </c>
      <c r="G542">
        <f>SUMIF(negtgel!U$2:BL$2,'Tsalin uzuulelt'!B$1,negtgel!U542:BL542) + SUMIF(negtgel!U$2:BL$2,'Tsalin uzuulelt'!B$2,negtgel!U542:BL542)+SUMIF(negtgel!U$2:BL$2,'Tsalin uzuulelt'!B$3,negtgel!U542:BL542)+SUMIF(negtgel!U$2:BL$2,'Tsalin uzuulelt'!B$4,negtgel!U542:BL542)+SUMIF(negtgel!U$2:BL$2,'Tsalin uzuulelt'!B$5,negtgel!U542:BL542)</f>
      </c>
      <c r="H542">
        <f>SUMIF(negtgel!U$2:BL$2,'Tsalin uzuulelt'!F$1,negtgel!U542:BL542) + SUMIF(negtgel!U$2:BL$2,'Tsalin uzuulelt'!F$2,negtgel!U542:BL542)+SUMIF(negtgel!U$2:BL$2,'Tsalin uzuulelt'!F$3,negtgel!U542:BL542)+SUMIF(negtgel!U$2:BL$2,'Tsalin uzuulelt'!F$4,negtgel!U542:BL542)+SUMIF(negtgel!U$2:BL$2,'Tsalin uzuulelt'!F$5,negtgel!U542:BL542)</f>
      </c>
      <c r="I542">
        <f>SUMIF(negtgel!U$2:BL$2,'Tsalin uzuulelt'!H$1,negtgel!U542:BL542) + SUMIF(negtgel!U$2:BL$2,'Tsalin uzuulelt'!H$2,negtgel!U542:BL542)+SUMIF(negtgel!U$2:BL$2,'Tsalin uzuulelt'!H$3,negtgel!U542:BL542)+SUMIF(negtgel!U$2:BL$2,'Tsalin uzuulelt'!H$4,negtgel!U542:BL542)+SUMIF(negtgel!U$2:BL$2,'Tsalin uzuulelt'!H$5,negtgel!U542:BL542)</f>
      </c>
      <c r="J542">
        <f>SUMIF(negtgel!U$2:BL$2,'Tsalin uzuulelt'!J$1,negtgel!U542:BL542) + SUMIF(negtgel!U$2:BL$2,'Tsalin uzuulelt'!J$2,negtgel!U542:BL542)+SUMIF(negtgel!U$2:BL$2,'Tsalin uzuulelt'!J$3,negtgel!U542:BL542)+SUMIF(negtgel!U$2:BL$2,'Tsalin uzuulelt'!J$4,negtgel!U542:BL542)+SUMIF(negtgel!U$2:BL$2,'Tsalin uzuulelt'!J$5,negtgel!U542:BL542)</f>
      </c>
      <c r="K542">
        <f>SUMIF(negtgel!U$2:BL$2,'Tsalin uzuulelt'!L$1,negtgel!U542:BL542) + SUMIF(negtgel!U$2:BL$2,'Tsalin uzuulelt'!L$2,negtgel!U542:BL542)+SUMIF(negtgel!U$2:BL$2,'Tsalin uzuulelt'!L$3,negtgel!U542:BL542)+SUMIF(negtgel!U$2:BL$2,'Tsalin uzuulelt'!L$4,negtgel!U542:BL542)+SUMIF(negtgel!U$2:BL$2,'Tsalin uzuulelt'!L$5,negtgel!U542:BL542)</f>
      </c>
      <c r="L542">
        <f>SUMIF(negtgel!U$2:BL$2,'Tsalin uzuulelt'!N$1,negtgel!U542:BL542) + SUMIF(negtgel!U$2:BL$2,'Tsalin uzuulelt'!N$2,negtgel!U542:BL542)+SUMIF(negtgel!U$2:BL$2,'Tsalin uzuulelt'!N$3,negtgel!U542:BL542)+SUMIF(negtgel!U$2:BL$2,'Tsalin uzuulelt'!N$4,negtgel!U542:BL542)+SUMIF(negtgel!U$2:BL$2,'Tsalin uzuulelt'!N$5,negtgel!U542:BL542)</f>
      </c>
      <c r="M542">
        <f>SUMIF(negtgel!U$2:BL$2,'Tsalin uzuulelt'!P$1,negtgel!U542:BL542) + SUMIF(negtgel!U$2:BL$2,'Tsalin uzuulelt'!P$2,negtgel!U542:BL542)+ SUMIF(negtgel!U$2:BL$2,'Tsalin uzuulelt'!P$3,negtgel!U542:BL542)+ SUMIF(negtgel!U$2:BL$2,'Tsalin uzuulelt'!P$4,negtgel!U542:BL542)+ SUMIF(negtgel!U$2:BL$2,'Tsalin uzuulelt'!P$5,negtgel!U542:BL542)</f>
      </c>
      <c r="N542">
        <f>IF(ISNUMBER(U542*1)=CF542,0,K542-H542-G542)</f>
      </c>
      <c r="O542">
        <f>IF(ISNUMBER(U542*1)=CF542,0,L542)</f>
      </c>
      <c r="P542">
        <f>IF(ISNUMBER(U542*1)=CF542,0,M542)</f>
      </c>
      <c r="Q542">
        <f>IF(N542&gt;2400000,N542,0)</f>
      </c>
      <c r="R542">
        <f>IF(L542/Q542*100&lt;3,2,10)</f>
      </c>
      <c r="S542">
        <f>IF(CH542=0,0,IF(B542&gt;9,10,IF(B542&gt;8,B542,IF(B542&gt;7.7,7.8,IF(B542&gt;3,B542,IF(B542&gt;1.5,2))))))</f>
      </c>
      <c r="T542">
        <f>IF(Q542=0,S542,R542)</f>
      </c>
      <c r="U542" t="n">
        <v>88.0</v>
      </c>
      <c r="V542" t="s">
        <v>3843</v>
      </c>
      <c r="W542" t="s">
        <v>3820</v>
      </c>
      <c r="X542" t="n">
        <v>698795.0</v>
      </c>
      <c r="Y542" t="n">
        <v>334206.0</v>
      </c>
      <c r="Z542" t="n">
        <v>66841.0</v>
      </c>
      <c r="AA542" t="n">
        <v>66841.0</v>
      </c>
      <c r="AB542" t="n">
        <v>0.0</v>
      </c>
      <c r="AC542" t="n">
        <v>0.0</v>
      </c>
      <c r="AD542" t="n">
        <v>0.0</v>
      </c>
      <c r="AE542" t="n">
        <v>0.0</v>
      </c>
      <c r="AF542" t="n">
        <v>33000.0</v>
      </c>
      <c r="AG542" t="n">
        <v>0.0</v>
      </c>
      <c r="AH542" t="n">
        <v>0.0</v>
      </c>
      <c r="AI542" t="n">
        <v>0.0</v>
      </c>
      <c r="AJ542" t="n">
        <v>0.0</v>
      </c>
      <c r="AK542" t="n">
        <v>0.0</v>
      </c>
      <c r="AL542" t="n">
        <v>0.0</v>
      </c>
      <c r="AM542" t="n">
        <v>0.0</v>
      </c>
      <c r="AN542" t="n">
        <v>0.0</v>
      </c>
      <c r="AO542" t="n">
        <v>500888.0</v>
      </c>
      <c r="AP542" t="n">
        <v>50089.0</v>
      </c>
      <c r="AQ542" t="n">
        <v>38409.9</v>
      </c>
      <c r="CH542">
        <f>IFERROR(U542*1,0)</f>
      </c>
    </row>
    <row r="543">
      <c r="A543" t="n">
        <v>8.0</v>
      </c>
      <c r="B543">
        <f>IF((K543-G543-H543&gt;2400000),10,(L543/(K543-G543-H543)*100))</f>
      </c>
      <c r="C543">
        <f>IF(N543&gt;2400000,240000,(N543*S543)/100)</f>
      </c>
      <c r="D543">
        <f>IF(S543=0,0,IF((N543-I543)&gt;2400000,((((((N543-I543-J543)-240000))*0.1+(I543+J543)*0.1)))-7000,((((((N543-I543-J543)-(N543-I543-J543)*S543/100)))*0.1+(I543+J543)*0.1)-7000)))</f>
      </c>
      <c r="E543">
        <f>C543-O543</f>
      </c>
      <c r="F543">
        <f>D543-P543</f>
      </c>
      <c r="G543">
        <f>SUMIF(negtgel!U$2:BL$2,'Tsalin uzuulelt'!B$1,negtgel!U543:BL543) + SUMIF(negtgel!U$2:BL$2,'Tsalin uzuulelt'!B$2,negtgel!U543:BL543)+SUMIF(negtgel!U$2:BL$2,'Tsalin uzuulelt'!B$3,negtgel!U543:BL543)+SUMIF(negtgel!U$2:BL$2,'Tsalin uzuulelt'!B$4,negtgel!U543:BL543)+SUMIF(negtgel!U$2:BL$2,'Tsalin uzuulelt'!B$5,negtgel!U543:BL543)</f>
      </c>
      <c r="H543">
        <f>SUMIF(negtgel!U$2:BL$2,'Tsalin uzuulelt'!F$1,negtgel!U543:BL543) + SUMIF(negtgel!U$2:BL$2,'Tsalin uzuulelt'!F$2,negtgel!U543:BL543)+SUMIF(negtgel!U$2:BL$2,'Tsalin uzuulelt'!F$3,negtgel!U543:BL543)+SUMIF(negtgel!U$2:BL$2,'Tsalin uzuulelt'!F$4,negtgel!U543:BL543)+SUMIF(negtgel!U$2:BL$2,'Tsalin uzuulelt'!F$5,negtgel!U543:BL543)</f>
      </c>
      <c r="I543">
        <f>SUMIF(negtgel!U$2:BL$2,'Tsalin uzuulelt'!H$1,negtgel!U543:BL543) + SUMIF(negtgel!U$2:BL$2,'Tsalin uzuulelt'!H$2,negtgel!U543:BL543)+SUMIF(negtgel!U$2:BL$2,'Tsalin uzuulelt'!H$3,negtgel!U543:BL543)+SUMIF(negtgel!U$2:BL$2,'Tsalin uzuulelt'!H$4,negtgel!U543:BL543)+SUMIF(negtgel!U$2:BL$2,'Tsalin uzuulelt'!H$5,negtgel!U543:BL543)</f>
      </c>
      <c r="J543">
        <f>SUMIF(negtgel!U$2:BL$2,'Tsalin uzuulelt'!J$1,negtgel!U543:BL543) + SUMIF(negtgel!U$2:BL$2,'Tsalin uzuulelt'!J$2,negtgel!U543:BL543)+SUMIF(negtgel!U$2:BL$2,'Tsalin uzuulelt'!J$3,negtgel!U543:BL543)+SUMIF(negtgel!U$2:BL$2,'Tsalin uzuulelt'!J$4,negtgel!U543:BL543)+SUMIF(negtgel!U$2:BL$2,'Tsalin uzuulelt'!J$5,negtgel!U543:BL543)</f>
      </c>
      <c r="K543">
        <f>SUMIF(negtgel!U$2:BL$2,'Tsalin uzuulelt'!L$1,negtgel!U543:BL543) + SUMIF(negtgel!U$2:BL$2,'Tsalin uzuulelt'!L$2,negtgel!U543:BL543)+SUMIF(negtgel!U$2:BL$2,'Tsalin uzuulelt'!L$3,negtgel!U543:BL543)+SUMIF(negtgel!U$2:BL$2,'Tsalin uzuulelt'!L$4,negtgel!U543:BL543)+SUMIF(negtgel!U$2:BL$2,'Tsalin uzuulelt'!L$5,negtgel!U543:BL543)</f>
      </c>
      <c r="L543">
        <f>SUMIF(negtgel!U$2:BL$2,'Tsalin uzuulelt'!N$1,negtgel!U543:BL543) + SUMIF(negtgel!U$2:BL$2,'Tsalin uzuulelt'!N$2,negtgel!U543:BL543)+SUMIF(negtgel!U$2:BL$2,'Tsalin uzuulelt'!N$3,negtgel!U543:BL543)+SUMIF(negtgel!U$2:BL$2,'Tsalin uzuulelt'!N$4,negtgel!U543:BL543)+SUMIF(negtgel!U$2:BL$2,'Tsalin uzuulelt'!N$5,negtgel!U543:BL543)</f>
      </c>
      <c r="M543">
        <f>SUMIF(negtgel!U$2:BL$2,'Tsalin uzuulelt'!P$1,negtgel!U543:BL543) + SUMIF(negtgel!U$2:BL$2,'Tsalin uzuulelt'!P$2,negtgel!U543:BL543)+ SUMIF(negtgel!U$2:BL$2,'Tsalin uzuulelt'!P$3,negtgel!U543:BL543)+ SUMIF(negtgel!U$2:BL$2,'Tsalin uzuulelt'!P$4,negtgel!U543:BL543)+ SUMIF(negtgel!U$2:BL$2,'Tsalin uzuulelt'!P$5,negtgel!U543:BL543)</f>
      </c>
      <c r="N543">
        <f>IF(ISNUMBER(U543*1)=CF543,0,K543-H543-G543)</f>
      </c>
      <c r="O543">
        <f>IF(ISNUMBER(U543*1)=CF543,0,L543)</f>
      </c>
      <c r="P543">
        <f>IF(ISNUMBER(U543*1)=CF543,0,M543)</f>
      </c>
      <c r="Q543">
        <f>IF(N543&gt;2400000,N543,0)</f>
      </c>
      <c r="R543">
        <f>IF(L543/Q543*100&lt;3,2,10)</f>
      </c>
      <c r="S543">
        <f>IF(CH543=0,0,IF(B543&gt;9,10,IF(B543&gt;8,B543,IF(B543&gt;7.7,7.8,IF(B543&gt;3,B543,IF(B543&gt;1.5,2))))))</f>
      </c>
      <c r="T543">
        <f>IF(Q543=0,S543,R543)</f>
      </c>
      <c r="U543" t="n">
        <v>89.0</v>
      </c>
      <c r="V543" t="s">
        <v>3853</v>
      </c>
      <c r="W543" t="s">
        <v>3790</v>
      </c>
      <c r="X543" t="n">
        <v>613669.0</v>
      </c>
      <c r="Y543" t="n">
        <v>293494.0</v>
      </c>
      <c r="Z543" t="n">
        <v>14675.0</v>
      </c>
      <c r="AA543" t="n">
        <v>44024.0</v>
      </c>
      <c r="AB543" t="n">
        <v>0.0</v>
      </c>
      <c r="AC543" t="n">
        <v>0.0</v>
      </c>
      <c r="AD543" t="n">
        <v>0.0</v>
      </c>
      <c r="AE543" t="n">
        <v>0.0</v>
      </c>
      <c r="AF543" t="n">
        <v>33000.0</v>
      </c>
      <c r="AG543" t="n">
        <v>0.0</v>
      </c>
      <c r="AH543" t="n">
        <v>0.0</v>
      </c>
      <c r="AI543" t="n">
        <v>0.0</v>
      </c>
      <c r="AJ543" t="n">
        <v>0.0</v>
      </c>
      <c r="AK543" t="n">
        <v>0.0</v>
      </c>
      <c r="AL543" t="n">
        <v>0.0</v>
      </c>
      <c r="AM543" t="n">
        <v>0.0</v>
      </c>
      <c r="AN543" t="n">
        <v>0.0</v>
      </c>
      <c r="AO543" t="n">
        <v>385193.0</v>
      </c>
      <c r="AP543" t="n">
        <v>38520.0</v>
      </c>
      <c r="AQ543" t="n">
        <v>27997.4</v>
      </c>
      <c r="CH543">
        <f>IFERROR(U543*1,0)</f>
      </c>
    </row>
    <row r="544">
      <c r="A544" t="n">
        <v>8.0</v>
      </c>
      <c r="B544">
        <f>IF((K544-G544-H544&gt;2400000),10,(L544/(K544-G544-H544)*100))</f>
      </c>
      <c r="C544">
        <f>IF(N544&gt;2400000,240000,(N544*S544)/100)</f>
      </c>
      <c r="D544">
        <f>IF(S544=0,0,IF((N544-I544)&gt;2400000,((((((N544-I544-J544)-240000))*0.1+(I544+J544)*0.1)))-7000,((((((N544-I544-J544)-(N544-I544-J544)*S544/100)))*0.1+(I544+J544)*0.1)-7000)))</f>
      </c>
      <c r="E544">
        <f>C544-O544</f>
      </c>
      <c r="F544">
        <f>D544-P544</f>
      </c>
      <c r="G544">
        <f>SUMIF(negtgel!U$2:BL$2,'Tsalin uzuulelt'!B$1,negtgel!U544:BL544) + SUMIF(negtgel!U$2:BL$2,'Tsalin uzuulelt'!B$2,negtgel!U544:BL544)+SUMIF(negtgel!U$2:BL$2,'Tsalin uzuulelt'!B$3,negtgel!U544:BL544)+SUMIF(negtgel!U$2:BL$2,'Tsalin uzuulelt'!B$4,negtgel!U544:BL544)+SUMIF(negtgel!U$2:BL$2,'Tsalin uzuulelt'!B$5,negtgel!U544:BL544)</f>
      </c>
      <c r="H544">
        <f>SUMIF(negtgel!U$2:BL$2,'Tsalin uzuulelt'!F$1,negtgel!U544:BL544) + SUMIF(negtgel!U$2:BL$2,'Tsalin uzuulelt'!F$2,negtgel!U544:BL544)+SUMIF(negtgel!U$2:BL$2,'Tsalin uzuulelt'!F$3,negtgel!U544:BL544)+SUMIF(negtgel!U$2:BL$2,'Tsalin uzuulelt'!F$4,negtgel!U544:BL544)+SUMIF(negtgel!U$2:BL$2,'Tsalin uzuulelt'!F$5,negtgel!U544:BL544)</f>
      </c>
      <c r="I544">
        <f>SUMIF(negtgel!U$2:BL$2,'Tsalin uzuulelt'!H$1,negtgel!U544:BL544) + SUMIF(negtgel!U$2:BL$2,'Tsalin uzuulelt'!H$2,negtgel!U544:BL544)+SUMIF(negtgel!U$2:BL$2,'Tsalin uzuulelt'!H$3,negtgel!U544:BL544)+SUMIF(negtgel!U$2:BL$2,'Tsalin uzuulelt'!H$4,negtgel!U544:BL544)+SUMIF(negtgel!U$2:BL$2,'Tsalin uzuulelt'!H$5,negtgel!U544:BL544)</f>
      </c>
      <c r="J544">
        <f>SUMIF(negtgel!U$2:BL$2,'Tsalin uzuulelt'!J$1,negtgel!U544:BL544) + SUMIF(negtgel!U$2:BL$2,'Tsalin uzuulelt'!J$2,negtgel!U544:BL544)+SUMIF(negtgel!U$2:BL$2,'Tsalin uzuulelt'!J$3,negtgel!U544:BL544)+SUMIF(negtgel!U$2:BL$2,'Tsalin uzuulelt'!J$4,negtgel!U544:BL544)+SUMIF(negtgel!U$2:BL$2,'Tsalin uzuulelt'!J$5,negtgel!U544:BL544)</f>
      </c>
      <c r="K544">
        <f>SUMIF(negtgel!U$2:BL$2,'Tsalin uzuulelt'!L$1,negtgel!U544:BL544) + SUMIF(negtgel!U$2:BL$2,'Tsalin uzuulelt'!L$2,negtgel!U544:BL544)+SUMIF(negtgel!U$2:BL$2,'Tsalin uzuulelt'!L$3,negtgel!U544:BL544)+SUMIF(negtgel!U$2:BL$2,'Tsalin uzuulelt'!L$4,negtgel!U544:BL544)+SUMIF(negtgel!U$2:BL$2,'Tsalin uzuulelt'!L$5,negtgel!U544:BL544)</f>
      </c>
      <c r="L544">
        <f>SUMIF(negtgel!U$2:BL$2,'Tsalin uzuulelt'!N$1,negtgel!U544:BL544) + SUMIF(negtgel!U$2:BL$2,'Tsalin uzuulelt'!N$2,negtgel!U544:BL544)+SUMIF(negtgel!U$2:BL$2,'Tsalin uzuulelt'!N$3,negtgel!U544:BL544)+SUMIF(negtgel!U$2:BL$2,'Tsalin uzuulelt'!N$4,negtgel!U544:BL544)+SUMIF(negtgel!U$2:BL$2,'Tsalin uzuulelt'!N$5,negtgel!U544:BL544)</f>
      </c>
      <c r="M544">
        <f>SUMIF(negtgel!U$2:BL$2,'Tsalin uzuulelt'!P$1,negtgel!U544:BL544) + SUMIF(negtgel!U$2:BL$2,'Tsalin uzuulelt'!P$2,negtgel!U544:BL544)+ SUMIF(negtgel!U$2:BL$2,'Tsalin uzuulelt'!P$3,negtgel!U544:BL544)+ SUMIF(negtgel!U$2:BL$2,'Tsalin uzuulelt'!P$4,negtgel!U544:BL544)+ SUMIF(negtgel!U$2:BL$2,'Tsalin uzuulelt'!P$5,negtgel!U544:BL544)</f>
      </c>
      <c r="N544">
        <f>IF(ISNUMBER(U544*1)=CF544,0,K544-H544-G544)</f>
      </c>
      <c r="O544">
        <f>IF(ISNUMBER(U544*1)=CF544,0,L544)</f>
      </c>
      <c r="P544">
        <f>IF(ISNUMBER(U544*1)=CF544,0,M544)</f>
      </c>
      <c r="Q544">
        <f>IF(N544&gt;2400000,N544,0)</f>
      </c>
      <c r="R544">
        <f>IF(L544/Q544*100&lt;3,2,10)</f>
      </c>
      <c r="S544">
        <f>IF(CH544=0,0,IF(B544&gt;9,10,IF(B544&gt;8,B544,IF(B544&gt;7.7,7.8,IF(B544&gt;3,B544,IF(B544&gt;1.5,2))))))</f>
      </c>
      <c r="T544">
        <f>IF(Q544=0,S544,R544)</f>
      </c>
      <c r="U544" t="n">
        <v>90.0</v>
      </c>
      <c r="V544" t="s">
        <v>3854</v>
      </c>
      <c r="W544" t="s">
        <v>3785</v>
      </c>
      <c r="X544" t="n">
        <v>795935.0</v>
      </c>
      <c r="Y544" t="n">
        <v>415270.0</v>
      </c>
      <c r="Z544" t="n">
        <v>83054.0</v>
      </c>
      <c r="AA544" t="n">
        <v>91359.0</v>
      </c>
      <c r="AB544" t="n">
        <v>0.0</v>
      </c>
      <c r="AC544" t="n">
        <v>0.0</v>
      </c>
      <c r="AD544" t="n">
        <v>0.0</v>
      </c>
      <c r="AE544" t="n">
        <v>0.0</v>
      </c>
      <c r="AF544" t="n">
        <v>36000.0</v>
      </c>
      <c r="AG544" t="n">
        <v>0.0</v>
      </c>
      <c r="AH544" t="n">
        <v>0.0</v>
      </c>
      <c r="AI544" t="n">
        <v>0.0</v>
      </c>
      <c r="AJ544" t="n">
        <v>0.0</v>
      </c>
      <c r="AK544" t="n">
        <v>0.0</v>
      </c>
      <c r="AL544" t="n">
        <v>0.0</v>
      </c>
      <c r="AM544" t="n">
        <v>0.0</v>
      </c>
      <c r="AN544" t="n">
        <v>0.0</v>
      </c>
      <c r="AO544" t="n">
        <v>625683.0</v>
      </c>
      <c r="AP544" t="n">
        <v>62568.0</v>
      </c>
      <c r="AQ544" t="n">
        <v>49671.5</v>
      </c>
      <c r="CH544">
        <f>IFERROR(U544*1,0)</f>
      </c>
    </row>
    <row r="545">
      <c r="A545" t="n">
        <v>8.0</v>
      </c>
      <c r="B545">
        <f>IF((K545-G545-H545&gt;2400000),10,(L545/(K545-G545-H545)*100))</f>
      </c>
      <c r="C545">
        <f>IF(N545&gt;2400000,240000,(N545*S545)/100)</f>
      </c>
      <c r="D545">
        <f>IF(S545=0,0,IF((N545-I545)&gt;2400000,((((((N545-I545-J545)-240000))*0.1+(I545+J545)*0.1)))-7000,((((((N545-I545-J545)-(N545-I545-J545)*S545/100)))*0.1+(I545+J545)*0.1)-7000)))</f>
      </c>
      <c r="E545">
        <f>C545-O545</f>
      </c>
      <c r="F545">
        <f>D545-P545</f>
      </c>
      <c r="G545">
        <f>SUMIF(negtgel!U$2:BL$2,'Tsalin uzuulelt'!B$1,negtgel!U545:BL545) + SUMIF(negtgel!U$2:BL$2,'Tsalin uzuulelt'!B$2,negtgel!U545:BL545)+SUMIF(negtgel!U$2:BL$2,'Tsalin uzuulelt'!B$3,negtgel!U545:BL545)+SUMIF(negtgel!U$2:BL$2,'Tsalin uzuulelt'!B$4,negtgel!U545:BL545)+SUMIF(negtgel!U$2:BL$2,'Tsalin uzuulelt'!B$5,negtgel!U545:BL545)</f>
      </c>
      <c r="H545">
        <f>SUMIF(negtgel!U$2:BL$2,'Tsalin uzuulelt'!F$1,negtgel!U545:BL545) + SUMIF(negtgel!U$2:BL$2,'Tsalin uzuulelt'!F$2,negtgel!U545:BL545)+SUMIF(negtgel!U$2:BL$2,'Tsalin uzuulelt'!F$3,negtgel!U545:BL545)+SUMIF(negtgel!U$2:BL$2,'Tsalin uzuulelt'!F$4,negtgel!U545:BL545)+SUMIF(negtgel!U$2:BL$2,'Tsalin uzuulelt'!F$5,negtgel!U545:BL545)</f>
      </c>
      <c r="I545">
        <f>SUMIF(negtgel!U$2:BL$2,'Tsalin uzuulelt'!H$1,negtgel!U545:BL545) + SUMIF(negtgel!U$2:BL$2,'Tsalin uzuulelt'!H$2,negtgel!U545:BL545)+SUMIF(negtgel!U$2:BL$2,'Tsalin uzuulelt'!H$3,negtgel!U545:BL545)+SUMIF(negtgel!U$2:BL$2,'Tsalin uzuulelt'!H$4,negtgel!U545:BL545)+SUMIF(negtgel!U$2:BL$2,'Tsalin uzuulelt'!H$5,negtgel!U545:BL545)</f>
      </c>
      <c r="J545">
        <f>SUMIF(negtgel!U$2:BL$2,'Tsalin uzuulelt'!J$1,negtgel!U545:BL545) + SUMIF(negtgel!U$2:BL$2,'Tsalin uzuulelt'!J$2,negtgel!U545:BL545)+SUMIF(negtgel!U$2:BL$2,'Tsalin uzuulelt'!J$3,negtgel!U545:BL545)+SUMIF(negtgel!U$2:BL$2,'Tsalin uzuulelt'!J$4,negtgel!U545:BL545)+SUMIF(negtgel!U$2:BL$2,'Tsalin uzuulelt'!J$5,negtgel!U545:BL545)</f>
      </c>
      <c r="K545">
        <f>SUMIF(negtgel!U$2:BL$2,'Tsalin uzuulelt'!L$1,negtgel!U545:BL545) + SUMIF(negtgel!U$2:BL$2,'Tsalin uzuulelt'!L$2,negtgel!U545:BL545)+SUMIF(negtgel!U$2:BL$2,'Tsalin uzuulelt'!L$3,negtgel!U545:BL545)+SUMIF(negtgel!U$2:BL$2,'Tsalin uzuulelt'!L$4,negtgel!U545:BL545)+SUMIF(negtgel!U$2:BL$2,'Tsalin uzuulelt'!L$5,negtgel!U545:BL545)</f>
      </c>
      <c r="L545">
        <f>SUMIF(negtgel!U$2:BL$2,'Tsalin uzuulelt'!N$1,negtgel!U545:BL545) + SUMIF(negtgel!U$2:BL$2,'Tsalin uzuulelt'!N$2,negtgel!U545:BL545)+SUMIF(negtgel!U$2:BL$2,'Tsalin uzuulelt'!N$3,negtgel!U545:BL545)+SUMIF(negtgel!U$2:BL$2,'Tsalin uzuulelt'!N$4,negtgel!U545:BL545)+SUMIF(negtgel!U$2:BL$2,'Tsalin uzuulelt'!N$5,negtgel!U545:BL545)</f>
      </c>
      <c r="M545">
        <f>SUMIF(negtgel!U$2:BL$2,'Tsalin uzuulelt'!P$1,negtgel!U545:BL545) + SUMIF(negtgel!U$2:BL$2,'Tsalin uzuulelt'!P$2,negtgel!U545:BL545)+ SUMIF(negtgel!U$2:BL$2,'Tsalin uzuulelt'!P$3,negtgel!U545:BL545)+ SUMIF(negtgel!U$2:BL$2,'Tsalin uzuulelt'!P$4,negtgel!U545:BL545)+ SUMIF(negtgel!U$2:BL$2,'Tsalin uzuulelt'!P$5,negtgel!U545:BL545)</f>
      </c>
      <c r="N545">
        <f>IF(ISNUMBER(U545*1)=CF545,0,K545-H545-G545)</f>
      </c>
      <c r="O545">
        <f>IF(ISNUMBER(U545*1)=CF545,0,L545)</f>
      </c>
      <c r="P545">
        <f>IF(ISNUMBER(U545*1)=CF545,0,M545)</f>
      </c>
      <c r="Q545">
        <f>IF(N545&gt;2400000,N545,0)</f>
      </c>
      <c r="R545">
        <f>IF(L545/Q545*100&lt;3,2,10)</f>
      </c>
      <c r="S545">
        <f>IF(CH545=0,0,IF(B545&gt;9,10,IF(B545&gt;8,B545,IF(B545&gt;7.7,7.8,IF(B545&gt;3,B545,IF(B545&gt;1.5,2))))))</f>
      </c>
      <c r="T545">
        <f>IF(Q545=0,S545,R545)</f>
      </c>
      <c r="U545" t="n">
        <v>91.0</v>
      </c>
      <c r="V545" t="s">
        <v>3855</v>
      </c>
      <c r="W545" t="s">
        <v>3790</v>
      </c>
      <c r="X545" t="n">
        <v>580710.0</v>
      </c>
      <c r="Y545" t="n">
        <v>0.0</v>
      </c>
      <c r="Z545" t="n">
        <v>0.0</v>
      </c>
      <c r="AA545" t="n">
        <v>0.0</v>
      </c>
      <c r="AB545" t="n">
        <v>0.0</v>
      </c>
      <c r="AC545" t="n">
        <v>0.0</v>
      </c>
      <c r="AD545" t="n">
        <v>0.0</v>
      </c>
      <c r="AE545" t="n">
        <v>0.0</v>
      </c>
      <c r="AF545" t="n">
        <v>0.0</v>
      </c>
      <c r="AG545" t="n">
        <v>0.0</v>
      </c>
      <c r="AH545" t="n">
        <v>0.0</v>
      </c>
      <c r="AI545" t="n">
        <v>0.0</v>
      </c>
      <c r="AJ545" t="n">
        <v>0.0</v>
      </c>
      <c r="AK545" t="n">
        <v>0.0</v>
      </c>
      <c r="AL545" t="n">
        <v>0.0</v>
      </c>
      <c r="AM545" t="n">
        <v>0.0</v>
      </c>
      <c r="AN545" t="n">
        <v>0.0</v>
      </c>
      <c r="AO545" t="n">
        <v>0.0</v>
      </c>
      <c r="AP545" t="n">
        <v>0.0</v>
      </c>
      <c r="AQ545" t="n">
        <v>0.0</v>
      </c>
      <c r="CH545">
        <f>IFERROR(U545*1,0)</f>
      </c>
    </row>
    <row r="546">
      <c r="A546" t="n">
        <v>8.0</v>
      </c>
      <c r="B546">
        <f>IF((K546-G546-H546&gt;2400000),10,(L546/(K546-G546-H546)*100))</f>
      </c>
      <c r="C546">
        <f>IF(N546&gt;2400000,240000,(N546*S546)/100)</f>
      </c>
      <c r="D546">
        <f>IF(S546=0,0,IF((N546-I546)&gt;2400000,((((((N546-I546-J546)-240000))*0.1+(I546+J546)*0.1)))-7000,((((((N546-I546-J546)-(N546-I546-J546)*S546/100)))*0.1+(I546+J546)*0.1)-7000)))</f>
      </c>
      <c r="E546">
        <f>C546-O546</f>
      </c>
      <c r="F546">
        <f>D546-P546</f>
      </c>
      <c r="G546">
        <f>SUMIF(negtgel!U$2:BL$2,'Tsalin uzuulelt'!B$1,negtgel!U546:BL546) + SUMIF(negtgel!U$2:BL$2,'Tsalin uzuulelt'!B$2,negtgel!U546:BL546)+SUMIF(negtgel!U$2:BL$2,'Tsalin uzuulelt'!B$3,negtgel!U546:BL546)+SUMIF(negtgel!U$2:BL$2,'Tsalin uzuulelt'!B$4,negtgel!U546:BL546)+SUMIF(negtgel!U$2:BL$2,'Tsalin uzuulelt'!B$5,negtgel!U546:BL546)</f>
      </c>
      <c r="H546">
        <f>SUMIF(negtgel!U$2:BL$2,'Tsalin uzuulelt'!F$1,negtgel!U546:BL546) + SUMIF(negtgel!U$2:BL$2,'Tsalin uzuulelt'!F$2,negtgel!U546:BL546)+SUMIF(negtgel!U$2:BL$2,'Tsalin uzuulelt'!F$3,negtgel!U546:BL546)+SUMIF(negtgel!U$2:BL$2,'Tsalin uzuulelt'!F$4,negtgel!U546:BL546)+SUMIF(negtgel!U$2:BL$2,'Tsalin uzuulelt'!F$5,negtgel!U546:BL546)</f>
      </c>
      <c r="I546">
        <f>SUMIF(negtgel!U$2:BL$2,'Tsalin uzuulelt'!H$1,negtgel!U546:BL546) + SUMIF(negtgel!U$2:BL$2,'Tsalin uzuulelt'!H$2,negtgel!U546:BL546)+SUMIF(negtgel!U$2:BL$2,'Tsalin uzuulelt'!H$3,negtgel!U546:BL546)+SUMIF(negtgel!U$2:BL$2,'Tsalin uzuulelt'!H$4,negtgel!U546:BL546)+SUMIF(negtgel!U$2:BL$2,'Tsalin uzuulelt'!H$5,negtgel!U546:BL546)</f>
      </c>
      <c r="J546">
        <f>SUMIF(negtgel!U$2:BL$2,'Tsalin uzuulelt'!J$1,negtgel!U546:BL546) + SUMIF(negtgel!U$2:BL$2,'Tsalin uzuulelt'!J$2,negtgel!U546:BL546)+SUMIF(negtgel!U$2:BL$2,'Tsalin uzuulelt'!J$3,negtgel!U546:BL546)+SUMIF(negtgel!U$2:BL$2,'Tsalin uzuulelt'!J$4,negtgel!U546:BL546)+SUMIF(negtgel!U$2:BL$2,'Tsalin uzuulelt'!J$5,negtgel!U546:BL546)</f>
      </c>
      <c r="K546">
        <f>SUMIF(negtgel!U$2:BL$2,'Tsalin uzuulelt'!L$1,negtgel!U546:BL546) + SUMIF(negtgel!U$2:BL$2,'Tsalin uzuulelt'!L$2,negtgel!U546:BL546)+SUMIF(negtgel!U$2:BL$2,'Tsalin uzuulelt'!L$3,negtgel!U546:BL546)+SUMIF(negtgel!U$2:BL$2,'Tsalin uzuulelt'!L$4,negtgel!U546:BL546)+SUMIF(negtgel!U$2:BL$2,'Tsalin uzuulelt'!L$5,negtgel!U546:BL546)</f>
      </c>
      <c r="L546">
        <f>SUMIF(negtgel!U$2:BL$2,'Tsalin uzuulelt'!N$1,negtgel!U546:BL546) + SUMIF(negtgel!U$2:BL$2,'Tsalin uzuulelt'!N$2,negtgel!U546:BL546)+SUMIF(negtgel!U$2:BL$2,'Tsalin uzuulelt'!N$3,negtgel!U546:BL546)+SUMIF(negtgel!U$2:BL$2,'Tsalin uzuulelt'!N$4,negtgel!U546:BL546)+SUMIF(negtgel!U$2:BL$2,'Tsalin uzuulelt'!N$5,negtgel!U546:BL546)</f>
      </c>
      <c r="M546">
        <f>SUMIF(negtgel!U$2:BL$2,'Tsalin uzuulelt'!P$1,negtgel!U546:BL546) + SUMIF(negtgel!U$2:BL$2,'Tsalin uzuulelt'!P$2,negtgel!U546:BL546)+ SUMIF(negtgel!U$2:BL$2,'Tsalin uzuulelt'!P$3,negtgel!U546:BL546)+ SUMIF(negtgel!U$2:BL$2,'Tsalin uzuulelt'!P$4,negtgel!U546:BL546)+ SUMIF(negtgel!U$2:BL$2,'Tsalin uzuulelt'!P$5,negtgel!U546:BL546)</f>
      </c>
      <c r="N546">
        <f>IF(ISNUMBER(U546*1)=CF546,0,K546-H546-G546)</f>
      </c>
      <c r="O546">
        <f>IF(ISNUMBER(U546*1)=CF546,0,L546)</f>
      </c>
      <c r="P546">
        <f>IF(ISNUMBER(U546*1)=CF546,0,M546)</f>
      </c>
      <c r="Q546">
        <f>IF(N546&gt;2400000,N546,0)</f>
      </c>
      <c r="R546">
        <f>IF(L546/Q546*100&lt;3,2,10)</f>
      </c>
      <c r="S546">
        <f>IF(CH546=0,0,IF(B546&gt;9,10,IF(B546&gt;8,B546,IF(B546&gt;7.7,7.8,IF(B546&gt;3,B546,IF(B546&gt;1.5,2))))))</f>
      </c>
      <c r="T546">
        <f>IF(Q546=0,S546,R546)</f>
      </c>
      <c r="U546" t="n">
        <v>92.0</v>
      </c>
      <c r="V546" t="s">
        <v>3856</v>
      </c>
      <c r="W546" t="s">
        <v>3820</v>
      </c>
      <c r="X546" t="n">
        <v>613669.0</v>
      </c>
      <c r="Y546" t="n">
        <v>213450.0</v>
      </c>
      <c r="Z546" t="n">
        <v>21345.0</v>
      </c>
      <c r="AA546" t="n">
        <v>38421.0</v>
      </c>
      <c r="AB546" t="n">
        <v>0.0</v>
      </c>
      <c r="AC546" t="n">
        <v>0.0</v>
      </c>
      <c r="AD546" t="n">
        <v>0.0</v>
      </c>
      <c r="AE546" t="n">
        <v>0.0</v>
      </c>
      <c r="AF546" t="n">
        <v>24000.0</v>
      </c>
      <c r="AG546" t="n">
        <v>0.0</v>
      </c>
      <c r="AH546" t="n">
        <v>0.0</v>
      </c>
      <c r="AI546" t="n">
        <v>0.0</v>
      </c>
      <c r="AJ546" t="n">
        <v>825810.0</v>
      </c>
      <c r="AK546" t="n">
        <v>0.0</v>
      </c>
      <c r="AL546" t="n">
        <v>0.0</v>
      </c>
      <c r="AM546" t="n">
        <v>0.0</v>
      </c>
      <c r="AN546" t="n">
        <v>0.0</v>
      </c>
      <c r="AO546" t="n">
        <v>1123026.0</v>
      </c>
      <c r="AP546" t="n">
        <v>112303.0</v>
      </c>
      <c r="AQ546" t="n">
        <v>94312.3</v>
      </c>
      <c r="CH546">
        <f>IFERROR(U546*1,0)</f>
      </c>
    </row>
    <row r="547">
      <c r="A547" t="n">
        <v>8.0</v>
      </c>
      <c r="B547">
        <f>IF((K547-G547-H547&gt;2400000),10,(L547/(K547-G547-H547)*100))</f>
      </c>
      <c r="C547">
        <f>IF(N547&gt;2400000,240000,(N547*S547)/100)</f>
      </c>
      <c r="D547">
        <f>IF(S547=0,0,IF((N547-I547)&gt;2400000,((((((N547-I547-J547)-240000))*0.1+(I547+J547)*0.1)))-7000,((((((N547-I547-J547)-(N547-I547-J547)*S547/100)))*0.1+(I547+J547)*0.1)-7000)))</f>
      </c>
      <c r="E547">
        <f>C547-O547</f>
      </c>
      <c r="F547">
        <f>D547-P547</f>
      </c>
      <c r="G547">
        <f>SUMIF(negtgel!U$2:BL$2,'Tsalin uzuulelt'!B$1,negtgel!U547:BL547) + SUMIF(negtgel!U$2:BL$2,'Tsalin uzuulelt'!B$2,negtgel!U547:BL547)+SUMIF(negtgel!U$2:BL$2,'Tsalin uzuulelt'!B$3,negtgel!U547:BL547)+SUMIF(negtgel!U$2:BL$2,'Tsalin uzuulelt'!B$4,negtgel!U547:BL547)+SUMIF(negtgel!U$2:BL$2,'Tsalin uzuulelt'!B$5,negtgel!U547:BL547)</f>
      </c>
      <c r="H547">
        <f>SUMIF(negtgel!U$2:BL$2,'Tsalin uzuulelt'!F$1,negtgel!U547:BL547) + SUMIF(negtgel!U$2:BL$2,'Tsalin uzuulelt'!F$2,negtgel!U547:BL547)+SUMIF(negtgel!U$2:BL$2,'Tsalin uzuulelt'!F$3,negtgel!U547:BL547)+SUMIF(negtgel!U$2:BL$2,'Tsalin uzuulelt'!F$4,negtgel!U547:BL547)+SUMIF(negtgel!U$2:BL$2,'Tsalin uzuulelt'!F$5,negtgel!U547:BL547)</f>
      </c>
      <c r="I547">
        <f>SUMIF(negtgel!U$2:BL$2,'Tsalin uzuulelt'!H$1,negtgel!U547:BL547) + SUMIF(negtgel!U$2:BL$2,'Tsalin uzuulelt'!H$2,negtgel!U547:BL547)+SUMIF(negtgel!U$2:BL$2,'Tsalin uzuulelt'!H$3,negtgel!U547:BL547)+SUMIF(negtgel!U$2:BL$2,'Tsalin uzuulelt'!H$4,negtgel!U547:BL547)+SUMIF(negtgel!U$2:BL$2,'Tsalin uzuulelt'!H$5,negtgel!U547:BL547)</f>
      </c>
      <c r="J547">
        <f>SUMIF(negtgel!U$2:BL$2,'Tsalin uzuulelt'!J$1,negtgel!U547:BL547) + SUMIF(negtgel!U$2:BL$2,'Tsalin uzuulelt'!J$2,negtgel!U547:BL547)+SUMIF(negtgel!U$2:BL$2,'Tsalin uzuulelt'!J$3,negtgel!U547:BL547)+SUMIF(negtgel!U$2:BL$2,'Tsalin uzuulelt'!J$4,negtgel!U547:BL547)+SUMIF(negtgel!U$2:BL$2,'Tsalin uzuulelt'!J$5,negtgel!U547:BL547)</f>
      </c>
      <c r="K547">
        <f>SUMIF(negtgel!U$2:BL$2,'Tsalin uzuulelt'!L$1,negtgel!U547:BL547) + SUMIF(negtgel!U$2:BL$2,'Tsalin uzuulelt'!L$2,negtgel!U547:BL547)+SUMIF(negtgel!U$2:BL$2,'Tsalin uzuulelt'!L$3,negtgel!U547:BL547)+SUMIF(negtgel!U$2:BL$2,'Tsalin uzuulelt'!L$4,negtgel!U547:BL547)+SUMIF(negtgel!U$2:BL$2,'Tsalin uzuulelt'!L$5,negtgel!U547:BL547)</f>
      </c>
      <c r="L547">
        <f>SUMIF(negtgel!U$2:BL$2,'Tsalin uzuulelt'!N$1,negtgel!U547:BL547) + SUMIF(negtgel!U$2:BL$2,'Tsalin uzuulelt'!N$2,negtgel!U547:BL547)+SUMIF(negtgel!U$2:BL$2,'Tsalin uzuulelt'!N$3,negtgel!U547:BL547)+SUMIF(negtgel!U$2:BL$2,'Tsalin uzuulelt'!N$4,negtgel!U547:BL547)+SUMIF(negtgel!U$2:BL$2,'Tsalin uzuulelt'!N$5,negtgel!U547:BL547)</f>
      </c>
      <c r="M547">
        <f>SUMIF(negtgel!U$2:BL$2,'Tsalin uzuulelt'!P$1,negtgel!U547:BL547) + SUMIF(negtgel!U$2:BL$2,'Tsalin uzuulelt'!P$2,negtgel!U547:BL547)+ SUMIF(negtgel!U$2:BL$2,'Tsalin uzuulelt'!P$3,negtgel!U547:BL547)+ SUMIF(negtgel!U$2:BL$2,'Tsalin uzuulelt'!P$4,negtgel!U547:BL547)+ SUMIF(negtgel!U$2:BL$2,'Tsalin uzuulelt'!P$5,negtgel!U547:BL547)</f>
      </c>
      <c r="N547">
        <f>IF(ISNUMBER(U547*1)=CF547,0,K547-H547-G547)</f>
      </c>
      <c r="O547">
        <f>IF(ISNUMBER(U547*1)=CF547,0,L547)</f>
      </c>
      <c r="P547">
        <f>IF(ISNUMBER(U547*1)=CF547,0,M547)</f>
      </c>
      <c r="Q547">
        <f>IF(N547&gt;2400000,N547,0)</f>
      </c>
      <c r="R547">
        <f>IF(L547/Q547*100&lt;3,2,10)</f>
      </c>
      <c r="S547">
        <f>IF(CH547=0,0,IF(B547&gt;9,10,IF(B547&gt;8,B547,IF(B547&gt;7.7,7.8,IF(B547&gt;3,B547,IF(B547&gt;1.5,2))))))</f>
      </c>
      <c r="T547">
        <f>IF(Q547=0,S547,R547)</f>
      </c>
      <c r="U547" t="n">
        <v>93.0</v>
      </c>
      <c r="V547" t="s">
        <v>3857</v>
      </c>
      <c r="W547" t="s">
        <v>3790</v>
      </c>
      <c r="X547" t="n">
        <v>613669.0</v>
      </c>
      <c r="Y547" t="n">
        <v>293494.0</v>
      </c>
      <c r="Z547" t="n">
        <v>29349.0</v>
      </c>
      <c r="AA547" t="n">
        <v>49894.0</v>
      </c>
      <c r="AB547" t="n">
        <v>0.0</v>
      </c>
      <c r="AC547" t="n">
        <v>0.0</v>
      </c>
      <c r="AD547" t="n">
        <v>0.0</v>
      </c>
      <c r="AE547" t="n">
        <v>0.0</v>
      </c>
      <c r="AF547" t="n">
        <v>33000.0</v>
      </c>
      <c r="AG547" t="n">
        <v>0.0</v>
      </c>
      <c r="AH547" t="n">
        <v>0.0</v>
      </c>
      <c r="AI547" t="n">
        <v>0.0</v>
      </c>
      <c r="AJ547" t="n">
        <v>0.0</v>
      </c>
      <c r="AK547" t="n">
        <v>0.0</v>
      </c>
      <c r="AL547" t="n">
        <v>0.0</v>
      </c>
      <c r="AM547" t="n">
        <v>0.0</v>
      </c>
      <c r="AN547" t="n">
        <v>0.0</v>
      </c>
      <c r="AO547" t="n">
        <v>405737.0</v>
      </c>
      <c r="AP547" t="n">
        <v>40574.0</v>
      </c>
      <c r="AQ547" t="n">
        <v>29846.3</v>
      </c>
      <c r="CH547">
        <f>IFERROR(U547*1,0)</f>
      </c>
    </row>
    <row r="548">
      <c r="A548" t="n">
        <v>8.0</v>
      </c>
      <c r="B548">
        <f>IF((K548-G548-H548&gt;2400000),10,(L548/(K548-G548-H548)*100))</f>
      </c>
      <c r="C548">
        <f>IF(N548&gt;2400000,240000,(N548*S548)/100)</f>
      </c>
      <c r="D548">
        <f>IF(S548=0,0,IF((N548-I548)&gt;2400000,((((((N548-I548-J548)-240000))*0.1+(I548+J548)*0.1)))-7000,((((((N548-I548-J548)-(N548-I548-J548)*S548/100)))*0.1+(I548+J548)*0.1)-7000)))</f>
      </c>
      <c r="E548">
        <f>C548-O548</f>
      </c>
      <c r="F548">
        <f>D548-P548</f>
      </c>
      <c r="G548">
        <f>SUMIF(negtgel!U$2:BL$2,'Tsalin uzuulelt'!B$1,negtgel!U548:BL548) + SUMIF(negtgel!U$2:BL$2,'Tsalin uzuulelt'!B$2,negtgel!U548:BL548)+SUMIF(negtgel!U$2:BL$2,'Tsalin uzuulelt'!B$3,negtgel!U548:BL548)+SUMIF(negtgel!U$2:BL$2,'Tsalin uzuulelt'!B$4,negtgel!U548:BL548)+SUMIF(negtgel!U$2:BL$2,'Tsalin uzuulelt'!B$5,negtgel!U548:BL548)</f>
      </c>
      <c r="H548">
        <f>SUMIF(negtgel!U$2:BL$2,'Tsalin uzuulelt'!F$1,negtgel!U548:BL548) + SUMIF(negtgel!U$2:BL$2,'Tsalin uzuulelt'!F$2,negtgel!U548:BL548)+SUMIF(negtgel!U$2:BL$2,'Tsalin uzuulelt'!F$3,negtgel!U548:BL548)+SUMIF(negtgel!U$2:BL$2,'Tsalin uzuulelt'!F$4,negtgel!U548:BL548)+SUMIF(negtgel!U$2:BL$2,'Tsalin uzuulelt'!F$5,negtgel!U548:BL548)</f>
      </c>
      <c r="I548">
        <f>SUMIF(negtgel!U$2:BL$2,'Tsalin uzuulelt'!H$1,negtgel!U548:BL548) + SUMIF(negtgel!U$2:BL$2,'Tsalin uzuulelt'!H$2,negtgel!U548:BL548)+SUMIF(negtgel!U$2:BL$2,'Tsalin uzuulelt'!H$3,negtgel!U548:BL548)+SUMIF(negtgel!U$2:BL$2,'Tsalin uzuulelt'!H$4,negtgel!U548:BL548)+SUMIF(negtgel!U$2:BL$2,'Tsalin uzuulelt'!H$5,negtgel!U548:BL548)</f>
      </c>
      <c r="J548">
        <f>SUMIF(negtgel!U$2:BL$2,'Tsalin uzuulelt'!J$1,negtgel!U548:BL548) + SUMIF(negtgel!U$2:BL$2,'Tsalin uzuulelt'!J$2,negtgel!U548:BL548)+SUMIF(negtgel!U$2:BL$2,'Tsalin uzuulelt'!J$3,negtgel!U548:BL548)+SUMIF(negtgel!U$2:BL$2,'Tsalin uzuulelt'!J$4,negtgel!U548:BL548)+SUMIF(negtgel!U$2:BL$2,'Tsalin uzuulelt'!J$5,negtgel!U548:BL548)</f>
      </c>
      <c r="K548">
        <f>SUMIF(negtgel!U$2:BL$2,'Tsalin uzuulelt'!L$1,negtgel!U548:BL548) + SUMIF(negtgel!U$2:BL$2,'Tsalin uzuulelt'!L$2,negtgel!U548:BL548)+SUMIF(negtgel!U$2:BL$2,'Tsalin uzuulelt'!L$3,negtgel!U548:BL548)+SUMIF(negtgel!U$2:BL$2,'Tsalin uzuulelt'!L$4,negtgel!U548:BL548)+SUMIF(negtgel!U$2:BL$2,'Tsalin uzuulelt'!L$5,negtgel!U548:BL548)</f>
      </c>
      <c r="L548">
        <f>SUMIF(negtgel!U$2:BL$2,'Tsalin uzuulelt'!N$1,negtgel!U548:BL548) + SUMIF(negtgel!U$2:BL$2,'Tsalin uzuulelt'!N$2,negtgel!U548:BL548)+SUMIF(negtgel!U$2:BL$2,'Tsalin uzuulelt'!N$3,negtgel!U548:BL548)+SUMIF(negtgel!U$2:BL$2,'Tsalin uzuulelt'!N$4,negtgel!U548:BL548)+SUMIF(negtgel!U$2:BL$2,'Tsalin uzuulelt'!N$5,negtgel!U548:BL548)</f>
      </c>
      <c r="M548">
        <f>SUMIF(negtgel!U$2:BL$2,'Tsalin uzuulelt'!P$1,negtgel!U548:BL548) + SUMIF(negtgel!U$2:BL$2,'Tsalin uzuulelt'!P$2,negtgel!U548:BL548)+ SUMIF(negtgel!U$2:BL$2,'Tsalin uzuulelt'!P$3,negtgel!U548:BL548)+ SUMIF(negtgel!U$2:BL$2,'Tsalin uzuulelt'!P$4,negtgel!U548:BL548)+ SUMIF(negtgel!U$2:BL$2,'Tsalin uzuulelt'!P$5,negtgel!U548:BL548)</f>
      </c>
      <c r="N548">
        <f>IF(ISNUMBER(U548*1)=CF548,0,K548-H548-G548)</f>
      </c>
      <c r="O548">
        <f>IF(ISNUMBER(U548*1)=CF548,0,L548)</f>
      </c>
      <c r="P548">
        <f>IF(ISNUMBER(U548*1)=CF548,0,M548)</f>
      </c>
      <c r="Q548">
        <f>IF(N548&gt;2400000,N548,0)</f>
      </c>
      <c r="R548">
        <f>IF(L548/Q548*100&lt;3,2,10)</f>
      </c>
      <c r="S548">
        <f>IF(CH548=0,0,IF(B548&gt;9,10,IF(B548&gt;8,B548,IF(B548&gt;7.7,7.8,IF(B548&gt;3,B548,IF(B548&gt;1.5,2))))))</f>
      </c>
      <c r="T548">
        <f>IF(Q548=0,S548,R548)</f>
      </c>
      <c r="U548" t="s">
        <v>3787</v>
      </c>
      <c r="V548"/>
      <c r="W548"/>
      <c r="X548" t="n">
        <v>7853536.0</v>
      </c>
      <c r="Y548" t="n">
        <v>3483117.0</v>
      </c>
      <c r="Z548" t="n">
        <v>572690.0</v>
      </c>
      <c r="AA548" t="n">
        <v>680651.0</v>
      </c>
      <c r="AB548" t="n">
        <v>23563.0</v>
      </c>
      <c r="AC548" t="n">
        <v>0.0</v>
      </c>
      <c r="AD548" t="n">
        <v>0.0</v>
      </c>
      <c r="AE548" t="n">
        <v>0.0</v>
      </c>
      <c r="AF548" t="n">
        <v>360000.0</v>
      </c>
      <c r="AG548" t="n">
        <v>0.0</v>
      </c>
      <c r="AH548" t="n">
        <v>0.0</v>
      </c>
      <c r="AI548" t="n">
        <v>0.0</v>
      </c>
      <c r="AJ548" t="n">
        <v>1561710.0</v>
      </c>
      <c r="AK548" t="n">
        <v>0.0</v>
      </c>
      <c r="AL548" t="n">
        <v>0.0</v>
      </c>
      <c r="AM548" t="n">
        <v>0.0</v>
      </c>
      <c r="AN548" t="n">
        <v>0.0</v>
      </c>
      <c r="AO548" t="n">
        <v>6681731.0</v>
      </c>
      <c r="AP548" t="n">
        <v>668177.0</v>
      </c>
      <c r="AQ548" t="n">
        <v>527955.7</v>
      </c>
      <c r="CH548">
        <f>IFERROR(U548*1,0)</f>
      </c>
    </row>
    <row r="549">
      <c r="A549" t="n">
        <v>8.0</v>
      </c>
      <c r="B549">
        <f>IF((K549-G549-H549&gt;2400000),10,(L549/(K549-G549-H549)*100))</f>
      </c>
      <c r="C549">
        <f>IF(N549&gt;2400000,240000,(N549*S549)/100)</f>
      </c>
      <c r="D549">
        <f>IF(S549=0,0,IF((N549-I549)&gt;2400000,((((((N549-I549-J549)-240000))*0.1+(I549+J549)*0.1)))-7000,((((((N549-I549-J549)-(N549-I549-J549)*S549/100)))*0.1+(I549+J549)*0.1)-7000)))</f>
      </c>
      <c r="E549">
        <f>C549-O549</f>
      </c>
      <c r="F549">
        <f>D549-P549</f>
      </c>
      <c r="G549">
        <f>SUMIF(negtgel!U$2:BL$2,'Tsalin uzuulelt'!B$1,negtgel!U549:BL549) + SUMIF(negtgel!U$2:BL$2,'Tsalin uzuulelt'!B$2,negtgel!U549:BL549)+SUMIF(negtgel!U$2:BL$2,'Tsalin uzuulelt'!B$3,negtgel!U549:BL549)+SUMIF(negtgel!U$2:BL$2,'Tsalin uzuulelt'!B$4,negtgel!U549:BL549)+SUMIF(negtgel!U$2:BL$2,'Tsalin uzuulelt'!B$5,negtgel!U549:BL549)</f>
      </c>
      <c r="H549">
        <f>SUMIF(negtgel!U$2:BL$2,'Tsalin uzuulelt'!F$1,negtgel!U549:BL549) + SUMIF(negtgel!U$2:BL$2,'Tsalin uzuulelt'!F$2,negtgel!U549:BL549)+SUMIF(negtgel!U$2:BL$2,'Tsalin uzuulelt'!F$3,negtgel!U549:BL549)+SUMIF(negtgel!U$2:BL$2,'Tsalin uzuulelt'!F$4,negtgel!U549:BL549)+SUMIF(negtgel!U$2:BL$2,'Tsalin uzuulelt'!F$5,negtgel!U549:BL549)</f>
      </c>
      <c r="I549">
        <f>SUMIF(negtgel!U$2:BL$2,'Tsalin uzuulelt'!H$1,negtgel!U549:BL549) + SUMIF(negtgel!U$2:BL$2,'Tsalin uzuulelt'!H$2,negtgel!U549:BL549)+SUMIF(negtgel!U$2:BL$2,'Tsalin uzuulelt'!H$3,negtgel!U549:BL549)+SUMIF(negtgel!U$2:BL$2,'Tsalin uzuulelt'!H$4,negtgel!U549:BL549)+SUMIF(negtgel!U$2:BL$2,'Tsalin uzuulelt'!H$5,negtgel!U549:BL549)</f>
      </c>
      <c r="J549">
        <f>SUMIF(negtgel!U$2:BL$2,'Tsalin uzuulelt'!J$1,negtgel!U549:BL549) + SUMIF(negtgel!U$2:BL$2,'Tsalin uzuulelt'!J$2,negtgel!U549:BL549)+SUMIF(negtgel!U$2:BL$2,'Tsalin uzuulelt'!J$3,negtgel!U549:BL549)+SUMIF(negtgel!U$2:BL$2,'Tsalin uzuulelt'!J$4,negtgel!U549:BL549)+SUMIF(negtgel!U$2:BL$2,'Tsalin uzuulelt'!J$5,negtgel!U549:BL549)</f>
      </c>
      <c r="K549">
        <f>SUMIF(negtgel!U$2:BL$2,'Tsalin uzuulelt'!L$1,negtgel!U549:BL549) + SUMIF(negtgel!U$2:BL$2,'Tsalin uzuulelt'!L$2,negtgel!U549:BL549)+SUMIF(negtgel!U$2:BL$2,'Tsalin uzuulelt'!L$3,negtgel!U549:BL549)+SUMIF(negtgel!U$2:BL$2,'Tsalin uzuulelt'!L$4,negtgel!U549:BL549)+SUMIF(negtgel!U$2:BL$2,'Tsalin uzuulelt'!L$5,negtgel!U549:BL549)</f>
      </c>
      <c r="L549">
        <f>SUMIF(negtgel!U$2:BL$2,'Tsalin uzuulelt'!N$1,negtgel!U549:BL549) + SUMIF(negtgel!U$2:BL$2,'Tsalin uzuulelt'!N$2,negtgel!U549:BL549)+SUMIF(negtgel!U$2:BL$2,'Tsalin uzuulelt'!N$3,negtgel!U549:BL549)+SUMIF(negtgel!U$2:BL$2,'Tsalin uzuulelt'!N$4,negtgel!U549:BL549)+SUMIF(negtgel!U$2:BL$2,'Tsalin uzuulelt'!N$5,negtgel!U549:BL549)</f>
      </c>
      <c r="M549">
        <f>SUMIF(negtgel!U$2:BL$2,'Tsalin uzuulelt'!P$1,negtgel!U549:BL549) + SUMIF(negtgel!U$2:BL$2,'Tsalin uzuulelt'!P$2,negtgel!U549:BL549)+ SUMIF(negtgel!U$2:BL$2,'Tsalin uzuulelt'!P$3,negtgel!U549:BL549)+ SUMIF(negtgel!U$2:BL$2,'Tsalin uzuulelt'!P$4,negtgel!U549:BL549)+ SUMIF(negtgel!U$2:BL$2,'Tsalin uzuulelt'!P$5,negtgel!U549:BL549)</f>
      </c>
      <c r="N549">
        <f>IF(ISNUMBER(U549*1)=CF549,0,K549-H549-G549)</f>
      </c>
      <c r="O549">
        <f>IF(ISNUMBER(U549*1)=CF549,0,L549)</f>
      </c>
      <c r="P549">
        <f>IF(ISNUMBER(U549*1)=CF549,0,M549)</f>
      </c>
      <c r="Q549">
        <f>IF(N549&gt;2400000,N549,0)</f>
      </c>
      <c r="R549">
        <f>IF(L549/Q549*100&lt;3,2,10)</f>
      </c>
      <c r="S549">
        <f>IF(CH549=0,0,IF(B549&gt;9,10,IF(B549&gt;8,B549,IF(B549&gt;7.7,7.8,IF(B549&gt;3,B549,IF(B549&gt;1.5,2))))))</f>
      </c>
      <c r="T549">
        <f>IF(Q549=0,S549,R549)</f>
      </c>
      <c r="U549" t="s">
        <v>3858</v>
      </c>
      <c r="V549"/>
      <c r="W549"/>
      <c r="X549"/>
      <c r="Y549"/>
      <c r="Z549"/>
      <c r="AA549"/>
      <c r="AB549"/>
      <c r="AC549"/>
      <c r="AD549"/>
      <c r="AE549"/>
      <c r="AF549"/>
      <c r="AG549"/>
      <c r="AH549"/>
      <c r="AI549"/>
      <c r="AJ549"/>
      <c r="AK549"/>
      <c r="AL549"/>
      <c r="AM549"/>
      <c r="AN549"/>
      <c r="AO549"/>
      <c r="AP549"/>
      <c r="AQ549"/>
      <c r="CH549">
        <f>IFERROR(U549*1,0)</f>
      </c>
    </row>
    <row r="550">
      <c r="A550" t="n">
        <v>8.0</v>
      </c>
      <c r="B550">
        <f>IF((K550-G550-H550&gt;2400000),10,(L550/(K550-G550-H550)*100))</f>
      </c>
      <c r="C550">
        <f>IF(N550&gt;2400000,240000,(N550*S550)/100)</f>
      </c>
      <c r="D550">
        <f>IF(S550=0,0,IF((N550-I550)&gt;2400000,((((((N550-I550-J550)-240000))*0.1+(I550+J550)*0.1)))-7000,((((((N550-I550-J550)-(N550-I550-J550)*S550/100)))*0.1+(I550+J550)*0.1)-7000)))</f>
      </c>
      <c r="E550">
        <f>C550-O550</f>
      </c>
      <c r="F550">
        <f>D550-P550</f>
      </c>
      <c r="G550">
        <f>SUMIF(negtgel!U$2:BL$2,'Tsalin uzuulelt'!B$1,negtgel!U550:BL550) + SUMIF(negtgel!U$2:BL$2,'Tsalin uzuulelt'!B$2,negtgel!U550:BL550)+SUMIF(negtgel!U$2:BL$2,'Tsalin uzuulelt'!B$3,negtgel!U550:BL550)+SUMIF(negtgel!U$2:BL$2,'Tsalin uzuulelt'!B$4,negtgel!U550:BL550)+SUMIF(negtgel!U$2:BL$2,'Tsalin uzuulelt'!B$5,negtgel!U550:BL550)</f>
      </c>
      <c r="H550">
        <f>SUMIF(negtgel!U$2:BL$2,'Tsalin uzuulelt'!F$1,negtgel!U550:BL550) + SUMIF(negtgel!U$2:BL$2,'Tsalin uzuulelt'!F$2,negtgel!U550:BL550)+SUMIF(negtgel!U$2:BL$2,'Tsalin uzuulelt'!F$3,negtgel!U550:BL550)+SUMIF(negtgel!U$2:BL$2,'Tsalin uzuulelt'!F$4,negtgel!U550:BL550)+SUMIF(negtgel!U$2:BL$2,'Tsalin uzuulelt'!F$5,negtgel!U550:BL550)</f>
      </c>
      <c r="I550">
        <f>SUMIF(negtgel!U$2:BL$2,'Tsalin uzuulelt'!H$1,negtgel!U550:BL550) + SUMIF(negtgel!U$2:BL$2,'Tsalin uzuulelt'!H$2,negtgel!U550:BL550)+SUMIF(negtgel!U$2:BL$2,'Tsalin uzuulelt'!H$3,negtgel!U550:BL550)+SUMIF(negtgel!U$2:BL$2,'Tsalin uzuulelt'!H$4,negtgel!U550:BL550)+SUMIF(negtgel!U$2:BL$2,'Tsalin uzuulelt'!H$5,negtgel!U550:BL550)</f>
      </c>
      <c r="J550">
        <f>SUMIF(negtgel!U$2:BL$2,'Tsalin uzuulelt'!J$1,negtgel!U550:BL550) + SUMIF(negtgel!U$2:BL$2,'Tsalin uzuulelt'!J$2,negtgel!U550:BL550)+SUMIF(negtgel!U$2:BL$2,'Tsalin uzuulelt'!J$3,negtgel!U550:BL550)+SUMIF(negtgel!U$2:BL$2,'Tsalin uzuulelt'!J$4,negtgel!U550:BL550)+SUMIF(negtgel!U$2:BL$2,'Tsalin uzuulelt'!J$5,negtgel!U550:BL550)</f>
      </c>
      <c r="K550">
        <f>SUMIF(negtgel!U$2:BL$2,'Tsalin uzuulelt'!L$1,negtgel!U550:BL550) + SUMIF(negtgel!U$2:BL$2,'Tsalin uzuulelt'!L$2,negtgel!U550:BL550)+SUMIF(negtgel!U$2:BL$2,'Tsalin uzuulelt'!L$3,negtgel!U550:BL550)+SUMIF(negtgel!U$2:BL$2,'Tsalin uzuulelt'!L$4,negtgel!U550:BL550)+SUMIF(negtgel!U$2:BL$2,'Tsalin uzuulelt'!L$5,negtgel!U550:BL550)</f>
      </c>
      <c r="L550">
        <f>SUMIF(negtgel!U$2:BL$2,'Tsalin uzuulelt'!N$1,negtgel!U550:BL550) + SUMIF(negtgel!U$2:BL$2,'Tsalin uzuulelt'!N$2,negtgel!U550:BL550)+SUMIF(negtgel!U$2:BL$2,'Tsalin uzuulelt'!N$3,negtgel!U550:BL550)+SUMIF(negtgel!U$2:BL$2,'Tsalin uzuulelt'!N$4,negtgel!U550:BL550)+SUMIF(negtgel!U$2:BL$2,'Tsalin uzuulelt'!N$5,negtgel!U550:BL550)</f>
      </c>
      <c r="M550">
        <f>SUMIF(negtgel!U$2:BL$2,'Tsalin uzuulelt'!P$1,negtgel!U550:BL550) + SUMIF(negtgel!U$2:BL$2,'Tsalin uzuulelt'!P$2,negtgel!U550:BL550)+ SUMIF(negtgel!U$2:BL$2,'Tsalin uzuulelt'!P$3,negtgel!U550:BL550)+ SUMIF(negtgel!U$2:BL$2,'Tsalin uzuulelt'!P$4,negtgel!U550:BL550)+ SUMIF(negtgel!U$2:BL$2,'Tsalin uzuulelt'!P$5,negtgel!U550:BL550)</f>
      </c>
      <c r="N550">
        <f>IF(ISNUMBER(U550*1)=CF550,0,K550-H550-G550)</f>
      </c>
      <c r="O550">
        <f>IF(ISNUMBER(U550*1)=CF550,0,L550)</f>
      </c>
      <c r="P550">
        <f>IF(ISNUMBER(U550*1)=CF550,0,M550)</f>
      </c>
      <c r="Q550">
        <f>IF(N550&gt;2400000,N550,0)</f>
      </c>
      <c r="R550">
        <f>IF(L550/Q550*100&lt;3,2,10)</f>
      </c>
      <c r="S550">
        <f>IF(CH550=0,0,IF(B550&gt;9,10,IF(B550&gt;8,B550,IF(B550&gt;7.7,7.8,IF(B550&gt;3,B550,IF(B550&gt;1.5,2))))))</f>
      </c>
      <c r="T550">
        <f>IF(Q550=0,S550,R550)</f>
      </c>
      <c r="U550" t="n">
        <v>94.0</v>
      </c>
      <c r="V550" t="s">
        <v>3859</v>
      </c>
      <c r="W550" t="s">
        <v>3790</v>
      </c>
      <c r="X550" t="n">
        <v>580710.0</v>
      </c>
      <c r="Y550" t="n">
        <v>0.0</v>
      </c>
      <c r="Z550" t="n">
        <v>0.0</v>
      </c>
      <c r="AA550" t="n">
        <v>0.0</v>
      </c>
      <c r="AB550" t="n">
        <v>0.0</v>
      </c>
      <c r="AC550" t="n">
        <v>0.0</v>
      </c>
      <c r="AD550" t="n">
        <v>0.0</v>
      </c>
      <c r="AE550" t="n">
        <v>0.0</v>
      </c>
      <c r="AF550" t="n">
        <v>0.0</v>
      </c>
      <c r="AG550" t="n">
        <v>0.0</v>
      </c>
      <c r="AH550" t="n">
        <v>0.0</v>
      </c>
      <c r="AI550" t="n">
        <v>0.0</v>
      </c>
      <c r="AJ550" t="n">
        <v>0.0</v>
      </c>
      <c r="AK550" t="n">
        <v>0.0</v>
      </c>
      <c r="AL550" t="n">
        <v>0.0</v>
      </c>
      <c r="AM550" t="n">
        <v>0.0</v>
      </c>
      <c r="AN550" t="n">
        <v>0.0</v>
      </c>
      <c r="AO550" t="n">
        <v>0.0</v>
      </c>
      <c r="AP550" t="n">
        <v>0.0</v>
      </c>
      <c r="AQ550" t="n">
        <v>0.0</v>
      </c>
      <c r="CH550">
        <f>IFERROR(U550*1,0)</f>
      </c>
    </row>
    <row r="551">
      <c r="A551" t="n">
        <v>8.0</v>
      </c>
      <c r="B551">
        <f>IF((K551-G551-H551&gt;2400000),10,(L551/(K551-G551-H551)*100))</f>
      </c>
      <c r="C551">
        <f>IF(N551&gt;2400000,240000,(N551*S551)/100)</f>
      </c>
      <c r="D551">
        <f>IF(S551=0,0,IF((N551-I551)&gt;2400000,((((((N551-I551-J551)-240000))*0.1+(I551+J551)*0.1)))-7000,((((((N551-I551-J551)-(N551-I551-J551)*S551/100)))*0.1+(I551+J551)*0.1)-7000)))</f>
      </c>
      <c r="E551">
        <f>C551-O551</f>
      </c>
      <c r="F551">
        <f>D551-P551</f>
      </c>
      <c r="G551">
        <f>SUMIF(negtgel!U$2:BL$2,'Tsalin uzuulelt'!B$1,negtgel!U551:BL551) + SUMIF(negtgel!U$2:BL$2,'Tsalin uzuulelt'!B$2,negtgel!U551:BL551)+SUMIF(negtgel!U$2:BL$2,'Tsalin uzuulelt'!B$3,negtgel!U551:BL551)+SUMIF(negtgel!U$2:BL$2,'Tsalin uzuulelt'!B$4,negtgel!U551:BL551)+SUMIF(negtgel!U$2:BL$2,'Tsalin uzuulelt'!B$5,negtgel!U551:BL551)</f>
      </c>
      <c r="H551">
        <f>SUMIF(negtgel!U$2:BL$2,'Tsalin uzuulelt'!F$1,negtgel!U551:BL551) + SUMIF(negtgel!U$2:BL$2,'Tsalin uzuulelt'!F$2,negtgel!U551:BL551)+SUMIF(negtgel!U$2:BL$2,'Tsalin uzuulelt'!F$3,negtgel!U551:BL551)+SUMIF(negtgel!U$2:BL$2,'Tsalin uzuulelt'!F$4,negtgel!U551:BL551)+SUMIF(negtgel!U$2:BL$2,'Tsalin uzuulelt'!F$5,negtgel!U551:BL551)</f>
      </c>
      <c r="I551">
        <f>SUMIF(negtgel!U$2:BL$2,'Tsalin uzuulelt'!H$1,negtgel!U551:BL551) + SUMIF(negtgel!U$2:BL$2,'Tsalin uzuulelt'!H$2,negtgel!U551:BL551)+SUMIF(negtgel!U$2:BL$2,'Tsalin uzuulelt'!H$3,negtgel!U551:BL551)+SUMIF(negtgel!U$2:BL$2,'Tsalin uzuulelt'!H$4,negtgel!U551:BL551)+SUMIF(negtgel!U$2:BL$2,'Tsalin uzuulelt'!H$5,negtgel!U551:BL551)</f>
      </c>
      <c r="J551">
        <f>SUMIF(negtgel!U$2:BL$2,'Tsalin uzuulelt'!J$1,negtgel!U551:BL551) + SUMIF(negtgel!U$2:BL$2,'Tsalin uzuulelt'!J$2,negtgel!U551:BL551)+SUMIF(negtgel!U$2:BL$2,'Tsalin uzuulelt'!J$3,negtgel!U551:BL551)+SUMIF(negtgel!U$2:BL$2,'Tsalin uzuulelt'!J$4,negtgel!U551:BL551)+SUMIF(negtgel!U$2:BL$2,'Tsalin uzuulelt'!J$5,negtgel!U551:BL551)</f>
      </c>
      <c r="K551">
        <f>SUMIF(negtgel!U$2:BL$2,'Tsalin uzuulelt'!L$1,negtgel!U551:BL551) + SUMIF(negtgel!U$2:BL$2,'Tsalin uzuulelt'!L$2,negtgel!U551:BL551)+SUMIF(negtgel!U$2:BL$2,'Tsalin uzuulelt'!L$3,negtgel!U551:BL551)+SUMIF(negtgel!U$2:BL$2,'Tsalin uzuulelt'!L$4,negtgel!U551:BL551)+SUMIF(negtgel!U$2:BL$2,'Tsalin uzuulelt'!L$5,negtgel!U551:BL551)</f>
      </c>
      <c r="L551">
        <f>SUMIF(negtgel!U$2:BL$2,'Tsalin uzuulelt'!N$1,negtgel!U551:BL551) + SUMIF(negtgel!U$2:BL$2,'Tsalin uzuulelt'!N$2,negtgel!U551:BL551)+SUMIF(negtgel!U$2:BL$2,'Tsalin uzuulelt'!N$3,negtgel!U551:BL551)+SUMIF(negtgel!U$2:BL$2,'Tsalin uzuulelt'!N$4,negtgel!U551:BL551)+SUMIF(negtgel!U$2:BL$2,'Tsalin uzuulelt'!N$5,negtgel!U551:BL551)</f>
      </c>
      <c r="M551">
        <f>SUMIF(negtgel!U$2:BL$2,'Tsalin uzuulelt'!P$1,negtgel!U551:BL551) + SUMIF(negtgel!U$2:BL$2,'Tsalin uzuulelt'!P$2,negtgel!U551:BL551)+ SUMIF(negtgel!U$2:BL$2,'Tsalin uzuulelt'!P$3,negtgel!U551:BL551)+ SUMIF(negtgel!U$2:BL$2,'Tsalin uzuulelt'!P$4,negtgel!U551:BL551)+ SUMIF(negtgel!U$2:BL$2,'Tsalin uzuulelt'!P$5,negtgel!U551:BL551)</f>
      </c>
      <c r="N551">
        <f>IF(ISNUMBER(U551*1)=CF551,0,K551-H551-G551)</f>
      </c>
      <c r="O551">
        <f>IF(ISNUMBER(U551*1)=CF551,0,L551)</f>
      </c>
      <c r="P551">
        <f>IF(ISNUMBER(U551*1)=CF551,0,M551)</f>
      </c>
      <c r="Q551">
        <f>IF(N551&gt;2400000,N551,0)</f>
      </c>
      <c r="R551">
        <f>IF(L551/Q551*100&lt;3,2,10)</f>
      </c>
      <c r="S551">
        <f>IF(CH551=0,0,IF(B551&gt;9,10,IF(B551&gt;8,B551,IF(B551&gt;7.7,7.8,IF(B551&gt;3,B551,IF(B551&gt;1.5,2))))))</f>
      </c>
      <c r="T551">
        <f>IF(Q551=0,S551,R551)</f>
      </c>
      <c r="U551" t="n">
        <v>95.0</v>
      </c>
      <c r="V551" t="s">
        <v>3873</v>
      </c>
      <c r="W551" t="s">
        <v>3792</v>
      </c>
      <c r="X551" t="n">
        <v>496912.0</v>
      </c>
      <c r="Y551" t="n">
        <v>0.0</v>
      </c>
      <c r="Z551" t="n">
        <v>0.0</v>
      </c>
      <c r="AA551" t="n">
        <v>0.0</v>
      </c>
      <c r="AB551" t="n">
        <v>0.0</v>
      </c>
      <c r="AC551" t="n">
        <v>0.0</v>
      </c>
      <c r="AD551" t="n">
        <v>0.0</v>
      </c>
      <c r="AE551" t="n">
        <v>0.0</v>
      </c>
      <c r="AF551" t="n">
        <v>0.0</v>
      </c>
      <c r="AG551" t="n">
        <v>0.0</v>
      </c>
      <c r="AH551" t="n">
        <v>0.0</v>
      </c>
      <c r="AI551" t="n">
        <v>0.0</v>
      </c>
      <c r="AJ551" t="n">
        <v>0.0</v>
      </c>
      <c r="AK551" t="n">
        <v>0.0</v>
      </c>
      <c r="AL551" t="n">
        <v>0.0</v>
      </c>
      <c r="AM551" t="n">
        <v>0.0</v>
      </c>
      <c r="AN551" t="n">
        <v>0.0</v>
      </c>
      <c r="AO551" t="n">
        <v>0.0</v>
      </c>
      <c r="AP551" t="n">
        <v>0.0</v>
      </c>
      <c r="AQ551" t="n">
        <v>0.0</v>
      </c>
      <c r="CH551">
        <f>IFERROR(U551*1,0)</f>
      </c>
    </row>
    <row r="552">
      <c r="A552" t="n">
        <v>8.0</v>
      </c>
      <c r="B552">
        <f>IF((K552-G552-H552&gt;2400000),10,(L552/(K552-G552-H552)*100))</f>
      </c>
      <c r="C552">
        <f>IF(N552&gt;2400000,240000,(N552*S552)/100)</f>
      </c>
      <c r="D552">
        <f>IF(S552=0,0,IF((N552-I552)&gt;2400000,((((((N552-I552-J552)-240000))*0.1+(I552+J552)*0.1)))-7000,((((((N552-I552-J552)-(N552-I552-J552)*S552/100)))*0.1+(I552+J552)*0.1)-7000)))</f>
      </c>
      <c r="E552">
        <f>C552-O552</f>
      </c>
      <c r="F552">
        <f>D552-P552</f>
      </c>
      <c r="G552">
        <f>SUMIF(negtgel!U$2:BL$2,'Tsalin uzuulelt'!B$1,negtgel!U552:BL552) + SUMIF(negtgel!U$2:BL$2,'Tsalin uzuulelt'!B$2,negtgel!U552:BL552)+SUMIF(negtgel!U$2:BL$2,'Tsalin uzuulelt'!B$3,negtgel!U552:BL552)+SUMIF(negtgel!U$2:BL$2,'Tsalin uzuulelt'!B$4,negtgel!U552:BL552)+SUMIF(negtgel!U$2:BL$2,'Tsalin uzuulelt'!B$5,negtgel!U552:BL552)</f>
      </c>
      <c r="H552">
        <f>SUMIF(negtgel!U$2:BL$2,'Tsalin uzuulelt'!F$1,negtgel!U552:BL552) + SUMIF(negtgel!U$2:BL$2,'Tsalin uzuulelt'!F$2,negtgel!U552:BL552)+SUMIF(negtgel!U$2:BL$2,'Tsalin uzuulelt'!F$3,negtgel!U552:BL552)+SUMIF(negtgel!U$2:BL$2,'Tsalin uzuulelt'!F$4,negtgel!U552:BL552)+SUMIF(negtgel!U$2:BL$2,'Tsalin uzuulelt'!F$5,negtgel!U552:BL552)</f>
      </c>
      <c r="I552">
        <f>SUMIF(negtgel!U$2:BL$2,'Tsalin uzuulelt'!H$1,negtgel!U552:BL552) + SUMIF(negtgel!U$2:BL$2,'Tsalin uzuulelt'!H$2,negtgel!U552:BL552)+SUMIF(negtgel!U$2:BL$2,'Tsalin uzuulelt'!H$3,negtgel!U552:BL552)+SUMIF(negtgel!U$2:BL$2,'Tsalin uzuulelt'!H$4,negtgel!U552:BL552)+SUMIF(negtgel!U$2:BL$2,'Tsalin uzuulelt'!H$5,negtgel!U552:BL552)</f>
      </c>
      <c r="J552">
        <f>SUMIF(negtgel!U$2:BL$2,'Tsalin uzuulelt'!J$1,negtgel!U552:BL552) + SUMIF(negtgel!U$2:BL$2,'Tsalin uzuulelt'!J$2,negtgel!U552:BL552)+SUMIF(negtgel!U$2:BL$2,'Tsalin uzuulelt'!J$3,negtgel!U552:BL552)+SUMIF(negtgel!U$2:BL$2,'Tsalin uzuulelt'!J$4,negtgel!U552:BL552)+SUMIF(negtgel!U$2:BL$2,'Tsalin uzuulelt'!J$5,negtgel!U552:BL552)</f>
      </c>
      <c r="K552">
        <f>SUMIF(negtgel!U$2:BL$2,'Tsalin uzuulelt'!L$1,negtgel!U552:BL552) + SUMIF(negtgel!U$2:BL$2,'Tsalin uzuulelt'!L$2,negtgel!U552:BL552)+SUMIF(negtgel!U$2:BL$2,'Tsalin uzuulelt'!L$3,negtgel!U552:BL552)+SUMIF(negtgel!U$2:BL$2,'Tsalin uzuulelt'!L$4,negtgel!U552:BL552)+SUMIF(negtgel!U$2:BL$2,'Tsalin uzuulelt'!L$5,negtgel!U552:BL552)</f>
      </c>
      <c r="L552">
        <f>SUMIF(negtgel!U$2:BL$2,'Tsalin uzuulelt'!N$1,negtgel!U552:BL552) + SUMIF(negtgel!U$2:BL$2,'Tsalin uzuulelt'!N$2,negtgel!U552:BL552)+SUMIF(negtgel!U$2:BL$2,'Tsalin uzuulelt'!N$3,negtgel!U552:BL552)+SUMIF(negtgel!U$2:BL$2,'Tsalin uzuulelt'!N$4,negtgel!U552:BL552)+SUMIF(negtgel!U$2:BL$2,'Tsalin uzuulelt'!N$5,negtgel!U552:BL552)</f>
      </c>
      <c r="M552">
        <f>SUMIF(negtgel!U$2:BL$2,'Tsalin uzuulelt'!P$1,negtgel!U552:BL552) + SUMIF(negtgel!U$2:BL$2,'Tsalin uzuulelt'!P$2,negtgel!U552:BL552)+ SUMIF(negtgel!U$2:BL$2,'Tsalin uzuulelt'!P$3,negtgel!U552:BL552)+ SUMIF(negtgel!U$2:BL$2,'Tsalin uzuulelt'!P$4,negtgel!U552:BL552)+ SUMIF(negtgel!U$2:BL$2,'Tsalin uzuulelt'!P$5,negtgel!U552:BL552)</f>
      </c>
      <c r="N552">
        <f>IF(ISNUMBER(U552*1)=CF552,0,K552-H552-G552)</f>
      </c>
      <c r="O552">
        <f>IF(ISNUMBER(U552*1)=CF552,0,L552)</f>
      </c>
      <c r="P552">
        <f>IF(ISNUMBER(U552*1)=CF552,0,M552)</f>
      </c>
      <c r="Q552">
        <f>IF(N552&gt;2400000,N552,0)</f>
      </c>
      <c r="R552">
        <f>IF(L552/Q552*100&lt;3,2,10)</f>
      </c>
      <c r="S552">
        <f>IF(CH552=0,0,IF(B552&gt;9,10,IF(B552&gt;8,B552,IF(B552&gt;7.7,7.8,IF(B552&gt;3,B552,IF(B552&gt;1.5,2))))))</f>
      </c>
      <c r="T552">
        <f>IF(Q552=0,S552,R552)</f>
      </c>
      <c r="U552" t="n">
        <v>96.0</v>
      </c>
      <c r="V552" t="s">
        <v>3874</v>
      </c>
      <c r="W552" t="s">
        <v>3790</v>
      </c>
      <c r="X552" t="n">
        <v>677436.0</v>
      </c>
      <c r="Y552" t="n">
        <v>0.0</v>
      </c>
      <c r="Z552" t="n">
        <v>0.0</v>
      </c>
      <c r="AA552" t="n">
        <v>0.0</v>
      </c>
      <c r="AB552" t="n">
        <v>0.0</v>
      </c>
      <c r="AC552" t="n">
        <v>0.0</v>
      </c>
      <c r="AD552" t="n">
        <v>0.0</v>
      </c>
      <c r="AE552" t="n">
        <v>0.0</v>
      </c>
      <c r="AF552" t="n">
        <v>0.0</v>
      </c>
      <c r="AG552" t="n">
        <v>0.0</v>
      </c>
      <c r="AH552" t="n">
        <v>0.0</v>
      </c>
      <c r="AI552" t="n">
        <v>0.0</v>
      </c>
      <c r="AJ552" t="n">
        <v>0.0</v>
      </c>
      <c r="AK552" t="n">
        <v>0.0</v>
      </c>
      <c r="AL552" t="n">
        <v>0.0</v>
      </c>
      <c r="AM552" t="n">
        <v>0.0</v>
      </c>
      <c r="AN552" t="n">
        <v>0.0</v>
      </c>
      <c r="AO552" t="n">
        <v>0.0</v>
      </c>
      <c r="AP552" t="n">
        <v>0.0</v>
      </c>
      <c r="AQ552" t="n">
        <v>0.0</v>
      </c>
      <c r="CH552">
        <f>IFERROR(U552*1,0)</f>
      </c>
    </row>
    <row r="553">
      <c r="A553" t="n">
        <v>8.0</v>
      </c>
      <c r="B553">
        <f>IF((K553-G553-H553&gt;2400000),10,(L553/(K553-G553-H553)*100))</f>
      </c>
      <c r="C553">
        <f>IF(N553&gt;2400000,240000,(N553*S553)/100)</f>
      </c>
      <c r="D553">
        <f>IF(S553=0,0,IF((N553-I553)&gt;2400000,((((((N553-I553-J553)-240000))*0.1+(I553+J553)*0.1)))-7000,((((((N553-I553-J553)-(N553-I553-J553)*S553/100)))*0.1+(I553+J553)*0.1)-7000)))</f>
      </c>
      <c r="E553">
        <f>C553-O553</f>
      </c>
      <c r="F553">
        <f>D553-P553</f>
      </c>
      <c r="G553">
        <f>SUMIF(negtgel!U$2:BL$2,'Tsalin uzuulelt'!B$1,negtgel!U553:BL553) + SUMIF(negtgel!U$2:BL$2,'Tsalin uzuulelt'!B$2,negtgel!U553:BL553)+SUMIF(negtgel!U$2:BL$2,'Tsalin uzuulelt'!B$3,negtgel!U553:BL553)+SUMIF(negtgel!U$2:BL$2,'Tsalin uzuulelt'!B$4,negtgel!U553:BL553)+SUMIF(negtgel!U$2:BL$2,'Tsalin uzuulelt'!B$5,negtgel!U553:BL553)</f>
      </c>
      <c r="H553">
        <f>SUMIF(negtgel!U$2:BL$2,'Tsalin uzuulelt'!F$1,negtgel!U553:BL553) + SUMIF(negtgel!U$2:BL$2,'Tsalin uzuulelt'!F$2,negtgel!U553:BL553)+SUMIF(negtgel!U$2:BL$2,'Tsalin uzuulelt'!F$3,negtgel!U553:BL553)+SUMIF(negtgel!U$2:BL$2,'Tsalin uzuulelt'!F$4,negtgel!U553:BL553)+SUMIF(negtgel!U$2:BL$2,'Tsalin uzuulelt'!F$5,negtgel!U553:BL553)</f>
      </c>
      <c r="I553">
        <f>SUMIF(negtgel!U$2:BL$2,'Tsalin uzuulelt'!H$1,negtgel!U553:BL553) + SUMIF(negtgel!U$2:BL$2,'Tsalin uzuulelt'!H$2,negtgel!U553:BL553)+SUMIF(negtgel!U$2:BL$2,'Tsalin uzuulelt'!H$3,negtgel!U553:BL553)+SUMIF(negtgel!U$2:BL$2,'Tsalin uzuulelt'!H$4,negtgel!U553:BL553)+SUMIF(negtgel!U$2:BL$2,'Tsalin uzuulelt'!H$5,negtgel!U553:BL553)</f>
      </c>
      <c r="J553">
        <f>SUMIF(negtgel!U$2:BL$2,'Tsalin uzuulelt'!J$1,negtgel!U553:BL553) + SUMIF(negtgel!U$2:BL$2,'Tsalin uzuulelt'!J$2,negtgel!U553:BL553)+SUMIF(negtgel!U$2:BL$2,'Tsalin uzuulelt'!J$3,negtgel!U553:BL553)+SUMIF(negtgel!U$2:BL$2,'Tsalin uzuulelt'!J$4,negtgel!U553:BL553)+SUMIF(negtgel!U$2:BL$2,'Tsalin uzuulelt'!J$5,negtgel!U553:BL553)</f>
      </c>
      <c r="K553">
        <f>SUMIF(negtgel!U$2:BL$2,'Tsalin uzuulelt'!L$1,negtgel!U553:BL553) + SUMIF(negtgel!U$2:BL$2,'Tsalin uzuulelt'!L$2,negtgel!U553:BL553)+SUMIF(negtgel!U$2:BL$2,'Tsalin uzuulelt'!L$3,negtgel!U553:BL553)+SUMIF(negtgel!U$2:BL$2,'Tsalin uzuulelt'!L$4,negtgel!U553:BL553)+SUMIF(negtgel!U$2:BL$2,'Tsalin uzuulelt'!L$5,negtgel!U553:BL553)</f>
      </c>
      <c r="L553">
        <f>SUMIF(negtgel!U$2:BL$2,'Tsalin uzuulelt'!N$1,negtgel!U553:BL553) + SUMIF(negtgel!U$2:BL$2,'Tsalin uzuulelt'!N$2,negtgel!U553:BL553)+SUMIF(negtgel!U$2:BL$2,'Tsalin uzuulelt'!N$3,negtgel!U553:BL553)+SUMIF(negtgel!U$2:BL$2,'Tsalin uzuulelt'!N$4,negtgel!U553:BL553)+SUMIF(negtgel!U$2:BL$2,'Tsalin uzuulelt'!N$5,negtgel!U553:BL553)</f>
      </c>
      <c r="M553">
        <f>SUMIF(negtgel!U$2:BL$2,'Tsalin uzuulelt'!P$1,negtgel!U553:BL553) + SUMIF(negtgel!U$2:BL$2,'Tsalin uzuulelt'!P$2,negtgel!U553:BL553)+ SUMIF(negtgel!U$2:BL$2,'Tsalin uzuulelt'!P$3,negtgel!U553:BL553)+ SUMIF(negtgel!U$2:BL$2,'Tsalin uzuulelt'!P$4,negtgel!U553:BL553)+ SUMIF(negtgel!U$2:BL$2,'Tsalin uzuulelt'!P$5,negtgel!U553:BL553)</f>
      </c>
      <c r="N553">
        <f>IF(ISNUMBER(U553*1)=CF553,0,K553-H553-G553)</f>
      </c>
      <c r="O553">
        <f>IF(ISNUMBER(U553*1)=CF553,0,L553)</f>
      </c>
      <c r="P553">
        <f>IF(ISNUMBER(U553*1)=CF553,0,M553)</f>
      </c>
      <c r="Q553">
        <f>IF(N553&gt;2400000,N553,0)</f>
      </c>
      <c r="R553">
        <f>IF(L553/Q553*100&lt;3,2,10)</f>
      </c>
      <c r="S553">
        <f>IF(CH553=0,0,IF(B553&gt;9,10,IF(B553&gt;8,B553,IF(B553&gt;7.7,7.8,IF(B553&gt;3,B553,IF(B553&gt;1.5,2))))))</f>
      </c>
      <c r="T553">
        <f>IF(Q553=0,S553,R553)</f>
      </c>
      <c r="U553" t="n">
        <v>97.0</v>
      </c>
      <c r="V553" t="s">
        <v>3875</v>
      </c>
      <c r="W553" t="s">
        <v>3790</v>
      </c>
      <c r="X553" t="n">
        <v>580710.0</v>
      </c>
      <c r="Y553" t="n">
        <v>0.0</v>
      </c>
      <c r="Z553" t="n">
        <v>0.0</v>
      </c>
      <c r="AA553" t="n">
        <v>0.0</v>
      </c>
      <c r="AB553" t="n">
        <v>0.0</v>
      </c>
      <c r="AC553" t="n">
        <v>0.0</v>
      </c>
      <c r="AD553" t="n">
        <v>0.0</v>
      </c>
      <c r="AE553" t="n">
        <v>0.0</v>
      </c>
      <c r="AF553" t="n">
        <v>0.0</v>
      </c>
      <c r="AG553" t="n">
        <v>0.0</v>
      </c>
      <c r="AH553" t="n">
        <v>0.0</v>
      </c>
      <c r="AI553" t="n">
        <v>0.0</v>
      </c>
      <c r="AJ553" t="n">
        <v>0.0</v>
      </c>
      <c r="AK553" t="n">
        <v>0.0</v>
      </c>
      <c r="AL553" t="n">
        <v>0.0</v>
      </c>
      <c r="AM553" t="n">
        <v>0.0</v>
      </c>
      <c r="AN553" t="n">
        <v>0.0</v>
      </c>
      <c r="AO553" t="n">
        <v>0.0</v>
      </c>
      <c r="AP553" t="n">
        <v>0.0</v>
      </c>
      <c r="AQ553" t="n">
        <v>0.0</v>
      </c>
      <c r="CH553">
        <f>IFERROR(U553*1,0)</f>
      </c>
    </row>
    <row r="554">
      <c r="A554" t="n">
        <v>8.0</v>
      </c>
      <c r="B554">
        <f>IF((K554-G554-H554&gt;2400000),10,(L554/(K554-G554-H554)*100))</f>
      </c>
      <c r="C554">
        <f>IF(N554&gt;2400000,240000,(N554*S554)/100)</f>
      </c>
      <c r="D554">
        <f>IF(S554=0,0,IF((N554-I554)&gt;2400000,((((((N554-I554-J554)-240000))*0.1+(I554+J554)*0.1)))-7000,((((((N554-I554-J554)-(N554-I554-J554)*S554/100)))*0.1+(I554+J554)*0.1)-7000)))</f>
      </c>
      <c r="E554">
        <f>C554-O554</f>
      </c>
      <c r="F554">
        <f>D554-P554</f>
      </c>
      <c r="G554">
        <f>SUMIF(negtgel!U$2:BL$2,'Tsalin uzuulelt'!B$1,negtgel!U554:BL554) + SUMIF(negtgel!U$2:BL$2,'Tsalin uzuulelt'!B$2,negtgel!U554:BL554)+SUMIF(negtgel!U$2:BL$2,'Tsalin uzuulelt'!B$3,negtgel!U554:BL554)+SUMIF(negtgel!U$2:BL$2,'Tsalin uzuulelt'!B$4,negtgel!U554:BL554)+SUMIF(negtgel!U$2:BL$2,'Tsalin uzuulelt'!B$5,negtgel!U554:BL554)</f>
      </c>
      <c r="H554">
        <f>SUMIF(negtgel!U$2:BL$2,'Tsalin uzuulelt'!F$1,negtgel!U554:BL554) + SUMIF(negtgel!U$2:BL$2,'Tsalin uzuulelt'!F$2,negtgel!U554:BL554)+SUMIF(negtgel!U$2:BL$2,'Tsalin uzuulelt'!F$3,negtgel!U554:BL554)+SUMIF(negtgel!U$2:BL$2,'Tsalin uzuulelt'!F$4,negtgel!U554:BL554)+SUMIF(negtgel!U$2:BL$2,'Tsalin uzuulelt'!F$5,negtgel!U554:BL554)</f>
      </c>
      <c r="I554">
        <f>SUMIF(negtgel!U$2:BL$2,'Tsalin uzuulelt'!H$1,negtgel!U554:BL554) + SUMIF(negtgel!U$2:BL$2,'Tsalin uzuulelt'!H$2,negtgel!U554:BL554)+SUMIF(negtgel!U$2:BL$2,'Tsalin uzuulelt'!H$3,negtgel!U554:BL554)+SUMIF(negtgel!U$2:BL$2,'Tsalin uzuulelt'!H$4,negtgel!U554:BL554)+SUMIF(negtgel!U$2:BL$2,'Tsalin uzuulelt'!H$5,negtgel!U554:BL554)</f>
      </c>
      <c r="J554">
        <f>SUMIF(negtgel!U$2:BL$2,'Tsalin uzuulelt'!J$1,negtgel!U554:BL554) + SUMIF(negtgel!U$2:BL$2,'Tsalin uzuulelt'!J$2,negtgel!U554:BL554)+SUMIF(negtgel!U$2:BL$2,'Tsalin uzuulelt'!J$3,negtgel!U554:BL554)+SUMIF(negtgel!U$2:BL$2,'Tsalin uzuulelt'!J$4,negtgel!U554:BL554)+SUMIF(negtgel!U$2:BL$2,'Tsalin uzuulelt'!J$5,negtgel!U554:BL554)</f>
      </c>
      <c r="K554">
        <f>SUMIF(negtgel!U$2:BL$2,'Tsalin uzuulelt'!L$1,negtgel!U554:BL554) + SUMIF(negtgel!U$2:BL$2,'Tsalin uzuulelt'!L$2,negtgel!U554:BL554)+SUMIF(negtgel!U$2:BL$2,'Tsalin uzuulelt'!L$3,negtgel!U554:BL554)+SUMIF(negtgel!U$2:BL$2,'Tsalin uzuulelt'!L$4,negtgel!U554:BL554)+SUMIF(negtgel!U$2:BL$2,'Tsalin uzuulelt'!L$5,negtgel!U554:BL554)</f>
      </c>
      <c r="L554">
        <f>SUMIF(negtgel!U$2:BL$2,'Tsalin uzuulelt'!N$1,negtgel!U554:BL554) + SUMIF(negtgel!U$2:BL$2,'Tsalin uzuulelt'!N$2,negtgel!U554:BL554)+SUMIF(negtgel!U$2:BL$2,'Tsalin uzuulelt'!N$3,negtgel!U554:BL554)+SUMIF(negtgel!U$2:BL$2,'Tsalin uzuulelt'!N$4,negtgel!U554:BL554)+SUMIF(negtgel!U$2:BL$2,'Tsalin uzuulelt'!N$5,negtgel!U554:BL554)</f>
      </c>
      <c r="M554">
        <f>SUMIF(negtgel!U$2:BL$2,'Tsalin uzuulelt'!P$1,negtgel!U554:BL554) + SUMIF(negtgel!U$2:BL$2,'Tsalin uzuulelt'!P$2,negtgel!U554:BL554)+ SUMIF(negtgel!U$2:BL$2,'Tsalin uzuulelt'!P$3,negtgel!U554:BL554)+ SUMIF(negtgel!U$2:BL$2,'Tsalin uzuulelt'!P$4,negtgel!U554:BL554)+ SUMIF(negtgel!U$2:BL$2,'Tsalin uzuulelt'!P$5,negtgel!U554:BL554)</f>
      </c>
      <c r="N554">
        <f>IF(ISNUMBER(U554*1)=CF554,0,K554-H554-G554)</f>
      </c>
      <c r="O554">
        <f>IF(ISNUMBER(U554*1)=CF554,0,L554)</f>
      </c>
      <c r="P554">
        <f>IF(ISNUMBER(U554*1)=CF554,0,M554)</f>
      </c>
      <c r="Q554">
        <f>IF(N554&gt;2400000,N554,0)</f>
      </c>
      <c r="R554">
        <f>IF(L554/Q554*100&lt;3,2,10)</f>
      </c>
      <c r="S554">
        <f>IF(CH554=0,0,IF(B554&gt;9,10,IF(B554&gt;8,B554,IF(B554&gt;7.7,7.8,IF(B554&gt;3,B554,IF(B554&gt;1.5,2))))))</f>
      </c>
      <c r="T554">
        <f>IF(Q554=0,S554,R554)</f>
      </c>
      <c r="U554" t="n">
        <v>151.0</v>
      </c>
      <c r="V554" t="s">
        <v>3870</v>
      </c>
      <c r="W554" t="s">
        <v>3790</v>
      </c>
      <c r="X554" t="n">
        <v>580710.0</v>
      </c>
      <c r="Y554" t="n">
        <v>0.0</v>
      </c>
      <c r="Z554" t="n">
        <v>0.0</v>
      </c>
      <c r="AA554" t="n">
        <v>0.0</v>
      </c>
      <c r="AB554" t="n">
        <v>0.0</v>
      </c>
      <c r="AC554" t="n">
        <v>0.0</v>
      </c>
      <c r="AD554" t="n">
        <v>0.0</v>
      </c>
      <c r="AE554" t="n">
        <v>0.0</v>
      </c>
      <c r="AF554" t="n">
        <v>0.0</v>
      </c>
      <c r="AG554" t="n">
        <v>0.0</v>
      </c>
      <c r="AH554" t="n">
        <v>0.0</v>
      </c>
      <c r="AI554" t="n">
        <v>0.0</v>
      </c>
      <c r="AJ554" t="n">
        <v>0.0</v>
      </c>
      <c r="AK554" t="n">
        <v>0.0</v>
      </c>
      <c r="AL554" t="n">
        <v>0.0</v>
      </c>
      <c r="AM554" t="n">
        <v>0.0</v>
      </c>
      <c r="AN554" t="n">
        <v>0.0</v>
      </c>
      <c r="AO554" t="n">
        <v>0.0</v>
      </c>
      <c r="AP554" t="n">
        <v>0.0</v>
      </c>
      <c r="AQ554" t="n">
        <v>0.0</v>
      </c>
      <c r="CH554">
        <f>IFERROR(U554*1,0)</f>
      </c>
    </row>
    <row r="555">
      <c r="A555" t="n">
        <v>8.0</v>
      </c>
      <c r="B555">
        <f>IF((K555-G555-H555&gt;2400000),10,(L555/(K555-G555-H555)*100))</f>
      </c>
      <c r="C555">
        <f>IF(N555&gt;2400000,240000,(N555*S555)/100)</f>
      </c>
      <c r="D555">
        <f>IF(S555=0,0,IF((N555-I555)&gt;2400000,((((((N555-I555-J555)-240000))*0.1+(I555+J555)*0.1)))-7000,((((((N555-I555-J555)-(N555-I555-J555)*S555/100)))*0.1+(I555+J555)*0.1)-7000)))</f>
      </c>
      <c r="E555">
        <f>C555-O555</f>
      </c>
      <c r="F555">
        <f>D555-P555</f>
      </c>
      <c r="G555">
        <f>SUMIF(negtgel!U$2:BL$2,'Tsalin uzuulelt'!B$1,negtgel!U555:BL555) + SUMIF(negtgel!U$2:BL$2,'Tsalin uzuulelt'!B$2,negtgel!U555:BL555)+SUMIF(negtgel!U$2:BL$2,'Tsalin uzuulelt'!B$3,negtgel!U555:BL555)+SUMIF(negtgel!U$2:BL$2,'Tsalin uzuulelt'!B$4,negtgel!U555:BL555)+SUMIF(negtgel!U$2:BL$2,'Tsalin uzuulelt'!B$5,negtgel!U555:BL555)</f>
      </c>
      <c r="H555">
        <f>SUMIF(negtgel!U$2:BL$2,'Tsalin uzuulelt'!F$1,negtgel!U555:BL555) + SUMIF(negtgel!U$2:BL$2,'Tsalin uzuulelt'!F$2,negtgel!U555:BL555)+SUMIF(negtgel!U$2:BL$2,'Tsalin uzuulelt'!F$3,negtgel!U555:BL555)+SUMIF(negtgel!U$2:BL$2,'Tsalin uzuulelt'!F$4,negtgel!U555:BL555)+SUMIF(negtgel!U$2:BL$2,'Tsalin uzuulelt'!F$5,negtgel!U555:BL555)</f>
      </c>
      <c r="I555">
        <f>SUMIF(negtgel!U$2:BL$2,'Tsalin uzuulelt'!H$1,negtgel!U555:BL555) + SUMIF(negtgel!U$2:BL$2,'Tsalin uzuulelt'!H$2,negtgel!U555:BL555)+SUMIF(negtgel!U$2:BL$2,'Tsalin uzuulelt'!H$3,negtgel!U555:BL555)+SUMIF(negtgel!U$2:BL$2,'Tsalin uzuulelt'!H$4,negtgel!U555:BL555)+SUMIF(negtgel!U$2:BL$2,'Tsalin uzuulelt'!H$5,negtgel!U555:BL555)</f>
      </c>
      <c r="J555">
        <f>SUMIF(negtgel!U$2:BL$2,'Tsalin uzuulelt'!J$1,negtgel!U555:BL555) + SUMIF(negtgel!U$2:BL$2,'Tsalin uzuulelt'!J$2,negtgel!U555:BL555)+SUMIF(negtgel!U$2:BL$2,'Tsalin uzuulelt'!J$3,negtgel!U555:BL555)+SUMIF(negtgel!U$2:BL$2,'Tsalin uzuulelt'!J$4,negtgel!U555:BL555)+SUMIF(negtgel!U$2:BL$2,'Tsalin uzuulelt'!J$5,negtgel!U555:BL555)</f>
      </c>
      <c r="K555">
        <f>SUMIF(negtgel!U$2:BL$2,'Tsalin uzuulelt'!L$1,negtgel!U555:BL555) + SUMIF(negtgel!U$2:BL$2,'Tsalin uzuulelt'!L$2,negtgel!U555:BL555)+SUMIF(negtgel!U$2:BL$2,'Tsalin uzuulelt'!L$3,negtgel!U555:BL555)+SUMIF(negtgel!U$2:BL$2,'Tsalin uzuulelt'!L$4,negtgel!U555:BL555)+SUMIF(negtgel!U$2:BL$2,'Tsalin uzuulelt'!L$5,negtgel!U555:BL555)</f>
      </c>
      <c r="L555">
        <f>SUMIF(negtgel!U$2:BL$2,'Tsalin uzuulelt'!N$1,negtgel!U555:BL555) + SUMIF(negtgel!U$2:BL$2,'Tsalin uzuulelt'!N$2,negtgel!U555:BL555)+SUMIF(negtgel!U$2:BL$2,'Tsalin uzuulelt'!N$3,negtgel!U555:BL555)+SUMIF(negtgel!U$2:BL$2,'Tsalin uzuulelt'!N$4,negtgel!U555:BL555)+SUMIF(negtgel!U$2:BL$2,'Tsalin uzuulelt'!N$5,negtgel!U555:BL555)</f>
      </c>
      <c r="M555">
        <f>SUMIF(negtgel!U$2:BL$2,'Tsalin uzuulelt'!P$1,negtgel!U555:BL555) + SUMIF(negtgel!U$2:BL$2,'Tsalin uzuulelt'!P$2,negtgel!U555:BL555)+ SUMIF(negtgel!U$2:BL$2,'Tsalin uzuulelt'!P$3,negtgel!U555:BL555)+ SUMIF(negtgel!U$2:BL$2,'Tsalin uzuulelt'!P$4,negtgel!U555:BL555)+ SUMIF(negtgel!U$2:BL$2,'Tsalin uzuulelt'!P$5,negtgel!U555:BL555)</f>
      </c>
      <c r="N555">
        <f>IF(ISNUMBER(U555*1)=CF555,0,K555-H555-G555)</f>
      </c>
      <c r="O555">
        <f>IF(ISNUMBER(U555*1)=CF555,0,L555)</f>
      </c>
      <c r="P555">
        <f>IF(ISNUMBER(U555*1)=CF555,0,M555)</f>
      </c>
      <c r="Q555">
        <f>IF(N555&gt;2400000,N555,0)</f>
      </c>
      <c r="R555">
        <f>IF(L555/Q555*100&lt;3,2,10)</f>
      </c>
      <c r="S555">
        <f>IF(CH555=0,0,IF(B555&gt;9,10,IF(B555&gt;8,B555,IF(B555&gt;7.7,7.8,IF(B555&gt;3,B555,IF(B555&gt;1.5,2))))))</f>
      </c>
      <c r="T555">
        <f>IF(Q555=0,S555,R555)</f>
      </c>
      <c r="U555" t="n">
        <v>152.0</v>
      </c>
      <c r="V555" t="s">
        <v>3871</v>
      </c>
      <c r="W555" t="s">
        <v>3790</v>
      </c>
      <c r="X555" t="n">
        <v>613669.0</v>
      </c>
      <c r="Y555" t="n">
        <v>0.0</v>
      </c>
      <c r="Z555" t="n">
        <v>0.0</v>
      </c>
      <c r="AA555" t="n">
        <v>0.0</v>
      </c>
      <c r="AB555" t="n">
        <v>0.0</v>
      </c>
      <c r="AC555" t="n">
        <v>0.0</v>
      </c>
      <c r="AD555" t="n">
        <v>0.0</v>
      </c>
      <c r="AE555" t="n">
        <v>0.0</v>
      </c>
      <c r="AF555" t="n">
        <v>0.0</v>
      </c>
      <c r="AG555" t="n">
        <v>0.0</v>
      </c>
      <c r="AH555" t="n">
        <v>0.0</v>
      </c>
      <c r="AI555" t="n">
        <v>0.0</v>
      </c>
      <c r="AJ555" t="n">
        <v>0.0</v>
      </c>
      <c r="AK555" t="n">
        <v>0.0</v>
      </c>
      <c r="AL555" t="n">
        <v>0.0</v>
      </c>
      <c r="AM555" t="n">
        <v>0.0</v>
      </c>
      <c r="AN555" t="n">
        <v>0.0</v>
      </c>
      <c r="AO555" t="n">
        <v>0.0</v>
      </c>
      <c r="AP555" t="n">
        <v>0.0</v>
      </c>
      <c r="AQ555" t="n">
        <v>0.0</v>
      </c>
      <c r="CH555">
        <f>IFERROR(U555*1,0)</f>
      </c>
    </row>
    <row r="556">
      <c r="A556" t="n">
        <v>8.0</v>
      </c>
      <c r="B556">
        <f>IF((K556-G556-H556&gt;2400000),10,(L556/(K556-G556-H556)*100))</f>
      </c>
      <c r="C556">
        <f>IF(N556&gt;2400000,240000,(N556*S556)/100)</f>
      </c>
      <c r="D556">
        <f>IF(S556=0,0,IF((N556-I556)&gt;2400000,((((((N556-I556-J556)-240000))*0.1+(I556+J556)*0.1)))-7000,((((((N556-I556-J556)-(N556-I556-J556)*S556/100)))*0.1+(I556+J556)*0.1)-7000)))</f>
      </c>
      <c r="E556">
        <f>C556-O556</f>
      </c>
      <c r="F556">
        <f>D556-P556</f>
      </c>
      <c r="G556">
        <f>SUMIF(negtgel!U$2:BL$2,'Tsalin uzuulelt'!B$1,negtgel!U556:BL556) + SUMIF(negtgel!U$2:BL$2,'Tsalin uzuulelt'!B$2,negtgel!U556:BL556)+SUMIF(negtgel!U$2:BL$2,'Tsalin uzuulelt'!B$3,negtgel!U556:BL556)+SUMIF(negtgel!U$2:BL$2,'Tsalin uzuulelt'!B$4,negtgel!U556:BL556)+SUMIF(negtgel!U$2:BL$2,'Tsalin uzuulelt'!B$5,negtgel!U556:BL556)</f>
      </c>
      <c r="H556">
        <f>SUMIF(negtgel!U$2:BL$2,'Tsalin uzuulelt'!F$1,negtgel!U556:BL556) + SUMIF(negtgel!U$2:BL$2,'Tsalin uzuulelt'!F$2,negtgel!U556:BL556)+SUMIF(negtgel!U$2:BL$2,'Tsalin uzuulelt'!F$3,negtgel!U556:BL556)+SUMIF(negtgel!U$2:BL$2,'Tsalin uzuulelt'!F$4,negtgel!U556:BL556)+SUMIF(negtgel!U$2:BL$2,'Tsalin uzuulelt'!F$5,negtgel!U556:BL556)</f>
      </c>
      <c r="I556">
        <f>SUMIF(negtgel!U$2:BL$2,'Tsalin uzuulelt'!H$1,negtgel!U556:BL556) + SUMIF(negtgel!U$2:BL$2,'Tsalin uzuulelt'!H$2,negtgel!U556:BL556)+SUMIF(negtgel!U$2:BL$2,'Tsalin uzuulelt'!H$3,negtgel!U556:BL556)+SUMIF(negtgel!U$2:BL$2,'Tsalin uzuulelt'!H$4,negtgel!U556:BL556)+SUMIF(negtgel!U$2:BL$2,'Tsalin uzuulelt'!H$5,negtgel!U556:BL556)</f>
      </c>
      <c r="J556">
        <f>SUMIF(negtgel!U$2:BL$2,'Tsalin uzuulelt'!J$1,negtgel!U556:BL556) + SUMIF(negtgel!U$2:BL$2,'Tsalin uzuulelt'!J$2,negtgel!U556:BL556)+SUMIF(negtgel!U$2:BL$2,'Tsalin uzuulelt'!J$3,negtgel!U556:BL556)+SUMIF(negtgel!U$2:BL$2,'Tsalin uzuulelt'!J$4,negtgel!U556:BL556)+SUMIF(negtgel!U$2:BL$2,'Tsalin uzuulelt'!J$5,negtgel!U556:BL556)</f>
      </c>
      <c r="K556">
        <f>SUMIF(negtgel!U$2:BL$2,'Tsalin uzuulelt'!L$1,negtgel!U556:BL556) + SUMIF(negtgel!U$2:BL$2,'Tsalin uzuulelt'!L$2,negtgel!U556:BL556)+SUMIF(negtgel!U$2:BL$2,'Tsalin uzuulelt'!L$3,negtgel!U556:BL556)+SUMIF(negtgel!U$2:BL$2,'Tsalin uzuulelt'!L$4,negtgel!U556:BL556)+SUMIF(negtgel!U$2:BL$2,'Tsalin uzuulelt'!L$5,negtgel!U556:BL556)</f>
      </c>
      <c r="L556">
        <f>SUMIF(negtgel!U$2:BL$2,'Tsalin uzuulelt'!N$1,negtgel!U556:BL556) + SUMIF(negtgel!U$2:BL$2,'Tsalin uzuulelt'!N$2,negtgel!U556:BL556)+SUMIF(negtgel!U$2:BL$2,'Tsalin uzuulelt'!N$3,negtgel!U556:BL556)+SUMIF(negtgel!U$2:BL$2,'Tsalin uzuulelt'!N$4,negtgel!U556:BL556)+SUMIF(negtgel!U$2:BL$2,'Tsalin uzuulelt'!N$5,negtgel!U556:BL556)</f>
      </c>
      <c r="M556">
        <f>SUMIF(negtgel!U$2:BL$2,'Tsalin uzuulelt'!P$1,negtgel!U556:BL556) + SUMIF(negtgel!U$2:BL$2,'Tsalin uzuulelt'!P$2,negtgel!U556:BL556)+ SUMIF(negtgel!U$2:BL$2,'Tsalin uzuulelt'!P$3,negtgel!U556:BL556)+ SUMIF(negtgel!U$2:BL$2,'Tsalin uzuulelt'!P$4,negtgel!U556:BL556)+ SUMIF(negtgel!U$2:BL$2,'Tsalin uzuulelt'!P$5,negtgel!U556:BL556)</f>
      </c>
      <c r="N556">
        <f>IF(ISNUMBER(U556*1)=CF556,0,K556-H556-G556)</f>
      </c>
      <c r="O556">
        <f>IF(ISNUMBER(U556*1)=CF556,0,L556)</f>
      </c>
      <c r="P556">
        <f>IF(ISNUMBER(U556*1)=CF556,0,M556)</f>
      </c>
      <c r="Q556">
        <f>IF(N556&gt;2400000,N556,0)</f>
      </c>
      <c r="R556">
        <f>IF(L556/Q556*100&lt;3,2,10)</f>
      </c>
      <c r="S556">
        <f>IF(CH556=0,0,IF(B556&gt;9,10,IF(B556&gt;8,B556,IF(B556&gt;7.7,7.8,IF(B556&gt;3,B556,IF(B556&gt;1.5,2))))))</f>
      </c>
      <c r="T556">
        <f>IF(Q556=0,S556,R556)</f>
      </c>
      <c r="U556" t="n">
        <v>153.0</v>
      </c>
      <c r="V556" t="s">
        <v>3863</v>
      </c>
      <c r="W556" t="s">
        <v>3790</v>
      </c>
      <c r="X556" t="n">
        <v>577826.0</v>
      </c>
      <c r="Y556" t="n">
        <v>0.0</v>
      </c>
      <c r="Z556" t="n">
        <v>0.0</v>
      </c>
      <c r="AA556" t="n">
        <v>0.0</v>
      </c>
      <c r="AB556" t="n">
        <v>0.0</v>
      </c>
      <c r="AC556" t="n">
        <v>0.0</v>
      </c>
      <c r="AD556" t="n">
        <v>0.0</v>
      </c>
      <c r="AE556" t="n">
        <v>0.0</v>
      </c>
      <c r="AF556" t="n">
        <v>0.0</v>
      </c>
      <c r="AG556" t="n">
        <v>0.0</v>
      </c>
      <c r="AH556" t="n">
        <v>0.0</v>
      </c>
      <c r="AI556" t="n">
        <v>0.0</v>
      </c>
      <c r="AJ556" t="n">
        <v>0.0</v>
      </c>
      <c r="AK556" t="n">
        <v>0.0</v>
      </c>
      <c r="AL556" t="n">
        <v>0.0</v>
      </c>
      <c r="AM556" t="n">
        <v>0.0</v>
      </c>
      <c r="AN556" t="n">
        <v>0.0</v>
      </c>
      <c r="AO556" t="n">
        <v>0.0</v>
      </c>
      <c r="AP556" t="n">
        <v>0.0</v>
      </c>
      <c r="AQ556" t="n">
        <v>0.0</v>
      </c>
      <c r="CH556">
        <f>IFERROR(U556*1,0)</f>
      </c>
    </row>
    <row r="557">
      <c r="A557" t="n">
        <v>8.0</v>
      </c>
      <c r="B557">
        <f>IF((K557-G557-H557&gt;2400000),10,(L557/(K557-G557-H557)*100))</f>
      </c>
      <c r="C557">
        <f>IF(N557&gt;2400000,240000,(N557*S557)/100)</f>
      </c>
      <c r="D557">
        <f>IF(S557=0,0,IF((N557-I557)&gt;2400000,((((((N557-I557-J557)-240000))*0.1+(I557+J557)*0.1)))-7000,((((((N557-I557-J557)-(N557-I557-J557)*S557/100)))*0.1+(I557+J557)*0.1)-7000)))</f>
      </c>
      <c r="E557">
        <f>C557-O557</f>
      </c>
      <c r="F557">
        <f>D557-P557</f>
      </c>
      <c r="G557">
        <f>SUMIF(negtgel!U$2:BL$2,'Tsalin uzuulelt'!B$1,negtgel!U557:BL557) + SUMIF(negtgel!U$2:BL$2,'Tsalin uzuulelt'!B$2,negtgel!U557:BL557)+SUMIF(negtgel!U$2:BL$2,'Tsalin uzuulelt'!B$3,negtgel!U557:BL557)+SUMIF(negtgel!U$2:BL$2,'Tsalin uzuulelt'!B$4,negtgel!U557:BL557)+SUMIF(negtgel!U$2:BL$2,'Tsalin uzuulelt'!B$5,negtgel!U557:BL557)</f>
      </c>
      <c r="H557">
        <f>SUMIF(negtgel!U$2:BL$2,'Tsalin uzuulelt'!F$1,negtgel!U557:BL557) + SUMIF(negtgel!U$2:BL$2,'Tsalin uzuulelt'!F$2,negtgel!U557:BL557)+SUMIF(negtgel!U$2:BL$2,'Tsalin uzuulelt'!F$3,negtgel!U557:BL557)+SUMIF(negtgel!U$2:BL$2,'Tsalin uzuulelt'!F$4,negtgel!U557:BL557)+SUMIF(negtgel!U$2:BL$2,'Tsalin uzuulelt'!F$5,negtgel!U557:BL557)</f>
      </c>
      <c r="I557">
        <f>SUMIF(negtgel!U$2:BL$2,'Tsalin uzuulelt'!H$1,negtgel!U557:BL557) + SUMIF(negtgel!U$2:BL$2,'Tsalin uzuulelt'!H$2,negtgel!U557:BL557)+SUMIF(negtgel!U$2:BL$2,'Tsalin uzuulelt'!H$3,negtgel!U557:BL557)+SUMIF(negtgel!U$2:BL$2,'Tsalin uzuulelt'!H$4,negtgel!U557:BL557)+SUMIF(negtgel!U$2:BL$2,'Tsalin uzuulelt'!H$5,negtgel!U557:BL557)</f>
      </c>
      <c r="J557">
        <f>SUMIF(negtgel!U$2:BL$2,'Tsalin uzuulelt'!J$1,negtgel!U557:BL557) + SUMIF(negtgel!U$2:BL$2,'Tsalin uzuulelt'!J$2,negtgel!U557:BL557)+SUMIF(negtgel!U$2:BL$2,'Tsalin uzuulelt'!J$3,negtgel!U557:BL557)+SUMIF(negtgel!U$2:BL$2,'Tsalin uzuulelt'!J$4,negtgel!U557:BL557)+SUMIF(negtgel!U$2:BL$2,'Tsalin uzuulelt'!J$5,negtgel!U557:BL557)</f>
      </c>
      <c r="K557">
        <f>SUMIF(negtgel!U$2:BL$2,'Tsalin uzuulelt'!L$1,negtgel!U557:BL557) + SUMIF(negtgel!U$2:BL$2,'Tsalin uzuulelt'!L$2,negtgel!U557:BL557)+SUMIF(negtgel!U$2:BL$2,'Tsalin uzuulelt'!L$3,negtgel!U557:BL557)+SUMIF(negtgel!U$2:BL$2,'Tsalin uzuulelt'!L$4,negtgel!U557:BL557)+SUMIF(negtgel!U$2:BL$2,'Tsalin uzuulelt'!L$5,negtgel!U557:BL557)</f>
      </c>
      <c r="L557">
        <f>SUMIF(negtgel!U$2:BL$2,'Tsalin uzuulelt'!N$1,negtgel!U557:BL557) + SUMIF(negtgel!U$2:BL$2,'Tsalin uzuulelt'!N$2,negtgel!U557:BL557)+SUMIF(negtgel!U$2:BL$2,'Tsalin uzuulelt'!N$3,negtgel!U557:BL557)+SUMIF(negtgel!U$2:BL$2,'Tsalin uzuulelt'!N$4,negtgel!U557:BL557)+SUMIF(negtgel!U$2:BL$2,'Tsalin uzuulelt'!N$5,negtgel!U557:BL557)</f>
      </c>
      <c r="M557">
        <f>SUMIF(negtgel!U$2:BL$2,'Tsalin uzuulelt'!P$1,negtgel!U557:BL557) + SUMIF(negtgel!U$2:BL$2,'Tsalin uzuulelt'!P$2,negtgel!U557:BL557)+ SUMIF(negtgel!U$2:BL$2,'Tsalin uzuulelt'!P$3,negtgel!U557:BL557)+ SUMIF(negtgel!U$2:BL$2,'Tsalin uzuulelt'!P$4,negtgel!U557:BL557)+ SUMIF(negtgel!U$2:BL$2,'Tsalin uzuulelt'!P$5,negtgel!U557:BL557)</f>
      </c>
      <c r="N557">
        <f>IF(ISNUMBER(U557*1)=CF557,0,K557-H557-G557)</f>
      </c>
      <c r="O557">
        <f>IF(ISNUMBER(U557*1)=CF557,0,L557)</f>
      </c>
      <c r="P557">
        <f>IF(ISNUMBER(U557*1)=CF557,0,M557)</f>
      </c>
      <c r="Q557">
        <f>IF(N557&gt;2400000,N557,0)</f>
      </c>
      <c r="R557">
        <f>IF(L557/Q557*100&lt;3,2,10)</f>
      </c>
      <c r="S557">
        <f>IF(CH557=0,0,IF(B557&gt;9,10,IF(B557&gt;8,B557,IF(B557&gt;7.7,7.8,IF(B557&gt;3,B557,IF(B557&gt;1.5,2))))))</f>
      </c>
      <c r="T557">
        <f>IF(Q557=0,S557,R557)</f>
      </c>
      <c r="U557" t="n">
        <v>154.0</v>
      </c>
      <c r="V557" t="s">
        <v>3786</v>
      </c>
      <c r="W557" t="s">
        <v>3785</v>
      </c>
      <c r="X557" t="n">
        <v>627465.0</v>
      </c>
      <c r="Y557" t="n">
        <v>0.0</v>
      </c>
      <c r="Z557" t="n">
        <v>0.0</v>
      </c>
      <c r="AA557" t="n">
        <v>0.0</v>
      </c>
      <c r="AB557" t="n">
        <v>0.0</v>
      </c>
      <c r="AC557" t="n">
        <v>0.0</v>
      </c>
      <c r="AD557" t="n">
        <v>0.0</v>
      </c>
      <c r="AE557" t="n">
        <v>0.0</v>
      </c>
      <c r="AF557" t="n">
        <v>0.0</v>
      </c>
      <c r="AG557" t="n">
        <v>0.0</v>
      </c>
      <c r="AH557" t="n">
        <v>0.0</v>
      </c>
      <c r="AI557" t="n">
        <v>0.0</v>
      </c>
      <c r="AJ557" t="n">
        <v>0.0</v>
      </c>
      <c r="AK557" t="n">
        <v>0.0</v>
      </c>
      <c r="AL557" t="n">
        <v>0.0</v>
      </c>
      <c r="AM557" t="n">
        <v>0.0</v>
      </c>
      <c r="AN557" t="n">
        <v>0.0</v>
      </c>
      <c r="AO557" t="n">
        <v>0.0</v>
      </c>
      <c r="AP557" t="n">
        <v>0.0</v>
      </c>
      <c r="AQ557" t="n">
        <v>0.0</v>
      </c>
      <c r="CH557">
        <f>IFERROR(U557*1,0)</f>
      </c>
    </row>
    <row r="558">
      <c r="A558" t="n">
        <v>8.0</v>
      </c>
      <c r="B558">
        <f>IF((K558-G558-H558&gt;2400000),10,(L558/(K558-G558-H558)*100))</f>
      </c>
      <c r="C558">
        <f>IF(N558&gt;2400000,240000,(N558*S558)/100)</f>
      </c>
      <c r="D558">
        <f>IF(S558=0,0,IF((N558-I558)&gt;2400000,((((((N558-I558-J558)-240000))*0.1+(I558+J558)*0.1)))-7000,((((((N558-I558-J558)-(N558-I558-J558)*S558/100)))*0.1+(I558+J558)*0.1)-7000)))</f>
      </c>
      <c r="E558">
        <f>C558-O558</f>
      </c>
      <c r="F558">
        <f>D558-P558</f>
      </c>
      <c r="G558">
        <f>SUMIF(negtgel!U$2:BL$2,'Tsalin uzuulelt'!B$1,negtgel!U558:BL558) + SUMIF(negtgel!U$2:BL$2,'Tsalin uzuulelt'!B$2,negtgel!U558:BL558)+SUMIF(negtgel!U$2:BL$2,'Tsalin uzuulelt'!B$3,negtgel!U558:BL558)+SUMIF(negtgel!U$2:BL$2,'Tsalin uzuulelt'!B$4,negtgel!U558:BL558)+SUMIF(negtgel!U$2:BL$2,'Tsalin uzuulelt'!B$5,negtgel!U558:BL558)</f>
      </c>
      <c r="H558">
        <f>SUMIF(negtgel!U$2:BL$2,'Tsalin uzuulelt'!F$1,negtgel!U558:BL558) + SUMIF(negtgel!U$2:BL$2,'Tsalin uzuulelt'!F$2,negtgel!U558:BL558)+SUMIF(negtgel!U$2:BL$2,'Tsalin uzuulelt'!F$3,negtgel!U558:BL558)+SUMIF(negtgel!U$2:BL$2,'Tsalin uzuulelt'!F$4,negtgel!U558:BL558)+SUMIF(negtgel!U$2:BL$2,'Tsalin uzuulelt'!F$5,negtgel!U558:BL558)</f>
      </c>
      <c r="I558">
        <f>SUMIF(negtgel!U$2:BL$2,'Tsalin uzuulelt'!H$1,negtgel!U558:BL558) + SUMIF(negtgel!U$2:BL$2,'Tsalin uzuulelt'!H$2,negtgel!U558:BL558)+SUMIF(negtgel!U$2:BL$2,'Tsalin uzuulelt'!H$3,negtgel!U558:BL558)+SUMIF(negtgel!U$2:BL$2,'Tsalin uzuulelt'!H$4,negtgel!U558:BL558)+SUMIF(negtgel!U$2:BL$2,'Tsalin uzuulelt'!H$5,negtgel!U558:BL558)</f>
      </c>
      <c r="J558">
        <f>SUMIF(negtgel!U$2:BL$2,'Tsalin uzuulelt'!J$1,negtgel!U558:BL558) + SUMIF(negtgel!U$2:BL$2,'Tsalin uzuulelt'!J$2,negtgel!U558:BL558)+SUMIF(negtgel!U$2:BL$2,'Tsalin uzuulelt'!J$3,negtgel!U558:BL558)+SUMIF(negtgel!U$2:BL$2,'Tsalin uzuulelt'!J$4,negtgel!U558:BL558)+SUMIF(negtgel!U$2:BL$2,'Tsalin uzuulelt'!J$5,negtgel!U558:BL558)</f>
      </c>
      <c r="K558">
        <f>SUMIF(negtgel!U$2:BL$2,'Tsalin uzuulelt'!L$1,negtgel!U558:BL558) + SUMIF(negtgel!U$2:BL$2,'Tsalin uzuulelt'!L$2,negtgel!U558:BL558)+SUMIF(negtgel!U$2:BL$2,'Tsalin uzuulelt'!L$3,negtgel!U558:BL558)+SUMIF(negtgel!U$2:BL$2,'Tsalin uzuulelt'!L$4,negtgel!U558:BL558)+SUMIF(negtgel!U$2:BL$2,'Tsalin uzuulelt'!L$5,negtgel!U558:BL558)</f>
      </c>
      <c r="L558">
        <f>SUMIF(negtgel!U$2:BL$2,'Tsalin uzuulelt'!N$1,negtgel!U558:BL558) + SUMIF(negtgel!U$2:BL$2,'Tsalin uzuulelt'!N$2,negtgel!U558:BL558)+SUMIF(negtgel!U$2:BL$2,'Tsalin uzuulelt'!N$3,negtgel!U558:BL558)+SUMIF(negtgel!U$2:BL$2,'Tsalin uzuulelt'!N$4,negtgel!U558:BL558)+SUMIF(negtgel!U$2:BL$2,'Tsalin uzuulelt'!N$5,negtgel!U558:BL558)</f>
      </c>
      <c r="M558">
        <f>SUMIF(negtgel!U$2:BL$2,'Tsalin uzuulelt'!P$1,negtgel!U558:BL558) + SUMIF(negtgel!U$2:BL$2,'Tsalin uzuulelt'!P$2,negtgel!U558:BL558)+ SUMIF(negtgel!U$2:BL$2,'Tsalin uzuulelt'!P$3,negtgel!U558:BL558)+ SUMIF(negtgel!U$2:BL$2,'Tsalin uzuulelt'!P$4,negtgel!U558:BL558)+ SUMIF(negtgel!U$2:BL$2,'Tsalin uzuulelt'!P$5,negtgel!U558:BL558)</f>
      </c>
      <c r="N558">
        <f>IF(ISNUMBER(U558*1)=CF558,0,K558-H558-G558)</f>
      </c>
      <c r="O558">
        <f>IF(ISNUMBER(U558*1)=CF558,0,L558)</f>
      </c>
      <c r="P558">
        <f>IF(ISNUMBER(U558*1)=CF558,0,M558)</f>
      </c>
      <c r="Q558">
        <f>IF(N558&gt;2400000,N558,0)</f>
      </c>
      <c r="R558">
        <f>IF(L558/Q558*100&lt;3,2,10)</f>
      </c>
      <c r="S558">
        <f>IF(CH558=0,0,IF(B558&gt;9,10,IF(B558&gt;8,B558,IF(B558&gt;7.7,7.8,IF(B558&gt;3,B558,IF(B558&gt;1.5,2))))))</f>
      </c>
      <c r="T558">
        <f>IF(Q558=0,S558,R558)</f>
      </c>
      <c r="U558" t="n">
        <v>155.0</v>
      </c>
      <c r="V558" t="s">
        <v>3860</v>
      </c>
      <c r="W558" t="s">
        <v>3790</v>
      </c>
      <c r="X558" t="n">
        <v>547759.0</v>
      </c>
      <c r="Y558" t="n">
        <v>0.0</v>
      </c>
      <c r="Z558" t="n">
        <v>0.0</v>
      </c>
      <c r="AA558" t="n">
        <v>0.0</v>
      </c>
      <c r="AB558" t="n">
        <v>0.0</v>
      </c>
      <c r="AC558" t="n">
        <v>0.0</v>
      </c>
      <c r="AD558" t="n">
        <v>0.0</v>
      </c>
      <c r="AE558" t="n">
        <v>0.0</v>
      </c>
      <c r="AF558" t="n">
        <v>0.0</v>
      </c>
      <c r="AG558" t="n">
        <v>0.0</v>
      </c>
      <c r="AH558" t="n">
        <v>0.0</v>
      </c>
      <c r="AI558" t="n">
        <v>0.0</v>
      </c>
      <c r="AJ558" t="n">
        <v>0.0</v>
      </c>
      <c r="AK558" t="n">
        <v>0.0</v>
      </c>
      <c r="AL558" t="n">
        <v>0.0</v>
      </c>
      <c r="AM558" t="n">
        <v>0.0</v>
      </c>
      <c r="AN558" t="n">
        <v>0.0</v>
      </c>
      <c r="AO558" t="n">
        <v>0.0</v>
      </c>
      <c r="AP558" t="n">
        <v>0.0</v>
      </c>
      <c r="AQ558" t="n">
        <v>0.0</v>
      </c>
      <c r="CH558">
        <f>IFERROR(U558*1,0)</f>
      </c>
    </row>
    <row r="559">
      <c r="A559" t="n">
        <v>8.0</v>
      </c>
      <c r="B559">
        <f>IF((K559-G559-H559&gt;2400000),10,(L559/(K559-G559-H559)*100))</f>
      </c>
      <c r="C559">
        <f>IF(N559&gt;2400000,240000,(N559*S559)/100)</f>
      </c>
      <c r="D559">
        <f>IF(S559=0,0,IF((N559-I559)&gt;2400000,((((((N559-I559-J559)-240000))*0.1+(I559+J559)*0.1)))-7000,((((((N559-I559-J559)-(N559-I559-J559)*S559/100)))*0.1+(I559+J559)*0.1)-7000)))</f>
      </c>
      <c r="E559">
        <f>C559-O559</f>
      </c>
      <c r="F559">
        <f>D559-P559</f>
      </c>
      <c r="G559">
        <f>SUMIF(negtgel!U$2:BL$2,'Tsalin uzuulelt'!B$1,negtgel!U559:BL559) + SUMIF(negtgel!U$2:BL$2,'Tsalin uzuulelt'!B$2,negtgel!U559:BL559)+SUMIF(negtgel!U$2:BL$2,'Tsalin uzuulelt'!B$3,negtgel!U559:BL559)+SUMIF(negtgel!U$2:BL$2,'Tsalin uzuulelt'!B$4,negtgel!U559:BL559)+SUMIF(negtgel!U$2:BL$2,'Tsalin uzuulelt'!B$5,negtgel!U559:BL559)</f>
      </c>
      <c r="H559">
        <f>SUMIF(negtgel!U$2:BL$2,'Tsalin uzuulelt'!F$1,negtgel!U559:BL559) + SUMIF(negtgel!U$2:BL$2,'Tsalin uzuulelt'!F$2,negtgel!U559:BL559)+SUMIF(negtgel!U$2:BL$2,'Tsalin uzuulelt'!F$3,negtgel!U559:BL559)+SUMIF(negtgel!U$2:BL$2,'Tsalin uzuulelt'!F$4,negtgel!U559:BL559)+SUMIF(negtgel!U$2:BL$2,'Tsalin uzuulelt'!F$5,negtgel!U559:BL559)</f>
      </c>
      <c r="I559">
        <f>SUMIF(negtgel!U$2:BL$2,'Tsalin uzuulelt'!H$1,negtgel!U559:BL559) + SUMIF(negtgel!U$2:BL$2,'Tsalin uzuulelt'!H$2,negtgel!U559:BL559)+SUMIF(negtgel!U$2:BL$2,'Tsalin uzuulelt'!H$3,negtgel!U559:BL559)+SUMIF(negtgel!U$2:BL$2,'Tsalin uzuulelt'!H$4,negtgel!U559:BL559)+SUMIF(negtgel!U$2:BL$2,'Tsalin uzuulelt'!H$5,negtgel!U559:BL559)</f>
      </c>
      <c r="J559">
        <f>SUMIF(negtgel!U$2:BL$2,'Tsalin uzuulelt'!J$1,negtgel!U559:BL559) + SUMIF(negtgel!U$2:BL$2,'Tsalin uzuulelt'!J$2,negtgel!U559:BL559)+SUMIF(negtgel!U$2:BL$2,'Tsalin uzuulelt'!J$3,negtgel!U559:BL559)+SUMIF(negtgel!U$2:BL$2,'Tsalin uzuulelt'!J$4,negtgel!U559:BL559)+SUMIF(negtgel!U$2:BL$2,'Tsalin uzuulelt'!J$5,negtgel!U559:BL559)</f>
      </c>
      <c r="K559">
        <f>SUMIF(negtgel!U$2:BL$2,'Tsalin uzuulelt'!L$1,negtgel!U559:BL559) + SUMIF(negtgel!U$2:BL$2,'Tsalin uzuulelt'!L$2,negtgel!U559:BL559)+SUMIF(negtgel!U$2:BL$2,'Tsalin uzuulelt'!L$3,negtgel!U559:BL559)+SUMIF(negtgel!U$2:BL$2,'Tsalin uzuulelt'!L$4,negtgel!U559:BL559)+SUMIF(negtgel!U$2:BL$2,'Tsalin uzuulelt'!L$5,negtgel!U559:BL559)</f>
      </c>
      <c r="L559">
        <f>SUMIF(negtgel!U$2:BL$2,'Tsalin uzuulelt'!N$1,negtgel!U559:BL559) + SUMIF(negtgel!U$2:BL$2,'Tsalin uzuulelt'!N$2,negtgel!U559:BL559)+SUMIF(negtgel!U$2:BL$2,'Tsalin uzuulelt'!N$3,negtgel!U559:BL559)+SUMIF(negtgel!U$2:BL$2,'Tsalin uzuulelt'!N$4,negtgel!U559:BL559)+SUMIF(negtgel!U$2:BL$2,'Tsalin uzuulelt'!N$5,negtgel!U559:BL559)</f>
      </c>
      <c r="M559">
        <f>SUMIF(negtgel!U$2:BL$2,'Tsalin uzuulelt'!P$1,negtgel!U559:BL559) + SUMIF(negtgel!U$2:BL$2,'Tsalin uzuulelt'!P$2,negtgel!U559:BL559)+ SUMIF(negtgel!U$2:BL$2,'Tsalin uzuulelt'!P$3,negtgel!U559:BL559)+ SUMIF(negtgel!U$2:BL$2,'Tsalin uzuulelt'!P$4,negtgel!U559:BL559)+ SUMIF(negtgel!U$2:BL$2,'Tsalin uzuulelt'!P$5,negtgel!U559:BL559)</f>
      </c>
      <c r="N559">
        <f>IF(ISNUMBER(U559*1)=CF559,0,K559-H559-G559)</f>
      </c>
      <c r="O559">
        <f>IF(ISNUMBER(U559*1)=CF559,0,L559)</f>
      </c>
      <c r="P559">
        <f>IF(ISNUMBER(U559*1)=CF559,0,M559)</f>
      </c>
      <c r="Q559">
        <f>IF(N559&gt;2400000,N559,0)</f>
      </c>
      <c r="R559">
        <f>IF(L559/Q559*100&lt;3,2,10)</f>
      </c>
      <c r="S559">
        <f>IF(CH559=0,0,IF(B559&gt;9,10,IF(B559&gt;8,B559,IF(B559&gt;7.7,7.8,IF(B559&gt;3,B559,IF(B559&gt;1.5,2))))))</f>
      </c>
      <c r="T559">
        <f>IF(Q559=0,S559,R559)</f>
      </c>
      <c r="U559" t="n">
        <v>156.0</v>
      </c>
      <c r="V559" t="s">
        <v>3844</v>
      </c>
      <c r="W559" t="s">
        <v>3790</v>
      </c>
      <c r="X559" t="n">
        <v>677436.0</v>
      </c>
      <c r="Y559" t="n">
        <v>0.0</v>
      </c>
      <c r="Z559" t="n">
        <v>0.0</v>
      </c>
      <c r="AA559" t="n">
        <v>0.0</v>
      </c>
      <c r="AB559" t="n">
        <v>0.0</v>
      </c>
      <c r="AC559" t="n">
        <v>0.0</v>
      </c>
      <c r="AD559" t="n">
        <v>0.0</v>
      </c>
      <c r="AE559" t="n">
        <v>0.0</v>
      </c>
      <c r="AF559" t="n">
        <v>0.0</v>
      </c>
      <c r="AG559" t="n">
        <v>0.0</v>
      </c>
      <c r="AH559" t="n">
        <v>0.0</v>
      </c>
      <c r="AI559" t="n">
        <v>0.0</v>
      </c>
      <c r="AJ559" t="n">
        <v>0.0</v>
      </c>
      <c r="AK559" t="n">
        <v>0.0</v>
      </c>
      <c r="AL559" t="n">
        <v>0.0</v>
      </c>
      <c r="AM559" t="n">
        <v>0.0</v>
      </c>
      <c r="AN559" t="n">
        <v>0.0</v>
      </c>
      <c r="AO559" t="n">
        <v>0.0</v>
      </c>
      <c r="AP559" t="n">
        <v>0.0</v>
      </c>
      <c r="AQ559" t="n">
        <v>0.0</v>
      </c>
      <c r="CH559">
        <f>IFERROR(U559*1,0)</f>
      </c>
    </row>
    <row r="560">
      <c r="A560" t="n">
        <v>8.0</v>
      </c>
      <c r="B560">
        <f>IF((K560-G560-H560&gt;2400000),10,(L560/(K560-G560-H560)*100))</f>
      </c>
      <c r="C560">
        <f>IF(N560&gt;2400000,240000,(N560*S560)/100)</f>
      </c>
      <c r="D560">
        <f>IF(S560=0,0,IF((N560-I560)&gt;2400000,((((((N560-I560-J560)-240000))*0.1+(I560+J560)*0.1)))-7000,((((((N560-I560-J560)-(N560-I560-J560)*S560/100)))*0.1+(I560+J560)*0.1)-7000)))</f>
      </c>
      <c r="E560">
        <f>C560-O560</f>
      </c>
      <c r="F560">
        <f>D560-P560</f>
      </c>
      <c r="G560">
        <f>SUMIF(negtgel!U$2:BL$2,'Tsalin uzuulelt'!B$1,negtgel!U560:BL560) + SUMIF(negtgel!U$2:BL$2,'Tsalin uzuulelt'!B$2,negtgel!U560:BL560)+SUMIF(negtgel!U$2:BL$2,'Tsalin uzuulelt'!B$3,negtgel!U560:BL560)+SUMIF(negtgel!U$2:BL$2,'Tsalin uzuulelt'!B$4,negtgel!U560:BL560)+SUMIF(negtgel!U$2:BL$2,'Tsalin uzuulelt'!B$5,negtgel!U560:BL560)</f>
      </c>
      <c r="H560">
        <f>SUMIF(negtgel!U$2:BL$2,'Tsalin uzuulelt'!F$1,negtgel!U560:BL560) + SUMIF(negtgel!U$2:BL$2,'Tsalin uzuulelt'!F$2,negtgel!U560:BL560)+SUMIF(negtgel!U$2:BL$2,'Tsalin uzuulelt'!F$3,negtgel!U560:BL560)+SUMIF(negtgel!U$2:BL$2,'Tsalin uzuulelt'!F$4,negtgel!U560:BL560)+SUMIF(negtgel!U$2:BL$2,'Tsalin uzuulelt'!F$5,negtgel!U560:BL560)</f>
      </c>
      <c r="I560">
        <f>SUMIF(negtgel!U$2:BL$2,'Tsalin uzuulelt'!H$1,negtgel!U560:BL560) + SUMIF(negtgel!U$2:BL$2,'Tsalin uzuulelt'!H$2,negtgel!U560:BL560)+SUMIF(negtgel!U$2:BL$2,'Tsalin uzuulelt'!H$3,negtgel!U560:BL560)+SUMIF(negtgel!U$2:BL$2,'Tsalin uzuulelt'!H$4,negtgel!U560:BL560)+SUMIF(negtgel!U$2:BL$2,'Tsalin uzuulelt'!H$5,negtgel!U560:BL560)</f>
      </c>
      <c r="J560">
        <f>SUMIF(negtgel!U$2:BL$2,'Tsalin uzuulelt'!J$1,negtgel!U560:BL560) + SUMIF(negtgel!U$2:BL$2,'Tsalin uzuulelt'!J$2,negtgel!U560:BL560)+SUMIF(negtgel!U$2:BL$2,'Tsalin uzuulelt'!J$3,negtgel!U560:BL560)+SUMIF(negtgel!U$2:BL$2,'Tsalin uzuulelt'!J$4,negtgel!U560:BL560)+SUMIF(negtgel!U$2:BL$2,'Tsalin uzuulelt'!J$5,negtgel!U560:BL560)</f>
      </c>
      <c r="K560">
        <f>SUMIF(negtgel!U$2:BL$2,'Tsalin uzuulelt'!L$1,negtgel!U560:BL560) + SUMIF(negtgel!U$2:BL$2,'Tsalin uzuulelt'!L$2,negtgel!U560:BL560)+SUMIF(negtgel!U$2:BL$2,'Tsalin uzuulelt'!L$3,negtgel!U560:BL560)+SUMIF(negtgel!U$2:BL$2,'Tsalin uzuulelt'!L$4,negtgel!U560:BL560)+SUMIF(negtgel!U$2:BL$2,'Tsalin uzuulelt'!L$5,negtgel!U560:BL560)</f>
      </c>
      <c r="L560">
        <f>SUMIF(negtgel!U$2:BL$2,'Tsalin uzuulelt'!N$1,negtgel!U560:BL560) + SUMIF(negtgel!U$2:BL$2,'Tsalin uzuulelt'!N$2,negtgel!U560:BL560)+SUMIF(negtgel!U$2:BL$2,'Tsalin uzuulelt'!N$3,negtgel!U560:BL560)+SUMIF(negtgel!U$2:BL$2,'Tsalin uzuulelt'!N$4,negtgel!U560:BL560)+SUMIF(negtgel!U$2:BL$2,'Tsalin uzuulelt'!N$5,negtgel!U560:BL560)</f>
      </c>
      <c r="M560">
        <f>SUMIF(negtgel!U$2:BL$2,'Tsalin uzuulelt'!P$1,negtgel!U560:BL560) + SUMIF(negtgel!U$2:BL$2,'Tsalin uzuulelt'!P$2,negtgel!U560:BL560)+ SUMIF(negtgel!U$2:BL$2,'Tsalin uzuulelt'!P$3,negtgel!U560:BL560)+ SUMIF(negtgel!U$2:BL$2,'Tsalin uzuulelt'!P$4,negtgel!U560:BL560)+ SUMIF(negtgel!U$2:BL$2,'Tsalin uzuulelt'!P$5,negtgel!U560:BL560)</f>
      </c>
      <c r="N560">
        <f>IF(ISNUMBER(U560*1)=CF560,0,K560-H560-G560)</f>
      </c>
      <c r="O560">
        <f>IF(ISNUMBER(U560*1)=CF560,0,L560)</f>
      </c>
      <c r="P560">
        <f>IF(ISNUMBER(U560*1)=CF560,0,M560)</f>
      </c>
      <c r="Q560">
        <f>IF(N560&gt;2400000,N560,0)</f>
      </c>
      <c r="R560">
        <f>IF(L560/Q560*100&lt;3,2,10)</f>
      </c>
      <c r="S560">
        <f>IF(CH560=0,0,IF(B560&gt;9,10,IF(B560&gt;8,B560,IF(B560&gt;7.7,7.8,IF(B560&gt;3,B560,IF(B560&gt;1.5,2))))))</f>
      </c>
      <c r="T560">
        <f>IF(Q560=0,S560,R560)</f>
      </c>
      <c r="U560" t="n">
        <v>157.0</v>
      </c>
      <c r="V560" t="s">
        <v>3845</v>
      </c>
      <c r="W560" t="s">
        <v>3790</v>
      </c>
      <c r="X560" t="n">
        <v>677436.0</v>
      </c>
      <c r="Y560" t="n">
        <v>0.0</v>
      </c>
      <c r="Z560" t="n">
        <v>0.0</v>
      </c>
      <c r="AA560" t="n">
        <v>0.0</v>
      </c>
      <c r="AB560" t="n">
        <v>0.0</v>
      </c>
      <c r="AC560" t="n">
        <v>0.0</v>
      </c>
      <c r="AD560" t="n">
        <v>0.0</v>
      </c>
      <c r="AE560" t="n">
        <v>0.0</v>
      </c>
      <c r="AF560" t="n">
        <v>0.0</v>
      </c>
      <c r="AG560" t="n">
        <v>0.0</v>
      </c>
      <c r="AH560" t="n">
        <v>0.0</v>
      </c>
      <c r="AI560" t="n">
        <v>0.0</v>
      </c>
      <c r="AJ560" t="n">
        <v>0.0</v>
      </c>
      <c r="AK560" t="n">
        <v>0.0</v>
      </c>
      <c r="AL560" t="n">
        <v>0.0</v>
      </c>
      <c r="AM560" t="n">
        <v>0.0</v>
      </c>
      <c r="AN560" t="n">
        <v>0.0</v>
      </c>
      <c r="AO560" t="n">
        <v>0.0</v>
      </c>
      <c r="AP560" t="n">
        <v>0.0</v>
      </c>
      <c r="AQ560" t="n">
        <v>0.0</v>
      </c>
      <c r="CH560">
        <f>IFERROR(U560*1,0)</f>
      </c>
    </row>
    <row r="563">
      <c r="A563" t="n">
        <v>9.0</v>
      </c>
      <c r="B563">
        <f>IF((K563-G563-H563&gt;2400000),10,(L563/(K563-G563-H563)*100))</f>
      </c>
      <c r="C563">
        <f>IF(N563&gt;2400000,240000,(N563*S563)/100)</f>
      </c>
      <c r="D563">
        <f>IF(S563=0,0,IF((N563-I563)&gt;2400000,((((((N563-I563-J563)-240000))*0.1+(I563+J563)*0.1)))-7000,((((((N563-I563-J563)-(N563-I563-J563)*S563/100)))*0.1+(I563+J563)*0.1)-7000)))</f>
      </c>
      <c r="E563">
        <f>C563-O563</f>
      </c>
      <c r="F563">
        <f>D563-P563</f>
      </c>
      <c r="G563">
        <f>SUMIF(negtgel!U$2:BL$2,'Tsalin uzuulelt'!B$1,negtgel!U563:BL563) + SUMIF(negtgel!U$2:BL$2,'Tsalin uzuulelt'!B$2,negtgel!U563:BL563)+SUMIF(negtgel!U$2:BL$2,'Tsalin uzuulelt'!B$3,negtgel!U563:BL563)+SUMIF(negtgel!U$2:BL$2,'Tsalin uzuulelt'!B$4,negtgel!U563:BL563)+SUMIF(negtgel!U$2:BL$2,'Tsalin uzuulelt'!B$5,negtgel!U563:BL563)</f>
      </c>
      <c r="H563">
        <f>SUMIF(negtgel!U$2:BL$2,'Tsalin uzuulelt'!F$1,negtgel!U563:BL563) + SUMIF(negtgel!U$2:BL$2,'Tsalin uzuulelt'!F$2,negtgel!U563:BL563)+SUMIF(negtgel!U$2:BL$2,'Tsalin uzuulelt'!F$3,negtgel!U563:BL563)+SUMIF(negtgel!U$2:BL$2,'Tsalin uzuulelt'!F$4,negtgel!U563:BL563)+SUMIF(negtgel!U$2:BL$2,'Tsalin uzuulelt'!F$5,negtgel!U563:BL563)</f>
      </c>
      <c r="I563">
        <f>SUMIF(negtgel!U$2:BL$2,'Tsalin uzuulelt'!H$1,negtgel!U563:BL563) + SUMIF(negtgel!U$2:BL$2,'Tsalin uzuulelt'!H$2,negtgel!U563:BL563)+SUMIF(negtgel!U$2:BL$2,'Tsalin uzuulelt'!H$3,negtgel!U563:BL563)+SUMIF(negtgel!U$2:BL$2,'Tsalin uzuulelt'!H$4,negtgel!U563:BL563)+SUMIF(negtgel!U$2:BL$2,'Tsalin uzuulelt'!H$5,negtgel!U563:BL563)</f>
      </c>
      <c r="J563">
        <f>SUMIF(negtgel!U$2:BL$2,'Tsalin uzuulelt'!J$1,negtgel!U563:BL563) + SUMIF(negtgel!U$2:BL$2,'Tsalin uzuulelt'!J$2,negtgel!U563:BL563)+SUMIF(negtgel!U$2:BL$2,'Tsalin uzuulelt'!J$3,negtgel!U563:BL563)+SUMIF(negtgel!U$2:BL$2,'Tsalin uzuulelt'!J$4,negtgel!U563:BL563)+SUMIF(negtgel!U$2:BL$2,'Tsalin uzuulelt'!J$5,negtgel!U563:BL563)</f>
      </c>
      <c r="K563">
        <f>SUMIF(negtgel!U$2:BL$2,'Tsalin uzuulelt'!L$1,negtgel!U563:BL563) + SUMIF(negtgel!U$2:BL$2,'Tsalin uzuulelt'!L$2,negtgel!U563:BL563)+SUMIF(negtgel!U$2:BL$2,'Tsalin uzuulelt'!L$3,negtgel!U563:BL563)+SUMIF(negtgel!U$2:BL$2,'Tsalin uzuulelt'!L$4,negtgel!U563:BL563)+SUMIF(negtgel!U$2:BL$2,'Tsalin uzuulelt'!L$5,negtgel!U563:BL563)</f>
      </c>
      <c r="L563">
        <f>SUMIF(negtgel!U$2:BL$2,'Tsalin uzuulelt'!N$1,negtgel!U563:BL563) + SUMIF(negtgel!U$2:BL$2,'Tsalin uzuulelt'!N$2,negtgel!U563:BL563)+SUMIF(negtgel!U$2:BL$2,'Tsalin uzuulelt'!N$3,negtgel!U563:BL563)+SUMIF(negtgel!U$2:BL$2,'Tsalin uzuulelt'!N$4,negtgel!U563:BL563)+SUMIF(negtgel!U$2:BL$2,'Tsalin uzuulelt'!N$5,negtgel!U563:BL563)</f>
      </c>
      <c r="M563">
        <f>SUMIF(negtgel!U$2:BL$2,'Tsalin uzuulelt'!P$1,negtgel!U563:BL563) + SUMIF(negtgel!U$2:BL$2,'Tsalin uzuulelt'!P$2,negtgel!U563:BL563)+ SUMIF(negtgel!U$2:BL$2,'Tsalin uzuulelt'!P$3,negtgel!U563:BL563)+ SUMIF(negtgel!U$2:BL$2,'Tsalin uzuulelt'!P$4,negtgel!U563:BL563)+ SUMIF(negtgel!U$2:BL$2,'Tsalin uzuulelt'!P$5,negtgel!U563:BL563)</f>
      </c>
      <c r="N563">
        <f>IF(ISNUMBER(U563*1)=CF563,0,K563-H563-G563)</f>
      </c>
      <c r="O563">
        <f>IF(ISNUMBER(U563*1)=CF563,0,L563)</f>
      </c>
      <c r="P563">
        <f>IF(ISNUMBER(U563*1)=CF563,0,M563)</f>
      </c>
      <c r="Q563">
        <f>IF(N563&gt;2400000,N563,0)</f>
      </c>
      <c r="R563">
        <f>IF(L563/Q563*100&lt;3,2,10)</f>
      </c>
      <c r="S563">
        <f>IF(CH563=0,0,IF(B563&gt;9,10,IF(B563&gt;8,B563,IF(B563&gt;7.7,7.8,IF(B563&gt;3,B563,IF(B563&gt;1.5,2))))))</f>
      </c>
      <c r="T563">
        <f>IF(Q563=0,S563,R563)</f>
      </c>
      <c r="U563" t="s">
        <v>3781</v>
      </c>
      <c r="V563"/>
      <c r="W563"/>
      <c r="X563"/>
      <c r="Y563"/>
      <c r="Z563"/>
      <c r="AA563"/>
      <c r="AB563"/>
      <c r="AC563"/>
      <c r="AD563"/>
      <c r="AE563"/>
      <c r="AF563"/>
      <c r="AG563"/>
      <c r="AH563"/>
      <c r="AI563"/>
      <c r="AJ563"/>
      <c r="AK563"/>
      <c r="AL563"/>
      <c r="AM563"/>
      <c r="AN563"/>
      <c r="AO563"/>
      <c r="AP563"/>
      <c r="AQ563"/>
      <c r="CH563">
        <f>IFERROR(U563*1,0)</f>
      </c>
    </row>
    <row r="564">
      <c r="A564" t="n">
        <v>9.0</v>
      </c>
      <c r="B564">
        <f>IF((K564-G564-H564&gt;2400000),10,(L564/(K564-G564-H564)*100))</f>
      </c>
      <c r="C564">
        <f>IF(N564&gt;2400000,240000,(N564*S564)/100)</f>
      </c>
      <c r="D564">
        <f>IF(S564=0,0,IF((N564-I564)&gt;2400000,((((((N564-I564-J564)-240000))*0.1+(I564+J564)*0.1)))-7000,((((((N564-I564-J564)-(N564-I564-J564)*S564/100)))*0.1+(I564+J564)*0.1)-7000)))</f>
      </c>
      <c r="E564">
        <f>C564-O564</f>
      </c>
      <c r="F564">
        <f>D564-P564</f>
      </c>
      <c r="G564">
        <f>SUMIF(negtgel!U$2:BL$2,'Tsalin uzuulelt'!B$1,negtgel!U564:BL564) + SUMIF(negtgel!U$2:BL$2,'Tsalin uzuulelt'!B$2,negtgel!U564:BL564)+SUMIF(negtgel!U$2:BL$2,'Tsalin uzuulelt'!B$3,negtgel!U564:BL564)+SUMIF(negtgel!U$2:BL$2,'Tsalin uzuulelt'!B$4,negtgel!U564:BL564)+SUMIF(negtgel!U$2:BL$2,'Tsalin uzuulelt'!B$5,negtgel!U564:BL564)</f>
      </c>
      <c r="H564">
        <f>SUMIF(negtgel!U$2:BL$2,'Tsalin uzuulelt'!F$1,negtgel!U564:BL564) + SUMIF(negtgel!U$2:BL$2,'Tsalin uzuulelt'!F$2,negtgel!U564:BL564)+SUMIF(negtgel!U$2:BL$2,'Tsalin uzuulelt'!F$3,negtgel!U564:BL564)+SUMIF(negtgel!U$2:BL$2,'Tsalin uzuulelt'!F$4,negtgel!U564:BL564)+SUMIF(negtgel!U$2:BL$2,'Tsalin uzuulelt'!F$5,negtgel!U564:BL564)</f>
      </c>
      <c r="I564">
        <f>SUMIF(negtgel!U$2:BL$2,'Tsalin uzuulelt'!H$1,negtgel!U564:BL564) + SUMIF(negtgel!U$2:BL$2,'Tsalin uzuulelt'!H$2,negtgel!U564:BL564)+SUMIF(negtgel!U$2:BL$2,'Tsalin uzuulelt'!H$3,negtgel!U564:BL564)+SUMIF(negtgel!U$2:BL$2,'Tsalin uzuulelt'!H$4,negtgel!U564:BL564)+SUMIF(negtgel!U$2:BL$2,'Tsalin uzuulelt'!H$5,negtgel!U564:BL564)</f>
      </c>
      <c r="J564">
        <f>SUMIF(negtgel!U$2:BL$2,'Tsalin uzuulelt'!J$1,negtgel!U564:BL564) + SUMIF(negtgel!U$2:BL$2,'Tsalin uzuulelt'!J$2,negtgel!U564:BL564)+SUMIF(negtgel!U$2:BL$2,'Tsalin uzuulelt'!J$3,negtgel!U564:BL564)+SUMIF(negtgel!U$2:BL$2,'Tsalin uzuulelt'!J$4,negtgel!U564:BL564)+SUMIF(negtgel!U$2:BL$2,'Tsalin uzuulelt'!J$5,negtgel!U564:BL564)</f>
      </c>
      <c r="K564">
        <f>SUMIF(negtgel!U$2:BL$2,'Tsalin uzuulelt'!L$1,negtgel!U564:BL564) + SUMIF(negtgel!U$2:BL$2,'Tsalin uzuulelt'!L$2,negtgel!U564:BL564)+SUMIF(negtgel!U$2:BL$2,'Tsalin uzuulelt'!L$3,negtgel!U564:BL564)+SUMIF(negtgel!U$2:BL$2,'Tsalin uzuulelt'!L$4,negtgel!U564:BL564)+SUMIF(negtgel!U$2:BL$2,'Tsalin uzuulelt'!L$5,negtgel!U564:BL564)</f>
      </c>
      <c r="L564">
        <f>SUMIF(negtgel!U$2:BL$2,'Tsalin uzuulelt'!N$1,negtgel!U564:BL564) + SUMIF(negtgel!U$2:BL$2,'Tsalin uzuulelt'!N$2,negtgel!U564:BL564)+SUMIF(negtgel!U$2:BL$2,'Tsalin uzuulelt'!N$3,negtgel!U564:BL564)+SUMIF(negtgel!U$2:BL$2,'Tsalin uzuulelt'!N$4,negtgel!U564:BL564)+SUMIF(negtgel!U$2:BL$2,'Tsalin uzuulelt'!N$5,negtgel!U564:BL564)</f>
      </c>
      <c r="M564">
        <f>SUMIF(negtgel!U$2:BL$2,'Tsalin uzuulelt'!P$1,negtgel!U564:BL564) + SUMIF(negtgel!U$2:BL$2,'Tsalin uzuulelt'!P$2,negtgel!U564:BL564)+ SUMIF(negtgel!U$2:BL$2,'Tsalin uzuulelt'!P$3,negtgel!U564:BL564)+ SUMIF(negtgel!U$2:BL$2,'Tsalin uzuulelt'!P$4,negtgel!U564:BL564)+ SUMIF(negtgel!U$2:BL$2,'Tsalin uzuulelt'!P$5,negtgel!U564:BL564)</f>
      </c>
      <c r="N564">
        <f>IF(ISNUMBER(U564*1)=CF564,0,K564-H564-G564)</f>
      </c>
      <c r="O564">
        <f>IF(ISNUMBER(U564*1)=CF564,0,L564)</f>
      </c>
      <c r="P564">
        <f>IF(ISNUMBER(U564*1)=CF564,0,M564)</f>
      </c>
      <c r="Q564">
        <f>IF(N564&gt;2400000,N564,0)</f>
      </c>
      <c r="R564">
        <f>IF(L564/Q564*100&lt;3,2,10)</f>
      </c>
      <c r="S564">
        <f>IF(CH564=0,0,IF(B564&gt;9,10,IF(B564&gt;8,B564,IF(B564&gt;7.7,7.8,IF(B564&gt;3,B564,IF(B564&gt;1.5,2))))))</f>
      </c>
      <c r="T564">
        <f>IF(Q564=0,S564,R564)</f>
      </c>
      <c r="U564" t="n">
        <v>20.0</v>
      </c>
      <c r="V564" t="s">
        <v>3864</v>
      </c>
      <c r="W564" t="s">
        <v>3865</v>
      </c>
      <c r="X564" t="n">
        <v>371016.0</v>
      </c>
      <c r="Y564" t="n">
        <v>371016.0</v>
      </c>
      <c r="Z564" t="n">
        <v>0.0</v>
      </c>
      <c r="AA564" t="n">
        <v>0.0</v>
      </c>
      <c r="AB564" t="n">
        <v>0.0</v>
      </c>
      <c r="AC564" t="n">
        <v>0.0</v>
      </c>
      <c r="AD564" t="n">
        <v>0.0</v>
      </c>
      <c r="AE564" t="n">
        <v>0.0</v>
      </c>
      <c r="AF564" t="n">
        <v>63000.0</v>
      </c>
      <c r="AG564" t="n">
        <v>0.0</v>
      </c>
      <c r="AH564" t="n">
        <v>0.0</v>
      </c>
      <c r="AI564" t="n">
        <v>0.0</v>
      </c>
      <c r="AJ564" t="n">
        <v>0.0</v>
      </c>
      <c r="AK564" t="n">
        <v>0.0</v>
      </c>
      <c r="AL564" t="n">
        <v>0.0</v>
      </c>
      <c r="AM564" t="n">
        <v>0.0</v>
      </c>
      <c r="AN564" t="n">
        <v>0.0</v>
      </c>
      <c r="AO564" t="n">
        <v>434016.0</v>
      </c>
      <c r="AP564" t="n">
        <v>43401.0</v>
      </c>
      <c r="AQ564" t="n">
        <v>32691.4</v>
      </c>
      <c r="CH564">
        <f>IFERROR(U564*1,0)</f>
      </c>
    </row>
    <row r="565">
      <c r="A565" t="n">
        <v>9.0</v>
      </c>
      <c r="B565">
        <f>IF((K565-G565-H565&gt;2400000),10,(L565/(K565-G565-H565)*100))</f>
      </c>
      <c r="C565">
        <f>IF(N565&gt;2400000,240000,(N565*S565)/100)</f>
      </c>
      <c r="D565">
        <f>IF(S565=0,0,IF((N565-I565)&gt;2400000,((((((N565-I565-J565)-240000))*0.1+(I565+J565)*0.1)))-7000,((((((N565-I565-J565)-(N565-I565-J565)*S565/100)))*0.1+(I565+J565)*0.1)-7000)))</f>
      </c>
      <c r="E565">
        <f>C565-O565</f>
      </c>
      <c r="F565">
        <f>D565-P565</f>
      </c>
      <c r="G565">
        <f>SUMIF(negtgel!U$2:BL$2,'Tsalin uzuulelt'!B$1,negtgel!U565:BL565) + SUMIF(negtgel!U$2:BL$2,'Tsalin uzuulelt'!B$2,negtgel!U565:BL565)+SUMIF(negtgel!U$2:BL$2,'Tsalin uzuulelt'!B$3,negtgel!U565:BL565)+SUMIF(negtgel!U$2:BL$2,'Tsalin uzuulelt'!B$4,negtgel!U565:BL565)+SUMIF(negtgel!U$2:BL$2,'Tsalin uzuulelt'!B$5,negtgel!U565:BL565)</f>
      </c>
      <c r="H565">
        <f>SUMIF(negtgel!U$2:BL$2,'Tsalin uzuulelt'!F$1,negtgel!U565:BL565) + SUMIF(negtgel!U$2:BL$2,'Tsalin uzuulelt'!F$2,negtgel!U565:BL565)+SUMIF(negtgel!U$2:BL$2,'Tsalin uzuulelt'!F$3,negtgel!U565:BL565)+SUMIF(negtgel!U$2:BL$2,'Tsalin uzuulelt'!F$4,negtgel!U565:BL565)+SUMIF(negtgel!U$2:BL$2,'Tsalin uzuulelt'!F$5,negtgel!U565:BL565)</f>
      </c>
      <c r="I565">
        <f>SUMIF(negtgel!U$2:BL$2,'Tsalin uzuulelt'!H$1,negtgel!U565:BL565) + SUMIF(negtgel!U$2:BL$2,'Tsalin uzuulelt'!H$2,negtgel!U565:BL565)+SUMIF(negtgel!U$2:BL$2,'Tsalin uzuulelt'!H$3,negtgel!U565:BL565)+SUMIF(negtgel!U$2:BL$2,'Tsalin uzuulelt'!H$4,negtgel!U565:BL565)+SUMIF(negtgel!U$2:BL$2,'Tsalin uzuulelt'!H$5,negtgel!U565:BL565)</f>
      </c>
      <c r="J565">
        <f>SUMIF(negtgel!U$2:BL$2,'Tsalin uzuulelt'!J$1,negtgel!U565:BL565) + SUMIF(negtgel!U$2:BL$2,'Tsalin uzuulelt'!J$2,negtgel!U565:BL565)+SUMIF(negtgel!U$2:BL$2,'Tsalin uzuulelt'!J$3,negtgel!U565:BL565)+SUMIF(negtgel!U$2:BL$2,'Tsalin uzuulelt'!J$4,negtgel!U565:BL565)+SUMIF(negtgel!U$2:BL$2,'Tsalin uzuulelt'!J$5,negtgel!U565:BL565)</f>
      </c>
      <c r="K565">
        <f>SUMIF(negtgel!U$2:BL$2,'Tsalin uzuulelt'!L$1,negtgel!U565:BL565) + SUMIF(negtgel!U$2:BL$2,'Tsalin uzuulelt'!L$2,negtgel!U565:BL565)+SUMIF(negtgel!U$2:BL$2,'Tsalin uzuulelt'!L$3,negtgel!U565:BL565)+SUMIF(negtgel!U$2:BL$2,'Tsalin uzuulelt'!L$4,negtgel!U565:BL565)+SUMIF(negtgel!U$2:BL$2,'Tsalin uzuulelt'!L$5,negtgel!U565:BL565)</f>
      </c>
      <c r="L565">
        <f>SUMIF(negtgel!U$2:BL$2,'Tsalin uzuulelt'!N$1,negtgel!U565:BL565) + SUMIF(negtgel!U$2:BL$2,'Tsalin uzuulelt'!N$2,negtgel!U565:BL565)+SUMIF(negtgel!U$2:BL$2,'Tsalin uzuulelt'!N$3,negtgel!U565:BL565)+SUMIF(negtgel!U$2:BL$2,'Tsalin uzuulelt'!N$4,negtgel!U565:BL565)+SUMIF(negtgel!U$2:BL$2,'Tsalin uzuulelt'!N$5,negtgel!U565:BL565)</f>
      </c>
      <c r="M565">
        <f>SUMIF(negtgel!U$2:BL$2,'Tsalin uzuulelt'!P$1,negtgel!U565:BL565) + SUMIF(negtgel!U$2:BL$2,'Tsalin uzuulelt'!P$2,negtgel!U565:BL565)+ SUMIF(negtgel!U$2:BL$2,'Tsalin uzuulelt'!P$3,negtgel!U565:BL565)+ SUMIF(negtgel!U$2:BL$2,'Tsalin uzuulelt'!P$4,negtgel!U565:BL565)+ SUMIF(negtgel!U$2:BL$2,'Tsalin uzuulelt'!P$5,negtgel!U565:BL565)</f>
      </c>
      <c r="N565">
        <f>IF(ISNUMBER(U565*1)=CF565,0,K565-H565-G565)</f>
      </c>
      <c r="O565">
        <f>IF(ISNUMBER(U565*1)=CF565,0,L565)</f>
      </c>
      <c r="P565">
        <f>IF(ISNUMBER(U565*1)=CF565,0,M565)</f>
      </c>
      <c r="Q565">
        <f>IF(N565&gt;2400000,N565,0)</f>
      </c>
      <c r="R565">
        <f>IF(L565/Q565*100&lt;3,2,10)</f>
      </c>
      <c r="S565">
        <f>IF(CH565=0,0,IF(B565&gt;9,10,IF(B565&gt;8,B565,IF(B565&gt;7.7,7.8,IF(B565&gt;3,B565,IF(B565&gt;1.5,2))))))</f>
      </c>
      <c r="T565">
        <f>IF(Q565=0,S565,R565)</f>
      </c>
      <c r="U565" t="n">
        <v>21.0</v>
      </c>
      <c r="V565" t="s">
        <v>3861</v>
      </c>
      <c r="W565" t="s">
        <v>3790</v>
      </c>
      <c r="X565" t="n">
        <v>645556.0</v>
      </c>
      <c r="Y565" t="n">
        <v>584074.0</v>
      </c>
      <c r="Z565" t="n">
        <v>87611.0</v>
      </c>
      <c r="AA565" t="n">
        <v>116815.0</v>
      </c>
      <c r="AB565" t="n">
        <v>0.0</v>
      </c>
      <c r="AC565" t="n">
        <v>87611.0</v>
      </c>
      <c r="AD565" t="n">
        <v>0.0</v>
      </c>
      <c r="AE565" t="n">
        <v>0.0</v>
      </c>
      <c r="AF565" t="n">
        <v>57000.0</v>
      </c>
      <c r="AG565" t="n">
        <v>0.0</v>
      </c>
      <c r="AH565" t="n">
        <v>0.0</v>
      </c>
      <c r="AI565" t="n">
        <v>0.0</v>
      </c>
      <c r="AJ565" t="n">
        <v>0.0</v>
      </c>
      <c r="AK565" t="n">
        <v>0.0</v>
      </c>
      <c r="AL565" t="n">
        <v>0.0</v>
      </c>
      <c r="AM565" t="n">
        <v>0.0</v>
      </c>
      <c r="AN565" t="n">
        <v>0.0</v>
      </c>
      <c r="AO565" t="n">
        <v>933111.0</v>
      </c>
      <c r="AP565" t="n">
        <v>93311.0</v>
      </c>
      <c r="AQ565" t="n">
        <v>77550.0</v>
      </c>
      <c r="CH565">
        <f>IFERROR(U565*1,0)</f>
      </c>
    </row>
    <row r="566">
      <c r="A566" t="n">
        <v>9.0</v>
      </c>
      <c r="B566">
        <f>IF((K566-G566-H566&gt;2400000),10,(L566/(K566-G566-H566)*100))</f>
      </c>
      <c r="C566">
        <f>IF(N566&gt;2400000,240000,(N566*S566)/100)</f>
      </c>
      <c r="D566">
        <f>IF(S566=0,0,IF((N566-I566)&gt;2400000,((((((N566-I566-J566)-240000))*0.1+(I566+J566)*0.1)))-7000,((((((N566-I566-J566)-(N566-I566-J566)*S566/100)))*0.1+(I566+J566)*0.1)-7000)))</f>
      </c>
      <c r="E566">
        <f>C566-O566</f>
      </c>
      <c r="F566">
        <f>D566-P566</f>
      </c>
      <c r="G566">
        <f>SUMIF(negtgel!U$2:BL$2,'Tsalin uzuulelt'!B$1,negtgel!U566:BL566) + SUMIF(negtgel!U$2:BL$2,'Tsalin uzuulelt'!B$2,negtgel!U566:BL566)+SUMIF(negtgel!U$2:BL$2,'Tsalin uzuulelt'!B$3,negtgel!U566:BL566)+SUMIF(negtgel!U$2:BL$2,'Tsalin uzuulelt'!B$4,negtgel!U566:BL566)+SUMIF(negtgel!U$2:BL$2,'Tsalin uzuulelt'!B$5,negtgel!U566:BL566)</f>
      </c>
      <c r="H566">
        <f>SUMIF(negtgel!U$2:BL$2,'Tsalin uzuulelt'!F$1,negtgel!U566:BL566) + SUMIF(negtgel!U$2:BL$2,'Tsalin uzuulelt'!F$2,negtgel!U566:BL566)+SUMIF(negtgel!U$2:BL$2,'Tsalin uzuulelt'!F$3,negtgel!U566:BL566)+SUMIF(negtgel!U$2:BL$2,'Tsalin uzuulelt'!F$4,negtgel!U566:BL566)+SUMIF(negtgel!U$2:BL$2,'Tsalin uzuulelt'!F$5,negtgel!U566:BL566)</f>
      </c>
      <c r="I566">
        <f>SUMIF(negtgel!U$2:BL$2,'Tsalin uzuulelt'!H$1,negtgel!U566:BL566) + SUMIF(negtgel!U$2:BL$2,'Tsalin uzuulelt'!H$2,negtgel!U566:BL566)+SUMIF(negtgel!U$2:BL$2,'Tsalin uzuulelt'!H$3,negtgel!U566:BL566)+SUMIF(negtgel!U$2:BL$2,'Tsalin uzuulelt'!H$4,negtgel!U566:BL566)+SUMIF(negtgel!U$2:BL$2,'Tsalin uzuulelt'!H$5,negtgel!U566:BL566)</f>
      </c>
      <c r="J566">
        <f>SUMIF(negtgel!U$2:BL$2,'Tsalin uzuulelt'!J$1,negtgel!U566:BL566) + SUMIF(negtgel!U$2:BL$2,'Tsalin uzuulelt'!J$2,negtgel!U566:BL566)+SUMIF(negtgel!U$2:BL$2,'Tsalin uzuulelt'!J$3,negtgel!U566:BL566)+SUMIF(negtgel!U$2:BL$2,'Tsalin uzuulelt'!J$4,negtgel!U566:BL566)+SUMIF(negtgel!U$2:BL$2,'Tsalin uzuulelt'!J$5,negtgel!U566:BL566)</f>
      </c>
      <c r="K566">
        <f>SUMIF(negtgel!U$2:BL$2,'Tsalin uzuulelt'!L$1,negtgel!U566:BL566) + SUMIF(negtgel!U$2:BL$2,'Tsalin uzuulelt'!L$2,negtgel!U566:BL566)+SUMIF(negtgel!U$2:BL$2,'Tsalin uzuulelt'!L$3,negtgel!U566:BL566)+SUMIF(negtgel!U$2:BL$2,'Tsalin uzuulelt'!L$4,negtgel!U566:BL566)+SUMIF(negtgel!U$2:BL$2,'Tsalin uzuulelt'!L$5,negtgel!U566:BL566)</f>
      </c>
      <c r="L566">
        <f>SUMIF(negtgel!U$2:BL$2,'Tsalin uzuulelt'!N$1,negtgel!U566:BL566) + SUMIF(negtgel!U$2:BL$2,'Tsalin uzuulelt'!N$2,negtgel!U566:BL566)+SUMIF(negtgel!U$2:BL$2,'Tsalin uzuulelt'!N$3,negtgel!U566:BL566)+SUMIF(negtgel!U$2:BL$2,'Tsalin uzuulelt'!N$4,negtgel!U566:BL566)+SUMIF(negtgel!U$2:BL$2,'Tsalin uzuulelt'!N$5,negtgel!U566:BL566)</f>
      </c>
      <c r="M566">
        <f>SUMIF(negtgel!U$2:BL$2,'Tsalin uzuulelt'!P$1,negtgel!U566:BL566) + SUMIF(negtgel!U$2:BL$2,'Tsalin uzuulelt'!P$2,negtgel!U566:BL566)+ SUMIF(negtgel!U$2:BL$2,'Tsalin uzuulelt'!P$3,negtgel!U566:BL566)+ SUMIF(negtgel!U$2:BL$2,'Tsalin uzuulelt'!P$4,negtgel!U566:BL566)+ SUMIF(negtgel!U$2:BL$2,'Tsalin uzuulelt'!P$5,negtgel!U566:BL566)</f>
      </c>
      <c r="N566">
        <f>IF(ISNUMBER(U566*1)=CF566,0,K566-H566-G566)</f>
      </c>
      <c r="O566">
        <f>IF(ISNUMBER(U566*1)=CF566,0,L566)</f>
      </c>
      <c r="P566">
        <f>IF(ISNUMBER(U566*1)=CF566,0,M566)</f>
      </c>
      <c r="Q566">
        <f>IF(N566&gt;2400000,N566,0)</f>
      </c>
      <c r="R566">
        <f>IF(L566/Q566*100&lt;3,2,10)</f>
      </c>
      <c r="S566">
        <f>IF(CH566=0,0,IF(B566&gt;9,10,IF(B566&gt;8,B566,IF(B566&gt;7.7,7.8,IF(B566&gt;3,B566,IF(B566&gt;1.5,2))))))</f>
      </c>
      <c r="T566">
        <f>IF(Q566=0,S566,R566)</f>
      </c>
      <c r="U566" t="s">
        <v>3787</v>
      </c>
      <c r="V566"/>
      <c r="W566"/>
      <c r="X566" t="n">
        <v>1.2309429E7</v>
      </c>
      <c r="Y566" t="n">
        <v>1.0340843E7</v>
      </c>
      <c r="Z566" t="n">
        <v>1070145.0</v>
      </c>
      <c r="AA566" t="n">
        <v>1217115.0</v>
      </c>
      <c r="AB566" t="n">
        <v>604519.0</v>
      </c>
      <c r="AC566" t="n">
        <v>313549.0</v>
      </c>
      <c r="AD566" t="n">
        <v>629733.0</v>
      </c>
      <c r="AE566" t="n">
        <v>0.0</v>
      </c>
      <c r="AF566" t="n">
        <v>1125000.0</v>
      </c>
      <c r="AG566" t="n">
        <v>0.0</v>
      </c>
      <c r="AH566" t="n">
        <v>0.0</v>
      </c>
      <c r="AI566" t="n">
        <v>0.0</v>
      </c>
      <c r="AJ566" t="n">
        <v>0.0</v>
      </c>
      <c r="AK566" t="n">
        <v>0.0</v>
      </c>
      <c r="AL566" t="n">
        <v>127680.0</v>
      </c>
      <c r="AM566" t="n">
        <v>0.0</v>
      </c>
      <c r="AN566" t="n">
        <v>0.0</v>
      </c>
      <c r="AO566" t="n">
        <v>1.546405E7</v>
      </c>
      <c r="AP566" t="n">
        <v>1533636.0</v>
      </c>
      <c r="AQ566" t="n">
        <v>1251523.3</v>
      </c>
      <c r="CH566">
        <f>IFERROR(U566*1,0)</f>
      </c>
    </row>
    <row r="567">
      <c r="A567" t="n">
        <v>9.0</v>
      </c>
      <c r="B567">
        <f>IF((K567-G567-H567&gt;2400000),10,(L567/(K567-G567-H567)*100))</f>
      </c>
      <c r="C567">
        <f>IF(N567&gt;2400000,240000,(N567*S567)/100)</f>
      </c>
      <c r="D567">
        <f>IF(S567=0,0,IF((N567-I567)&gt;2400000,((((((N567-I567-J567)-240000))*0.1+(I567+J567)*0.1)))-7000,((((((N567-I567-J567)-(N567-I567-J567)*S567/100)))*0.1+(I567+J567)*0.1)-7000)))</f>
      </c>
      <c r="E567">
        <f>C567-O567</f>
      </c>
      <c r="F567">
        <f>D567-P567</f>
      </c>
      <c r="G567">
        <f>SUMIF(negtgel!U$2:BL$2,'Tsalin uzuulelt'!B$1,negtgel!U567:BL567) + SUMIF(negtgel!U$2:BL$2,'Tsalin uzuulelt'!B$2,negtgel!U567:BL567)+SUMIF(negtgel!U$2:BL$2,'Tsalin uzuulelt'!B$3,negtgel!U567:BL567)+SUMIF(negtgel!U$2:BL$2,'Tsalin uzuulelt'!B$4,negtgel!U567:BL567)+SUMIF(negtgel!U$2:BL$2,'Tsalin uzuulelt'!B$5,negtgel!U567:BL567)</f>
      </c>
      <c r="H567">
        <f>SUMIF(negtgel!U$2:BL$2,'Tsalin uzuulelt'!F$1,negtgel!U567:BL567) + SUMIF(negtgel!U$2:BL$2,'Tsalin uzuulelt'!F$2,negtgel!U567:BL567)+SUMIF(negtgel!U$2:BL$2,'Tsalin uzuulelt'!F$3,negtgel!U567:BL567)+SUMIF(negtgel!U$2:BL$2,'Tsalin uzuulelt'!F$4,negtgel!U567:BL567)+SUMIF(negtgel!U$2:BL$2,'Tsalin uzuulelt'!F$5,negtgel!U567:BL567)</f>
      </c>
      <c r="I567">
        <f>SUMIF(negtgel!U$2:BL$2,'Tsalin uzuulelt'!H$1,negtgel!U567:BL567) + SUMIF(negtgel!U$2:BL$2,'Tsalin uzuulelt'!H$2,negtgel!U567:BL567)+SUMIF(negtgel!U$2:BL$2,'Tsalin uzuulelt'!H$3,negtgel!U567:BL567)+SUMIF(negtgel!U$2:BL$2,'Tsalin uzuulelt'!H$4,negtgel!U567:BL567)+SUMIF(negtgel!U$2:BL$2,'Tsalin uzuulelt'!H$5,negtgel!U567:BL567)</f>
      </c>
      <c r="J567">
        <f>SUMIF(negtgel!U$2:BL$2,'Tsalin uzuulelt'!J$1,negtgel!U567:BL567) + SUMIF(negtgel!U$2:BL$2,'Tsalin uzuulelt'!J$2,negtgel!U567:BL567)+SUMIF(negtgel!U$2:BL$2,'Tsalin uzuulelt'!J$3,negtgel!U567:BL567)+SUMIF(negtgel!U$2:BL$2,'Tsalin uzuulelt'!J$4,negtgel!U567:BL567)+SUMIF(negtgel!U$2:BL$2,'Tsalin uzuulelt'!J$5,negtgel!U567:BL567)</f>
      </c>
      <c r="K567">
        <f>SUMIF(negtgel!U$2:BL$2,'Tsalin uzuulelt'!L$1,negtgel!U567:BL567) + SUMIF(negtgel!U$2:BL$2,'Tsalin uzuulelt'!L$2,negtgel!U567:BL567)+SUMIF(negtgel!U$2:BL$2,'Tsalin uzuulelt'!L$3,negtgel!U567:BL567)+SUMIF(negtgel!U$2:BL$2,'Tsalin uzuulelt'!L$4,negtgel!U567:BL567)+SUMIF(negtgel!U$2:BL$2,'Tsalin uzuulelt'!L$5,negtgel!U567:BL567)</f>
      </c>
      <c r="L567">
        <f>SUMIF(negtgel!U$2:BL$2,'Tsalin uzuulelt'!N$1,negtgel!U567:BL567) + SUMIF(negtgel!U$2:BL$2,'Tsalin uzuulelt'!N$2,negtgel!U567:BL567)+SUMIF(negtgel!U$2:BL$2,'Tsalin uzuulelt'!N$3,negtgel!U567:BL567)+SUMIF(negtgel!U$2:BL$2,'Tsalin uzuulelt'!N$4,negtgel!U567:BL567)+SUMIF(negtgel!U$2:BL$2,'Tsalin uzuulelt'!N$5,negtgel!U567:BL567)</f>
      </c>
      <c r="M567">
        <f>SUMIF(negtgel!U$2:BL$2,'Tsalin uzuulelt'!P$1,negtgel!U567:BL567) + SUMIF(negtgel!U$2:BL$2,'Tsalin uzuulelt'!P$2,negtgel!U567:BL567)+ SUMIF(negtgel!U$2:BL$2,'Tsalin uzuulelt'!P$3,negtgel!U567:BL567)+ SUMIF(negtgel!U$2:BL$2,'Tsalin uzuulelt'!P$4,negtgel!U567:BL567)+ SUMIF(negtgel!U$2:BL$2,'Tsalin uzuulelt'!P$5,negtgel!U567:BL567)</f>
      </c>
      <c r="N567">
        <f>IF(ISNUMBER(U567*1)=CF567,0,K567-H567-G567)</f>
      </c>
      <c r="O567">
        <f>IF(ISNUMBER(U567*1)=CF567,0,L567)</f>
      </c>
      <c r="P567">
        <f>IF(ISNUMBER(U567*1)=CF567,0,M567)</f>
      </c>
      <c r="Q567">
        <f>IF(N567&gt;2400000,N567,0)</f>
      </c>
      <c r="R567">
        <f>IF(L567/Q567*100&lt;3,2,10)</f>
      </c>
      <c r="S567">
        <f>IF(CH567=0,0,IF(B567&gt;9,10,IF(B567&gt;8,B567,IF(B567&gt;7.7,7.8,IF(B567&gt;3,B567,IF(B567&gt;1.5,2))))))</f>
      </c>
      <c r="T567">
        <f>IF(Q567=0,S567,R567)</f>
      </c>
      <c r="U567" t="s">
        <v>3788</v>
      </c>
      <c r="V567"/>
      <c r="W567"/>
      <c r="X567"/>
      <c r="Y567"/>
      <c r="Z567"/>
      <c r="AA567"/>
      <c r="AB567"/>
      <c r="AC567"/>
      <c r="AD567"/>
      <c r="AE567"/>
      <c r="AF567"/>
      <c r="AG567"/>
      <c r="AH567"/>
      <c r="AI567"/>
      <c r="AJ567"/>
      <c r="AK567"/>
      <c r="AL567"/>
      <c r="AM567"/>
      <c r="AN567"/>
      <c r="AO567"/>
      <c r="AP567"/>
      <c r="AQ567"/>
      <c r="CH567">
        <f>IFERROR(U567*1,0)</f>
      </c>
    </row>
    <row r="568">
      <c r="A568" t="n">
        <v>9.0</v>
      </c>
      <c r="B568">
        <f>IF((K568-G568-H568&gt;2400000),10,(L568/(K568-G568-H568)*100))</f>
      </c>
      <c r="C568">
        <f>IF(N568&gt;2400000,240000,(N568*S568)/100)</f>
      </c>
      <c r="D568">
        <f>IF(S568=0,0,IF((N568-I568)&gt;2400000,((((((N568-I568-J568)-240000))*0.1+(I568+J568)*0.1)))-7000,((((((N568-I568-J568)-(N568-I568-J568)*S568/100)))*0.1+(I568+J568)*0.1)-7000)))</f>
      </c>
      <c r="E568">
        <f>C568-O568</f>
      </c>
      <c r="F568">
        <f>D568-P568</f>
      </c>
      <c r="G568">
        <f>SUMIF(negtgel!U$2:BL$2,'Tsalin uzuulelt'!B$1,negtgel!U568:BL568) + SUMIF(negtgel!U$2:BL$2,'Tsalin uzuulelt'!B$2,negtgel!U568:BL568)+SUMIF(negtgel!U$2:BL$2,'Tsalin uzuulelt'!B$3,negtgel!U568:BL568)+SUMIF(negtgel!U$2:BL$2,'Tsalin uzuulelt'!B$4,negtgel!U568:BL568)+SUMIF(negtgel!U$2:BL$2,'Tsalin uzuulelt'!B$5,negtgel!U568:BL568)</f>
      </c>
      <c r="H568">
        <f>SUMIF(negtgel!U$2:BL$2,'Tsalin uzuulelt'!F$1,negtgel!U568:BL568) + SUMIF(negtgel!U$2:BL$2,'Tsalin uzuulelt'!F$2,negtgel!U568:BL568)+SUMIF(negtgel!U$2:BL$2,'Tsalin uzuulelt'!F$3,negtgel!U568:BL568)+SUMIF(negtgel!U$2:BL$2,'Tsalin uzuulelt'!F$4,negtgel!U568:BL568)+SUMIF(negtgel!U$2:BL$2,'Tsalin uzuulelt'!F$5,negtgel!U568:BL568)</f>
      </c>
      <c r="I568">
        <f>SUMIF(negtgel!U$2:BL$2,'Tsalin uzuulelt'!H$1,negtgel!U568:BL568) + SUMIF(negtgel!U$2:BL$2,'Tsalin uzuulelt'!H$2,negtgel!U568:BL568)+SUMIF(negtgel!U$2:BL$2,'Tsalin uzuulelt'!H$3,negtgel!U568:BL568)+SUMIF(negtgel!U$2:BL$2,'Tsalin uzuulelt'!H$4,negtgel!U568:BL568)+SUMIF(negtgel!U$2:BL$2,'Tsalin uzuulelt'!H$5,negtgel!U568:BL568)</f>
      </c>
      <c r="J568">
        <f>SUMIF(negtgel!U$2:BL$2,'Tsalin uzuulelt'!J$1,negtgel!U568:BL568) + SUMIF(negtgel!U$2:BL$2,'Tsalin uzuulelt'!J$2,negtgel!U568:BL568)+SUMIF(negtgel!U$2:BL$2,'Tsalin uzuulelt'!J$3,negtgel!U568:BL568)+SUMIF(negtgel!U$2:BL$2,'Tsalin uzuulelt'!J$4,negtgel!U568:BL568)+SUMIF(negtgel!U$2:BL$2,'Tsalin uzuulelt'!J$5,negtgel!U568:BL568)</f>
      </c>
      <c r="K568">
        <f>SUMIF(negtgel!U$2:BL$2,'Tsalin uzuulelt'!L$1,negtgel!U568:BL568) + SUMIF(negtgel!U$2:BL$2,'Tsalin uzuulelt'!L$2,negtgel!U568:BL568)+SUMIF(negtgel!U$2:BL$2,'Tsalin uzuulelt'!L$3,negtgel!U568:BL568)+SUMIF(negtgel!U$2:BL$2,'Tsalin uzuulelt'!L$4,negtgel!U568:BL568)+SUMIF(negtgel!U$2:BL$2,'Tsalin uzuulelt'!L$5,negtgel!U568:BL568)</f>
      </c>
      <c r="L568">
        <f>SUMIF(negtgel!U$2:BL$2,'Tsalin uzuulelt'!N$1,negtgel!U568:BL568) + SUMIF(negtgel!U$2:BL$2,'Tsalin uzuulelt'!N$2,negtgel!U568:BL568)+SUMIF(negtgel!U$2:BL$2,'Tsalin uzuulelt'!N$3,negtgel!U568:BL568)+SUMIF(negtgel!U$2:BL$2,'Tsalin uzuulelt'!N$4,negtgel!U568:BL568)+SUMIF(negtgel!U$2:BL$2,'Tsalin uzuulelt'!N$5,negtgel!U568:BL568)</f>
      </c>
      <c r="M568">
        <f>SUMIF(negtgel!U$2:BL$2,'Tsalin uzuulelt'!P$1,negtgel!U568:BL568) + SUMIF(negtgel!U$2:BL$2,'Tsalin uzuulelt'!P$2,negtgel!U568:BL568)+ SUMIF(negtgel!U$2:BL$2,'Tsalin uzuulelt'!P$3,negtgel!U568:BL568)+ SUMIF(negtgel!U$2:BL$2,'Tsalin uzuulelt'!P$4,negtgel!U568:BL568)+ SUMIF(negtgel!U$2:BL$2,'Tsalin uzuulelt'!P$5,negtgel!U568:BL568)</f>
      </c>
      <c r="N568">
        <f>IF(ISNUMBER(U568*1)=CF568,0,K568-H568-G568)</f>
      </c>
      <c r="O568">
        <f>IF(ISNUMBER(U568*1)=CF568,0,L568)</f>
      </c>
      <c r="P568">
        <f>IF(ISNUMBER(U568*1)=CF568,0,M568)</f>
      </c>
      <c r="Q568">
        <f>IF(N568&gt;2400000,N568,0)</f>
      </c>
      <c r="R568">
        <f>IF(L568/Q568*100&lt;3,2,10)</f>
      </c>
      <c r="S568">
        <f>IF(CH568=0,0,IF(B568&gt;9,10,IF(B568&gt;8,B568,IF(B568&gt;7.7,7.8,IF(B568&gt;3,B568,IF(B568&gt;1.5,2))))))</f>
      </c>
      <c r="T568">
        <f>IF(Q568=0,S568,R568)</f>
      </c>
      <c r="U568" t="n">
        <v>51.0</v>
      </c>
      <c r="V568" t="s">
        <v>3798</v>
      </c>
      <c r="W568" t="s">
        <v>3792</v>
      </c>
      <c r="X568" t="n">
        <v>496912.0</v>
      </c>
      <c r="Y568" t="n">
        <v>496912.0</v>
      </c>
      <c r="Z568" t="n">
        <v>0.0</v>
      </c>
      <c r="AA568" t="n">
        <v>0.0</v>
      </c>
      <c r="AB568" t="n">
        <v>0.0</v>
      </c>
      <c r="AC568" t="n">
        <v>0.0</v>
      </c>
      <c r="AD568" t="n">
        <v>0.0</v>
      </c>
      <c r="AE568" t="n">
        <v>0.0</v>
      </c>
      <c r="AF568" t="n">
        <v>63000.0</v>
      </c>
      <c r="AG568" t="n">
        <v>0.0</v>
      </c>
      <c r="AH568" t="n">
        <v>0.0</v>
      </c>
      <c r="AI568" t="n">
        <v>0.0</v>
      </c>
      <c r="AJ568" t="n">
        <v>0.0</v>
      </c>
      <c r="AK568" t="n">
        <v>0.0</v>
      </c>
      <c r="AL568" t="n">
        <v>0.0</v>
      </c>
      <c r="AM568" t="n">
        <v>0.0</v>
      </c>
      <c r="AN568" t="n">
        <v>0.0</v>
      </c>
      <c r="AO568" t="n">
        <v>559912.0</v>
      </c>
      <c r="AP568" t="n">
        <v>55991.0</v>
      </c>
      <c r="AQ568" t="n">
        <v>44022.1</v>
      </c>
      <c r="CH568">
        <f>IFERROR(U568*1,0)</f>
      </c>
    </row>
    <row r="569">
      <c r="A569" t="n">
        <v>9.0</v>
      </c>
      <c r="B569">
        <f>IF((K569-G569-H569&gt;2400000),10,(L569/(K569-G569-H569)*100))</f>
      </c>
      <c r="C569">
        <f>IF(N569&gt;2400000,240000,(N569*S569)/100)</f>
      </c>
      <c r="D569">
        <f>IF(S569=0,0,IF((N569-I569)&gt;2400000,((((((N569-I569-J569)-240000))*0.1+(I569+J569)*0.1)))-7000,((((((N569-I569-J569)-(N569-I569-J569)*S569/100)))*0.1+(I569+J569)*0.1)-7000)))</f>
      </c>
      <c r="E569">
        <f>C569-O569</f>
      </c>
      <c r="F569">
        <f>D569-P569</f>
      </c>
      <c r="G569">
        <f>SUMIF(negtgel!U$2:BL$2,'Tsalin uzuulelt'!B$1,negtgel!U569:BL569) + SUMIF(negtgel!U$2:BL$2,'Tsalin uzuulelt'!B$2,negtgel!U569:BL569)+SUMIF(negtgel!U$2:BL$2,'Tsalin uzuulelt'!B$3,negtgel!U569:BL569)+SUMIF(negtgel!U$2:BL$2,'Tsalin uzuulelt'!B$4,negtgel!U569:BL569)+SUMIF(negtgel!U$2:BL$2,'Tsalin uzuulelt'!B$5,negtgel!U569:BL569)</f>
      </c>
      <c r="H569">
        <f>SUMIF(negtgel!U$2:BL$2,'Tsalin uzuulelt'!F$1,negtgel!U569:BL569) + SUMIF(negtgel!U$2:BL$2,'Tsalin uzuulelt'!F$2,negtgel!U569:BL569)+SUMIF(negtgel!U$2:BL$2,'Tsalin uzuulelt'!F$3,negtgel!U569:BL569)+SUMIF(negtgel!U$2:BL$2,'Tsalin uzuulelt'!F$4,negtgel!U569:BL569)+SUMIF(negtgel!U$2:BL$2,'Tsalin uzuulelt'!F$5,negtgel!U569:BL569)</f>
      </c>
      <c r="I569">
        <f>SUMIF(negtgel!U$2:BL$2,'Tsalin uzuulelt'!H$1,negtgel!U569:BL569) + SUMIF(negtgel!U$2:BL$2,'Tsalin uzuulelt'!H$2,negtgel!U569:BL569)+SUMIF(negtgel!U$2:BL$2,'Tsalin uzuulelt'!H$3,negtgel!U569:BL569)+SUMIF(negtgel!U$2:BL$2,'Tsalin uzuulelt'!H$4,negtgel!U569:BL569)+SUMIF(negtgel!U$2:BL$2,'Tsalin uzuulelt'!H$5,negtgel!U569:BL569)</f>
      </c>
      <c r="J569">
        <f>SUMIF(negtgel!U$2:BL$2,'Tsalin uzuulelt'!J$1,negtgel!U569:BL569) + SUMIF(negtgel!U$2:BL$2,'Tsalin uzuulelt'!J$2,negtgel!U569:BL569)+SUMIF(negtgel!U$2:BL$2,'Tsalin uzuulelt'!J$3,negtgel!U569:BL569)+SUMIF(negtgel!U$2:BL$2,'Tsalin uzuulelt'!J$4,negtgel!U569:BL569)+SUMIF(negtgel!U$2:BL$2,'Tsalin uzuulelt'!J$5,negtgel!U569:BL569)</f>
      </c>
      <c r="K569">
        <f>SUMIF(negtgel!U$2:BL$2,'Tsalin uzuulelt'!L$1,negtgel!U569:BL569) + SUMIF(negtgel!U$2:BL$2,'Tsalin uzuulelt'!L$2,negtgel!U569:BL569)+SUMIF(negtgel!U$2:BL$2,'Tsalin uzuulelt'!L$3,negtgel!U569:BL569)+SUMIF(negtgel!U$2:BL$2,'Tsalin uzuulelt'!L$4,negtgel!U569:BL569)+SUMIF(negtgel!U$2:BL$2,'Tsalin uzuulelt'!L$5,negtgel!U569:BL569)</f>
      </c>
      <c r="L569">
        <f>SUMIF(negtgel!U$2:BL$2,'Tsalin uzuulelt'!N$1,negtgel!U569:BL569) + SUMIF(negtgel!U$2:BL$2,'Tsalin uzuulelt'!N$2,negtgel!U569:BL569)+SUMIF(negtgel!U$2:BL$2,'Tsalin uzuulelt'!N$3,negtgel!U569:BL569)+SUMIF(negtgel!U$2:BL$2,'Tsalin uzuulelt'!N$4,negtgel!U569:BL569)+SUMIF(negtgel!U$2:BL$2,'Tsalin uzuulelt'!N$5,negtgel!U569:BL569)</f>
      </c>
      <c r="M569">
        <f>SUMIF(negtgel!U$2:BL$2,'Tsalin uzuulelt'!P$1,negtgel!U569:BL569) + SUMIF(negtgel!U$2:BL$2,'Tsalin uzuulelt'!P$2,negtgel!U569:BL569)+ SUMIF(negtgel!U$2:BL$2,'Tsalin uzuulelt'!P$3,negtgel!U569:BL569)+ SUMIF(negtgel!U$2:BL$2,'Tsalin uzuulelt'!P$4,negtgel!U569:BL569)+ SUMIF(negtgel!U$2:BL$2,'Tsalin uzuulelt'!P$5,negtgel!U569:BL569)</f>
      </c>
      <c r="N569">
        <f>IF(ISNUMBER(U569*1)=CF569,0,K569-H569-G569)</f>
      </c>
      <c r="O569">
        <f>IF(ISNUMBER(U569*1)=CF569,0,L569)</f>
      </c>
      <c r="P569">
        <f>IF(ISNUMBER(U569*1)=CF569,0,M569)</f>
      </c>
      <c r="Q569">
        <f>IF(N569&gt;2400000,N569,0)</f>
      </c>
      <c r="R569">
        <f>IF(L569/Q569*100&lt;3,2,10)</f>
      </c>
      <c r="S569">
        <f>IF(CH569=0,0,IF(B569&gt;9,10,IF(B569&gt;8,B569,IF(B569&gt;7.7,7.8,IF(B569&gt;3,B569,IF(B569&gt;1.5,2))))))</f>
      </c>
      <c r="T569">
        <f>IF(Q569=0,S569,R569)</f>
      </c>
      <c r="U569" t="n">
        <v>53.0</v>
      </c>
      <c r="V569" t="s">
        <v>3800</v>
      </c>
      <c r="W569" t="s">
        <v>3790</v>
      </c>
      <c r="X569" t="n">
        <v>613669.0</v>
      </c>
      <c r="Y569" t="n">
        <v>613669.0</v>
      </c>
      <c r="Z569" t="n">
        <v>92050.0</v>
      </c>
      <c r="AA569" t="n">
        <v>122734.0</v>
      </c>
      <c r="AB569" t="n">
        <v>0.0</v>
      </c>
      <c r="AC569" t="n">
        <v>0.0</v>
      </c>
      <c r="AD569" t="n">
        <v>0.0</v>
      </c>
      <c r="AE569" t="n">
        <v>0.0</v>
      </c>
      <c r="AF569" t="n">
        <v>63000.0</v>
      </c>
      <c r="AG569" t="n">
        <v>0.0</v>
      </c>
      <c r="AH569" t="n">
        <v>0.0</v>
      </c>
      <c r="AI569" t="n">
        <v>0.0</v>
      </c>
      <c r="AJ569" t="n">
        <v>0.0</v>
      </c>
      <c r="AK569" t="n">
        <v>0.0</v>
      </c>
      <c r="AL569" t="n">
        <v>0.0</v>
      </c>
      <c r="AM569" t="n">
        <v>0.0</v>
      </c>
      <c r="AN569" t="n">
        <v>0.0</v>
      </c>
      <c r="AO569" t="n">
        <v>891453.0</v>
      </c>
      <c r="AP569" t="n">
        <v>89146.0</v>
      </c>
      <c r="AQ569" t="n">
        <v>73860.8</v>
      </c>
      <c r="CH569">
        <f>IFERROR(U569*1,0)</f>
      </c>
    </row>
    <row r="570">
      <c r="A570" t="n">
        <v>9.0</v>
      </c>
      <c r="B570">
        <f>IF((K570-G570-H570&gt;2400000),10,(L570/(K570-G570-H570)*100))</f>
      </c>
      <c r="C570">
        <f>IF(N570&gt;2400000,240000,(N570*S570)/100)</f>
      </c>
      <c r="D570">
        <f>IF(S570=0,0,IF((N570-I570)&gt;2400000,((((((N570-I570-J570)-240000))*0.1+(I570+J570)*0.1)))-7000,((((((N570-I570-J570)-(N570-I570-J570)*S570/100)))*0.1+(I570+J570)*0.1)-7000)))</f>
      </c>
      <c r="E570">
        <f>C570-O570</f>
      </c>
      <c r="F570">
        <f>D570-P570</f>
      </c>
      <c r="G570">
        <f>SUMIF(negtgel!U$2:BL$2,'Tsalin uzuulelt'!B$1,negtgel!U570:BL570) + SUMIF(negtgel!U$2:BL$2,'Tsalin uzuulelt'!B$2,negtgel!U570:BL570)+SUMIF(negtgel!U$2:BL$2,'Tsalin uzuulelt'!B$3,negtgel!U570:BL570)+SUMIF(negtgel!U$2:BL$2,'Tsalin uzuulelt'!B$4,negtgel!U570:BL570)+SUMIF(negtgel!U$2:BL$2,'Tsalin uzuulelt'!B$5,negtgel!U570:BL570)</f>
      </c>
      <c r="H570">
        <f>SUMIF(negtgel!U$2:BL$2,'Tsalin uzuulelt'!F$1,negtgel!U570:BL570) + SUMIF(negtgel!U$2:BL$2,'Tsalin uzuulelt'!F$2,negtgel!U570:BL570)+SUMIF(negtgel!U$2:BL$2,'Tsalin uzuulelt'!F$3,negtgel!U570:BL570)+SUMIF(negtgel!U$2:BL$2,'Tsalin uzuulelt'!F$4,negtgel!U570:BL570)+SUMIF(negtgel!U$2:BL$2,'Tsalin uzuulelt'!F$5,negtgel!U570:BL570)</f>
      </c>
      <c r="I570">
        <f>SUMIF(negtgel!U$2:BL$2,'Tsalin uzuulelt'!H$1,negtgel!U570:BL570) + SUMIF(negtgel!U$2:BL$2,'Tsalin uzuulelt'!H$2,negtgel!U570:BL570)+SUMIF(negtgel!U$2:BL$2,'Tsalin uzuulelt'!H$3,negtgel!U570:BL570)+SUMIF(negtgel!U$2:BL$2,'Tsalin uzuulelt'!H$4,negtgel!U570:BL570)+SUMIF(negtgel!U$2:BL$2,'Tsalin uzuulelt'!H$5,negtgel!U570:BL570)</f>
      </c>
      <c r="J570">
        <f>SUMIF(negtgel!U$2:BL$2,'Tsalin uzuulelt'!J$1,negtgel!U570:BL570) + SUMIF(negtgel!U$2:BL$2,'Tsalin uzuulelt'!J$2,negtgel!U570:BL570)+SUMIF(negtgel!U$2:BL$2,'Tsalin uzuulelt'!J$3,negtgel!U570:BL570)+SUMIF(negtgel!U$2:BL$2,'Tsalin uzuulelt'!J$4,negtgel!U570:BL570)+SUMIF(negtgel!U$2:BL$2,'Tsalin uzuulelt'!J$5,negtgel!U570:BL570)</f>
      </c>
      <c r="K570">
        <f>SUMIF(negtgel!U$2:BL$2,'Tsalin uzuulelt'!L$1,negtgel!U570:BL570) + SUMIF(negtgel!U$2:BL$2,'Tsalin uzuulelt'!L$2,negtgel!U570:BL570)+SUMIF(negtgel!U$2:BL$2,'Tsalin uzuulelt'!L$3,negtgel!U570:BL570)+SUMIF(negtgel!U$2:BL$2,'Tsalin uzuulelt'!L$4,negtgel!U570:BL570)+SUMIF(negtgel!U$2:BL$2,'Tsalin uzuulelt'!L$5,negtgel!U570:BL570)</f>
      </c>
      <c r="L570">
        <f>SUMIF(negtgel!U$2:BL$2,'Tsalin uzuulelt'!N$1,negtgel!U570:BL570) + SUMIF(negtgel!U$2:BL$2,'Tsalin uzuulelt'!N$2,negtgel!U570:BL570)+SUMIF(negtgel!U$2:BL$2,'Tsalin uzuulelt'!N$3,negtgel!U570:BL570)+SUMIF(negtgel!U$2:BL$2,'Tsalin uzuulelt'!N$4,negtgel!U570:BL570)+SUMIF(negtgel!U$2:BL$2,'Tsalin uzuulelt'!N$5,negtgel!U570:BL570)</f>
      </c>
      <c r="M570">
        <f>SUMIF(negtgel!U$2:BL$2,'Tsalin uzuulelt'!P$1,negtgel!U570:BL570) + SUMIF(negtgel!U$2:BL$2,'Tsalin uzuulelt'!P$2,negtgel!U570:BL570)+ SUMIF(negtgel!U$2:BL$2,'Tsalin uzuulelt'!P$3,negtgel!U570:BL570)+ SUMIF(negtgel!U$2:BL$2,'Tsalin uzuulelt'!P$4,negtgel!U570:BL570)+ SUMIF(negtgel!U$2:BL$2,'Tsalin uzuulelt'!P$5,negtgel!U570:BL570)</f>
      </c>
      <c r="N570">
        <f>IF(ISNUMBER(U570*1)=CF570,0,K570-H570-G570)</f>
      </c>
      <c r="O570">
        <f>IF(ISNUMBER(U570*1)=CF570,0,L570)</f>
      </c>
      <c r="P570">
        <f>IF(ISNUMBER(U570*1)=CF570,0,M570)</f>
      </c>
      <c r="Q570">
        <f>IF(N570&gt;2400000,N570,0)</f>
      </c>
      <c r="R570">
        <f>IF(L570/Q570*100&lt;3,2,10)</f>
      </c>
      <c r="S570">
        <f>IF(CH570=0,0,IF(B570&gt;9,10,IF(B570&gt;8,B570,IF(B570&gt;7.7,7.8,IF(B570&gt;3,B570,IF(B570&gt;1.5,2))))))</f>
      </c>
      <c r="T570">
        <f>IF(Q570=0,S570,R570)</f>
      </c>
      <c r="U570" t="n">
        <v>54.0</v>
      </c>
      <c r="V570" t="s">
        <v>3801</v>
      </c>
      <c r="W570" t="s">
        <v>3790</v>
      </c>
      <c r="X570" t="n">
        <v>580710.0</v>
      </c>
      <c r="Y570" t="n">
        <v>580710.0</v>
      </c>
      <c r="Z570" t="n">
        <v>0.0</v>
      </c>
      <c r="AA570" t="n">
        <v>0.0</v>
      </c>
      <c r="AB570" t="n">
        <v>0.0</v>
      </c>
      <c r="AC570" t="n">
        <v>0.0</v>
      </c>
      <c r="AD570" t="n">
        <v>0.0</v>
      </c>
      <c r="AE570" t="n">
        <v>0.0</v>
      </c>
      <c r="AF570" t="n">
        <v>63000.0</v>
      </c>
      <c r="AG570" t="n">
        <v>0.0</v>
      </c>
      <c r="AH570" t="n">
        <v>0.0</v>
      </c>
      <c r="AI570" t="n">
        <v>0.0</v>
      </c>
      <c r="AJ570" t="n">
        <v>0.0</v>
      </c>
      <c r="AK570" t="n">
        <v>0.0</v>
      </c>
      <c r="AL570" t="n">
        <v>0.0</v>
      </c>
      <c r="AM570" t="n">
        <v>0.0</v>
      </c>
      <c r="AN570" t="n">
        <v>0.0</v>
      </c>
      <c r="AO570" t="n">
        <v>643710.0</v>
      </c>
      <c r="AP570" t="n">
        <v>64371.0</v>
      </c>
      <c r="AQ570" t="n">
        <v>51563.9</v>
      </c>
      <c r="CH570">
        <f>IFERROR(U570*1,0)</f>
      </c>
    </row>
    <row r="571">
      <c r="A571" t="n">
        <v>9.0</v>
      </c>
      <c r="B571">
        <f>IF((K571-G571-H571&gt;2400000),10,(L571/(K571-G571-H571)*100))</f>
      </c>
      <c r="C571">
        <f>IF(N571&gt;2400000,240000,(N571*S571)/100)</f>
      </c>
      <c r="D571">
        <f>IF(S571=0,0,IF((N571-I571)&gt;2400000,((((((N571-I571-J571)-240000))*0.1+(I571+J571)*0.1)))-7000,((((((N571-I571-J571)-(N571-I571-J571)*S571/100)))*0.1+(I571+J571)*0.1)-7000)))</f>
      </c>
      <c r="E571">
        <f>C571-O571</f>
      </c>
      <c r="F571">
        <f>D571-P571</f>
      </c>
      <c r="G571">
        <f>SUMIF(negtgel!U$2:BL$2,'Tsalin uzuulelt'!B$1,negtgel!U571:BL571) + SUMIF(negtgel!U$2:BL$2,'Tsalin uzuulelt'!B$2,negtgel!U571:BL571)+SUMIF(negtgel!U$2:BL$2,'Tsalin uzuulelt'!B$3,negtgel!U571:BL571)+SUMIF(negtgel!U$2:BL$2,'Tsalin uzuulelt'!B$4,negtgel!U571:BL571)+SUMIF(negtgel!U$2:BL$2,'Tsalin uzuulelt'!B$5,negtgel!U571:BL571)</f>
      </c>
      <c r="H571">
        <f>SUMIF(negtgel!U$2:BL$2,'Tsalin uzuulelt'!F$1,negtgel!U571:BL571) + SUMIF(negtgel!U$2:BL$2,'Tsalin uzuulelt'!F$2,negtgel!U571:BL571)+SUMIF(negtgel!U$2:BL$2,'Tsalin uzuulelt'!F$3,negtgel!U571:BL571)+SUMIF(negtgel!U$2:BL$2,'Tsalin uzuulelt'!F$4,negtgel!U571:BL571)+SUMIF(negtgel!U$2:BL$2,'Tsalin uzuulelt'!F$5,negtgel!U571:BL571)</f>
      </c>
      <c r="I571">
        <f>SUMIF(negtgel!U$2:BL$2,'Tsalin uzuulelt'!H$1,negtgel!U571:BL571) + SUMIF(negtgel!U$2:BL$2,'Tsalin uzuulelt'!H$2,negtgel!U571:BL571)+SUMIF(negtgel!U$2:BL$2,'Tsalin uzuulelt'!H$3,negtgel!U571:BL571)+SUMIF(negtgel!U$2:BL$2,'Tsalin uzuulelt'!H$4,negtgel!U571:BL571)+SUMIF(negtgel!U$2:BL$2,'Tsalin uzuulelt'!H$5,negtgel!U571:BL571)</f>
      </c>
      <c r="J571">
        <f>SUMIF(negtgel!U$2:BL$2,'Tsalin uzuulelt'!J$1,negtgel!U571:BL571) + SUMIF(negtgel!U$2:BL$2,'Tsalin uzuulelt'!J$2,negtgel!U571:BL571)+SUMIF(negtgel!U$2:BL$2,'Tsalin uzuulelt'!J$3,negtgel!U571:BL571)+SUMIF(negtgel!U$2:BL$2,'Tsalin uzuulelt'!J$4,negtgel!U571:BL571)+SUMIF(negtgel!U$2:BL$2,'Tsalin uzuulelt'!J$5,negtgel!U571:BL571)</f>
      </c>
      <c r="K571">
        <f>SUMIF(negtgel!U$2:BL$2,'Tsalin uzuulelt'!L$1,negtgel!U571:BL571) + SUMIF(negtgel!U$2:BL$2,'Tsalin uzuulelt'!L$2,negtgel!U571:BL571)+SUMIF(negtgel!U$2:BL$2,'Tsalin uzuulelt'!L$3,negtgel!U571:BL571)+SUMIF(negtgel!U$2:BL$2,'Tsalin uzuulelt'!L$4,negtgel!U571:BL571)+SUMIF(negtgel!U$2:BL$2,'Tsalin uzuulelt'!L$5,negtgel!U571:BL571)</f>
      </c>
      <c r="L571">
        <f>SUMIF(negtgel!U$2:BL$2,'Tsalin uzuulelt'!N$1,negtgel!U571:BL571) + SUMIF(negtgel!U$2:BL$2,'Tsalin uzuulelt'!N$2,negtgel!U571:BL571)+SUMIF(negtgel!U$2:BL$2,'Tsalin uzuulelt'!N$3,negtgel!U571:BL571)+SUMIF(negtgel!U$2:BL$2,'Tsalin uzuulelt'!N$4,negtgel!U571:BL571)+SUMIF(negtgel!U$2:BL$2,'Tsalin uzuulelt'!N$5,negtgel!U571:BL571)</f>
      </c>
      <c r="M571">
        <f>SUMIF(negtgel!U$2:BL$2,'Tsalin uzuulelt'!P$1,negtgel!U571:BL571) + SUMIF(negtgel!U$2:BL$2,'Tsalin uzuulelt'!P$2,negtgel!U571:BL571)+ SUMIF(negtgel!U$2:BL$2,'Tsalin uzuulelt'!P$3,negtgel!U571:BL571)+ SUMIF(negtgel!U$2:BL$2,'Tsalin uzuulelt'!P$4,negtgel!U571:BL571)+ SUMIF(negtgel!U$2:BL$2,'Tsalin uzuulelt'!P$5,negtgel!U571:BL571)</f>
      </c>
      <c r="N571">
        <f>IF(ISNUMBER(U571*1)=CF571,0,K571-H571-G571)</f>
      </c>
      <c r="O571">
        <f>IF(ISNUMBER(U571*1)=CF571,0,L571)</f>
      </c>
      <c r="P571">
        <f>IF(ISNUMBER(U571*1)=CF571,0,M571)</f>
      </c>
      <c r="Q571">
        <f>IF(N571&gt;2400000,N571,0)</f>
      </c>
      <c r="R571">
        <f>IF(L571/Q571*100&lt;3,2,10)</f>
      </c>
      <c r="S571">
        <f>IF(CH571=0,0,IF(B571&gt;9,10,IF(B571&gt;8,B571,IF(B571&gt;7.7,7.8,IF(B571&gt;3,B571,IF(B571&gt;1.5,2))))))</f>
      </c>
      <c r="T571">
        <f>IF(Q571=0,S571,R571)</f>
      </c>
      <c r="U571" t="n">
        <v>55.0</v>
      </c>
      <c r="V571" t="s">
        <v>3802</v>
      </c>
      <c r="W571" t="s">
        <v>3792</v>
      </c>
      <c r="X571" t="n">
        <v>496912.0</v>
      </c>
      <c r="Y571" t="n">
        <v>496912.0</v>
      </c>
      <c r="Z571" t="n">
        <v>0.0</v>
      </c>
      <c r="AA571" t="n">
        <v>0.0</v>
      </c>
      <c r="AB571" t="n">
        <v>0.0</v>
      </c>
      <c r="AC571" t="n">
        <v>0.0</v>
      </c>
      <c r="AD571" t="n">
        <v>0.0</v>
      </c>
      <c r="AE571" t="n">
        <v>0.0</v>
      </c>
      <c r="AF571" t="n">
        <v>63000.0</v>
      </c>
      <c r="AG571" t="n">
        <v>0.0</v>
      </c>
      <c r="AH571" t="n">
        <v>0.0</v>
      </c>
      <c r="AI571" t="n">
        <v>0.0</v>
      </c>
      <c r="AJ571" t="n">
        <v>0.0</v>
      </c>
      <c r="AK571" t="n">
        <v>0.0</v>
      </c>
      <c r="AL571" t="n">
        <v>0.0</v>
      </c>
      <c r="AM571" t="n">
        <v>0.0</v>
      </c>
      <c r="AN571" t="n">
        <v>0.0</v>
      </c>
      <c r="AO571" t="n">
        <v>559912.0</v>
      </c>
      <c r="AP571" t="n">
        <v>55991.0</v>
      </c>
      <c r="AQ571" t="n">
        <v>44022.1</v>
      </c>
      <c r="CH571">
        <f>IFERROR(U571*1,0)</f>
      </c>
    </row>
    <row r="572">
      <c r="A572" t="n">
        <v>9.0</v>
      </c>
      <c r="B572">
        <f>IF((K572-G572-H572&gt;2400000),10,(L572/(K572-G572-H572)*100))</f>
      </c>
      <c r="C572">
        <f>IF(N572&gt;2400000,240000,(N572*S572)/100)</f>
      </c>
      <c r="D572">
        <f>IF(S572=0,0,IF((N572-I572)&gt;2400000,((((((N572-I572-J572)-240000))*0.1+(I572+J572)*0.1)))-7000,((((((N572-I572-J572)-(N572-I572-J572)*S572/100)))*0.1+(I572+J572)*0.1)-7000)))</f>
      </c>
      <c r="E572">
        <f>C572-O572</f>
      </c>
      <c r="F572">
        <f>D572-P572</f>
      </c>
      <c r="G572">
        <f>SUMIF(negtgel!U$2:BL$2,'Tsalin uzuulelt'!B$1,negtgel!U572:BL572) + SUMIF(negtgel!U$2:BL$2,'Tsalin uzuulelt'!B$2,negtgel!U572:BL572)+SUMIF(negtgel!U$2:BL$2,'Tsalin uzuulelt'!B$3,negtgel!U572:BL572)+SUMIF(negtgel!U$2:BL$2,'Tsalin uzuulelt'!B$4,negtgel!U572:BL572)+SUMIF(negtgel!U$2:BL$2,'Tsalin uzuulelt'!B$5,negtgel!U572:BL572)</f>
      </c>
      <c r="H572">
        <f>SUMIF(negtgel!U$2:BL$2,'Tsalin uzuulelt'!F$1,negtgel!U572:BL572) + SUMIF(negtgel!U$2:BL$2,'Tsalin uzuulelt'!F$2,negtgel!U572:BL572)+SUMIF(negtgel!U$2:BL$2,'Tsalin uzuulelt'!F$3,negtgel!U572:BL572)+SUMIF(negtgel!U$2:BL$2,'Tsalin uzuulelt'!F$4,negtgel!U572:BL572)+SUMIF(negtgel!U$2:BL$2,'Tsalin uzuulelt'!F$5,negtgel!U572:BL572)</f>
      </c>
      <c r="I572">
        <f>SUMIF(negtgel!U$2:BL$2,'Tsalin uzuulelt'!H$1,negtgel!U572:BL572) + SUMIF(negtgel!U$2:BL$2,'Tsalin uzuulelt'!H$2,negtgel!U572:BL572)+SUMIF(negtgel!U$2:BL$2,'Tsalin uzuulelt'!H$3,negtgel!U572:BL572)+SUMIF(negtgel!U$2:BL$2,'Tsalin uzuulelt'!H$4,negtgel!U572:BL572)+SUMIF(negtgel!U$2:BL$2,'Tsalin uzuulelt'!H$5,negtgel!U572:BL572)</f>
      </c>
      <c r="J572">
        <f>SUMIF(negtgel!U$2:BL$2,'Tsalin uzuulelt'!J$1,negtgel!U572:BL572) + SUMIF(negtgel!U$2:BL$2,'Tsalin uzuulelt'!J$2,negtgel!U572:BL572)+SUMIF(negtgel!U$2:BL$2,'Tsalin uzuulelt'!J$3,negtgel!U572:BL572)+SUMIF(negtgel!U$2:BL$2,'Tsalin uzuulelt'!J$4,negtgel!U572:BL572)+SUMIF(negtgel!U$2:BL$2,'Tsalin uzuulelt'!J$5,negtgel!U572:BL572)</f>
      </c>
      <c r="K572">
        <f>SUMIF(negtgel!U$2:BL$2,'Tsalin uzuulelt'!L$1,negtgel!U572:BL572) + SUMIF(negtgel!U$2:BL$2,'Tsalin uzuulelt'!L$2,negtgel!U572:BL572)+SUMIF(negtgel!U$2:BL$2,'Tsalin uzuulelt'!L$3,negtgel!U572:BL572)+SUMIF(negtgel!U$2:BL$2,'Tsalin uzuulelt'!L$4,negtgel!U572:BL572)+SUMIF(negtgel!U$2:BL$2,'Tsalin uzuulelt'!L$5,negtgel!U572:BL572)</f>
      </c>
      <c r="L572">
        <f>SUMIF(negtgel!U$2:BL$2,'Tsalin uzuulelt'!N$1,negtgel!U572:BL572) + SUMIF(negtgel!U$2:BL$2,'Tsalin uzuulelt'!N$2,negtgel!U572:BL572)+SUMIF(negtgel!U$2:BL$2,'Tsalin uzuulelt'!N$3,negtgel!U572:BL572)+SUMIF(negtgel!U$2:BL$2,'Tsalin uzuulelt'!N$4,negtgel!U572:BL572)+SUMIF(negtgel!U$2:BL$2,'Tsalin uzuulelt'!N$5,negtgel!U572:BL572)</f>
      </c>
      <c r="M572">
        <f>SUMIF(negtgel!U$2:BL$2,'Tsalin uzuulelt'!P$1,negtgel!U572:BL572) + SUMIF(negtgel!U$2:BL$2,'Tsalin uzuulelt'!P$2,negtgel!U572:BL572)+ SUMIF(negtgel!U$2:BL$2,'Tsalin uzuulelt'!P$3,negtgel!U572:BL572)+ SUMIF(negtgel!U$2:BL$2,'Tsalin uzuulelt'!P$4,negtgel!U572:BL572)+ SUMIF(negtgel!U$2:BL$2,'Tsalin uzuulelt'!P$5,negtgel!U572:BL572)</f>
      </c>
      <c r="N572">
        <f>IF(ISNUMBER(U572*1)=CF572,0,K572-H572-G572)</f>
      </c>
      <c r="O572">
        <f>IF(ISNUMBER(U572*1)=CF572,0,L572)</f>
      </c>
      <c r="P572">
        <f>IF(ISNUMBER(U572*1)=CF572,0,M572)</f>
      </c>
      <c r="Q572">
        <f>IF(N572&gt;2400000,N572,0)</f>
      </c>
      <c r="R572">
        <f>IF(L572/Q572*100&lt;3,2,10)</f>
      </c>
      <c r="S572">
        <f>IF(CH572=0,0,IF(B572&gt;9,10,IF(B572&gt;8,B572,IF(B572&gt;7.7,7.8,IF(B572&gt;3,B572,IF(B572&gt;1.5,2))))))</f>
      </c>
      <c r="T572">
        <f>IF(Q572=0,S572,R572)</f>
      </c>
      <c r="U572" t="n">
        <v>56.0</v>
      </c>
      <c r="V572" t="s">
        <v>3803</v>
      </c>
      <c r="W572" t="s">
        <v>3790</v>
      </c>
      <c r="X572" t="n">
        <v>733863.0</v>
      </c>
      <c r="Y572" t="n">
        <v>733863.0</v>
      </c>
      <c r="Z572" t="n">
        <v>146773.0</v>
      </c>
      <c r="AA572" t="n">
        <v>146773.0</v>
      </c>
      <c r="AB572" t="n">
        <v>0.0</v>
      </c>
      <c r="AC572" t="n">
        <v>110079.0</v>
      </c>
      <c r="AD572" t="n">
        <v>0.0</v>
      </c>
      <c r="AE572" t="n">
        <v>0.0</v>
      </c>
      <c r="AF572" t="n">
        <v>63000.0</v>
      </c>
      <c r="AG572" t="n">
        <v>0.0</v>
      </c>
      <c r="AH572" t="n">
        <v>0.0</v>
      </c>
      <c r="AI572" t="n">
        <v>0.0</v>
      </c>
      <c r="AJ572" t="n">
        <v>0.0</v>
      </c>
      <c r="AK572" t="n">
        <v>0.0</v>
      </c>
      <c r="AL572" t="n">
        <v>0.0</v>
      </c>
      <c r="AM572" t="n">
        <v>0.0</v>
      </c>
      <c r="AN572" t="n">
        <v>0.0</v>
      </c>
      <c r="AO572" t="n">
        <v>1200488.0</v>
      </c>
      <c r="AP572" t="n">
        <v>120049.0</v>
      </c>
      <c r="AQ572" t="n">
        <v>101673.9</v>
      </c>
      <c r="CH572">
        <f>IFERROR(U572*1,0)</f>
      </c>
    </row>
    <row r="573">
      <c r="A573" t="n">
        <v>9.0</v>
      </c>
      <c r="B573">
        <f>IF((K573-G573-H573&gt;2400000),10,(L573/(K573-G573-H573)*100))</f>
      </c>
      <c r="C573">
        <f>IF(N573&gt;2400000,240000,(N573*S573)/100)</f>
      </c>
      <c r="D573">
        <f>IF(S573=0,0,IF((N573-I573)&gt;2400000,((((((N573-I573-J573)-240000))*0.1+(I573+J573)*0.1)))-7000,((((((N573-I573-J573)-(N573-I573-J573)*S573/100)))*0.1+(I573+J573)*0.1)-7000)))</f>
      </c>
      <c r="E573">
        <f>C573-O573</f>
      </c>
      <c r="F573">
        <f>D573-P573</f>
      </c>
      <c r="G573">
        <f>SUMIF(negtgel!U$2:BL$2,'Tsalin uzuulelt'!B$1,negtgel!U573:BL573) + SUMIF(negtgel!U$2:BL$2,'Tsalin uzuulelt'!B$2,negtgel!U573:BL573)+SUMIF(negtgel!U$2:BL$2,'Tsalin uzuulelt'!B$3,negtgel!U573:BL573)+SUMIF(negtgel!U$2:BL$2,'Tsalin uzuulelt'!B$4,negtgel!U573:BL573)+SUMIF(negtgel!U$2:BL$2,'Tsalin uzuulelt'!B$5,negtgel!U573:BL573)</f>
      </c>
      <c r="H573">
        <f>SUMIF(negtgel!U$2:BL$2,'Tsalin uzuulelt'!F$1,negtgel!U573:BL573) + SUMIF(negtgel!U$2:BL$2,'Tsalin uzuulelt'!F$2,negtgel!U573:BL573)+SUMIF(negtgel!U$2:BL$2,'Tsalin uzuulelt'!F$3,negtgel!U573:BL573)+SUMIF(negtgel!U$2:BL$2,'Tsalin uzuulelt'!F$4,negtgel!U573:BL573)+SUMIF(negtgel!U$2:BL$2,'Tsalin uzuulelt'!F$5,negtgel!U573:BL573)</f>
      </c>
      <c r="I573">
        <f>SUMIF(negtgel!U$2:BL$2,'Tsalin uzuulelt'!H$1,negtgel!U573:BL573) + SUMIF(negtgel!U$2:BL$2,'Tsalin uzuulelt'!H$2,negtgel!U573:BL573)+SUMIF(negtgel!U$2:BL$2,'Tsalin uzuulelt'!H$3,negtgel!U573:BL573)+SUMIF(negtgel!U$2:BL$2,'Tsalin uzuulelt'!H$4,negtgel!U573:BL573)+SUMIF(negtgel!U$2:BL$2,'Tsalin uzuulelt'!H$5,negtgel!U573:BL573)</f>
      </c>
      <c r="J573">
        <f>SUMIF(negtgel!U$2:BL$2,'Tsalin uzuulelt'!J$1,negtgel!U573:BL573) + SUMIF(negtgel!U$2:BL$2,'Tsalin uzuulelt'!J$2,negtgel!U573:BL573)+SUMIF(negtgel!U$2:BL$2,'Tsalin uzuulelt'!J$3,negtgel!U573:BL573)+SUMIF(negtgel!U$2:BL$2,'Tsalin uzuulelt'!J$4,negtgel!U573:BL573)+SUMIF(negtgel!U$2:BL$2,'Tsalin uzuulelt'!J$5,negtgel!U573:BL573)</f>
      </c>
      <c r="K573">
        <f>SUMIF(negtgel!U$2:BL$2,'Tsalin uzuulelt'!L$1,negtgel!U573:BL573) + SUMIF(negtgel!U$2:BL$2,'Tsalin uzuulelt'!L$2,negtgel!U573:BL573)+SUMIF(negtgel!U$2:BL$2,'Tsalin uzuulelt'!L$3,negtgel!U573:BL573)+SUMIF(negtgel!U$2:BL$2,'Tsalin uzuulelt'!L$4,negtgel!U573:BL573)+SUMIF(negtgel!U$2:BL$2,'Tsalin uzuulelt'!L$5,negtgel!U573:BL573)</f>
      </c>
      <c r="L573">
        <f>SUMIF(negtgel!U$2:BL$2,'Tsalin uzuulelt'!N$1,negtgel!U573:BL573) + SUMIF(negtgel!U$2:BL$2,'Tsalin uzuulelt'!N$2,negtgel!U573:BL573)+SUMIF(negtgel!U$2:BL$2,'Tsalin uzuulelt'!N$3,negtgel!U573:BL573)+SUMIF(negtgel!U$2:BL$2,'Tsalin uzuulelt'!N$4,negtgel!U573:BL573)+SUMIF(negtgel!U$2:BL$2,'Tsalin uzuulelt'!N$5,negtgel!U573:BL573)</f>
      </c>
      <c r="M573">
        <f>SUMIF(negtgel!U$2:BL$2,'Tsalin uzuulelt'!P$1,negtgel!U573:BL573) + SUMIF(negtgel!U$2:BL$2,'Tsalin uzuulelt'!P$2,negtgel!U573:BL573)+ SUMIF(negtgel!U$2:BL$2,'Tsalin uzuulelt'!P$3,negtgel!U573:BL573)+ SUMIF(negtgel!U$2:BL$2,'Tsalin uzuulelt'!P$4,negtgel!U573:BL573)+ SUMIF(negtgel!U$2:BL$2,'Tsalin uzuulelt'!P$5,negtgel!U573:BL573)</f>
      </c>
      <c r="N573">
        <f>IF(ISNUMBER(U573*1)=CF573,0,K573-H573-G573)</f>
      </c>
      <c r="O573">
        <f>IF(ISNUMBER(U573*1)=CF573,0,L573)</f>
      </c>
      <c r="P573">
        <f>IF(ISNUMBER(U573*1)=CF573,0,M573)</f>
      </c>
      <c r="Q573">
        <f>IF(N573&gt;2400000,N573,0)</f>
      </c>
      <c r="R573">
        <f>IF(L573/Q573*100&lt;3,2,10)</f>
      </c>
      <c r="S573">
        <f>IF(CH573=0,0,IF(B573&gt;9,10,IF(B573&gt;8,B573,IF(B573&gt;7.7,7.8,IF(B573&gt;3,B573,IF(B573&gt;1.5,2))))))</f>
      </c>
      <c r="T573">
        <f>IF(Q573=0,S573,R573)</f>
      </c>
      <c r="U573" t="s">
        <v>3787</v>
      </c>
      <c r="V573"/>
      <c r="W573"/>
      <c r="X573" t="n">
        <v>5622775.0</v>
      </c>
      <c r="Y573" t="n">
        <v>5396963.0</v>
      </c>
      <c r="Z573" t="n">
        <v>456640.0</v>
      </c>
      <c r="AA573" t="n">
        <v>611069.0</v>
      </c>
      <c r="AB573" t="n">
        <v>0.0</v>
      </c>
      <c r="AC573" t="n">
        <v>177823.0</v>
      </c>
      <c r="AD573" t="n">
        <v>0.0</v>
      </c>
      <c r="AE573" t="n">
        <v>0.0</v>
      </c>
      <c r="AF573" t="n">
        <v>546000.0</v>
      </c>
      <c r="AG573" t="n">
        <v>0.0</v>
      </c>
      <c r="AH573" t="n">
        <v>0.0</v>
      </c>
      <c r="AI573" t="n">
        <v>0.0</v>
      </c>
      <c r="AJ573" t="n">
        <v>0.0</v>
      </c>
      <c r="AK573" t="n">
        <v>0.0</v>
      </c>
      <c r="AL573" t="n">
        <v>207787.0</v>
      </c>
      <c r="AM573" t="n">
        <v>0.0</v>
      </c>
      <c r="AN573" t="n">
        <v>0.0</v>
      </c>
      <c r="AO573" t="n">
        <v>7396282.0</v>
      </c>
      <c r="AP573" t="n">
        <v>718849.0</v>
      </c>
      <c r="AQ573" t="n">
        <v>589424.6</v>
      </c>
      <c r="CH573">
        <f>IFERROR(U573*1,0)</f>
      </c>
    </row>
    <row r="574">
      <c r="A574" t="n">
        <v>9.0</v>
      </c>
      <c r="B574">
        <f>IF((K574-G574-H574&gt;2400000),10,(L574/(K574-G574-H574)*100))</f>
      </c>
      <c r="C574">
        <f>IF(N574&gt;2400000,240000,(N574*S574)/100)</f>
      </c>
      <c r="D574">
        <f>IF(S574=0,0,IF((N574-I574)&gt;2400000,((((((N574-I574-J574)-240000))*0.1+(I574+J574)*0.1)))-7000,((((((N574-I574-J574)-(N574-I574-J574)*S574/100)))*0.1+(I574+J574)*0.1)-7000)))</f>
      </c>
      <c r="E574">
        <f>C574-O574</f>
      </c>
      <c r="F574">
        <f>D574-P574</f>
      </c>
      <c r="G574">
        <f>SUMIF(negtgel!U$2:BL$2,'Tsalin uzuulelt'!B$1,negtgel!U574:BL574) + SUMIF(negtgel!U$2:BL$2,'Tsalin uzuulelt'!B$2,negtgel!U574:BL574)+SUMIF(negtgel!U$2:BL$2,'Tsalin uzuulelt'!B$3,negtgel!U574:BL574)+SUMIF(negtgel!U$2:BL$2,'Tsalin uzuulelt'!B$4,negtgel!U574:BL574)+SUMIF(negtgel!U$2:BL$2,'Tsalin uzuulelt'!B$5,negtgel!U574:BL574)</f>
      </c>
      <c r="H574">
        <f>SUMIF(negtgel!U$2:BL$2,'Tsalin uzuulelt'!F$1,negtgel!U574:BL574) + SUMIF(negtgel!U$2:BL$2,'Tsalin uzuulelt'!F$2,negtgel!U574:BL574)+SUMIF(negtgel!U$2:BL$2,'Tsalin uzuulelt'!F$3,negtgel!U574:BL574)+SUMIF(negtgel!U$2:BL$2,'Tsalin uzuulelt'!F$4,negtgel!U574:BL574)+SUMIF(negtgel!U$2:BL$2,'Tsalin uzuulelt'!F$5,negtgel!U574:BL574)</f>
      </c>
      <c r="I574">
        <f>SUMIF(negtgel!U$2:BL$2,'Tsalin uzuulelt'!H$1,negtgel!U574:BL574) + SUMIF(negtgel!U$2:BL$2,'Tsalin uzuulelt'!H$2,negtgel!U574:BL574)+SUMIF(negtgel!U$2:BL$2,'Tsalin uzuulelt'!H$3,negtgel!U574:BL574)+SUMIF(negtgel!U$2:BL$2,'Tsalin uzuulelt'!H$4,negtgel!U574:BL574)+SUMIF(negtgel!U$2:BL$2,'Tsalin uzuulelt'!H$5,negtgel!U574:BL574)</f>
      </c>
      <c r="J574">
        <f>SUMIF(negtgel!U$2:BL$2,'Tsalin uzuulelt'!J$1,negtgel!U574:BL574) + SUMIF(negtgel!U$2:BL$2,'Tsalin uzuulelt'!J$2,negtgel!U574:BL574)+SUMIF(negtgel!U$2:BL$2,'Tsalin uzuulelt'!J$3,negtgel!U574:BL574)+SUMIF(negtgel!U$2:BL$2,'Tsalin uzuulelt'!J$4,negtgel!U574:BL574)+SUMIF(negtgel!U$2:BL$2,'Tsalin uzuulelt'!J$5,negtgel!U574:BL574)</f>
      </c>
      <c r="K574">
        <f>SUMIF(negtgel!U$2:BL$2,'Tsalin uzuulelt'!L$1,negtgel!U574:BL574) + SUMIF(negtgel!U$2:BL$2,'Tsalin uzuulelt'!L$2,negtgel!U574:BL574)+SUMIF(negtgel!U$2:BL$2,'Tsalin uzuulelt'!L$3,negtgel!U574:BL574)+SUMIF(negtgel!U$2:BL$2,'Tsalin uzuulelt'!L$4,negtgel!U574:BL574)+SUMIF(negtgel!U$2:BL$2,'Tsalin uzuulelt'!L$5,negtgel!U574:BL574)</f>
      </c>
      <c r="L574">
        <f>SUMIF(negtgel!U$2:BL$2,'Tsalin uzuulelt'!N$1,negtgel!U574:BL574) + SUMIF(negtgel!U$2:BL$2,'Tsalin uzuulelt'!N$2,negtgel!U574:BL574)+SUMIF(negtgel!U$2:BL$2,'Tsalin uzuulelt'!N$3,negtgel!U574:BL574)+SUMIF(negtgel!U$2:BL$2,'Tsalin uzuulelt'!N$4,negtgel!U574:BL574)+SUMIF(negtgel!U$2:BL$2,'Tsalin uzuulelt'!N$5,negtgel!U574:BL574)</f>
      </c>
      <c r="M574">
        <f>SUMIF(negtgel!U$2:BL$2,'Tsalin uzuulelt'!P$1,negtgel!U574:BL574) + SUMIF(negtgel!U$2:BL$2,'Tsalin uzuulelt'!P$2,negtgel!U574:BL574)+ SUMIF(negtgel!U$2:BL$2,'Tsalin uzuulelt'!P$3,negtgel!U574:BL574)+ SUMIF(negtgel!U$2:BL$2,'Tsalin uzuulelt'!P$4,negtgel!U574:BL574)+ SUMIF(negtgel!U$2:BL$2,'Tsalin uzuulelt'!P$5,negtgel!U574:BL574)</f>
      </c>
      <c r="N574">
        <f>IF(ISNUMBER(U574*1)=CF574,0,K574-H574-G574)</f>
      </c>
      <c r="O574">
        <f>IF(ISNUMBER(U574*1)=CF574,0,L574)</f>
      </c>
      <c r="P574">
        <f>IF(ISNUMBER(U574*1)=CF574,0,M574)</f>
      </c>
      <c r="Q574">
        <f>IF(N574&gt;2400000,N574,0)</f>
      </c>
      <c r="R574">
        <f>IF(L574/Q574*100&lt;3,2,10)</f>
      </c>
      <c r="S574">
        <f>IF(CH574=0,0,IF(B574&gt;9,10,IF(B574&gt;8,B574,IF(B574&gt;7.7,7.8,IF(B574&gt;3,B574,IF(B574&gt;1.5,2))))))</f>
      </c>
      <c r="T574">
        <f>IF(Q574=0,S574,R574)</f>
      </c>
      <c r="U574" t="s">
        <v>3804</v>
      </c>
      <c r="V574"/>
      <c r="W574"/>
      <c r="X574"/>
      <c r="Y574"/>
      <c r="Z574"/>
      <c r="AA574"/>
      <c r="AB574"/>
      <c r="AC574"/>
      <c r="AD574"/>
      <c r="AE574"/>
      <c r="AF574"/>
      <c r="AG574"/>
      <c r="AH574"/>
      <c r="AI574"/>
      <c r="AJ574"/>
      <c r="AK574"/>
      <c r="AL574"/>
      <c r="AM574"/>
      <c r="AN574"/>
      <c r="AO574"/>
      <c r="AP574"/>
      <c r="AQ574"/>
      <c r="CH574">
        <f>IFERROR(U574*1,0)</f>
      </c>
    </row>
    <row r="575">
      <c r="A575" t="n">
        <v>9.0</v>
      </c>
      <c r="B575">
        <f>IF((K575-G575-H575&gt;2400000),10,(L575/(K575-G575-H575)*100))</f>
      </c>
      <c r="C575">
        <f>IF(N575&gt;2400000,240000,(N575*S575)/100)</f>
      </c>
      <c r="D575">
        <f>IF(S575=0,0,IF((N575-I575)&gt;2400000,((((((N575-I575-J575)-240000))*0.1+(I575+J575)*0.1)))-7000,((((((N575-I575-J575)-(N575-I575-J575)*S575/100)))*0.1+(I575+J575)*0.1)-7000)))</f>
      </c>
      <c r="E575">
        <f>C575-O575</f>
      </c>
      <c r="F575">
        <f>D575-P575</f>
      </c>
      <c r="G575">
        <f>SUMIF(negtgel!U$2:BL$2,'Tsalin uzuulelt'!B$1,negtgel!U575:BL575) + SUMIF(negtgel!U$2:BL$2,'Tsalin uzuulelt'!B$2,negtgel!U575:BL575)+SUMIF(negtgel!U$2:BL$2,'Tsalin uzuulelt'!B$3,negtgel!U575:BL575)+SUMIF(negtgel!U$2:BL$2,'Tsalin uzuulelt'!B$4,negtgel!U575:BL575)+SUMIF(negtgel!U$2:BL$2,'Tsalin uzuulelt'!B$5,negtgel!U575:BL575)</f>
      </c>
      <c r="H575">
        <f>SUMIF(negtgel!U$2:BL$2,'Tsalin uzuulelt'!F$1,negtgel!U575:BL575) + SUMIF(negtgel!U$2:BL$2,'Tsalin uzuulelt'!F$2,negtgel!U575:BL575)+SUMIF(negtgel!U$2:BL$2,'Tsalin uzuulelt'!F$3,negtgel!U575:BL575)+SUMIF(negtgel!U$2:BL$2,'Tsalin uzuulelt'!F$4,negtgel!U575:BL575)+SUMIF(negtgel!U$2:BL$2,'Tsalin uzuulelt'!F$5,negtgel!U575:BL575)</f>
      </c>
      <c r="I575">
        <f>SUMIF(negtgel!U$2:BL$2,'Tsalin uzuulelt'!H$1,negtgel!U575:BL575) + SUMIF(negtgel!U$2:BL$2,'Tsalin uzuulelt'!H$2,negtgel!U575:BL575)+SUMIF(negtgel!U$2:BL$2,'Tsalin uzuulelt'!H$3,negtgel!U575:BL575)+SUMIF(negtgel!U$2:BL$2,'Tsalin uzuulelt'!H$4,negtgel!U575:BL575)+SUMIF(negtgel!U$2:BL$2,'Tsalin uzuulelt'!H$5,negtgel!U575:BL575)</f>
      </c>
      <c r="J575">
        <f>SUMIF(negtgel!U$2:BL$2,'Tsalin uzuulelt'!J$1,negtgel!U575:BL575) + SUMIF(negtgel!U$2:BL$2,'Tsalin uzuulelt'!J$2,negtgel!U575:BL575)+SUMIF(negtgel!U$2:BL$2,'Tsalin uzuulelt'!J$3,negtgel!U575:BL575)+SUMIF(negtgel!U$2:BL$2,'Tsalin uzuulelt'!J$4,negtgel!U575:BL575)+SUMIF(negtgel!U$2:BL$2,'Tsalin uzuulelt'!J$5,negtgel!U575:BL575)</f>
      </c>
      <c r="K575">
        <f>SUMIF(negtgel!U$2:BL$2,'Tsalin uzuulelt'!L$1,negtgel!U575:BL575) + SUMIF(negtgel!U$2:BL$2,'Tsalin uzuulelt'!L$2,negtgel!U575:BL575)+SUMIF(negtgel!U$2:BL$2,'Tsalin uzuulelt'!L$3,negtgel!U575:BL575)+SUMIF(negtgel!U$2:BL$2,'Tsalin uzuulelt'!L$4,negtgel!U575:BL575)+SUMIF(negtgel!U$2:BL$2,'Tsalin uzuulelt'!L$5,negtgel!U575:BL575)</f>
      </c>
      <c r="L575">
        <f>SUMIF(negtgel!U$2:BL$2,'Tsalin uzuulelt'!N$1,negtgel!U575:BL575) + SUMIF(negtgel!U$2:BL$2,'Tsalin uzuulelt'!N$2,negtgel!U575:BL575)+SUMIF(negtgel!U$2:BL$2,'Tsalin uzuulelt'!N$3,negtgel!U575:BL575)+SUMIF(negtgel!U$2:BL$2,'Tsalin uzuulelt'!N$4,negtgel!U575:BL575)+SUMIF(negtgel!U$2:BL$2,'Tsalin uzuulelt'!N$5,negtgel!U575:BL575)</f>
      </c>
      <c r="M575">
        <f>SUMIF(negtgel!U$2:BL$2,'Tsalin uzuulelt'!P$1,negtgel!U575:BL575) + SUMIF(negtgel!U$2:BL$2,'Tsalin uzuulelt'!P$2,negtgel!U575:BL575)+ SUMIF(negtgel!U$2:BL$2,'Tsalin uzuulelt'!P$3,negtgel!U575:BL575)+ SUMIF(negtgel!U$2:BL$2,'Tsalin uzuulelt'!P$4,negtgel!U575:BL575)+ SUMIF(negtgel!U$2:BL$2,'Tsalin uzuulelt'!P$5,negtgel!U575:BL575)</f>
      </c>
      <c r="N575">
        <f>IF(ISNUMBER(U575*1)=CF575,0,K575-H575-G575)</f>
      </c>
      <c r="O575">
        <f>IF(ISNUMBER(U575*1)=CF575,0,L575)</f>
      </c>
      <c r="P575">
        <f>IF(ISNUMBER(U575*1)=CF575,0,M575)</f>
      </c>
      <c r="Q575">
        <f>IF(N575&gt;2400000,N575,0)</f>
      </c>
      <c r="R575">
        <f>IF(L575/Q575*100&lt;3,2,10)</f>
      </c>
      <c r="S575">
        <f>IF(CH575=0,0,IF(B575&gt;9,10,IF(B575&gt;8,B575,IF(B575&gt;7.7,7.8,IF(B575&gt;3,B575,IF(B575&gt;1.5,2))))))</f>
      </c>
      <c r="T575">
        <f>IF(Q575=0,S575,R575)</f>
      </c>
      <c r="U575" t="n">
        <v>57.0</v>
      </c>
      <c r="V575" t="s">
        <v>3805</v>
      </c>
      <c r="W575" t="s">
        <v>3790</v>
      </c>
      <c r="X575" t="n">
        <v>645556.0</v>
      </c>
      <c r="Y575" t="n">
        <v>645556.0</v>
      </c>
      <c r="Z575" t="n">
        <v>64556.0</v>
      </c>
      <c r="AA575" t="n">
        <v>109745.0</v>
      </c>
      <c r="AB575" t="n">
        <v>0.0</v>
      </c>
      <c r="AC575" t="n">
        <v>0.0</v>
      </c>
      <c r="AD575" t="n">
        <v>0.0</v>
      </c>
      <c r="AE575" t="n">
        <v>0.0</v>
      </c>
      <c r="AF575" t="n">
        <v>63000.0</v>
      </c>
      <c r="AG575" t="n">
        <v>0.0</v>
      </c>
      <c r="AH575" t="n">
        <v>0.0</v>
      </c>
      <c r="AI575" t="n">
        <v>0.0</v>
      </c>
      <c r="AJ575" t="n">
        <v>0.0</v>
      </c>
      <c r="AK575" t="n">
        <v>0.0</v>
      </c>
      <c r="AL575" t="n">
        <v>0.0</v>
      </c>
      <c r="AM575" t="n">
        <v>0.0</v>
      </c>
      <c r="AN575" t="n">
        <v>0.0</v>
      </c>
      <c r="AO575" t="n">
        <v>882857.0</v>
      </c>
      <c r="AP575" t="n">
        <v>88286.0</v>
      </c>
      <c r="AQ575" t="n">
        <v>73087.1</v>
      </c>
      <c r="CH575">
        <f>IFERROR(U575*1,0)</f>
      </c>
    </row>
    <row r="576">
      <c r="A576" t="n">
        <v>9.0</v>
      </c>
      <c r="B576">
        <f>IF((K576-G576-H576&gt;2400000),10,(L576/(K576-G576-H576)*100))</f>
      </c>
      <c r="C576">
        <f>IF(N576&gt;2400000,240000,(N576*S576)/100)</f>
      </c>
      <c r="D576">
        <f>IF(S576=0,0,IF((N576-I576)&gt;2400000,((((((N576-I576-J576)-240000))*0.1+(I576+J576)*0.1)))-7000,((((((N576-I576-J576)-(N576-I576-J576)*S576/100)))*0.1+(I576+J576)*0.1)-7000)))</f>
      </c>
      <c r="E576">
        <f>C576-O576</f>
      </c>
      <c r="F576">
        <f>D576-P576</f>
      </c>
      <c r="G576">
        <f>SUMIF(negtgel!U$2:BL$2,'Tsalin uzuulelt'!B$1,negtgel!U576:BL576) + SUMIF(negtgel!U$2:BL$2,'Tsalin uzuulelt'!B$2,negtgel!U576:BL576)+SUMIF(negtgel!U$2:BL$2,'Tsalin uzuulelt'!B$3,negtgel!U576:BL576)+SUMIF(negtgel!U$2:BL$2,'Tsalin uzuulelt'!B$4,negtgel!U576:BL576)+SUMIF(negtgel!U$2:BL$2,'Tsalin uzuulelt'!B$5,negtgel!U576:BL576)</f>
      </c>
      <c r="H576">
        <f>SUMIF(negtgel!U$2:BL$2,'Tsalin uzuulelt'!F$1,negtgel!U576:BL576) + SUMIF(negtgel!U$2:BL$2,'Tsalin uzuulelt'!F$2,negtgel!U576:BL576)+SUMIF(negtgel!U$2:BL$2,'Tsalin uzuulelt'!F$3,negtgel!U576:BL576)+SUMIF(negtgel!U$2:BL$2,'Tsalin uzuulelt'!F$4,negtgel!U576:BL576)+SUMIF(negtgel!U$2:BL$2,'Tsalin uzuulelt'!F$5,negtgel!U576:BL576)</f>
      </c>
      <c r="I576">
        <f>SUMIF(negtgel!U$2:BL$2,'Tsalin uzuulelt'!H$1,negtgel!U576:BL576) + SUMIF(negtgel!U$2:BL$2,'Tsalin uzuulelt'!H$2,negtgel!U576:BL576)+SUMIF(negtgel!U$2:BL$2,'Tsalin uzuulelt'!H$3,negtgel!U576:BL576)+SUMIF(negtgel!U$2:BL$2,'Tsalin uzuulelt'!H$4,negtgel!U576:BL576)+SUMIF(negtgel!U$2:BL$2,'Tsalin uzuulelt'!H$5,negtgel!U576:BL576)</f>
      </c>
      <c r="J576">
        <f>SUMIF(negtgel!U$2:BL$2,'Tsalin uzuulelt'!J$1,negtgel!U576:BL576) + SUMIF(negtgel!U$2:BL$2,'Tsalin uzuulelt'!J$2,negtgel!U576:BL576)+SUMIF(negtgel!U$2:BL$2,'Tsalin uzuulelt'!J$3,negtgel!U576:BL576)+SUMIF(negtgel!U$2:BL$2,'Tsalin uzuulelt'!J$4,negtgel!U576:BL576)+SUMIF(negtgel!U$2:BL$2,'Tsalin uzuulelt'!J$5,negtgel!U576:BL576)</f>
      </c>
      <c r="K576">
        <f>SUMIF(negtgel!U$2:BL$2,'Tsalin uzuulelt'!L$1,negtgel!U576:BL576) + SUMIF(negtgel!U$2:BL$2,'Tsalin uzuulelt'!L$2,negtgel!U576:BL576)+SUMIF(negtgel!U$2:BL$2,'Tsalin uzuulelt'!L$3,negtgel!U576:BL576)+SUMIF(negtgel!U$2:BL$2,'Tsalin uzuulelt'!L$4,negtgel!U576:BL576)+SUMIF(negtgel!U$2:BL$2,'Tsalin uzuulelt'!L$5,negtgel!U576:BL576)</f>
      </c>
      <c r="L576">
        <f>SUMIF(negtgel!U$2:BL$2,'Tsalin uzuulelt'!N$1,negtgel!U576:BL576) + SUMIF(negtgel!U$2:BL$2,'Tsalin uzuulelt'!N$2,negtgel!U576:BL576)+SUMIF(negtgel!U$2:BL$2,'Tsalin uzuulelt'!N$3,negtgel!U576:BL576)+SUMIF(negtgel!U$2:BL$2,'Tsalin uzuulelt'!N$4,negtgel!U576:BL576)+SUMIF(negtgel!U$2:BL$2,'Tsalin uzuulelt'!N$5,negtgel!U576:BL576)</f>
      </c>
      <c r="M576">
        <f>SUMIF(negtgel!U$2:BL$2,'Tsalin uzuulelt'!P$1,negtgel!U576:BL576) + SUMIF(negtgel!U$2:BL$2,'Tsalin uzuulelt'!P$2,negtgel!U576:BL576)+ SUMIF(negtgel!U$2:BL$2,'Tsalin uzuulelt'!P$3,negtgel!U576:BL576)+ SUMIF(negtgel!U$2:BL$2,'Tsalin uzuulelt'!P$4,negtgel!U576:BL576)+ SUMIF(negtgel!U$2:BL$2,'Tsalin uzuulelt'!P$5,negtgel!U576:BL576)</f>
      </c>
      <c r="N576">
        <f>IF(ISNUMBER(U576*1)=CF576,0,K576-H576-G576)</f>
      </c>
      <c r="O576">
        <f>IF(ISNUMBER(U576*1)=CF576,0,L576)</f>
      </c>
      <c r="P576">
        <f>IF(ISNUMBER(U576*1)=CF576,0,M576)</f>
      </c>
      <c r="Q576">
        <f>IF(N576&gt;2400000,N576,0)</f>
      </c>
      <c r="R576">
        <f>IF(L576/Q576*100&lt;3,2,10)</f>
      </c>
      <c r="S576">
        <f>IF(CH576=0,0,IF(B576&gt;9,10,IF(B576&gt;8,B576,IF(B576&gt;7.7,7.8,IF(B576&gt;3,B576,IF(B576&gt;1.5,2))))))</f>
      </c>
      <c r="T576">
        <f>IF(Q576=0,S576,R576)</f>
      </c>
      <c r="U576" t="n">
        <v>58.0</v>
      </c>
      <c r="V576" t="s">
        <v>3852</v>
      </c>
      <c r="W576" t="s">
        <v>3792</v>
      </c>
      <c r="X576" t="n">
        <v>496912.0</v>
      </c>
      <c r="Y576" t="n">
        <v>473250.0</v>
      </c>
      <c r="Z576" t="n">
        <v>0.0</v>
      </c>
      <c r="AA576" t="n">
        <v>0.0</v>
      </c>
      <c r="AB576" t="n">
        <v>47325.0</v>
      </c>
      <c r="AC576" t="n">
        <v>0.0</v>
      </c>
      <c r="AD576" t="n">
        <v>0.0</v>
      </c>
      <c r="AE576" t="n">
        <v>0.0</v>
      </c>
      <c r="AF576" t="n">
        <v>60000.0</v>
      </c>
      <c r="AG576" t="n">
        <v>0.0</v>
      </c>
      <c r="AH576" t="n">
        <v>0.0</v>
      </c>
      <c r="AI576" t="n">
        <v>0.0</v>
      </c>
      <c r="AJ576" t="n">
        <v>0.0</v>
      </c>
      <c r="AK576" t="n">
        <v>0.0</v>
      </c>
      <c r="AL576" t="n">
        <v>67794.0</v>
      </c>
      <c r="AM576" t="n">
        <v>0.0</v>
      </c>
      <c r="AN576" t="n">
        <v>0.0</v>
      </c>
      <c r="AO576" t="n">
        <v>648369.0</v>
      </c>
      <c r="AP576" t="n">
        <v>58058.0</v>
      </c>
      <c r="AQ576" t="n">
        <v>45851.8</v>
      </c>
      <c r="CH576">
        <f>IFERROR(U576*1,0)</f>
      </c>
    </row>
    <row r="577">
      <c r="A577" t="n">
        <v>9.0</v>
      </c>
      <c r="B577">
        <f>IF((K577-G577-H577&gt;2400000),10,(L577/(K577-G577-H577)*100))</f>
      </c>
      <c r="C577">
        <f>IF(N577&gt;2400000,240000,(N577*S577)/100)</f>
      </c>
      <c r="D577">
        <f>IF(S577=0,0,IF((N577-I577)&gt;2400000,((((((N577-I577-J577)-240000))*0.1+(I577+J577)*0.1)))-7000,((((((N577-I577-J577)-(N577-I577-J577)*S577/100)))*0.1+(I577+J577)*0.1)-7000)))</f>
      </c>
      <c r="E577">
        <f>C577-O577</f>
      </c>
      <c r="F577">
        <f>D577-P577</f>
      </c>
      <c r="G577">
        <f>SUMIF(negtgel!U$2:BL$2,'Tsalin uzuulelt'!B$1,negtgel!U577:BL577) + SUMIF(negtgel!U$2:BL$2,'Tsalin uzuulelt'!B$2,negtgel!U577:BL577)+SUMIF(negtgel!U$2:BL$2,'Tsalin uzuulelt'!B$3,negtgel!U577:BL577)+SUMIF(negtgel!U$2:BL$2,'Tsalin uzuulelt'!B$4,negtgel!U577:BL577)+SUMIF(negtgel!U$2:BL$2,'Tsalin uzuulelt'!B$5,negtgel!U577:BL577)</f>
      </c>
      <c r="H577">
        <f>SUMIF(negtgel!U$2:BL$2,'Tsalin uzuulelt'!F$1,negtgel!U577:BL577) + SUMIF(negtgel!U$2:BL$2,'Tsalin uzuulelt'!F$2,negtgel!U577:BL577)+SUMIF(negtgel!U$2:BL$2,'Tsalin uzuulelt'!F$3,negtgel!U577:BL577)+SUMIF(negtgel!U$2:BL$2,'Tsalin uzuulelt'!F$4,negtgel!U577:BL577)+SUMIF(negtgel!U$2:BL$2,'Tsalin uzuulelt'!F$5,negtgel!U577:BL577)</f>
      </c>
      <c r="I577">
        <f>SUMIF(negtgel!U$2:BL$2,'Tsalin uzuulelt'!H$1,negtgel!U577:BL577) + SUMIF(negtgel!U$2:BL$2,'Tsalin uzuulelt'!H$2,negtgel!U577:BL577)+SUMIF(negtgel!U$2:BL$2,'Tsalin uzuulelt'!H$3,negtgel!U577:BL577)+SUMIF(negtgel!U$2:BL$2,'Tsalin uzuulelt'!H$4,negtgel!U577:BL577)+SUMIF(negtgel!U$2:BL$2,'Tsalin uzuulelt'!H$5,negtgel!U577:BL577)</f>
      </c>
      <c r="J577">
        <f>SUMIF(negtgel!U$2:BL$2,'Tsalin uzuulelt'!J$1,negtgel!U577:BL577) + SUMIF(negtgel!U$2:BL$2,'Tsalin uzuulelt'!J$2,negtgel!U577:BL577)+SUMIF(negtgel!U$2:BL$2,'Tsalin uzuulelt'!J$3,negtgel!U577:BL577)+SUMIF(negtgel!U$2:BL$2,'Tsalin uzuulelt'!J$4,negtgel!U577:BL577)+SUMIF(negtgel!U$2:BL$2,'Tsalin uzuulelt'!J$5,negtgel!U577:BL577)</f>
      </c>
      <c r="K577">
        <f>SUMIF(negtgel!U$2:BL$2,'Tsalin uzuulelt'!L$1,negtgel!U577:BL577) + SUMIF(negtgel!U$2:BL$2,'Tsalin uzuulelt'!L$2,negtgel!U577:BL577)+SUMIF(negtgel!U$2:BL$2,'Tsalin uzuulelt'!L$3,negtgel!U577:BL577)+SUMIF(negtgel!U$2:BL$2,'Tsalin uzuulelt'!L$4,negtgel!U577:BL577)+SUMIF(negtgel!U$2:BL$2,'Tsalin uzuulelt'!L$5,negtgel!U577:BL577)</f>
      </c>
      <c r="L577">
        <f>SUMIF(negtgel!U$2:BL$2,'Tsalin uzuulelt'!N$1,negtgel!U577:BL577) + SUMIF(negtgel!U$2:BL$2,'Tsalin uzuulelt'!N$2,negtgel!U577:BL577)+SUMIF(negtgel!U$2:BL$2,'Tsalin uzuulelt'!N$3,negtgel!U577:BL577)+SUMIF(negtgel!U$2:BL$2,'Tsalin uzuulelt'!N$4,negtgel!U577:BL577)+SUMIF(negtgel!U$2:BL$2,'Tsalin uzuulelt'!N$5,negtgel!U577:BL577)</f>
      </c>
      <c r="M577">
        <f>SUMIF(negtgel!U$2:BL$2,'Tsalin uzuulelt'!P$1,negtgel!U577:BL577) + SUMIF(negtgel!U$2:BL$2,'Tsalin uzuulelt'!P$2,negtgel!U577:BL577)+ SUMIF(negtgel!U$2:BL$2,'Tsalin uzuulelt'!P$3,negtgel!U577:BL577)+ SUMIF(negtgel!U$2:BL$2,'Tsalin uzuulelt'!P$4,negtgel!U577:BL577)+ SUMIF(negtgel!U$2:BL$2,'Tsalin uzuulelt'!P$5,negtgel!U577:BL577)</f>
      </c>
      <c r="N577">
        <f>IF(ISNUMBER(U577*1)=CF577,0,K577-H577-G577)</f>
      </c>
      <c r="O577">
        <f>IF(ISNUMBER(U577*1)=CF577,0,L577)</f>
      </c>
      <c r="P577">
        <f>IF(ISNUMBER(U577*1)=CF577,0,M577)</f>
      </c>
      <c r="Q577">
        <f>IF(N577&gt;2400000,N577,0)</f>
      </c>
      <c r="R577">
        <f>IF(L577/Q577*100&lt;3,2,10)</f>
      </c>
      <c r="S577">
        <f>IF(CH577=0,0,IF(B577&gt;9,10,IF(B577&gt;8,B577,IF(B577&gt;7.7,7.8,IF(B577&gt;3,B577,IF(B577&gt;1.5,2))))))</f>
      </c>
      <c r="T577">
        <f>IF(Q577=0,S577,R577)</f>
      </c>
      <c r="U577" t="n">
        <v>59.0</v>
      </c>
      <c r="V577" t="s">
        <v>3872</v>
      </c>
      <c r="W577" t="s">
        <v>3790</v>
      </c>
      <c r="X577" t="n">
        <v>645556.0</v>
      </c>
      <c r="Y577" t="n">
        <v>399630.0</v>
      </c>
      <c r="Z577" t="n">
        <v>59944.0</v>
      </c>
      <c r="AA577" t="n">
        <v>67937.0</v>
      </c>
      <c r="AB577" t="n">
        <v>0.0</v>
      </c>
      <c r="AC577" t="n">
        <v>0.0</v>
      </c>
      <c r="AD577" t="n">
        <v>0.0</v>
      </c>
      <c r="AE577" t="n">
        <v>0.0</v>
      </c>
      <c r="AF577" t="n">
        <v>39000.0</v>
      </c>
      <c r="AG577" t="n">
        <v>0.0</v>
      </c>
      <c r="AH577" t="n">
        <v>0.0</v>
      </c>
      <c r="AI577" t="n">
        <v>0.0</v>
      </c>
      <c r="AJ577" t="n">
        <v>0.0</v>
      </c>
      <c r="AK577" t="n">
        <v>0.0</v>
      </c>
      <c r="AL577" t="n">
        <v>0.0</v>
      </c>
      <c r="AM577" t="n">
        <v>0.0</v>
      </c>
      <c r="AN577" t="n">
        <v>0.0</v>
      </c>
      <c r="AO577" t="n">
        <v>566511.0</v>
      </c>
      <c r="AP577" t="n">
        <v>56651.0</v>
      </c>
      <c r="AQ577" t="n">
        <v>44376.0</v>
      </c>
      <c r="CH577">
        <f>IFERROR(U577*1,0)</f>
      </c>
    </row>
    <row r="578">
      <c r="A578" t="n">
        <v>9.0</v>
      </c>
      <c r="B578">
        <f>IF((K578-G578-H578&gt;2400000),10,(L578/(K578-G578-H578)*100))</f>
      </c>
      <c r="C578">
        <f>IF(N578&gt;2400000,240000,(N578*S578)/100)</f>
      </c>
      <c r="D578">
        <f>IF(S578=0,0,IF((N578-I578)&gt;2400000,((((((N578-I578-J578)-240000))*0.1+(I578+J578)*0.1)))-7000,((((((N578-I578-J578)-(N578-I578-J578)*S578/100)))*0.1+(I578+J578)*0.1)-7000)))</f>
      </c>
      <c r="E578">
        <f>C578-O578</f>
      </c>
      <c r="F578">
        <f>D578-P578</f>
      </c>
      <c r="G578">
        <f>SUMIF(negtgel!U$2:BL$2,'Tsalin uzuulelt'!B$1,negtgel!U578:BL578) + SUMIF(negtgel!U$2:BL$2,'Tsalin uzuulelt'!B$2,negtgel!U578:BL578)+SUMIF(negtgel!U$2:BL$2,'Tsalin uzuulelt'!B$3,negtgel!U578:BL578)+SUMIF(negtgel!U$2:BL$2,'Tsalin uzuulelt'!B$4,negtgel!U578:BL578)+SUMIF(negtgel!U$2:BL$2,'Tsalin uzuulelt'!B$5,negtgel!U578:BL578)</f>
      </c>
      <c r="H578">
        <f>SUMIF(negtgel!U$2:BL$2,'Tsalin uzuulelt'!F$1,negtgel!U578:BL578) + SUMIF(negtgel!U$2:BL$2,'Tsalin uzuulelt'!F$2,negtgel!U578:BL578)+SUMIF(negtgel!U$2:BL$2,'Tsalin uzuulelt'!F$3,negtgel!U578:BL578)+SUMIF(negtgel!U$2:BL$2,'Tsalin uzuulelt'!F$4,negtgel!U578:BL578)+SUMIF(negtgel!U$2:BL$2,'Tsalin uzuulelt'!F$5,negtgel!U578:BL578)</f>
      </c>
      <c r="I578">
        <f>SUMIF(negtgel!U$2:BL$2,'Tsalin uzuulelt'!H$1,negtgel!U578:BL578) + SUMIF(negtgel!U$2:BL$2,'Tsalin uzuulelt'!H$2,negtgel!U578:BL578)+SUMIF(negtgel!U$2:BL$2,'Tsalin uzuulelt'!H$3,negtgel!U578:BL578)+SUMIF(negtgel!U$2:BL$2,'Tsalin uzuulelt'!H$4,negtgel!U578:BL578)+SUMIF(negtgel!U$2:BL$2,'Tsalin uzuulelt'!H$5,negtgel!U578:BL578)</f>
      </c>
      <c r="J578">
        <f>SUMIF(negtgel!U$2:BL$2,'Tsalin uzuulelt'!J$1,negtgel!U578:BL578) + SUMIF(negtgel!U$2:BL$2,'Tsalin uzuulelt'!J$2,negtgel!U578:BL578)+SUMIF(negtgel!U$2:BL$2,'Tsalin uzuulelt'!J$3,negtgel!U578:BL578)+SUMIF(negtgel!U$2:BL$2,'Tsalin uzuulelt'!J$4,negtgel!U578:BL578)+SUMIF(negtgel!U$2:BL$2,'Tsalin uzuulelt'!J$5,negtgel!U578:BL578)</f>
      </c>
      <c r="K578">
        <f>SUMIF(negtgel!U$2:BL$2,'Tsalin uzuulelt'!L$1,negtgel!U578:BL578) + SUMIF(negtgel!U$2:BL$2,'Tsalin uzuulelt'!L$2,negtgel!U578:BL578)+SUMIF(negtgel!U$2:BL$2,'Tsalin uzuulelt'!L$3,negtgel!U578:BL578)+SUMIF(negtgel!U$2:BL$2,'Tsalin uzuulelt'!L$4,negtgel!U578:BL578)+SUMIF(negtgel!U$2:BL$2,'Tsalin uzuulelt'!L$5,negtgel!U578:BL578)</f>
      </c>
      <c r="L578">
        <f>SUMIF(negtgel!U$2:BL$2,'Tsalin uzuulelt'!N$1,negtgel!U578:BL578) + SUMIF(negtgel!U$2:BL$2,'Tsalin uzuulelt'!N$2,negtgel!U578:BL578)+SUMIF(negtgel!U$2:BL$2,'Tsalin uzuulelt'!N$3,negtgel!U578:BL578)+SUMIF(negtgel!U$2:BL$2,'Tsalin uzuulelt'!N$4,negtgel!U578:BL578)+SUMIF(negtgel!U$2:BL$2,'Tsalin uzuulelt'!N$5,negtgel!U578:BL578)</f>
      </c>
      <c r="M578">
        <f>SUMIF(negtgel!U$2:BL$2,'Tsalin uzuulelt'!P$1,negtgel!U578:BL578) + SUMIF(negtgel!U$2:BL$2,'Tsalin uzuulelt'!P$2,negtgel!U578:BL578)+ SUMIF(negtgel!U$2:BL$2,'Tsalin uzuulelt'!P$3,negtgel!U578:BL578)+ SUMIF(negtgel!U$2:BL$2,'Tsalin uzuulelt'!P$4,negtgel!U578:BL578)+ SUMIF(negtgel!U$2:BL$2,'Tsalin uzuulelt'!P$5,negtgel!U578:BL578)</f>
      </c>
      <c r="N578">
        <f>IF(ISNUMBER(U578*1)=CF578,0,K578-H578-G578)</f>
      </c>
      <c r="O578">
        <f>IF(ISNUMBER(U578*1)=CF578,0,L578)</f>
      </c>
      <c r="P578">
        <f>IF(ISNUMBER(U578*1)=CF578,0,M578)</f>
      </c>
      <c r="Q578">
        <f>IF(N578&gt;2400000,N578,0)</f>
      </c>
      <c r="R578">
        <f>IF(L578/Q578*100&lt;3,2,10)</f>
      </c>
      <c r="S578">
        <f>IF(CH578=0,0,IF(B578&gt;9,10,IF(B578&gt;8,B578,IF(B578&gt;7.7,7.8,IF(B578&gt;3,B578,IF(B578&gt;1.5,2))))))</f>
      </c>
      <c r="T578">
        <f>IF(Q578=0,S578,R578)</f>
      </c>
      <c r="U578" t="s">
        <v>3815</v>
      </c>
      <c r="V578"/>
      <c r="W578"/>
      <c r="X578"/>
      <c r="Y578"/>
      <c r="Z578"/>
      <c r="AA578"/>
      <c r="AB578"/>
      <c r="AC578"/>
      <c r="AD578"/>
      <c r="AE578"/>
      <c r="AF578"/>
      <c r="AG578"/>
      <c r="AH578"/>
      <c r="AI578"/>
      <c r="AJ578"/>
      <c r="AK578"/>
      <c r="AL578"/>
      <c r="AM578"/>
      <c r="AN578"/>
      <c r="AO578"/>
      <c r="AP578"/>
      <c r="AQ578"/>
      <c r="CH578">
        <f>IFERROR(U578*1,0)</f>
      </c>
    </row>
    <row r="579">
      <c r="A579" t="n">
        <v>9.0</v>
      </c>
      <c r="B579">
        <f>IF((K579-G579-H579&gt;2400000),10,(L579/(K579-G579-H579)*100))</f>
      </c>
      <c r="C579">
        <f>IF(N579&gt;2400000,240000,(N579*S579)/100)</f>
      </c>
      <c r="D579">
        <f>IF(S579=0,0,IF((N579-I579)&gt;2400000,((((((N579-I579-J579)-240000))*0.1+(I579+J579)*0.1)))-7000,((((((N579-I579-J579)-(N579-I579-J579)*S579/100)))*0.1+(I579+J579)*0.1)-7000)))</f>
      </c>
      <c r="E579">
        <f>C579-O579</f>
      </c>
      <c r="F579">
        <f>D579-P579</f>
      </c>
      <c r="G579">
        <f>SUMIF(negtgel!U$2:BL$2,'Tsalin uzuulelt'!B$1,negtgel!U579:BL579) + SUMIF(negtgel!U$2:BL$2,'Tsalin uzuulelt'!B$2,negtgel!U579:BL579)+SUMIF(negtgel!U$2:BL$2,'Tsalin uzuulelt'!B$3,negtgel!U579:BL579)+SUMIF(negtgel!U$2:BL$2,'Tsalin uzuulelt'!B$4,negtgel!U579:BL579)+SUMIF(negtgel!U$2:BL$2,'Tsalin uzuulelt'!B$5,negtgel!U579:BL579)</f>
      </c>
      <c r="H579">
        <f>SUMIF(negtgel!U$2:BL$2,'Tsalin uzuulelt'!F$1,negtgel!U579:BL579) + SUMIF(negtgel!U$2:BL$2,'Tsalin uzuulelt'!F$2,negtgel!U579:BL579)+SUMIF(negtgel!U$2:BL$2,'Tsalin uzuulelt'!F$3,negtgel!U579:BL579)+SUMIF(negtgel!U$2:BL$2,'Tsalin uzuulelt'!F$4,negtgel!U579:BL579)+SUMIF(negtgel!U$2:BL$2,'Tsalin uzuulelt'!F$5,negtgel!U579:BL579)</f>
      </c>
      <c r="I579">
        <f>SUMIF(negtgel!U$2:BL$2,'Tsalin uzuulelt'!H$1,negtgel!U579:BL579) + SUMIF(negtgel!U$2:BL$2,'Tsalin uzuulelt'!H$2,negtgel!U579:BL579)+SUMIF(negtgel!U$2:BL$2,'Tsalin uzuulelt'!H$3,negtgel!U579:BL579)+SUMIF(negtgel!U$2:BL$2,'Tsalin uzuulelt'!H$4,negtgel!U579:BL579)+SUMIF(negtgel!U$2:BL$2,'Tsalin uzuulelt'!H$5,negtgel!U579:BL579)</f>
      </c>
      <c r="J579">
        <f>SUMIF(negtgel!U$2:BL$2,'Tsalin uzuulelt'!J$1,negtgel!U579:BL579) + SUMIF(negtgel!U$2:BL$2,'Tsalin uzuulelt'!J$2,negtgel!U579:BL579)+SUMIF(negtgel!U$2:BL$2,'Tsalin uzuulelt'!J$3,negtgel!U579:BL579)+SUMIF(negtgel!U$2:BL$2,'Tsalin uzuulelt'!J$4,negtgel!U579:BL579)+SUMIF(negtgel!U$2:BL$2,'Tsalin uzuulelt'!J$5,negtgel!U579:BL579)</f>
      </c>
      <c r="K579">
        <f>SUMIF(negtgel!U$2:BL$2,'Tsalin uzuulelt'!L$1,negtgel!U579:BL579) + SUMIF(negtgel!U$2:BL$2,'Tsalin uzuulelt'!L$2,negtgel!U579:BL579)+SUMIF(negtgel!U$2:BL$2,'Tsalin uzuulelt'!L$3,negtgel!U579:BL579)+SUMIF(negtgel!U$2:BL$2,'Tsalin uzuulelt'!L$4,negtgel!U579:BL579)+SUMIF(negtgel!U$2:BL$2,'Tsalin uzuulelt'!L$5,negtgel!U579:BL579)</f>
      </c>
      <c r="L579">
        <f>SUMIF(negtgel!U$2:BL$2,'Tsalin uzuulelt'!N$1,negtgel!U579:BL579) + SUMIF(negtgel!U$2:BL$2,'Tsalin uzuulelt'!N$2,negtgel!U579:BL579)+SUMIF(negtgel!U$2:BL$2,'Tsalin uzuulelt'!N$3,negtgel!U579:BL579)+SUMIF(negtgel!U$2:BL$2,'Tsalin uzuulelt'!N$4,negtgel!U579:BL579)+SUMIF(negtgel!U$2:BL$2,'Tsalin uzuulelt'!N$5,negtgel!U579:BL579)</f>
      </c>
      <c r="M579">
        <f>SUMIF(negtgel!U$2:BL$2,'Tsalin uzuulelt'!P$1,negtgel!U579:BL579) + SUMIF(negtgel!U$2:BL$2,'Tsalin uzuulelt'!P$2,negtgel!U579:BL579)+ SUMIF(negtgel!U$2:BL$2,'Tsalin uzuulelt'!P$3,negtgel!U579:BL579)+ SUMIF(negtgel!U$2:BL$2,'Tsalin uzuulelt'!P$4,negtgel!U579:BL579)+ SUMIF(negtgel!U$2:BL$2,'Tsalin uzuulelt'!P$5,negtgel!U579:BL579)</f>
      </c>
      <c r="N579">
        <f>IF(ISNUMBER(U579*1)=CF579,0,K579-H579-G579)</f>
      </c>
      <c r="O579">
        <f>IF(ISNUMBER(U579*1)=CF579,0,L579)</f>
      </c>
      <c r="P579">
        <f>IF(ISNUMBER(U579*1)=CF579,0,M579)</f>
      </c>
      <c r="Q579">
        <f>IF(N579&gt;2400000,N579,0)</f>
      </c>
      <c r="R579">
        <f>IF(L579/Q579*100&lt;3,2,10)</f>
      </c>
      <c r="S579">
        <f>IF(CH579=0,0,IF(B579&gt;9,10,IF(B579&gt;8,B579,IF(B579&gt;7.7,7.8,IF(B579&gt;3,B579,IF(B579&gt;1.5,2))))))</f>
      </c>
      <c r="T579">
        <f>IF(Q579=0,S579,R579)</f>
      </c>
      <c r="U579" t="n">
        <v>67.0</v>
      </c>
      <c r="V579" t="s">
        <v>3816</v>
      </c>
      <c r="W579" t="s">
        <v>3790</v>
      </c>
      <c r="X579" t="n">
        <v>547759.0</v>
      </c>
      <c r="Y579" t="n">
        <v>547759.0</v>
      </c>
      <c r="Z579" t="n">
        <v>0.0</v>
      </c>
      <c r="AA579" t="n">
        <v>0.0</v>
      </c>
      <c r="AB579" t="n">
        <v>0.0</v>
      </c>
      <c r="AC579" t="n">
        <v>0.0</v>
      </c>
      <c r="AD579" t="n">
        <v>219104.0</v>
      </c>
      <c r="AE579" t="n">
        <v>0.0</v>
      </c>
      <c r="AF579" t="n">
        <v>63000.0</v>
      </c>
      <c r="AG579" t="n">
        <v>0.0</v>
      </c>
      <c r="AH579" t="n">
        <v>0.0</v>
      </c>
      <c r="AI579" t="n">
        <v>0.0</v>
      </c>
      <c r="AJ579" t="n">
        <v>0.0</v>
      </c>
      <c r="AK579" t="n">
        <v>0.0</v>
      </c>
      <c r="AL579" t="n">
        <v>0.0</v>
      </c>
      <c r="AM579" t="n">
        <v>0.0</v>
      </c>
      <c r="AN579" t="n">
        <v>0.0</v>
      </c>
      <c r="AO579" t="n">
        <v>829863.0</v>
      </c>
      <c r="AP579" t="n">
        <v>82986.0</v>
      </c>
      <c r="AQ579" t="n">
        <v>68317.7</v>
      </c>
      <c r="CH579">
        <f>IFERROR(U579*1,0)</f>
      </c>
    </row>
    <row r="580">
      <c r="A580" t="n">
        <v>9.0</v>
      </c>
      <c r="B580">
        <f>IF((K580-G580-H580&gt;2400000),10,(L580/(K580-G580-H580)*100))</f>
      </c>
      <c r="C580">
        <f>IF(N580&gt;2400000,240000,(N580*S580)/100)</f>
      </c>
      <c r="D580">
        <f>IF(S580=0,0,IF((N580-I580)&gt;2400000,((((((N580-I580-J580)-240000))*0.1+(I580+J580)*0.1)))-7000,((((((N580-I580-J580)-(N580-I580-J580)*S580/100)))*0.1+(I580+J580)*0.1)-7000)))</f>
      </c>
      <c r="E580">
        <f>C580-O580</f>
      </c>
      <c r="F580">
        <f>D580-P580</f>
      </c>
      <c r="G580">
        <f>SUMIF(negtgel!U$2:BL$2,'Tsalin uzuulelt'!B$1,negtgel!U580:BL580) + SUMIF(negtgel!U$2:BL$2,'Tsalin uzuulelt'!B$2,negtgel!U580:BL580)+SUMIF(negtgel!U$2:BL$2,'Tsalin uzuulelt'!B$3,negtgel!U580:BL580)+SUMIF(negtgel!U$2:BL$2,'Tsalin uzuulelt'!B$4,negtgel!U580:BL580)+SUMIF(negtgel!U$2:BL$2,'Tsalin uzuulelt'!B$5,negtgel!U580:BL580)</f>
      </c>
      <c r="H580">
        <f>SUMIF(negtgel!U$2:BL$2,'Tsalin uzuulelt'!F$1,negtgel!U580:BL580) + SUMIF(negtgel!U$2:BL$2,'Tsalin uzuulelt'!F$2,negtgel!U580:BL580)+SUMIF(negtgel!U$2:BL$2,'Tsalin uzuulelt'!F$3,negtgel!U580:BL580)+SUMIF(negtgel!U$2:BL$2,'Tsalin uzuulelt'!F$4,negtgel!U580:BL580)+SUMIF(negtgel!U$2:BL$2,'Tsalin uzuulelt'!F$5,negtgel!U580:BL580)</f>
      </c>
      <c r="I580">
        <f>SUMIF(negtgel!U$2:BL$2,'Tsalin uzuulelt'!H$1,negtgel!U580:BL580) + SUMIF(negtgel!U$2:BL$2,'Tsalin uzuulelt'!H$2,negtgel!U580:BL580)+SUMIF(negtgel!U$2:BL$2,'Tsalin uzuulelt'!H$3,negtgel!U580:BL580)+SUMIF(negtgel!U$2:BL$2,'Tsalin uzuulelt'!H$4,negtgel!U580:BL580)+SUMIF(negtgel!U$2:BL$2,'Tsalin uzuulelt'!H$5,negtgel!U580:BL580)</f>
      </c>
      <c r="J580">
        <f>SUMIF(negtgel!U$2:BL$2,'Tsalin uzuulelt'!J$1,negtgel!U580:BL580) + SUMIF(negtgel!U$2:BL$2,'Tsalin uzuulelt'!J$2,negtgel!U580:BL580)+SUMIF(negtgel!U$2:BL$2,'Tsalin uzuulelt'!J$3,negtgel!U580:BL580)+SUMIF(negtgel!U$2:BL$2,'Tsalin uzuulelt'!J$4,negtgel!U580:BL580)+SUMIF(negtgel!U$2:BL$2,'Tsalin uzuulelt'!J$5,negtgel!U580:BL580)</f>
      </c>
      <c r="K580">
        <f>SUMIF(negtgel!U$2:BL$2,'Tsalin uzuulelt'!L$1,negtgel!U580:BL580) + SUMIF(negtgel!U$2:BL$2,'Tsalin uzuulelt'!L$2,negtgel!U580:BL580)+SUMIF(negtgel!U$2:BL$2,'Tsalin uzuulelt'!L$3,negtgel!U580:BL580)+SUMIF(negtgel!U$2:BL$2,'Tsalin uzuulelt'!L$4,negtgel!U580:BL580)+SUMIF(negtgel!U$2:BL$2,'Tsalin uzuulelt'!L$5,negtgel!U580:BL580)</f>
      </c>
      <c r="L580">
        <f>SUMIF(negtgel!U$2:BL$2,'Tsalin uzuulelt'!N$1,negtgel!U580:BL580) + SUMIF(negtgel!U$2:BL$2,'Tsalin uzuulelt'!N$2,negtgel!U580:BL580)+SUMIF(negtgel!U$2:BL$2,'Tsalin uzuulelt'!N$3,negtgel!U580:BL580)+SUMIF(negtgel!U$2:BL$2,'Tsalin uzuulelt'!N$4,negtgel!U580:BL580)+SUMIF(negtgel!U$2:BL$2,'Tsalin uzuulelt'!N$5,negtgel!U580:BL580)</f>
      </c>
      <c r="M580">
        <f>SUMIF(negtgel!U$2:BL$2,'Tsalin uzuulelt'!P$1,negtgel!U580:BL580) + SUMIF(negtgel!U$2:BL$2,'Tsalin uzuulelt'!P$2,negtgel!U580:BL580)+ SUMIF(negtgel!U$2:BL$2,'Tsalin uzuulelt'!P$3,negtgel!U580:BL580)+ SUMIF(negtgel!U$2:BL$2,'Tsalin uzuulelt'!P$4,negtgel!U580:BL580)+ SUMIF(negtgel!U$2:BL$2,'Tsalin uzuulelt'!P$5,negtgel!U580:BL580)</f>
      </c>
      <c r="N580">
        <f>IF(ISNUMBER(U580*1)=CF580,0,K580-H580-G580)</f>
      </c>
      <c r="O580">
        <f>IF(ISNUMBER(U580*1)=CF580,0,L580)</f>
      </c>
      <c r="P580">
        <f>IF(ISNUMBER(U580*1)=CF580,0,M580)</f>
      </c>
      <c r="Q580">
        <f>IF(N580&gt;2400000,N580,0)</f>
      </c>
      <c r="R580">
        <f>IF(L580/Q580*100&lt;3,2,10)</f>
      </c>
      <c r="S580">
        <f>IF(CH580=0,0,IF(B580&gt;9,10,IF(B580&gt;8,B580,IF(B580&gt;7.7,7.8,IF(B580&gt;3,B580,IF(B580&gt;1.5,2))))))</f>
      </c>
      <c r="T580">
        <f>IF(Q580=0,S580,R580)</f>
      </c>
      <c r="U580" t="n">
        <v>68.0</v>
      </c>
      <c r="V580" t="s">
        <v>3817</v>
      </c>
      <c r="W580" t="s">
        <v>3790</v>
      </c>
      <c r="X580" t="n">
        <v>677436.0</v>
      </c>
      <c r="Y580" t="n">
        <v>677436.0</v>
      </c>
      <c r="Z580" t="n">
        <v>135487.0</v>
      </c>
      <c r="AA580" t="n">
        <v>135487.0</v>
      </c>
      <c r="AB580" t="n">
        <v>0.0</v>
      </c>
      <c r="AC580" t="n">
        <v>0.0</v>
      </c>
      <c r="AD580" t="n">
        <v>0.0</v>
      </c>
      <c r="AE580" t="n">
        <v>0.0</v>
      </c>
      <c r="AF580" t="n">
        <v>63000.0</v>
      </c>
      <c r="AG580" t="n">
        <v>0.0</v>
      </c>
      <c r="AH580" t="n">
        <v>0.0</v>
      </c>
      <c r="AI580" t="n">
        <v>0.0</v>
      </c>
      <c r="AJ580" t="n">
        <v>0.0</v>
      </c>
      <c r="AK580" t="n">
        <v>0.0</v>
      </c>
      <c r="AL580" t="n">
        <v>0.0</v>
      </c>
      <c r="AM580" t="n">
        <v>0.0</v>
      </c>
      <c r="AN580" t="n">
        <v>0.0</v>
      </c>
      <c r="AO580" t="n">
        <v>1011410.0</v>
      </c>
      <c r="AP580" t="n">
        <v>101141.0</v>
      </c>
      <c r="AQ580" t="n">
        <v>84656.9</v>
      </c>
      <c r="CH580">
        <f>IFERROR(U580*1,0)</f>
      </c>
    </row>
    <row r="581">
      <c r="A581" t="n">
        <v>9.0</v>
      </c>
      <c r="B581">
        <f>IF((K581-G581-H581&gt;2400000),10,(L581/(K581-G581-H581)*100))</f>
      </c>
      <c r="C581">
        <f>IF(N581&gt;2400000,240000,(N581*S581)/100)</f>
      </c>
      <c r="D581">
        <f>IF(S581=0,0,IF((N581-I581)&gt;2400000,((((((N581-I581-J581)-240000))*0.1+(I581+J581)*0.1)))-7000,((((((N581-I581-J581)-(N581-I581-J581)*S581/100)))*0.1+(I581+J581)*0.1)-7000)))</f>
      </c>
      <c r="E581">
        <f>C581-O581</f>
      </c>
      <c r="F581">
        <f>D581-P581</f>
      </c>
      <c r="G581">
        <f>SUMIF(negtgel!U$2:BL$2,'Tsalin uzuulelt'!B$1,negtgel!U581:BL581) + SUMIF(negtgel!U$2:BL$2,'Tsalin uzuulelt'!B$2,negtgel!U581:BL581)+SUMIF(negtgel!U$2:BL$2,'Tsalin uzuulelt'!B$3,negtgel!U581:BL581)+SUMIF(negtgel!U$2:BL$2,'Tsalin uzuulelt'!B$4,negtgel!U581:BL581)+SUMIF(negtgel!U$2:BL$2,'Tsalin uzuulelt'!B$5,negtgel!U581:BL581)</f>
      </c>
      <c r="H581">
        <f>SUMIF(negtgel!U$2:BL$2,'Tsalin uzuulelt'!F$1,negtgel!U581:BL581) + SUMIF(negtgel!U$2:BL$2,'Tsalin uzuulelt'!F$2,negtgel!U581:BL581)+SUMIF(negtgel!U$2:BL$2,'Tsalin uzuulelt'!F$3,negtgel!U581:BL581)+SUMIF(negtgel!U$2:BL$2,'Tsalin uzuulelt'!F$4,negtgel!U581:BL581)+SUMIF(negtgel!U$2:BL$2,'Tsalin uzuulelt'!F$5,negtgel!U581:BL581)</f>
      </c>
      <c r="I581">
        <f>SUMIF(negtgel!U$2:BL$2,'Tsalin uzuulelt'!H$1,negtgel!U581:BL581) + SUMIF(negtgel!U$2:BL$2,'Tsalin uzuulelt'!H$2,negtgel!U581:BL581)+SUMIF(negtgel!U$2:BL$2,'Tsalin uzuulelt'!H$3,negtgel!U581:BL581)+SUMIF(negtgel!U$2:BL$2,'Tsalin uzuulelt'!H$4,negtgel!U581:BL581)+SUMIF(negtgel!U$2:BL$2,'Tsalin uzuulelt'!H$5,negtgel!U581:BL581)</f>
      </c>
      <c r="J581">
        <f>SUMIF(negtgel!U$2:BL$2,'Tsalin uzuulelt'!J$1,negtgel!U581:BL581) + SUMIF(negtgel!U$2:BL$2,'Tsalin uzuulelt'!J$2,negtgel!U581:BL581)+SUMIF(negtgel!U$2:BL$2,'Tsalin uzuulelt'!J$3,negtgel!U581:BL581)+SUMIF(negtgel!U$2:BL$2,'Tsalin uzuulelt'!J$4,negtgel!U581:BL581)+SUMIF(negtgel!U$2:BL$2,'Tsalin uzuulelt'!J$5,negtgel!U581:BL581)</f>
      </c>
      <c r="K581">
        <f>SUMIF(negtgel!U$2:BL$2,'Tsalin uzuulelt'!L$1,negtgel!U581:BL581) + SUMIF(negtgel!U$2:BL$2,'Tsalin uzuulelt'!L$2,negtgel!U581:BL581)+SUMIF(negtgel!U$2:BL$2,'Tsalin uzuulelt'!L$3,negtgel!U581:BL581)+SUMIF(negtgel!U$2:BL$2,'Tsalin uzuulelt'!L$4,negtgel!U581:BL581)+SUMIF(negtgel!U$2:BL$2,'Tsalin uzuulelt'!L$5,negtgel!U581:BL581)</f>
      </c>
      <c r="L581">
        <f>SUMIF(negtgel!U$2:BL$2,'Tsalin uzuulelt'!N$1,negtgel!U581:BL581) + SUMIF(negtgel!U$2:BL$2,'Tsalin uzuulelt'!N$2,negtgel!U581:BL581)+SUMIF(negtgel!U$2:BL$2,'Tsalin uzuulelt'!N$3,negtgel!U581:BL581)+SUMIF(negtgel!U$2:BL$2,'Tsalin uzuulelt'!N$4,negtgel!U581:BL581)+SUMIF(negtgel!U$2:BL$2,'Tsalin uzuulelt'!N$5,negtgel!U581:BL581)</f>
      </c>
      <c r="M581">
        <f>SUMIF(negtgel!U$2:BL$2,'Tsalin uzuulelt'!P$1,negtgel!U581:BL581) + SUMIF(negtgel!U$2:BL$2,'Tsalin uzuulelt'!P$2,negtgel!U581:BL581)+ SUMIF(negtgel!U$2:BL$2,'Tsalin uzuulelt'!P$3,negtgel!U581:BL581)+ SUMIF(negtgel!U$2:BL$2,'Tsalin uzuulelt'!P$4,negtgel!U581:BL581)+ SUMIF(negtgel!U$2:BL$2,'Tsalin uzuulelt'!P$5,negtgel!U581:BL581)</f>
      </c>
      <c r="N581">
        <f>IF(ISNUMBER(U581*1)=CF581,0,K581-H581-G581)</f>
      </c>
      <c r="O581">
        <f>IF(ISNUMBER(U581*1)=CF581,0,L581)</f>
      </c>
      <c r="P581">
        <f>IF(ISNUMBER(U581*1)=CF581,0,M581)</f>
      </c>
      <c r="Q581">
        <f>IF(N581&gt;2400000,N581,0)</f>
      </c>
      <c r="R581">
        <f>IF(L581/Q581*100&lt;3,2,10)</f>
      </c>
      <c r="S581">
        <f>IF(CH581=0,0,IF(B581&gt;9,10,IF(B581&gt;8,B581,IF(B581&gt;7.7,7.8,IF(B581&gt;3,B581,IF(B581&gt;1.5,2))))))</f>
      </c>
      <c r="T581">
        <f>IF(Q581=0,S581,R581)</f>
      </c>
      <c r="U581" t="n">
        <v>69.0</v>
      </c>
      <c r="V581" t="s">
        <v>3818</v>
      </c>
      <c r="W581" t="s">
        <v>3785</v>
      </c>
      <c r="X581" t="n">
        <v>795935.0</v>
      </c>
      <c r="Y581" t="n">
        <v>795935.0</v>
      </c>
      <c r="Z581" t="n">
        <v>159187.0</v>
      </c>
      <c r="AA581" t="n">
        <v>143268.0</v>
      </c>
      <c r="AB581" t="n">
        <v>0.0</v>
      </c>
      <c r="AC581" t="n">
        <v>0.0</v>
      </c>
      <c r="AD581" t="n">
        <v>0.0</v>
      </c>
      <c r="AE581" t="n">
        <v>0.0</v>
      </c>
      <c r="AF581" t="n">
        <v>63000.0</v>
      </c>
      <c r="AG581" t="n">
        <v>0.0</v>
      </c>
      <c r="AH581" t="n">
        <v>0.0</v>
      </c>
      <c r="AI581" t="n">
        <v>0.0</v>
      </c>
      <c r="AJ581" t="n">
        <v>0.0</v>
      </c>
      <c r="AK581" t="n">
        <v>0.0</v>
      </c>
      <c r="AL581" t="n">
        <v>0.0</v>
      </c>
      <c r="AM581" t="n">
        <v>0.0</v>
      </c>
      <c r="AN581" t="n">
        <v>0.0</v>
      </c>
      <c r="AO581" t="n">
        <v>1161390.0</v>
      </c>
      <c r="AP581" t="n">
        <v>116139.0</v>
      </c>
      <c r="AQ581" t="n">
        <v>98155.1</v>
      </c>
      <c r="CH581">
        <f>IFERROR(U581*1,0)</f>
      </c>
    </row>
    <row r="582">
      <c r="A582" t="n">
        <v>9.0</v>
      </c>
      <c r="B582">
        <f>IF((K582-G582-H582&gt;2400000),10,(L582/(K582-G582-H582)*100))</f>
      </c>
      <c r="C582">
        <f>IF(N582&gt;2400000,240000,(N582*S582)/100)</f>
      </c>
      <c r="D582">
        <f>IF(S582=0,0,IF((N582-I582)&gt;2400000,((((((N582-I582-J582)-240000))*0.1+(I582+J582)*0.1)))-7000,((((((N582-I582-J582)-(N582-I582-J582)*S582/100)))*0.1+(I582+J582)*0.1)-7000)))</f>
      </c>
      <c r="E582">
        <f>C582-O582</f>
      </c>
      <c r="F582">
        <f>D582-P582</f>
      </c>
      <c r="G582">
        <f>SUMIF(negtgel!U$2:BL$2,'Tsalin uzuulelt'!B$1,negtgel!U582:BL582) + SUMIF(negtgel!U$2:BL$2,'Tsalin uzuulelt'!B$2,negtgel!U582:BL582)+SUMIF(negtgel!U$2:BL$2,'Tsalin uzuulelt'!B$3,negtgel!U582:BL582)+SUMIF(negtgel!U$2:BL$2,'Tsalin uzuulelt'!B$4,negtgel!U582:BL582)+SUMIF(negtgel!U$2:BL$2,'Tsalin uzuulelt'!B$5,negtgel!U582:BL582)</f>
      </c>
      <c r="H582">
        <f>SUMIF(negtgel!U$2:BL$2,'Tsalin uzuulelt'!F$1,negtgel!U582:BL582) + SUMIF(negtgel!U$2:BL$2,'Tsalin uzuulelt'!F$2,negtgel!U582:BL582)+SUMIF(negtgel!U$2:BL$2,'Tsalin uzuulelt'!F$3,negtgel!U582:BL582)+SUMIF(negtgel!U$2:BL$2,'Tsalin uzuulelt'!F$4,negtgel!U582:BL582)+SUMIF(negtgel!U$2:BL$2,'Tsalin uzuulelt'!F$5,negtgel!U582:BL582)</f>
      </c>
      <c r="I582">
        <f>SUMIF(negtgel!U$2:BL$2,'Tsalin uzuulelt'!H$1,negtgel!U582:BL582) + SUMIF(negtgel!U$2:BL$2,'Tsalin uzuulelt'!H$2,negtgel!U582:BL582)+SUMIF(negtgel!U$2:BL$2,'Tsalin uzuulelt'!H$3,negtgel!U582:BL582)+SUMIF(negtgel!U$2:BL$2,'Tsalin uzuulelt'!H$4,negtgel!U582:BL582)+SUMIF(negtgel!U$2:BL$2,'Tsalin uzuulelt'!H$5,negtgel!U582:BL582)</f>
      </c>
      <c r="J582">
        <f>SUMIF(negtgel!U$2:BL$2,'Tsalin uzuulelt'!J$1,negtgel!U582:BL582) + SUMIF(negtgel!U$2:BL$2,'Tsalin uzuulelt'!J$2,negtgel!U582:BL582)+SUMIF(negtgel!U$2:BL$2,'Tsalin uzuulelt'!J$3,negtgel!U582:BL582)+SUMIF(negtgel!U$2:BL$2,'Tsalin uzuulelt'!J$4,negtgel!U582:BL582)+SUMIF(negtgel!U$2:BL$2,'Tsalin uzuulelt'!J$5,negtgel!U582:BL582)</f>
      </c>
      <c r="K582">
        <f>SUMIF(negtgel!U$2:BL$2,'Tsalin uzuulelt'!L$1,negtgel!U582:BL582) + SUMIF(negtgel!U$2:BL$2,'Tsalin uzuulelt'!L$2,negtgel!U582:BL582)+SUMIF(negtgel!U$2:BL$2,'Tsalin uzuulelt'!L$3,negtgel!U582:BL582)+SUMIF(negtgel!U$2:BL$2,'Tsalin uzuulelt'!L$4,negtgel!U582:BL582)+SUMIF(negtgel!U$2:BL$2,'Tsalin uzuulelt'!L$5,negtgel!U582:BL582)</f>
      </c>
      <c r="L582">
        <f>SUMIF(negtgel!U$2:BL$2,'Tsalin uzuulelt'!N$1,negtgel!U582:BL582) + SUMIF(negtgel!U$2:BL$2,'Tsalin uzuulelt'!N$2,negtgel!U582:BL582)+SUMIF(negtgel!U$2:BL$2,'Tsalin uzuulelt'!N$3,negtgel!U582:BL582)+SUMIF(negtgel!U$2:BL$2,'Tsalin uzuulelt'!N$4,negtgel!U582:BL582)+SUMIF(negtgel!U$2:BL$2,'Tsalin uzuulelt'!N$5,negtgel!U582:BL582)</f>
      </c>
      <c r="M582">
        <f>SUMIF(negtgel!U$2:BL$2,'Tsalin uzuulelt'!P$1,negtgel!U582:BL582) + SUMIF(negtgel!U$2:BL$2,'Tsalin uzuulelt'!P$2,negtgel!U582:BL582)+ SUMIF(negtgel!U$2:BL$2,'Tsalin uzuulelt'!P$3,negtgel!U582:BL582)+ SUMIF(negtgel!U$2:BL$2,'Tsalin uzuulelt'!P$4,negtgel!U582:BL582)+ SUMIF(negtgel!U$2:BL$2,'Tsalin uzuulelt'!P$5,negtgel!U582:BL582)</f>
      </c>
      <c r="N582">
        <f>IF(ISNUMBER(U582*1)=CF582,0,K582-H582-G582)</f>
      </c>
      <c r="O582">
        <f>IF(ISNUMBER(U582*1)=CF582,0,L582)</f>
      </c>
      <c r="P582">
        <f>IF(ISNUMBER(U582*1)=CF582,0,M582)</f>
      </c>
      <c r="Q582">
        <f>IF(N582&gt;2400000,N582,0)</f>
      </c>
      <c r="R582">
        <f>IF(L582/Q582*100&lt;3,2,10)</f>
      </c>
      <c r="S582">
        <f>IF(CH582=0,0,IF(B582&gt;9,10,IF(B582&gt;8,B582,IF(B582&gt;7.7,7.8,IF(B582&gt;3,B582,IF(B582&gt;1.5,2))))))</f>
      </c>
      <c r="T582">
        <f>IF(Q582=0,S582,R582)</f>
      </c>
      <c r="U582" t="n">
        <v>70.0</v>
      </c>
      <c r="V582" t="s">
        <v>3819</v>
      </c>
      <c r="W582" t="s">
        <v>3820</v>
      </c>
      <c r="X582" t="n">
        <v>698795.0</v>
      </c>
      <c r="Y582" t="n">
        <v>698795.0</v>
      </c>
      <c r="Z582" t="n">
        <v>104819.0</v>
      </c>
      <c r="AA582" t="n">
        <v>125783.0</v>
      </c>
      <c r="AB582" t="n">
        <v>0.0</v>
      </c>
      <c r="AC582" t="n">
        <v>0.0</v>
      </c>
      <c r="AD582" t="n">
        <v>0.0</v>
      </c>
      <c r="AE582" t="n">
        <v>0.0</v>
      </c>
      <c r="AF582" t="n">
        <v>63000.0</v>
      </c>
      <c r="AG582" t="n">
        <v>0.0</v>
      </c>
      <c r="AH582" t="n">
        <v>0.0</v>
      </c>
      <c r="AI582" t="n">
        <v>0.0</v>
      </c>
      <c r="AJ582" t="n">
        <v>0.0</v>
      </c>
      <c r="AK582" t="n">
        <v>0.0</v>
      </c>
      <c r="AL582" t="n">
        <v>0.0</v>
      </c>
      <c r="AM582" t="n">
        <v>0.0</v>
      </c>
      <c r="AN582" t="n">
        <v>0.0</v>
      </c>
      <c r="AO582" t="n">
        <v>992397.0</v>
      </c>
      <c r="AP582" t="n">
        <v>99240.0</v>
      </c>
      <c r="AQ582" t="n">
        <v>82945.7</v>
      </c>
      <c r="CH582">
        <f>IFERROR(U582*1,0)</f>
      </c>
    </row>
    <row r="583">
      <c r="A583" t="n">
        <v>9.0</v>
      </c>
      <c r="B583">
        <f>IF((K583-G583-H583&gt;2400000),10,(L583/(K583-G583-H583)*100))</f>
      </c>
      <c r="C583">
        <f>IF(N583&gt;2400000,240000,(N583*S583)/100)</f>
      </c>
      <c r="D583">
        <f>IF(S583=0,0,IF((N583-I583)&gt;2400000,((((((N583-I583-J583)-240000))*0.1+(I583+J583)*0.1)))-7000,((((((N583-I583-J583)-(N583-I583-J583)*S583/100)))*0.1+(I583+J583)*0.1)-7000)))</f>
      </c>
      <c r="E583">
        <f>C583-O583</f>
      </c>
      <c r="F583">
        <f>D583-P583</f>
      </c>
      <c r="G583">
        <f>SUMIF(negtgel!U$2:BL$2,'Tsalin uzuulelt'!B$1,negtgel!U583:BL583) + SUMIF(negtgel!U$2:BL$2,'Tsalin uzuulelt'!B$2,negtgel!U583:BL583)+SUMIF(negtgel!U$2:BL$2,'Tsalin uzuulelt'!B$3,negtgel!U583:BL583)+SUMIF(negtgel!U$2:BL$2,'Tsalin uzuulelt'!B$4,negtgel!U583:BL583)+SUMIF(negtgel!U$2:BL$2,'Tsalin uzuulelt'!B$5,negtgel!U583:BL583)</f>
      </c>
      <c r="H583">
        <f>SUMIF(negtgel!U$2:BL$2,'Tsalin uzuulelt'!F$1,negtgel!U583:BL583) + SUMIF(negtgel!U$2:BL$2,'Tsalin uzuulelt'!F$2,negtgel!U583:BL583)+SUMIF(negtgel!U$2:BL$2,'Tsalin uzuulelt'!F$3,negtgel!U583:BL583)+SUMIF(negtgel!U$2:BL$2,'Tsalin uzuulelt'!F$4,negtgel!U583:BL583)+SUMIF(negtgel!U$2:BL$2,'Tsalin uzuulelt'!F$5,negtgel!U583:BL583)</f>
      </c>
      <c r="I583">
        <f>SUMIF(negtgel!U$2:BL$2,'Tsalin uzuulelt'!H$1,negtgel!U583:BL583) + SUMIF(negtgel!U$2:BL$2,'Tsalin uzuulelt'!H$2,negtgel!U583:BL583)+SUMIF(negtgel!U$2:BL$2,'Tsalin uzuulelt'!H$3,negtgel!U583:BL583)+SUMIF(negtgel!U$2:BL$2,'Tsalin uzuulelt'!H$4,negtgel!U583:BL583)+SUMIF(negtgel!U$2:BL$2,'Tsalin uzuulelt'!H$5,negtgel!U583:BL583)</f>
      </c>
      <c r="J583">
        <f>SUMIF(negtgel!U$2:BL$2,'Tsalin uzuulelt'!J$1,negtgel!U583:BL583) + SUMIF(negtgel!U$2:BL$2,'Tsalin uzuulelt'!J$2,negtgel!U583:BL583)+SUMIF(negtgel!U$2:BL$2,'Tsalin uzuulelt'!J$3,negtgel!U583:BL583)+SUMIF(negtgel!U$2:BL$2,'Tsalin uzuulelt'!J$4,negtgel!U583:BL583)+SUMIF(negtgel!U$2:BL$2,'Tsalin uzuulelt'!J$5,negtgel!U583:BL583)</f>
      </c>
      <c r="K583">
        <f>SUMIF(negtgel!U$2:BL$2,'Tsalin uzuulelt'!L$1,negtgel!U583:BL583) + SUMIF(negtgel!U$2:BL$2,'Tsalin uzuulelt'!L$2,negtgel!U583:BL583)+SUMIF(negtgel!U$2:BL$2,'Tsalin uzuulelt'!L$3,negtgel!U583:BL583)+SUMIF(negtgel!U$2:BL$2,'Tsalin uzuulelt'!L$4,negtgel!U583:BL583)+SUMIF(negtgel!U$2:BL$2,'Tsalin uzuulelt'!L$5,negtgel!U583:BL583)</f>
      </c>
      <c r="L583">
        <f>SUMIF(negtgel!U$2:BL$2,'Tsalin uzuulelt'!N$1,negtgel!U583:BL583) + SUMIF(negtgel!U$2:BL$2,'Tsalin uzuulelt'!N$2,negtgel!U583:BL583)+SUMIF(negtgel!U$2:BL$2,'Tsalin uzuulelt'!N$3,negtgel!U583:BL583)+SUMIF(negtgel!U$2:BL$2,'Tsalin uzuulelt'!N$4,negtgel!U583:BL583)+SUMIF(negtgel!U$2:BL$2,'Tsalin uzuulelt'!N$5,negtgel!U583:BL583)</f>
      </c>
      <c r="M583">
        <f>SUMIF(negtgel!U$2:BL$2,'Tsalin uzuulelt'!P$1,negtgel!U583:BL583) + SUMIF(negtgel!U$2:BL$2,'Tsalin uzuulelt'!P$2,negtgel!U583:BL583)+ SUMIF(negtgel!U$2:BL$2,'Tsalin uzuulelt'!P$3,negtgel!U583:BL583)+ SUMIF(negtgel!U$2:BL$2,'Tsalin uzuulelt'!P$4,negtgel!U583:BL583)+ SUMIF(negtgel!U$2:BL$2,'Tsalin uzuulelt'!P$5,negtgel!U583:BL583)</f>
      </c>
      <c r="N583">
        <f>IF(ISNUMBER(U583*1)=CF583,0,K583-H583-G583)</f>
      </c>
      <c r="O583">
        <f>IF(ISNUMBER(U583*1)=CF583,0,L583)</f>
      </c>
      <c r="P583">
        <f>IF(ISNUMBER(U583*1)=CF583,0,M583)</f>
      </c>
      <c r="Q583">
        <f>IF(N583&gt;2400000,N583,0)</f>
      </c>
      <c r="R583">
        <f>IF(L583/Q583*100&lt;3,2,10)</f>
      </c>
      <c r="S583">
        <f>IF(CH583=0,0,IF(B583&gt;9,10,IF(B583&gt;8,B583,IF(B583&gt;7.7,7.8,IF(B583&gt;3,B583,IF(B583&gt;1.5,2))))))</f>
      </c>
      <c r="T583">
        <f>IF(Q583=0,S583,R583)</f>
      </c>
      <c r="U583" t="n">
        <v>71.0</v>
      </c>
      <c r="V583" t="s">
        <v>3821</v>
      </c>
      <c r="W583" t="s">
        <v>3790</v>
      </c>
      <c r="X583" t="n">
        <v>547759.0</v>
      </c>
      <c r="Y583" t="n">
        <v>547759.0</v>
      </c>
      <c r="Z583" t="n">
        <v>0.0</v>
      </c>
      <c r="AA583" t="n">
        <v>0.0</v>
      </c>
      <c r="AB583" t="n">
        <v>0.0</v>
      </c>
      <c r="AC583" t="n">
        <v>0.0</v>
      </c>
      <c r="AD583" t="n">
        <v>0.0</v>
      </c>
      <c r="AE583" t="n">
        <v>0.0</v>
      </c>
      <c r="AF583" t="n">
        <v>63000.0</v>
      </c>
      <c r="AG583" t="n">
        <v>0.0</v>
      </c>
      <c r="AH583" t="n">
        <v>0.0</v>
      </c>
      <c r="AI583" t="n">
        <v>0.0</v>
      </c>
      <c r="AJ583" t="n">
        <v>0.0</v>
      </c>
      <c r="AK583" t="n">
        <v>0.0</v>
      </c>
      <c r="AL583" t="n">
        <v>0.0</v>
      </c>
      <c r="AM583" t="n">
        <v>0.0</v>
      </c>
      <c r="AN583" t="n">
        <v>0.0</v>
      </c>
      <c r="AO583" t="n">
        <v>610759.0</v>
      </c>
      <c r="AP583" t="n">
        <v>61076.0</v>
      </c>
      <c r="AQ583" t="n">
        <v>48598.3</v>
      </c>
      <c r="CH583">
        <f>IFERROR(U583*1,0)</f>
      </c>
    </row>
    <row r="584">
      <c r="A584" t="n">
        <v>9.0</v>
      </c>
      <c r="B584">
        <f>IF((K584-G584-H584&gt;2400000),10,(L584/(K584-G584-H584)*100))</f>
      </c>
      <c r="C584">
        <f>IF(N584&gt;2400000,240000,(N584*S584)/100)</f>
      </c>
      <c r="D584">
        <f>IF(S584=0,0,IF((N584-I584)&gt;2400000,((((((N584-I584-J584)-240000))*0.1+(I584+J584)*0.1)))-7000,((((((N584-I584-J584)-(N584-I584-J584)*S584/100)))*0.1+(I584+J584)*0.1)-7000)))</f>
      </c>
      <c r="E584">
        <f>C584-O584</f>
      </c>
      <c r="F584">
        <f>D584-P584</f>
      </c>
      <c r="G584">
        <f>SUMIF(negtgel!U$2:BL$2,'Tsalin uzuulelt'!B$1,negtgel!U584:BL584) + SUMIF(negtgel!U$2:BL$2,'Tsalin uzuulelt'!B$2,negtgel!U584:BL584)+SUMIF(negtgel!U$2:BL$2,'Tsalin uzuulelt'!B$3,negtgel!U584:BL584)+SUMIF(negtgel!U$2:BL$2,'Tsalin uzuulelt'!B$4,negtgel!U584:BL584)+SUMIF(negtgel!U$2:BL$2,'Tsalin uzuulelt'!B$5,negtgel!U584:BL584)</f>
      </c>
      <c r="H584">
        <f>SUMIF(negtgel!U$2:BL$2,'Tsalin uzuulelt'!F$1,negtgel!U584:BL584) + SUMIF(negtgel!U$2:BL$2,'Tsalin uzuulelt'!F$2,negtgel!U584:BL584)+SUMIF(negtgel!U$2:BL$2,'Tsalin uzuulelt'!F$3,negtgel!U584:BL584)+SUMIF(negtgel!U$2:BL$2,'Tsalin uzuulelt'!F$4,negtgel!U584:BL584)+SUMIF(negtgel!U$2:BL$2,'Tsalin uzuulelt'!F$5,negtgel!U584:BL584)</f>
      </c>
      <c r="I584">
        <f>SUMIF(negtgel!U$2:BL$2,'Tsalin uzuulelt'!H$1,negtgel!U584:BL584) + SUMIF(negtgel!U$2:BL$2,'Tsalin uzuulelt'!H$2,negtgel!U584:BL584)+SUMIF(negtgel!U$2:BL$2,'Tsalin uzuulelt'!H$3,negtgel!U584:BL584)+SUMIF(negtgel!U$2:BL$2,'Tsalin uzuulelt'!H$4,negtgel!U584:BL584)+SUMIF(negtgel!U$2:BL$2,'Tsalin uzuulelt'!H$5,negtgel!U584:BL584)</f>
      </c>
      <c r="J584">
        <f>SUMIF(negtgel!U$2:BL$2,'Tsalin uzuulelt'!J$1,negtgel!U584:BL584) + SUMIF(negtgel!U$2:BL$2,'Tsalin uzuulelt'!J$2,negtgel!U584:BL584)+SUMIF(negtgel!U$2:BL$2,'Tsalin uzuulelt'!J$3,negtgel!U584:BL584)+SUMIF(negtgel!U$2:BL$2,'Tsalin uzuulelt'!J$4,negtgel!U584:BL584)+SUMIF(negtgel!U$2:BL$2,'Tsalin uzuulelt'!J$5,negtgel!U584:BL584)</f>
      </c>
      <c r="K584">
        <f>SUMIF(negtgel!U$2:BL$2,'Tsalin uzuulelt'!L$1,negtgel!U584:BL584) + SUMIF(negtgel!U$2:BL$2,'Tsalin uzuulelt'!L$2,negtgel!U584:BL584)+SUMIF(negtgel!U$2:BL$2,'Tsalin uzuulelt'!L$3,negtgel!U584:BL584)+SUMIF(negtgel!U$2:BL$2,'Tsalin uzuulelt'!L$4,negtgel!U584:BL584)+SUMIF(negtgel!U$2:BL$2,'Tsalin uzuulelt'!L$5,negtgel!U584:BL584)</f>
      </c>
      <c r="L584">
        <f>SUMIF(negtgel!U$2:BL$2,'Tsalin uzuulelt'!N$1,negtgel!U584:BL584) + SUMIF(negtgel!U$2:BL$2,'Tsalin uzuulelt'!N$2,negtgel!U584:BL584)+SUMIF(negtgel!U$2:BL$2,'Tsalin uzuulelt'!N$3,negtgel!U584:BL584)+SUMIF(negtgel!U$2:BL$2,'Tsalin uzuulelt'!N$4,negtgel!U584:BL584)+SUMIF(negtgel!U$2:BL$2,'Tsalin uzuulelt'!N$5,negtgel!U584:BL584)</f>
      </c>
      <c r="M584">
        <f>SUMIF(negtgel!U$2:BL$2,'Tsalin uzuulelt'!P$1,negtgel!U584:BL584) + SUMIF(negtgel!U$2:BL$2,'Tsalin uzuulelt'!P$2,negtgel!U584:BL584)+ SUMIF(negtgel!U$2:BL$2,'Tsalin uzuulelt'!P$3,negtgel!U584:BL584)+ SUMIF(negtgel!U$2:BL$2,'Tsalin uzuulelt'!P$4,negtgel!U584:BL584)+ SUMIF(negtgel!U$2:BL$2,'Tsalin uzuulelt'!P$5,negtgel!U584:BL584)</f>
      </c>
      <c r="N584">
        <f>IF(ISNUMBER(U584*1)=CF584,0,K584-H584-G584)</f>
      </c>
      <c r="O584">
        <f>IF(ISNUMBER(U584*1)=CF584,0,L584)</f>
      </c>
      <c r="P584">
        <f>IF(ISNUMBER(U584*1)=CF584,0,M584)</f>
      </c>
      <c r="Q584">
        <f>IF(N584&gt;2400000,N584,0)</f>
      </c>
      <c r="R584">
        <f>IF(L584/Q584*100&lt;3,2,10)</f>
      </c>
      <c r="S584">
        <f>IF(CH584=0,0,IF(B584&gt;9,10,IF(B584&gt;8,B584,IF(B584&gt;7.7,7.8,IF(B584&gt;3,B584,IF(B584&gt;1.5,2))))))</f>
      </c>
      <c r="T584">
        <f>IF(Q584=0,S584,R584)</f>
      </c>
      <c r="U584" t="n">
        <v>72.0</v>
      </c>
      <c r="V584" t="s">
        <v>3822</v>
      </c>
      <c r="W584" t="s">
        <v>3823</v>
      </c>
      <c r="X584" t="n">
        <v>539547.0</v>
      </c>
      <c r="Y584" t="n">
        <v>0.0</v>
      </c>
      <c r="Z584" t="n">
        <v>0.0</v>
      </c>
      <c r="AA584" t="n">
        <v>0.0</v>
      </c>
      <c r="AB584" t="n">
        <v>0.0</v>
      </c>
      <c r="AC584" t="n">
        <v>0.0</v>
      </c>
      <c r="AD584" t="n">
        <v>0.0</v>
      </c>
      <c r="AE584" t="n">
        <v>0.0</v>
      </c>
      <c r="AF584" t="n">
        <v>0.0</v>
      </c>
      <c r="AG584" t="n">
        <v>0.0</v>
      </c>
      <c r="AH584" t="n">
        <v>0.0</v>
      </c>
      <c r="AI584" t="n">
        <v>0.0</v>
      </c>
      <c r="AJ584" t="n">
        <v>0.0</v>
      </c>
      <c r="AK584" t="n">
        <v>0.0</v>
      </c>
      <c r="AL584" t="n">
        <v>0.0</v>
      </c>
      <c r="AM584" t="n">
        <v>0.0</v>
      </c>
      <c r="AN584" t="n">
        <v>0.0</v>
      </c>
      <c r="AO584" t="n">
        <v>0.0</v>
      </c>
      <c r="AP584" t="n">
        <v>0.0</v>
      </c>
      <c r="AQ584" t="n">
        <v>0.0</v>
      </c>
      <c r="CH584">
        <f>IFERROR(U584*1,0)</f>
      </c>
    </row>
    <row r="585">
      <c r="A585" t="n">
        <v>9.0</v>
      </c>
      <c r="B585">
        <f>IF((K585-G585-H585&gt;2400000),10,(L585/(K585-G585-H585)*100))</f>
      </c>
      <c r="C585">
        <f>IF(N585&gt;2400000,240000,(N585*S585)/100)</f>
      </c>
      <c r="D585">
        <f>IF(S585=0,0,IF((N585-I585)&gt;2400000,((((((N585-I585-J585)-240000))*0.1+(I585+J585)*0.1)))-7000,((((((N585-I585-J585)-(N585-I585-J585)*S585/100)))*0.1+(I585+J585)*0.1)-7000)))</f>
      </c>
      <c r="E585">
        <f>C585-O585</f>
      </c>
      <c r="F585">
        <f>D585-P585</f>
      </c>
      <c r="G585">
        <f>SUMIF(negtgel!U$2:BL$2,'Tsalin uzuulelt'!B$1,negtgel!U585:BL585) + SUMIF(negtgel!U$2:BL$2,'Tsalin uzuulelt'!B$2,negtgel!U585:BL585)+SUMIF(negtgel!U$2:BL$2,'Tsalin uzuulelt'!B$3,negtgel!U585:BL585)+SUMIF(negtgel!U$2:BL$2,'Tsalin uzuulelt'!B$4,negtgel!U585:BL585)+SUMIF(negtgel!U$2:BL$2,'Tsalin uzuulelt'!B$5,negtgel!U585:BL585)</f>
      </c>
      <c r="H585">
        <f>SUMIF(negtgel!U$2:BL$2,'Tsalin uzuulelt'!F$1,negtgel!U585:BL585) + SUMIF(negtgel!U$2:BL$2,'Tsalin uzuulelt'!F$2,negtgel!U585:BL585)+SUMIF(negtgel!U$2:BL$2,'Tsalin uzuulelt'!F$3,negtgel!U585:BL585)+SUMIF(negtgel!U$2:BL$2,'Tsalin uzuulelt'!F$4,negtgel!U585:BL585)+SUMIF(negtgel!U$2:BL$2,'Tsalin uzuulelt'!F$5,negtgel!U585:BL585)</f>
      </c>
      <c r="I585">
        <f>SUMIF(negtgel!U$2:BL$2,'Tsalin uzuulelt'!H$1,negtgel!U585:BL585) + SUMIF(negtgel!U$2:BL$2,'Tsalin uzuulelt'!H$2,negtgel!U585:BL585)+SUMIF(negtgel!U$2:BL$2,'Tsalin uzuulelt'!H$3,negtgel!U585:BL585)+SUMIF(negtgel!U$2:BL$2,'Tsalin uzuulelt'!H$4,negtgel!U585:BL585)+SUMIF(negtgel!U$2:BL$2,'Tsalin uzuulelt'!H$5,negtgel!U585:BL585)</f>
      </c>
      <c r="J585">
        <f>SUMIF(negtgel!U$2:BL$2,'Tsalin uzuulelt'!J$1,negtgel!U585:BL585) + SUMIF(negtgel!U$2:BL$2,'Tsalin uzuulelt'!J$2,negtgel!U585:BL585)+SUMIF(negtgel!U$2:BL$2,'Tsalin uzuulelt'!J$3,negtgel!U585:BL585)+SUMIF(negtgel!U$2:BL$2,'Tsalin uzuulelt'!J$4,negtgel!U585:BL585)+SUMIF(negtgel!U$2:BL$2,'Tsalin uzuulelt'!J$5,negtgel!U585:BL585)</f>
      </c>
      <c r="K585">
        <f>SUMIF(negtgel!U$2:BL$2,'Tsalin uzuulelt'!L$1,negtgel!U585:BL585) + SUMIF(negtgel!U$2:BL$2,'Tsalin uzuulelt'!L$2,negtgel!U585:BL585)+SUMIF(negtgel!U$2:BL$2,'Tsalin uzuulelt'!L$3,negtgel!U585:BL585)+SUMIF(negtgel!U$2:BL$2,'Tsalin uzuulelt'!L$4,negtgel!U585:BL585)+SUMIF(negtgel!U$2:BL$2,'Tsalin uzuulelt'!L$5,negtgel!U585:BL585)</f>
      </c>
      <c r="L585">
        <f>SUMIF(negtgel!U$2:BL$2,'Tsalin uzuulelt'!N$1,negtgel!U585:BL585) + SUMIF(negtgel!U$2:BL$2,'Tsalin uzuulelt'!N$2,negtgel!U585:BL585)+SUMIF(negtgel!U$2:BL$2,'Tsalin uzuulelt'!N$3,negtgel!U585:BL585)+SUMIF(negtgel!U$2:BL$2,'Tsalin uzuulelt'!N$4,negtgel!U585:BL585)+SUMIF(negtgel!U$2:BL$2,'Tsalin uzuulelt'!N$5,negtgel!U585:BL585)</f>
      </c>
      <c r="M585">
        <f>SUMIF(negtgel!U$2:BL$2,'Tsalin uzuulelt'!P$1,negtgel!U585:BL585) + SUMIF(negtgel!U$2:BL$2,'Tsalin uzuulelt'!P$2,negtgel!U585:BL585)+ SUMIF(negtgel!U$2:BL$2,'Tsalin uzuulelt'!P$3,negtgel!U585:BL585)+ SUMIF(negtgel!U$2:BL$2,'Tsalin uzuulelt'!P$4,negtgel!U585:BL585)+ SUMIF(negtgel!U$2:BL$2,'Tsalin uzuulelt'!P$5,negtgel!U585:BL585)</f>
      </c>
      <c r="N585">
        <f>IF(ISNUMBER(U585*1)=CF585,0,K585-H585-G585)</f>
      </c>
      <c r="O585">
        <f>IF(ISNUMBER(U585*1)=CF585,0,L585)</f>
      </c>
      <c r="P585">
        <f>IF(ISNUMBER(U585*1)=CF585,0,M585)</f>
      </c>
      <c r="Q585">
        <f>IF(N585&gt;2400000,N585,0)</f>
      </c>
      <c r="R585">
        <f>IF(L585/Q585*100&lt;3,2,10)</f>
      </c>
      <c r="S585">
        <f>IF(CH585=0,0,IF(B585&gt;9,10,IF(B585&gt;8,B585,IF(B585&gt;7.7,7.8,IF(B585&gt;3,B585,IF(B585&gt;1.5,2))))))</f>
      </c>
      <c r="T585">
        <f>IF(Q585=0,S585,R585)</f>
      </c>
      <c r="U585" t="n">
        <v>73.0</v>
      </c>
      <c r="V585" t="s">
        <v>3824</v>
      </c>
      <c r="W585" t="s">
        <v>3790</v>
      </c>
      <c r="X585" t="n">
        <v>677436.0</v>
      </c>
      <c r="Y585" t="n">
        <v>677436.0</v>
      </c>
      <c r="Z585" t="n">
        <v>135487.0</v>
      </c>
      <c r="AA585" t="n">
        <v>135487.0</v>
      </c>
      <c r="AB585" t="n">
        <v>0.0</v>
      </c>
      <c r="AC585" t="n">
        <v>101615.0</v>
      </c>
      <c r="AD585" t="n">
        <v>0.0</v>
      </c>
      <c r="AE585" t="n">
        <v>0.0</v>
      </c>
      <c r="AF585" t="n">
        <v>63000.0</v>
      </c>
      <c r="AG585" t="n">
        <v>0.0</v>
      </c>
      <c r="AH585" t="n">
        <v>0.0</v>
      </c>
      <c r="AI585" t="n">
        <v>0.0</v>
      </c>
      <c r="AJ585" t="n">
        <v>0.0</v>
      </c>
      <c r="AK585" t="n">
        <v>0.0</v>
      </c>
      <c r="AL585" t="n">
        <v>0.0</v>
      </c>
      <c r="AM585" t="n">
        <v>0.0</v>
      </c>
      <c r="AN585" t="n">
        <v>0.0</v>
      </c>
      <c r="AO585" t="n">
        <v>1113025.0</v>
      </c>
      <c r="AP585" t="n">
        <v>111302.0</v>
      </c>
      <c r="AQ585" t="n">
        <v>93802.2</v>
      </c>
      <c r="CH585">
        <f>IFERROR(U585*1,0)</f>
      </c>
    </row>
    <row r="586">
      <c r="A586" t="n">
        <v>9.0</v>
      </c>
      <c r="B586">
        <f>IF((K586-G586-H586&gt;2400000),10,(L586/(K586-G586-H586)*100))</f>
      </c>
      <c r="C586">
        <f>IF(N586&gt;2400000,240000,(N586*S586)/100)</f>
      </c>
      <c r="D586">
        <f>IF(S586=0,0,IF((N586-I586)&gt;2400000,((((((N586-I586-J586)-240000))*0.1+(I586+J586)*0.1)))-7000,((((((N586-I586-J586)-(N586-I586-J586)*S586/100)))*0.1+(I586+J586)*0.1)-7000)))</f>
      </c>
      <c r="E586">
        <f>C586-O586</f>
      </c>
      <c r="F586">
        <f>D586-P586</f>
      </c>
      <c r="G586">
        <f>SUMIF(negtgel!U$2:BL$2,'Tsalin uzuulelt'!B$1,negtgel!U586:BL586) + SUMIF(negtgel!U$2:BL$2,'Tsalin uzuulelt'!B$2,negtgel!U586:BL586)+SUMIF(negtgel!U$2:BL$2,'Tsalin uzuulelt'!B$3,negtgel!U586:BL586)+SUMIF(negtgel!U$2:BL$2,'Tsalin uzuulelt'!B$4,negtgel!U586:BL586)+SUMIF(negtgel!U$2:BL$2,'Tsalin uzuulelt'!B$5,negtgel!U586:BL586)</f>
      </c>
      <c r="H586">
        <f>SUMIF(negtgel!U$2:BL$2,'Tsalin uzuulelt'!F$1,negtgel!U586:BL586) + SUMIF(negtgel!U$2:BL$2,'Tsalin uzuulelt'!F$2,negtgel!U586:BL586)+SUMIF(negtgel!U$2:BL$2,'Tsalin uzuulelt'!F$3,negtgel!U586:BL586)+SUMIF(negtgel!U$2:BL$2,'Tsalin uzuulelt'!F$4,negtgel!U586:BL586)+SUMIF(negtgel!U$2:BL$2,'Tsalin uzuulelt'!F$5,negtgel!U586:BL586)</f>
      </c>
      <c r="I586">
        <f>SUMIF(negtgel!U$2:BL$2,'Tsalin uzuulelt'!H$1,negtgel!U586:BL586) + SUMIF(negtgel!U$2:BL$2,'Tsalin uzuulelt'!H$2,negtgel!U586:BL586)+SUMIF(negtgel!U$2:BL$2,'Tsalin uzuulelt'!H$3,negtgel!U586:BL586)+SUMIF(negtgel!U$2:BL$2,'Tsalin uzuulelt'!H$4,negtgel!U586:BL586)+SUMIF(negtgel!U$2:BL$2,'Tsalin uzuulelt'!H$5,negtgel!U586:BL586)</f>
      </c>
      <c r="J586">
        <f>SUMIF(negtgel!U$2:BL$2,'Tsalin uzuulelt'!J$1,negtgel!U586:BL586) + SUMIF(negtgel!U$2:BL$2,'Tsalin uzuulelt'!J$2,negtgel!U586:BL586)+SUMIF(negtgel!U$2:BL$2,'Tsalin uzuulelt'!J$3,negtgel!U586:BL586)+SUMIF(negtgel!U$2:BL$2,'Tsalin uzuulelt'!J$4,negtgel!U586:BL586)+SUMIF(negtgel!U$2:BL$2,'Tsalin uzuulelt'!J$5,negtgel!U586:BL586)</f>
      </c>
      <c r="K586">
        <f>SUMIF(negtgel!U$2:BL$2,'Tsalin uzuulelt'!L$1,negtgel!U586:BL586) + SUMIF(negtgel!U$2:BL$2,'Tsalin uzuulelt'!L$2,negtgel!U586:BL586)+SUMIF(negtgel!U$2:BL$2,'Tsalin uzuulelt'!L$3,negtgel!U586:BL586)+SUMIF(negtgel!U$2:BL$2,'Tsalin uzuulelt'!L$4,negtgel!U586:BL586)+SUMIF(negtgel!U$2:BL$2,'Tsalin uzuulelt'!L$5,negtgel!U586:BL586)</f>
      </c>
      <c r="L586">
        <f>SUMIF(negtgel!U$2:BL$2,'Tsalin uzuulelt'!N$1,negtgel!U586:BL586) + SUMIF(negtgel!U$2:BL$2,'Tsalin uzuulelt'!N$2,negtgel!U586:BL586)+SUMIF(negtgel!U$2:BL$2,'Tsalin uzuulelt'!N$3,negtgel!U586:BL586)+SUMIF(negtgel!U$2:BL$2,'Tsalin uzuulelt'!N$4,negtgel!U586:BL586)+SUMIF(negtgel!U$2:BL$2,'Tsalin uzuulelt'!N$5,negtgel!U586:BL586)</f>
      </c>
      <c r="M586">
        <f>SUMIF(negtgel!U$2:BL$2,'Tsalin uzuulelt'!P$1,negtgel!U586:BL586) + SUMIF(negtgel!U$2:BL$2,'Tsalin uzuulelt'!P$2,negtgel!U586:BL586)+ SUMIF(negtgel!U$2:BL$2,'Tsalin uzuulelt'!P$3,negtgel!U586:BL586)+ SUMIF(negtgel!U$2:BL$2,'Tsalin uzuulelt'!P$4,negtgel!U586:BL586)+ SUMIF(negtgel!U$2:BL$2,'Tsalin uzuulelt'!P$5,negtgel!U586:BL586)</f>
      </c>
      <c r="N586">
        <f>IF(ISNUMBER(U586*1)=CF586,0,K586-H586-G586)</f>
      </c>
      <c r="O586">
        <f>IF(ISNUMBER(U586*1)=CF586,0,L586)</f>
      </c>
      <c r="P586">
        <f>IF(ISNUMBER(U586*1)=CF586,0,M586)</f>
      </c>
      <c r="Q586">
        <f>IF(N586&gt;2400000,N586,0)</f>
      </c>
      <c r="R586">
        <f>IF(L586/Q586*100&lt;3,2,10)</f>
      </c>
      <c r="S586">
        <f>IF(CH586=0,0,IF(B586&gt;9,10,IF(B586&gt;8,B586,IF(B586&gt;7.7,7.8,IF(B586&gt;3,B586,IF(B586&gt;1.5,2))))))</f>
      </c>
      <c r="T586">
        <f>IF(Q586=0,S586,R586)</f>
      </c>
      <c r="U586" t="n">
        <v>74.0</v>
      </c>
      <c r="V586" t="s">
        <v>3878</v>
      </c>
      <c r="W586" t="s">
        <v>3790</v>
      </c>
      <c r="X586" t="n">
        <v>645556.0</v>
      </c>
      <c r="Y586" t="n">
        <v>245926.0</v>
      </c>
      <c r="Z586" t="n">
        <v>49185.0</v>
      </c>
      <c r="AA586" t="n">
        <v>49185.0</v>
      </c>
      <c r="AB586" t="n">
        <v>0.0</v>
      </c>
      <c r="AC586" t="n">
        <v>36889.0</v>
      </c>
      <c r="AD586" t="n">
        <v>0.0</v>
      </c>
      <c r="AE586" t="n">
        <v>0.0</v>
      </c>
      <c r="AF586" t="n">
        <v>24000.0</v>
      </c>
      <c r="AG586" t="n">
        <v>0.0</v>
      </c>
      <c r="AH586" t="n">
        <v>0.0</v>
      </c>
      <c r="AI586" t="n">
        <v>0.0</v>
      </c>
      <c r="AJ586" t="n">
        <v>0.0</v>
      </c>
      <c r="AK586" t="n">
        <v>0.0</v>
      </c>
      <c r="AL586" t="n">
        <v>0.0</v>
      </c>
      <c r="AM586" t="n">
        <v>0.0</v>
      </c>
      <c r="AN586" t="n">
        <v>0.0</v>
      </c>
      <c r="AO586" t="n">
        <v>405185.0</v>
      </c>
      <c r="AP586" t="n">
        <v>40518.0</v>
      </c>
      <c r="AQ586" t="n">
        <v>29706.6</v>
      </c>
      <c r="CH586">
        <f>IFERROR(U586*1,0)</f>
      </c>
    </row>
    <row r="587">
      <c r="A587" t="n">
        <v>9.0</v>
      </c>
      <c r="B587">
        <f>IF((K587-G587-H587&gt;2400000),10,(L587/(K587-G587-H587)*100))</f>
      </c>
      <c r="C587">
        <f>IF(N587&gt;2400000,240000,(N587*S587)/100)</f>
      </c>
      <c r="D587">
        <f>IF(S587=0,0,IF((N587-I587)&gt;2400000,((((((N587-I587-J587)-240000))*0.1+(I587+J587)*0.1)))-7000,((((((N587-I587-J587)-(N587-I587-J587)*S587/100)))*0.1+(I587+J587)*0.1)-7000)))</f>
      </c>
      <c r="E587">
        <f>C587-O587</f>
      </c>
      <c r="F587">
        <f>D587-P587</f>
      </c>
      <c r="G587">
        <f>SUMIF(negtgel!U$2:BL$2,'Tsalin uzuulelt'!B$1,negtgel!U587:BL587) + SUMIF(negtgel!U$2:BL$2,'Tsalin uzuulelt'!B$2,negtgel!U587:BL587)+SUMIF(negtgel!U$2:BL$2,'Tsalin uzuulelt'!B$3,negtgel!U587:BL587)+SUMIF(negtgel!U$2:BL$2,'Tsalin uzuulelt'!B$4,negtgel!U587:BL587)+SUMIF(negtgel!U$2:BL$2,'Tsalin uzuulelt'!B$5,negtgel!U587:BL587)</f>
      </c>
      <c r="H587">
        <f>SUMIF(negtgel!U$2:BL$2,'Tsalin uzuulelt'!F$1,negtgel!U587:BL587) + SUMIF(negtgel!U$2:BL$2,'Tsalin uzuulelt'!F$2,negtgel!U587:BL587)+SUMIF(negtgel!U$2:BL$2,'Tsalin uzuulelt'!F$3,negtgel!U587:BL587)+SUMIF(negtgel!U$2:BL$2,'Tsalin uzuulelt'!F$4,negtgel!U587:BL587)+SUMIF(negtgel!U$2:BL$2,'Tsalin uzuulelt'!F$5,negtgel!U587:BL587)</f>
      </c>
      <c r="I587">
        <f>SUMIF(negtgel!U$2:BL$2,'Tsalin uzuulelt'!H$1,negtgel!U587:BL587) + SUMIF(negtgel!U$2:BL$2,'Tsalin uzuulelt'!H$2,negtgel!U587:BL587)+SUMIF(negtgel!U$2:BL$2,'Tsalin uzuulelt'!H$3,negtgel!U587:BL587)+SUMIF(negtgel!U$2:BL$2,'Tsalin uzuulelt'!H$4,negtgel!U587:BL587)+SUMIF(negtgel!U$2:BL$2,'Tsalin uzuulelt'!H$5,negtgel!U587:BL587)</f>
      </c>
      <c r="J587">
        <f>SUMIF(negtgel!U$2:BL$2,'Tsalin uzuulelt'!J$1,negtgel!U587:BL587) + SUMIF(negtgel!U$2:BL$2,'Tsalin uzuulelt'!J$2,negtgel!U587:BL587)+SUMIF(negtgel!U$2:BL$2,'Tsalin uzuulelt'!J$3,negtgel!U587:BL587)+SUMIF(negtgel!U$2:BL$2,'Tsalin uzuulelt'!J$4,negtgel!U587:BL587)+SUMIF(negtgel!U$2:BL$2,'Tsalin uzuulelt'!J$5,negtgel!U587:BL587)</f>
      </c>
      <c r="K587">
        <f>SUMIF(negtgel!U$2:BL$2,'Tsalin uzuulelt'!L$1,negtgel!U587:BL587) + SUMIF(negtgel!U$2:BL$2,'Tsalin uzuulelt'!L$2,negtgel!U587:BL587)+SUMIF(negtgel!U$2:BL$2,'Tsalin uzuulelt'!L$3,negtgel!U587:BL587)+SUMIF(negtgel!U$2:BL$2,'Tsalin uzuulelt'!L$4,negtgel!U587:BL587)+SUMIF(negtgel!U$2:BL$2,'Tsalin uzuulelt'!L$5,negtgel!U587:BL587)</f>
      </c>
      <c r="L587">
        <f>SUMIF(negtgel!U$2:BL$2,'Tsalin uzuulelt'!N$1,negtgel!U587:BL587) + SUMIF(negtgel!U$2:BL$2,'Tsalin uzuulelt'!N$2,negtgel!U587:BL587)+SUMIF(negtgel!U$2:BL$2,'Tsalin uzuulelt'!N$3,negtgel!U587:BL587)+SUMIF(negtgel!U$2:BL$2,'Tsalin uzuulelt'!N$4,negtgel!U587:BL587)+SUMIF(negtgel!U$2:BL$2,'Tsalin uzuulelt'!N$5,negtgel!U587:BL587)</f>
      </c>
      <c r="M587">
        <f>SUMIF(negtgel!U$2:BL$2,'Tsalin uzuulelt'!P$1,negtgel!U587:BL587) + SUMIF(negtgel!U$2:BL$2,'Tsalin uzuulelt'!P$2,negtgel!U587:BL587)+ SUMIF(negtgel!U$2:BL$2,'Tsalin uzuulelt'!P$3,negtgel!U587:BL587)+ SUMIF(negtgel!U$2:BL$2,'Tsalin uzuulelt'!P$4,negtgel!U587:BL587)+ SUMIF(negtgel!U$2:BL$2,'Tsalin uzuulelt'!P$5,negtgel!U587:BL587)</f>
      </c>
      <c r="N587">
        <f>IF(ISNUMBER(U587*1)=CF587,0,K587-H587-G587)</f>
      </c>
      <c r="O587">
        <f>IF(ISNUMBER(U587*1)=CF587,0,L587)</f>
      </c>
      <c r="P587">
        <f>IF(ISNUMBER(U587*1)=CF587,0,M587)</f>
      </c>
      <c r="Q587">
        <f>IF(N587&gt;2400000,N587,0)</f>
      </c>
      <c r="R587">
        <f>IF(L587/Q587*100&lt;3,2,10)</f>
      </c>
      <c r="S587">
        <f>IF(CH587=0,0,IF(B587&gt;9,10,IF(B587&gt;8,B587,IF(B587&gt;7.7,7.8,IF(B587&gt;3,B587,IF(B587&gt;1.5,2))))))</f>
      </c>
      <c r="T587">
        <f>IF(Q587=0,S587,R587)</f>
      </c>
      <c r="U587" t="s">
        <v>3787</v>
      </c>
      <c r="V587"/>
      <c r="W587"/>
      <c r="X587" t="n">
        <v>5130223.0</v>
      </c>
      <c r="Y587" t="n">
        <v>4191046.0</v>
      </c>
      <c r="Z587" t="n">
        <v>584165.0</v>
      </c>
      <c r="AA587" t="n">
        <v>589210.0</v>
      </c>
      <c r="AB587" t="n">
        <v>0.0</v>
      </c>
      <c r="AC587" t="n">
        <v>138504.0</v>
      </c>
      <c r="AD587" t="n">
        <v>219104.0</v>
      </c>
      <c r="AE587" t="n">
        <v>0.0</v>
      </c>
      <c r="AF587" t="n">
        <v>402000.0</v>
      </c>
      <c r="AG587" t="n">
        <v>0.0</v>
      </c>
      <c r="AH587" t="n">
        <v>0.0</v>
      </c>
      <c r="AI587" t="n">
        <v>0.0</v>
      </c>
      <c r="AJ587" t="n">
        <v>0.0</v>
      </c>
      <c r="AK587" t="n">
        <v>0.0</v>
      </c>
      <c r="AL587" t="n">
        <v>0.0</v>
      </c>
      <c r="AM587" t="n">
        <v>0.0</v>
      </c>
      <c r="AN587" t="n">
        <v>0.0</v>
      </c>
      <c r="AO587" t="n">
        <v>6124029.0</v>
      </c>
      <c r="AP587" t="n">
        <v>612402.0</v>
      </c>
      <c r="AQ587" t="n">
        <v>506182.5</v>
      </c>
      <c r="CH587">
        <f>IFERROR(U587*1,0)</f>
      </c>
    </row>
    <row r="588">
      <c r="A588" t="n">
        <v>9.0</v>
      </c>
      <c r="B588">
        <f>IF((K588-G588-H588&gt;2400000),10,(L588/(K588-G588-H588)*100))</f>
      </c>
      <c r="C588">
        <f>IF(N588&gt;2400000,240000,(N588*S588)/100)</f>
      </c>
      <c r="D588">
        <f>IF(S588=0,0,IF((N588-I588)&gt;2400000,((((((N588-I588-J588)-240000))*0.1+(I588+J588)*0.1)))-7000,((((((N588-I588-J588)-(N588-I588-J588)*S588/100)))*0.1+(I588+J588)*0.1)-7000)))</f>
      </c>
      <c r="E588">
        <f>C588-O588</f>
      </c>
      <c r="F588">
        <f>D588-P588</f>
      </c>
      <c r="G588">
        <f>SUMIF(negtgel!U$2:BL$2,'Tsalin uzuulelt'!B$1,negtgel!U588:BL588) + SUMIF(negtgel!U$2:BL$2,'Tsalin uzuulelt'!B$2,negtgel!U588:BL588)+SUMIF(negtgel!U$2:BL$2,'Tsalin uzuulelt'!B$3,negtgel!U588:BL588)+SUMIF(negtgel!U$2:BL$2,'Tsalin uzuulelt'!B$4,negtgel!U588:BL588)+SUMIF(negtgel!U$2:BL$2,'Tsalin uzuulelt'!B$5,negtgel!U588:BL588)</f>
      </c>
      <c r="H588">
        <f>SUMIF(negtgel!U$2:BL$2,'Tsalin uzuulelt'!F$1,negtgel!U588:BL588) + SUMIF(negtgel!U$2:BL$2,'Tsalin uzuulelt'!F$2,negtgel!U588:BL588)+SUMIF(negtgel!U$2:BL$2,'Tsalin uzuulelt'!F$3,negtgel!U588:BL588)+SUMIF(negtgel!U$2:BL$2,'Tsalin uzuulelt'!F$4,negtgel!U588:BL588)+SUMIF(negtgel!U$2:BL$2,'Tsalin uzuulelt'!F$5,negtgel!U588:BL588)</f>
      </c>
      <c r="I588">
        <f>SUMIF(negtgel!U$2:BL$2,'Tsalin uzuulelt'!H$1,negtgel!U588:BL588) + SUMIF(negtgel!U$2:BL$2,'Tsalin uzuulelt'!H$2,negtgel!U588:BL588)+SUMIF(negtgel!U$2:BL$2,'Tsalin uzuulelt'!H$3,negtgel!U588:BL588)+SUMIF(negtgel!U$2:BL$2,'Tsalin uzuulelt'!H$4,negtgel!U588:BL588)+SUMIF(negtgel!U$2:BL$2,'Tsalin uzuulelt'!H$5,negtgel!U588:BL588)</f>
      </c>
      <c r="J588">
        <f>SUMIF(negtgel!U$2:BL$2,'Tsalin uzuulelt'!J$1,negtgel!U588:BL588) + SUMIF(negtgel!U$2:BL$2,'Tsalin uzuulelt'!J$2,negtgel!U588:BL588)+SUMIF(negtgel!U$2:BL$2,'Tsalin uzuulelt'!J$3,negtgel!U588:BL588)+SUMIF(negtgel!U$2:BL$2,'Tsalin uzuulelt'!J$4,negtgel!U588:BL588)+SUMIF(negtgel!U$2:BL$2,'Tsalin uzuulelt'!J$5,negtgel!U588:BL588)</f>
      </c>
      <c r="K588">
        <f>SUMIF(negtgel!U$2:BL$2,'Tsalin uzuulelt'!L$1,negtgel!U588:BL588) + SUMIF(negtgel!U$2:BL$2,'Tsalin uzuulelt'!L$2,negtgel!U588:BL588)+SUMIF(negtgel!U$2:BL$2,'Tsalin uzuulelt'!L$3,negtgel!U588:BL588)+SUMIF(negtgel!U$2:BL$2,'Tsalin uzuulelt'!L$4,negtgel!U588:BL588)+SUMIF(negtgel!U$2:BL$2,'Tsalin uzuulelt'!L$5,negtgel!U588:BL588)</f>
      </c>
      <c r="L588">
        <f>SUMIF(negtgel!U$2:BL$2,'Tsalin uzuulelt'!N$1,negtgel!U588:BL588) + SUMIF(negtgel!U$2:BL$2,'Tsalin uzuulelt'!N$2,negtgel!U588:BL588)+SUMIF(negtgel!U$2:BL$2,'Tsalin uzuulelt'!N$3,negtgel!U588:BL588)+SUMIF(negtgel!U$2:BL$2,'Tsalin uzuulelt'!N$4,negtgel!U588:BL588)+SUMIF(negtgel!U$2:BL$2,'Tsalin uzuulelt'!N$5,negtgel!U588:BL588)</f>
      </c>
      <c r="M588">
        <f>SUMIF(negtgel!U$2:BL$2,'Tsalin uzuulelt'!P$1,negtgel!U588:BL588) + SUMIF(negtgel!U$2:BL$2,'Tsalin uzuulelt'!P$2,negtgel!U588:BL588)+ SUMIF(negtgel!U$2:BL$2,'Tsalin uzuulelt'!P$3,negtgel!U588:BL588)+ SUMIF(negtgel!U$2:BL$2,'Tsalin uzuulelt'!P$4,negtgel!U588:BL588)+ SUMIF(negtgel!U$2:BL$2,'Tsalin uzuulelt'!P$5,negtgel!U588:BL588)</f>
      </c>
      <c r="N588">
        <f>IF(ISNUMBER(U588*1)=CF588,0,K588-H588-G588)</f>
      </c>
      <c r="O588">
        <f>IF(ISNUMBER(U588*1)=CF588,0,L588)</f>
      </c>
      <c r="P588">
        <f>IF(ISNUMBER(U588*1)=CF588,0,M588)</f>
      </c>
      <c r="Q588">
        <f>IF(N588&gt;2400000,N588,0)</f>
      </c>
      <c r="R588">
        <f>IF(L588/Q588*100&lt;3,2,10)</f>
      </c>
      <c r="S588">
        <f>IF(CH588=0,0,IF(B588&gt;9,10,IF(B588&gt;8,B588,IF(B588&gt;7.7,7.8,IF(B588&gt;3,B588,IF(B588&gt;1.5,2))))))</f>
      </c>
      <c r="T588">
        <f>IF(Q588=0,S588,R588)</f>
      </c>
      <c r="U588" t="s">
        <v>3825</v>
      </c>
      <c r="V588"/>
      <c r="W588"/>
      <c r="X588"/>
      <c r="Y588"/>
      <c r="Z588"/>
      <c r="AA588"/>
      <c r="AB588"/>
      <c r="AC588"/>
      <c r="AD588"/>
      <c r="AE588"/>
      <c r="AF588"/>
      <c r="AG588"/>
      <c r="AH588"/>
      <c r="AI588"/>
      <c r="AJ588"/>
      <c r="AK588"/>
      <c r="AL588"/>
      <c r="AM588"/>
      <c r="AN588"/>
      <c r="AO588"/>
      <c r="AP588"/>
      <c r="AQ588"/>
      <c r="CH588">
        <f>IFERROR(U588*1,0)</f>
      </c>
    </row>
    <row r="589">
      <c r="A589" t="n">
        <v>9.0</v>
      </c>
      <c r="B589">
        <f>IF((K589-G589-H589&gt;2400000),10,(L589/(K589-G589-H589)*100))</f>
      </c>
      <c r="C589">
        <f>IF(N589&gt;2400000,240000,(N589*S589)/100)</f>
      </c>
      <c r="D589">
        <f>IF(S589=0,0,IF((N589-I589)&gt;2400000,((((((N589-I589-J589)-240000))*0.1+(I589+J589)*0.1)))-7000,((((((N589-I589-J589)-(N589-I589-J589)*S589/100)))*0.1+(I589+J589)*0.1)-7000)))</f>
      </c>
      <c r="E589">
        <f>C589-O589</f>
      </c>
      <c r="F589">
        <f>D589-P589</f>
      </c>
      <c r="G589">
        <f>SUMIF(negtgel!U$2:BL$2,'Tsalin uzuulelt'!B$1,negtgel!U589:BL589) + SUMIF(negtgel!U$2:BL$2,'Tsalin uzuulelt'!B$2,negtgel!U589:BL589)+SUMIF(negtgel!U$2:BL$2,'Tsalin uzuulelt'!B$3,negtgel!U589:BL589)+SUMIF(negtgel!U$2:BL$2,'Tsalin uzuulelt'!B$4,negtgel!U589:BL589)+SUMIF(negtgel!U$2:BL$2,'Tsalin uzuulelt'!B$5,negtgel!U589:BL589)</f>
      </c>
      <c r="H589">
        <f>SUMIF(negtgel!U$2:BL$2,'Tsalin uzuulelt'!F$1,negtgel!U589:BL589) + SUMIF(negtgel!U$2:BL$2,'Tsalin uzuulelt'!F$2,negtgel!U589:BL589)+SUMIF(negtgel!U$2:BL$2,'Tsalin uzuulelt'!F$3,negtgel!U589:BL589)+SUMIF(negtgel!U$2:BL$2,'Tsalin uzuulelt'!F$4,negtgel!U589:BL589)+SUMIF(negtgel!U$2:BL$2,'Tsalin uzuulelt'!F$5,negtgel!U589:BL589)</f>
      </c>
      <c r="I589">
        <f>SUMIF(negtgel!U$2:BL$2,'Tsalin uzuulelt'!H$1,negtgel!U589:BL589) + SUMIF(negtgel!U$2:BL$2,'Tsalin uzuulelt'!H$2,negtgel!U589:BL589)+SUMIF(negtgel!U$2:BL$2,'Tsalin uzuulelt'!H$3,negtgel!U589:BL589)+SUMIF(negtgel!U$2:BL$2,'Tsalin uzuulelt'!H$4,negtgel!U589:BL589)+SUMIF(negtgel!U$2:BL$2,'Tsalin uzuulelt'!H$5,negtgel!U589:BL589)</f>
      </c>
      <c r="J589">
        <f>SUMIF(negtgel!U$2:BL$2,'Tsalin uzuulelt'!J$1,negtgel!U589:BL589) + SUMIF(negtgel!U$2:BL$2,'Tsalin uzuulelt'!J$2,negtgel!U589:BL589)+SUMIF(negtgel!U$2:BL$2,'Tsalin uzuulelt'!J$3,negtgel!U589:BL589)+SUMIF(negtgel!U$2:BL$2,'Tsalin uzuulelt'!J$4,negtgel!U589:BL589)+SUMIF(negtgel!U$2:BL$2,'Tsalin uzuulelt'!J$5,negtgel!U589:BL589)</f>
      </c>
      <c r="K589">
        <f>SUMIF(negtgel!U$2:BL$2,'Tsalin uzuulelt'!L$1,negtgel!U589:BL589) + SUMIF(negtgel!U$2:BL$2,'Tsalin uzuulelt'!L$2,negtgel!U589:BL589)+SUMIF(negtgel!U$2:BL$2,'Tsalin uzuulelt'!L$3,negtgel!U589:BL589)+SUMIF(negtgel!U$2:BL$2,'Tsalin uzuulelt'!L$4,negtgel!U589:BL589)+SUMIF(negtgel!U$2:BL$2,'Tsalin uzuulelt'!L$5,negtgel!U589:BL589)</f>
      </c>
      <c r="L589">
        <f>SUMIF(negtgel!U$2:BL$2,'Tsalin uzuulelt'!N$1,negtgel!U589:BL589) + SUMIF(negtgel!U$2:BL$2,'Tsalin uzuulelt'!N$2,negtgel!U589:BL589)+SUMIF(negtgel!U$2:BL$2,'Tsalin uzuulelt'!N$3,negtgel!U589:BL589)+SUMIF(negtgel!U$2:BL$2,'Tsalin uzuulelt'!N$4,negtgel!U589:BL589)+SUMIF(negtgel!U$2:BL$2,'Tsalin uzuulelt'!N$5,negtgel!U589:BL589)</f>
      </c>
      <c r="M589">
        <f>SUMIF(negtgel!U$2:BL$2,'Tsalin uzuulelt'!P$1,negtgel!U589:BL589) + SUMIF(negtgel!U$2:BL$2,'Tsalin uzuulelt'!P$2,negtgel!U589:BL589)+ SUMIF(negtgel!U$2:BL$2,'Tsalin uzuulelt'!P$3,negtgel!U589:BL589)+ SUMIF(negtgel!U$2:BL$2,'Tsalin uzuulelt'!P$4,negtgel!U589:BL589)+ SUMIF(negtgel!U$2:BL$2,'Tsalin uzuulelt'!P$5,negtgel!U589:BL589)</f>
      </c>
      <c r="N589">
        <f>IF(ISNUMBER(U589*1)=CF589,0,K589-H589-G589)</f>
      </c>
      <c r="O589">
        <f>IF(ISNUMBER(U589*1)=CF589,0,L589)</f>
      </c>
      <c r="P589">
        <f>IF(ISNUMBER(U589*1)=CF589,0,M589)</f>
      </c>
      <c r="Q589">
        <f>IF(N589&gt;2400000,N589,0)</f>
      </c>
      <c r="R589">
        <f>IF(L589/Q589*100&lt;3,2,10)</f>
      </c>
      <c r="S589">
        <f>IF(CH589=0,0,IF(B589&gt;9,10,IF(B589&gt;8,B589,IF(B589&gt;7.7,7.8,IF(B589&gt;3,B589,IF(B589&gt;1.5,2))))))</f>
      </c>
      <c r="T589">
        <f>IF(Q589=0,S589,R589)</f>
      </c>
      <c r="U589" t="n">
        <v>75.0</v>
      </c>
      <c r="V589" t="s">
        <v>3827</v>
      </c>
      <c r="W589" t="s">
        <v>3790</v>
      </c>
      <c r="X589" t="n">
        <v>580710.0</v>
      </c>
      <c r="Y589" t="n">
        <v>580710.0</v>
      </c>
      <c r="Z589" t="n">
        <v>0.0</v>
      </c>
      <c r="AA589" t="n">
        <v>0.0</v>
      </c>
      <c r="AB589" t="n">
        <v>0.0</v>
      </c>
      <c r="AC589" t="n">
        <v>0.0</v>
      </c>
      <c r="AD589" t="n">
        <v>0.0</v>
      </c>
      <c r="AE589" t="n">
        <v>0.0</v>
      </c>
      <c r="AF589" t="n">
        <v>63000.0</v>
      </c>
      <c r="AG589" t="n">
        <v>0.0</v>
      </c>
      <c r="AH589" t="n">
        <v>0.0</v>
      </c>
      <c r="AI589" t="n">
        <v>0.0</v>
      </c>
      <c r="AJ589" t="n">
        <v>0.0</v>
      </c>
      <c r="AK589" t="n">
        <v>0.0</v>
      </c>
      <c r="AL589" t="n">
        <v>0.0</v>
      </c>
      <c r="AM589" t="n">
        <v>0.0</v>
      </c>
      <c r="AN589" t="n">
        <v>0.0</v>
      </c>
      <c r="AO589" t="n">
        <v>643710.0</v>
      </c>
      <c r="AP589" t="n">
        <v>64371.0</v>
      </c>
      <c r="AQ589" t="n">
        <v>51563.9</v>
      </c>
      <c r="CH589">
        <f>IFERROR(U589*1,0)</f>
      </c>
    </row>
    <row r="590">
      <c r="A590" t="n">
        <v>9.0</v>
      </c>
      <c r="B590">
        <f>IF((K590-G590-H590&gt;2400000),10,(L590/(K590-G590-H590)*100))</f>
      </c>
      <c r="C590">
        <f>IF(N590&gt;2400000,240000,(N590*S590)/100)</f>
      </c>
      <c r="D590">
        <f>IF(S590=0,0,IF((N590-I590)&gt;2400000,((((((N590-I590-J590)-240000))*0.1+(I590+J590)*0.1)))-7000,((((((N590-I590-J590)-(N590-I590-J590)*S590/100)))*0.1+(I590+J590)*0.1)-7000)))</f>
      </c>
      <c r="E590">
        <f>C590-O590</f>
      </c>
      <c r="F590">
        <f>D590-P590</f>
      </c>
      <c r="G590">
        <f>SUMIF(negtgel!U$2:BL$2,'Tsalin uzuulelt'!B$1,negtgel!U590:BL590) + SUMIF(negtgel!U$2:BL$2,'Tsalin uzuulelt'!B$2,negtgel!U590:BL590)+SUMIF(negtgel!U$2:BL$2,'Tsalin uzuulelt'!B$3,negtgel!U590:BL590)+SUMIF(negtgel!U$2:BL$2,'Tsalin uzuulelt'!B$4,negtgel!U590:BL590)+SUMIF(negtgel!U$2:BL$2,'Tsalin uzuulelt'!B$5,negtgel!U590:BL590)</f>
      </c>
      <c r="H590">
        <f>SUMIF(negtgel!U$2:BL$2,'Tsalin uzuulelt'!F$1,negtgel!U590:BL590) + SUMIF(negtgel!U$2:BL$2,'Tsalin uzuulelt'!F$2,negtgel!U590:BL590)+SUMIF(negtgel!U$2:BL$2,'Tsalin uzuulelt'!F$3,negtgel!U590:BL590)+SUMIF(negtgel!U$2:BL$2,'Tsalin uzuulelt'!F$4,negtgel!U590:BL590)+SUMIF(negtgel!U$2:BL$2,'Tsalin uzuulelt'!F$5,negtgel!U590:BL590)</f>
      </c>
      <c r="I590">
        <f>SUMIF(negtgel!U$2:BL$2,'Tsalin uzuulelt'!H$1,negtgel!U590:BL590) + SUMIF(negtgel!U$2:BL$2,'Tsalin uzuulelt'!H$2,negtgel!U590:BL590)+SUMIF(negtgel!U$2:BL$2,'Tsalin uzuulelt'!H$3,negtgel!U590:BL590)+SUMIF(negtgel!U$2:BL$2,'Tsalin uzuulelt'!H$4,negtgel!U590:BL590)+SUMIF(negtgel!U$2:BL$2,'Tsalin uzuulelt'!H$5,negtgel!U590:BL590)</f>
      </c>
      <c r="J590">
        <f>SUMIF(negtgel!U$2:BL$2,'Tsalin uzuulelt'!J$1,negtgel!U590:BL590) + SUMIF(negtgel!U$2:BL$2,'Tsalin uzuulelt'!J$2,negtgel!U590:BL590)+SUMIF(negtgel!U$2:BL$2,'Tsalin uzuulelt'!J$3,negtgel!U590:BL590)+SUMIF(negtgel!U$2:BL$2,'Tsalin uzuulelt'!J$4,negtgel!U590:BL590)+SUMIF(negtgel!U$2:BL$2,'Tsalin uzuulelt'!J$5,negtgel!U590:BL590)</f>
      </c>
      <c r="K590">
        <f>SUMIF(negtgel!U$2:BL$2,'Tsalin uzuulelt'!L$1,negtgel!U590:BL590) + SUMIF(negtgel!U$2:BL$2,'Tsalin uzuulelt'!L$2,negtgel!U590:BL590)+SUMIF(negtgel!U$2:BL$2,'Tsalin uzuulelt'!L$3,negtgel!U590:BL590)+SUMIF(negtgel!U$2:BL$2,'Tsalin uzuulelt'!L$4,negtgel!U590:BL590)+SUMIF(negtgel!U$2:BL$2,'Tsalin uzuulelt'!L$5,negtgel!U590:BL590)</f>
      </c>
      <c r="L590">
        <f>SUMIF(negtgel!U$2:BL$2,'Tsalin uzuulelt'!N$1,negtgel!U590:BL590) + SUMIF(negtgel!U$2:BL$2,'Tsalin uzuulelt'!N$2,negtgel!U590:BL590)+SUMIF(negtgel!U$2:BL$2,'Tsalin uzuulelt'!N$3,negtgel!U590:BL590)+SUMIF(negtgel!U$2:BL$2,'Tsalin uzuulelt'!N$4,negtgel!U590:BL590)+SUMIF(negtgel!U$2:BL$2,'Tsalin uzuulelt'!N$5,negtgel!U590:BL590)</f>
      </c>
      <c r="M590">
        <f>SUMIF(negtgel!U$2:BL$2,'Tsalin uzuulelt'!P$1,negtgel!U590:BL590) + SUMIF(negtgel!U$2:BL$2,'Tsalin uzuulelt'!P$2,negtgel!U590:BL590)+ SUMIF(negtgel!U$2:BL$2,'Tsalin uzuulelt'!P$3,negtgel!U590:BL590)+ SUMIF(negtgel!U$2:BL$2,'Tsalin uzuulelt'!P$4,negtgel!U590:BL590)+ SUMIF(negtgel!U$2:BL$2,'Tsalin uzuulelt'!P$5,negtgel!U590:BL590)</f>
      </c>
      <c r="N590">
        <f>IF(ISNUMBER(U590*1)=CF590,0,K590-H590-G590)</f>
      </c>
      <c r="O590">
        <f>IF(ISNUMBER(U590*1)=CF590,0,L590)</f>
      </c>
      <c r="P590">
        <f>IF(ISNUMBER(U590*1)=CF590,0,M590)</f>
      </c>
      <c r="Q590">
        <f>IF(N590&gt;2400000,N590,0)</f>
      </c>
      <c r="R590">
        <f>IF(L590/Q590*100&lt;3,2,10)</f>
      </c>
      <c r="S590">
        <f>IF(CH590=0,0,IF(B590&gt;9,10,IF(B590&gt;8,B590,IF(B590&gt;7.7,7.8,IF(B590&gt;3,B590,IF(B590&gt;1.5,2))))))</f>
      </c>
      <c r="T590">
        <f>IF(Q590=0,S590,R590)</f>
      </c>
      <c r="U590" t="n">
        <v>76.0</v>
      </c>
      <c r="V590" t="s">
        <v>3828</v>
      </c>
      <c r="W590" t="s">
        <v>3792</v>
      </c>
      <c r="X590" t="n">
        <v>500784.0</v>
      </c>
      <c r="Y590" t="n">
        <v>0.0</v>
      </c>
      <c r="Z590" t="n">
        <v>0.0</v>
      </c>
      <c r="AA590" t="n">
        <v>0.0</v>
      </c>
      <c r="AB590" t="n">
        <v>0.0</v>
      </c>
      <c r="AC590" t="n">
        <v>0.0</v>
      </c>
      <c r="AD590" t="n">
        <v>0.0</v>
      </c>
      <c r="AE590" t="n">
        <v>0.0</v>
      </c>
      <c r="AF590" t="n">
        <v>0.0</v>
      </c>
      <c r="AG590" t="n">
        <v>0.0</v>
      </c>
      <c r="AH590" t="n">
        <v>0.0</v>
      </c>
      <c r="AI590" t="n">
        <v>0.0</v>
      </c>
      <c r="AJ590" t="n">
        <v>0.0</v>
      </c>
      <c r="AK590" t="n">
        <v>0.0</v>
      </c>
      <c r="AL590" t="n">
        <v>0.0</v>
      </c>
      <c r="AM590" t="n">
        <v>0.0</v>
      </c>
      <c r="AN590" t="n">
        <v>0.0</v>
      </c>
      <c r="AO590" t="n">
        <v>0.0</v>
      </c>
      <c r="AP590" t="n">
        <v>0.0</v>
      </c>
      <c r="AQ590" t="n">
        <v>0.0</v>
      </c>
      <c r="CH590">
        <f>IFERROR(U590*1,0)</f>
      </c>
    </row>
    <row r="591">
      <c r="A591" t="n">
        <v>9.0</v>
      </c>
      <c r="B591">
        <f>IF((K591-G591-H591&gt;2400000),10,(L591/(K591-G591-H591)*100))</f>
      </c>
      <c r="C591">
        <f>IF(N591&gt;2400000,240000,(N591*S591)/100)</f>
      </c>
      <c r="D591">
        <f>IF(S591=0,0,IF((N591-I591)&gt;2400000,((((((N591-I591-J591)-240000))*0.1+(I591+J591)*0.1)))-7000,((((((N591-I591-J591)-(N591-I591-J591)*S591/100)))*0.1+(I591+J591)*0.1)-7000)))</f>
      </c>
      <c r="E591">
        <f>C591-O591</f>
      </c>
      <c r="F591">
        <f>D591-P591</f>
      </c>
      <c r="G591">
        <f>SUMIF(negtgel!U$2:BL$2,'Tsalin uzuulelt'!B$1,negtgel!U591:BL591) + SUMIF(negtgel!U$2:BL$2,'Tsalin uzuulelt'!B$2,negtgel!U591:BL591)+SUMIF(negtgel!U$2:BL$2,'Tsalin uzuulelt'!B$3,negtgel!U591:BL591)+SUMIF(negtgel!U$2:BL$2,'Tsalin uzuulelt'!B$4,negtgel!U591:BL591)+SUMIF(negtgel!U$2:BL$2,'Tsalin uzuulelt'!B$5,negtgel!U591:BL591)</f>
      </c>
      <c r="H591">
        <f>SUMIF(negtgel!U$2:BL$2,'Tsalin uzuulelt'!F$1,negtgel!U591:BL591) + SUMIF(negtgel!U$2:BL$2,'Tsalin uzuulelt'!F$2,negtgel!U591:BL591)+SUMIF(negtgel!U$2:BL$2,'Tsalin uzuulelt'!F$3,negtgel!U591:BL591)+SUMIF(negtgel!U$2:BL$2,'Tsalin uzuulelt'!F$4,negtgel!U591:BL591)+SUMIF(negtgel!U$2:BL$2,'Tsalin uzuulelt'!F$5,negtgel!U591:BL591)</f>
      </c>
      <c r="I591">
        <f>SUMIF(negtgel!U$2:BL$2,'Tsalin uzuulelt'!H$1,negtgel!U591:BL591) + SUMIF(negtgel!U$2:BL$2,'Tsalin uzuulelt'!H$2,negtgel!U591:BL591)+SUMIF(negtgel!U$2:BL$2,'Tsalin uzuulelt'!H$3,negtgel!U591:BL591)+SUMIF(negtgel!U$2:BL$2,'Tsalin uzuulelt'!H$4,negtgel!U591:BL591)+SUMIF(negtgel!U$2:BL$2,'Tsalin uzuulelt'!H$5,negtgel!U591:BL591)</f>
      </c>
      <c r="J591">
        <f>SUMIF(negtgel!U$2:BL$2,'Tsalin uzuulelt'!J$1,negtgel!U591:BL591) + SUMIF(negtgel!U$2:BL$2,'Tsalin uzuulelt'!J$2,negtgel!U591:BL591)+SUMIF(negtgel!U$2:BL$2,'Tsalin uzuulelt'!J$3,negtgel!U591:BL591)+SUMIF(negtgel!U$2:BL$2,'Tsalin uzuulelt'!J$4,negtgel!U591:BL591)+SUMIF(negtgel!U$2:BL$2,'Tsalin uzuulelt'!J$5,negtgel!U591:BL591)</f>
      </c>
      <c r="K591">
        <f>SUMIF(negtgel!U$2:BL$2,'Tsalin uzuulelt'!L$1,negtgel!U591:BL591) + SUMIF(negtgel!U$2:BL$2,'Tsalin uzuulelt'!L$2,negtgel!U591:BL591)+SUMIF(negtgel!U$2:BL$2,'Tsalin uzuulelt'!L$3,negtgel!U591:BL591)+SUMIF(negtgel!U$2:BL$2,'Tsalin uzuulelt'!L$4,negtgel!U591:BL591)+SUMIF(negtgel!U$2:BL$2,'Tsalin uzuulelt'!L$5,negtgel!U591:BL591)</f>
      </c>
      <c r="L591">
        <f>SUMIF(negtgel!U$2:BL$2,'Tsalin uzuulelt'!N$1,negtgel!U591:BL591) + SUMIF(negtgel!U$2:BL$2,'Tsalin uzuulelt'!N$2,negtgel!U591:BL591)+SUMIF(negtgel!U$2:BL$2,'Tsalin uzuulelt'!N$3,negtgel!U591:BL591)+SUMIF(negtgel!U$2:BL$2,'Tsalin uzuulelt'!N$4,negtgel!U591:BL591)+SUMIF(negtgel!U$2:BL$2,'Tsalin uzuulelt'!N$5,negtgel!U591:BL591)</f>
      </c>
      <c r="M591">
        <f>SUMIF(negtgel!U$2:BL$2,'Tsalin uzuulelt'!P$1,negtgel!U591:BL591) + SUMIF(negtgel!U$2:BL$2,'Tsalin uzuulelt'!P$2,negtgel!U591:BL591)+ SUMIF(negtgel!U$2:BL$2,'Tsalin uzuulelt'!P$3,negtgel!U591:BL591)+ SUMIF(negtgel!U$2:BL$2,'Tsalin uzuulelt'!P$4,negtgel!U591:BL591)+ SUMIF(negtgel!U$2:BL$2,'Tsalin uzuulelt'!P$5,negtgel!U591:BL591)</f>
      </c>
      <c r="N591">
        <f>IF(ISNUMBER(U591*1)=CF591,0,K591-H591-G591)</f>
      </c>
      <c r="O591">
        <f>IF(ISNUMBER(U591*1)=CF591,0,L591)</f>
      </c>
      <c r="P591">
        <f>IF(ISNUMBER(U591*1)=CF591,0,M591)</f>
      </c>
      <c r="Q591">
        <f>IF(N591&gt;2400000,N591,0)</f>
      </c>
      <c r="R591">
        <f>IF(L591/Q591*100&lt;3,2,10)</f>
      </c>
      <c r="S591">
        <f>IF(CH591=0,0,IF(B591&gt;9,10,IF(B591&gt;8,B591,IF(B591&gt;7.7,7.8,IF(B591&gt;3,B591,IF(B591&gt;1.5,2))))))</f>
      </c>
      <c r="T591">
        <f>IF(Q591=0,S591,R591)</f>
      </c>
      <c r="U591" t="n">
        <v>77.0</v>
      </c>
      <c r="V591" t="s">
        <v>3829</v>
      </c>
      <c r="W591" t="s">
        <v>3792</v>
      </c>
      <c r="X591" t="n">
        <v>496912.0</v>
      </c>
      <c r="Y591" t="n">
        <v>496912.0</v>
      </c>
      <c r="Z591" t="n">
        <v>0.0</v>
      </c>
      <c r="AA591" t="n">
        <v>0.0</v>
      </c>
      <c r="AB591" t="n">
        <v>49691.0</v>
      </c>
      <c r="AC591" t="n">
        <v>0.0</v>
      </c>
      <c r="AD591" t="n">
        <v>0.0</v>
      </c>
      <c r="AE591" t="n">
        <v>0.0</v>
      </c>
      <c r="AF591" t="n">
        <v>63000.0</v>
      </c>
      <c r="AG591" t="n">
        <v>0.0</v>
      </c>
      <c r="AH591" t="n">
        <v>0.0</v>
      </c>
      <c r="AI591" t="n">
        <v>0.0</v>
      </c>
      <c r="AJ591" t="n">
        <v>0.0</v>
      </c>
      <c r="AK591" t="n">
        <v>0.0</v>
      </c>
      <c r="AL591" t="n">
        <v>0.0</v>
      </c>
      <c r="AM591" t="n">
        <v>0.0</v>
      </c>
      <c r="AN591" t="n">
        <v>0.0</v>
      </c>
      <c r="AO591" t="n">
        <v>609603.0</v>
      </c>
      <c r="AP591" t="n">
        <v>60960.0</v>
      </c>
      <c r="AQ591" t="n">
        <v>48494.3</v>
      </c>
      <c r="CH591">
        <f>IFERROR(U591*1,0)</f>
      </c>
    </row>
    <row r="592">
      <c r="A592" t="n">
        <v>9.0</v>
      </c>
      <c r="B592">
        <f>IF((K592-G592-H592&gt;2400000),10,(L592/(K592-G592-H592)*100))</f>
      </c>
      <c r="C592">
        <f>IF(N592&gt;2400000,240000,(N592*S592)/100)</f>
      </c>
      <c r="D592">
        <f>IF(S592=0,0,IF((N592-I592)&gt;2400000,((((((N592-I592-J592)-240000))*0.1+(I592+J592)*0.1)))-7000,((((((N592-I592-J592)-(N592-I592-J592)*S592/100)))*0.1+(I592+J592)*0.1)-7000)))</f>
      </c>
      <c r="E592">
        <f>C592-O592</f>
      </c>
      <c r="F592">
        <f>D592-P592</f>
      </c>
      <c r="G592">
        <f>SUMIF(negtgel!U$2:BL$2,'Tsalin uzuulelt'!B$1,negtgel!U592:BL592) + SUMIF(negtgel!U$2:BL$2,'Tsalin uzuulelt'!B$2,negtgel!U592:BL592)+SUMIF(negtgel!U$2:BL$2,'Tsalin uzuulelt'!B$3,negtgel!U592:BL592)+SUMIF(negtgel!U$2:BL$2,'Tsalin uzuulelt'!B$4,negtgel!U592:BL592)+SUMIF(negtgel!U$2:BL$2,'Tsalin uzuulelt'!B$5,negtgel!U592:BL592)</f>
      </c>
      <c r="H592">
        <f>SUMIF(negtgel!U$2:BL$2,'Tsalin uzuulelt'!F$1,negtgel!U592:BL592) + SUMIF(negtgel!U$2:BL$2,'Tsalin uzuulelt'!F$2,negtgel!U592:BL592)+SUMIF(negtgel!U$2:BL$2,'Tsalin uzuulelt'!F$3,negtgel!U592:BL592)+SUMIF(negtgel!U$2:BL$2,'Tsalin uzuulelt'!F$4,negtgel!U592:BL592)+SUMIF(negtgel!U$2:BL$2,'Tsalin uzuulelt'!F$5,negtgel!U592:BL592)</f>
      </c>
      <c r="I592">
        <f>SUMIF(negtgel!U$2:BL$2,'Tsalin uzuulelt'!H$1,negtgel!U592:BL592) + SUMIF(negtgel!U$2:BL$2,'Tsalin uzuulelt'!H$2,negtgel!U592:BL592)+SUMIF(negtgel!U$2:BL$2,'Tsalin uzuulelt'!H$3,negtgel!U592:BL592)+SUMIF(negtgel!U$2:BL$2,'Tsalin uzuulelt'!H$4,negtgel!U592:BL592)+SUMIF(negtgel!U$2:BL$2,'Tsalin uzuulelt'!H$5,negtgel!U592:BL592)</f>
      </c>
      <c r="J592">
        <f>SUMIF(negtgel!U$2:BL$2,'Tsalin uzuulelt'!J$1,negtgel!U592:BL592) + SUMIF(negtgel!U$2:BL$2,'Tsalin uzuulelt'!J$2,negtgel!U592:BL592)+SUMIF(negtgel!U$2:BL$2,'Tsalin uzuulelt'!J$3,negtgel!U592:BL592)+SUMIF(negtgel!U$2:BL$2,'Tsalin uzuulelt'!J$4,negtgel!U592:BL592)+SUMIF(negtgel!U$2:BL$2,'Tsalin uzuulelt'!J$5,negtgel!U592:BL592)</f>
      </c>
      <c r="K592">
        <f>SUMIF(negtgel!U$2:BL$2,'Tsalin uzuulelt'!L$1,negtgel!U592:BL592) + SUMIF(negtgel!U$2:BL$2,'Tsalin uzuulelt'!L$2,negtgel!U592:BL592)+SUMIF(negtgel!U$2:BL$2,'Tsalin uzuulelt'!L$3,negtgel!U592:BL592)+SUMIF(negtgel!U$2:BL$2,'Tsalin uzuulelt'!L$4,negtgel!U592:BL592)+SUMIF(negtgel!U$2:BL$2,'Tsalin uzuulelt'!L$5,negtgel!U592:BL592)</f>
      </c>
      <c r="L592">
        <f>SUMIF(negtgel!U$2:BL$2,'Tsalin uzuulelt'!N$1,negtgel!U592:BL592) + SUMIF(negtgel!U$2:BL$2,'Tsalin uzuulelt'!N$2,negtgel!U592:BL592)+SUMIF(negtgel!U$2:BL$2,'Tsalin uzuulelt'!N$3,negtgel!U592:BL592)+SUMIF(negtgel!U$2:BL$2,'Tsalin uzuulelt'!N$4,negtgel!U592:BL592)+SUMIF(negtgel!U$2:BL$2,'Tsalin uzuulelt'!N$5,negtgel!U592:BL592)</f>
      </c>
      <c r="M592">
        <f>SUMIF(negtgel!U$2:BL$2,'Tsalin uzuulelt'!P$1,negtgel!U592:BL592) + SUMIF(negtgel!U$2:BL$2,'Tsalin uzuulelt'!P$2,negtgel!U592:BL592)+ SUMIF(negtgel!U$2:BL$2,'Tsalin uzuulelt'!P$3,negtgel!U592:BL592)+ SUMIF(negtgel!U$2:BL$2,'Tsalin uzuulelt'!P$4,negtgel!U592:BL592)+ SUMIF(negtgel!U$2:BL$2,'Tsalin uzuulelt'!P$5,negtgel!U592:BL592)</f>
      </c>
      <c r="N592">
        <f>IF(ISNUMBER(U592*1)=CF592,0,K592-H592-G592)</f>
      </c>
      <c r="O592">
        <f>IF(ISNUMBER(U592*1)=CF592,0,L592)</f>
      </c>
      <c r="P592">
        <f>IF(ISNUMBER(U592*1)=CF592,0,M592)</f>
      </c>
      <c r="Q592">
        <f>IF(N592&gt;2400000,N592,0)</f>
      </c>
      <c r="R592">
        <f>IF(L592/Q592*100&lt;3,2,10)</f>
      </c>
      <c r="S592">
        <f>IF(CH592=0,0,IF(B592&gt;9,10,IF(B592&gt;8,B592,IF(B592&gt;7.7,7.8,IF(B592&gt;3,B592,IF(B592&gt;1.5,2))))))</f>
      </c>
      <c r="T592">
        <f>IF(Q592=0,S592,R592)</f>
      </c>
      <c r="U592" t="n">
        <v>78.0</v>
      </c>
      <c r="V592" t="s">
        <v>3831</v>
      </c>
      <c r="W592" t="s">
        <v>3820</v>
      </c>
      <c r="X592" t="n">
        <v>663720.0</v>
      </c>
      <c r="Y592" t="n">
        <v>663720.0</v>
      </c>
      <c r="Z592" t="n">
        <v>66372.0</v>
      </c>
      <c r="AA592" t="n">
        <v>112832.0</v>
      </c>
      <c r="AB592" t="n">
        <v>0.0</v>
      </c>
      <c r="AC592" t="n">
        <v>0.0</v>
      </c>
      <c r="AD592" t="n">
        <v>0.0</v>
      </c>
      <c r="AE592" t="n">
        <v>0.0</v>
      </c>
      <c r="AF592" t="n">
        <v>63000.0</v>
      </c>
      <c r="AG592" t="n">
        <v>0.0</v>
      </c>
      <c r="AH592" t="n">
        <v>0.0</v>
      </c>
      <c r="AI592" t="n">
        <v>0.0</v>
      </c>
      <c r="AJ592" t="n">
        <v>0.0</v>
      </c>
      <c r="AK592" t="n">
        <v>0.0</v>
      </c>
      <c r="AL592" t="n">
        <v>0.0</v>
      </c>
      <c r="AM592" t="n">
        <v>0.0</v>
      </c>
      <c r="AN592" t="n">
        <v>0.0</v>
      </c>
      <c r="AO592" t="n">
        <v>905924.0</v>
      </c>
      <c r="AP592" t="n">
        <v>90592.0</v>
      </c>
      <c r="AQ592" t="n">
        <v>75163.2</v>
      </c>
      <c r="CH592">
        <f>IFERROR(U592*1,0)</f>
      </c>
    </row>
    <row r="593">
      <c r="A593" t="n">
        <v>9.0</v>
      </c>
      <c r="B593">
        <f>IF((K593-G593-H593&gt;2400000),10,(L593/(K593-G593-H593)*100))</f>
      </c>
      <c r="C593">
        <f>IF(N593&gt;2400000,240000,(N593*S593)/100)</f>
      </c>
      <c r="D593">
        <f>IF(S593=0,0,IF((N593-I593)&gt;2400000,((((((N593-I593-J593)-240000))*0.1+(I593+J593)*0.1)))-7000,((((((N593-I593-J593)-(N593-I593-J593)*S593/100)))*0.1+(I593+J593)*0.1)-7000)))</f>
      </c>
      <c r="E593">
        <f>C593-O593</f>
      </c>
      <c r="F593">
        <f>D593-P593</f>
      </c>
      <c r="G593">
        <f>SUMIF(negtgel!U$2:BL$2,'Tsalin uzuulelt'!B$1,negtgel!U593:BL593) + SUMIF(negtgel!U$2:BL$2,'Tsalin uzuulelt'!B$2,negtgel!U593:BL593)+SUMIF(negtgel!U$2:BL$2,'Tsalin uzuulelt'!B$3,negtgel!U593:BL593)+SUMIF(negtgel!U$2:BL$2,'Tsalin uzuulelt'!B$4,negtgel!U593:BL593)+SUMIF(negtgel!U$2:BL$2,'Tsalin uzuulelt'!B$5,negtgel!U593:BL593)</f>
      </c>
      <c r="H593">
        <f>SUMIF(negtgel!U$2:BL$2,'Tsalin uzuulelt'!F$1,negtgel!U593:BL593) + SUMIF(negtgel!U$2:BL$2,'Tsalin uzuulelt'!F$2,negtgel!U593:BL593)+SUMIF(negtgel!U$2:BL$2,'Tsalin uzuulelt'!F$3,negtgel!U593:BL593)+SUMIF(negtgel!U$2:BL$2,'Tsalin uzuulelt'!F$4,negtgel!U593:BL593)+SUMIF(negtgel!U$2:BL$2,'Tsalin uzuulelt'!F$5,negtgel!U593:BL593)</f>
      </c>
      <c r="I593">
        <f>SUMIF(negtgel!U$2:BL$2,'Tsalin uzuulelt'!H$1,negtgel!U593:BL593) + SUMIF(negtgel!U$2:BL$2,'Tsalin uzuulelt'!H$2,negtgel!U593:BL593)+SUMIF(negtgel!U$2:BL$2,'Tsalin uzuulelt'!H$3,negtgel!U593:BL593)+SUMIF(negtgel!U$2:BL$2,'Tsalin uzuulelt'!H$4,negtgel!U593:BL593)+SUMIF(negtgel!U$2:BL$2,'Tsalin uzuulelt'!H$5,negtgel!U593:BL593)</f>
      </c>
      <c r="J593">
        <f>SUMIF(negtgel!U$2:BL$2,'Tsalin uzuulelt'!J$1,negtgel!U593:BL593) + SUMIF(negtgel!U$2:BL$2,'Tsalin uzuulelt'!J$2,negtgel!U593:BL593)+SUMIF(negtgel!U$2:BL$2,'Tsalin uzuulelt'!J$3,negtgel!U593:BL593)+SUMIF(negtgel!U$2:BL$2,'Tsalin uzuulelt'!J$4,negtgel!U593:BL593)+SUMIF(negtgel!U$2:BL$2,'Tsalin uzuulelt'!J$5,negtgel!U593:BL593)</f>
      </c>
      <c r="K593">
        <f>SUMIF(negtgel!U$2:BL$2,'Tsalin uzuulelt'!L$1,negtgel!U593:BL593) + SUMIF(negtgel!U$2:BL$2,'Tsalin uzuulelt'!L$2,negtgel!U593:BL593)+SUMIF(negtgel!U$2:BL$2,'Tsalin uzuulelt'!L$3,negtgel!U593:BL593)+SUMIF(negtgel!U$2:BL$2,'Tsalin uzuulelt'!L$4,negtgel!U593:BL593)+SUMIF(negtgel!U$2:BL$2,'Tsalin uzuulelt'!L$5,negtgel!U593:BL593)</f>
      </c>
      <c r="L593">
        <f>SUMIF(negtgel!U$2:BL$2,'Tsalin uzuulelt'!N$1,negtgel!U593:BL593) + SUMIF(negtgel!U$2:BL$2,'Tsalin uzuulelt'!N$2,negtgel!U593:BL593)+SUMIF(negtgel!U$2:BL$2,'Tsalin uzuulelt'!N$3,negtgel!U593:BL593)+SUMIF(negtgel!U$2:BL$2,'Tsalin uzuulelt'!N$4,negtgel!U593:BL593)+SUMIF(negtgel!U$2:BL$2,'Tsalin uzuulelt'!N$5,negtgel!U593:BL593)</f>
      </c>
      <c r="M593">
        <f>SUMIF(negtgel!U$2:BL$2,'Tsalin uzuulelt'!P$1,negtgel!U593:BL593) + SUMIF(negtgel!U$2:BL$2,'Tsalin uzuulelt'!P$2,negtgel!U593:BL593)+ SUMIF(negtgel!U$2:BL$2,'Tsalin uzuulelt'!P$3,negtgel!U593:BL593)+ SUMIF(negtgel!U$2:BL$2,'Tsalin uzuulelt'!P$4,negtgel!U593:BL593)+ SUMIF(negtgel!U$2:BL$2,'Tsalin uzuulelt'!P$5,negtgel!U593:BL593)</f>
      </c>
      <c r="N593">
        <f>IF(ISNUMBER(U593*1)=CF593,0,K593-H593-G593)</f>
      </c>
      <c r="O593">
        <f>IF(ISNUMBER(U593*1)=CF593,0,L593)</f>
      </c>
      <c r="P593">
        <f>IF(ISNUMBER(U593*1)=CF593,0,M593)</f>
      </c>
      <c r="Q593">
        <f>IF(N593&gt;2400000,N593,0)</f>
      </c>
      <c r="R593">
        <f>IF(L593/Q593*100&lt;3,2,10)</f>
      </c>
      <c r="S593">
        <f>IF(CH593=0,0,IF(B593&gt;9,10,IF(B593&gt;8,B593,IF(B593&gt;7.7,7.8,IF(B593&gt;3,B593,IF(B593&gt;1.5,2))))))</f>
      </c>
      <c r="T593">
        <f>IF(Q593=0,S593,R593)</f>
      </c>
      <c r="U593" t="n">
        <v>79.0</v>
      </c>
      <c r="V593" t="s">
        <v>3868</v>
      </c>
      <c r="W593" t="s">
        <v>3790</v>
      </c>
      <c r="X593" t="n">
        <v>645556.0</v>
      </c>
      <c r="Y593" t="n">
        <v>645556.0</v>
      </c>
      <c r="Z593" t="n">
        <v>109745.0</v>
      </c>
      <c r="AA593" t="n">
        <v>96833.0</v>
      </c>
      <c r="AB593" t="n">
        <v>0.0</v>
      </c>
      <c r="AC593" t="n">
        <v>0.0</v>
      </c>
      <c r="AD593" t="n">
        <v>0.0</v>
      </c>
      <c r="AE593" t="n">
        <v>0.0</v>
      </c>
      <c r="AF593" t="n">
        <v>63000.0</v>
      </c>
      <c r="AG593" t="n">
        <v>0.0</v>
      </c>
      <c r="AH593" t="n">
        <v>0.0</v>
      </c>
      <c r="AI593" t="n">
        <v>0.0</v>
      </c>
      <c r="AJ593" t="n">
        <v>0.0</v>
      </c>
      <c r="AK593" t="n">
        <v>0.0</v>
      </c>
      <c r="AL593" t="n">
        <v>0.0</v>
      </c>
      <c r="AM593" t="n">
        <v>0.0</v>
      </c>
      <c r="AN593" t="n">
        <v>0.0</v>
      </c>
      <c r="AO593" t="n">
        <v>915134.0</v>
      </c>
      <c r="AP593" t="n">
        <v>91513.0</v>
      </c>
      <c r="AQ593" t="n">
        <v>75992.1</v>
      </c>
      <c r="CH593">
        <f>IFERROR(U593*1,0)</f>
      </c>
    </row>
    <row r="594">
      <c r="A594" t="n">
        <v>9.0</v>
      </c>
      <c r="B594">
        <f>IF((K594-G594-H594&gt;2400000),10,(L594/(K594-G594-H594)*100))</f>
      </c>
      <c r="C594">
        <f>IF(N594&gt;2400000,240000,(N594*S594)/100)</f>
      </c>
      <c r="D594">
        <f>IF(S594=0,0,IF((N594-I594)&gt;2400000,((((((N594-I594-J594)-240000))*0.1+(I594+J594)*0.1)))-7000,((((((N594-I594-J594)-(N594-I594-J594)*S594/100)))*0.1+(I594+J594)*0.1)-7000)))</f>
      </c>
      <c r="E594">
        <f>C594-O594</f>
      </c>
      <c r="F594">
        <f>D594-P594</f>
      </c>
      <c r="G594">
        <f>SUMIF(negtgel!U$2:BL$2,'Tsalin uzuulelt'!B$1,negtgel!U594:BL594) + SUMIF(negtgel!U$2:BL$2,'Tsalin uzuulelt'!B$2,negtgel!U594:BL594)+SUMIF(negtgel!U$2:BL$2,'Tsalin uzuulelt'!B$3,negtgel!U594:BL594)+SUMIF(negtgel!U$2:BL$2,'Tsalin uzuulelt'!B$4,negtgel!U594:BL594)+SUMIF(negtgel!U$2:BL$2,'Tsalin uzuulelt'!B$5,negtgel!U594:BL594)</f>
      </c>
      <c r="H594">
        <f>SUMIF(negtgel!U$2:BL$2,'Tsalin uzuulelt'!F$1,negtgel!U594:BL594) + SUMIF(negtgel!U$2:BL$2,'Tsalin uzuulelt'!F$2,negtgel!U594:BL594)+SUMIF(negtgel!U$2:BL$2,'Tsalin uzuulelt'!F$3,negtgel!U594:BL594)+SUMIF(negtgel!U$2:BL$2,'Tsalin uzuulelt'!F$4,negtgel!U594:BL594)+SUMIF(negtgel!U$2:BL$2,'Tsalin uzuulelt'!F$5,negtgel!U594:BL594)</f>
      </c>
      <c r="I594">
        <f>SUMIF(negtgel!U$2:BL$2,'Tsalin uzuulelt'!H$1,negtgel!U594:BL594) + SUMIF(negtgel!U$2:BL$2,'Tsalin uzuulelt'!H$2,negtgel!U594:BL594)+SUMIF(negtgel!U$2:BL$2,'Tsalin uzuulelt'!H$3,negtgel!U594:BL594)+SUMIF(negtgel!U$2:BL$2,'Tsalin uzuulelt'!H$4,negtgel!U594:BL594)+SUMIF(negtgel!U$2:BL$2,'Tsalin uzuulelt'!H$5,negtgel!U594:BL594)</f>
      </c>
      <c r="J594">
        <f>SUMIF(negtgel!U$2:BL$2,'Tsalin uzuulelt'!J$1,negtgel!U594:BL594) + SUMIF(negtgel!U$2:BL$2,'Tsalin uzuulelt'!J$2,negtgel!U594:BL594)+SUMIF(negtgel!U$2:BL$2,'Tsalin uzuulelt'!J$3,negtgel!U594:BL594)+SUMIF(negtgel!U$2:BL$2,'Tsalin uzuulelt'!J$4,negtgel!U594:BL594)+SUMIF(negtgel!U$2:BL$2,'Tsalin uzuulelt'!J$5,negtgel!U594:BL594)</f>
      </c>
      <c r="K594">
        <f>SUMIF(negtgel!U$2:BL$2,'Tsalin uzuulelt'!L$1,negtgel!U594:BL594) + SUMIF(negtgel!U$2:BL$2,'Tsalin uzuulelt'!L$2,negtgel!U594:BL594)+SUMIF(negtgel!U$2:BL$2,'Tsalin uzuulelt'!L$3,negtgel!U594:BL594)+SUMIF(negtgel!U$2:BL$2,'Tsalin uzuulelt'!L$4,negtgel!U594:BL594)+SUMIF(negtgel!U$2:BL$2,'Tsalin uzuulelt'!L$5,negtgel!U594:BL594)</f>
      </c>
      <c r="L594">
        <f>SUMIF(negtgel!U$2:BL$2,'Tsalin uzuulelt'!N$1,negtgel!U594:BL594) + SUMIF(negtgel!U$2:BL$2,'Tsalin uzuulelt'!N$2,negtgel!U594:BL594)+SUMIF(negtgel!U$2:BL$2,'Tsalin uzuulelt'!N$3,negtgel!U594:BL594)+SUMIF(negtgel!U$2:BL$2,'Tsalin uzuulelt'!N$4,negtgel!U594:BL594)+SUMIF(negtgel!U$2:BL$2,'Tsalin uzuulelt'!N$5,negtgel!U594:BL594)</f>
      </c>
      <c r="M594">
        <f>SUMIF(negtgel!U$2:BL$2,'Tsalin uzuulelt'!P$1,negtgel!U594:BL594) + SUMIF(negtgel!U$2:BL$2,'Tsalin uzuulelt'!P$2,negtgel!U594:BL594)+ SUMIF(negtgel!U$2:BL$2,'Tsalin uzuulelt'!P$3,negtgel!U594:BL594)+ SUMIF(negtgel!U$2:BL$2,'Tsalin uzuulelt'!P$4,negtgel!U594:BL594)+ SUMIF(negtgel!U$2:BL$2,'Tsalin uzuulelt'!P$5,negtgel!U594:BL594)</f>
      </c>
      <c r="N594">
        <f>IF(ISNUMBER(U594*1)=CF594,0,K594-H594-G594)</f>
      </c>
      <c r="O594">
        <f>IF(ISNUMBER(U594*1)=CF594,0,L594)</f>
      </c>
      <c r="P594">
        <f>IF(ISNUMBER(U594*1)=CF594,0,M594)</f>
      </c>
      <c r="Q594">
        <f>IF(N594&gt;2400000,N594,0)</f>
      </c>
      <c r="R594">
        <f>IF(L594/Q594*100&lt;3,2,10)</f>
      </c>
      <c r="S594">
        <f>IF(CH594=0,0,IF(B594&gt;9,10,IF(B594&gt;8,B594,IF(B594&gt;7.7,7.8,IF(B594&gt;3,B594,IF(B594&gt;1.5,2))))))</f>
      </c>
      <c r="T594">
        <f>IF(Q594=0,S594,R594)</f>
      </c>
      <c r="U594" t="n">
        <v>80.0</v>
      </c>
      <c r="V594" t="s">
        <v>3833</v>
      </c>
      <c r="W594" t="s">
        <v>3790</v>
      </c>
      <c r="X594" t="n">
        <v>645556.0</v>
      </c>
      <c r="Y594" t="n">
        <v>491852.0</v>
      </c>
      <c r="Z594" t="n">
        <v>73778.0</v>
      </c>
      <c r="AA594" t="n">
        <v>83615.0</v>
      </c>
      <c r="AB594" t="n">
        <v>0.0</v>
      </c>
      <c r="AC594" t="n">
        <v>0.0</v>
      </c>
      <c r="AD594" t="n">
        <v>0.0</v>
      </c>
      <c r="AE594" t="n">
        <v>0.0</v>
      </c>
      <c r="AF594" t="n">
        <v>48000.0</v>
      </c>
      <c r="AG594" t="n">
        <v>0.0</v>
      </c>
      <c r="AH594" t="n">
        <v>0.0</v>
      </c>
      <c r="AI594" t="n">
        <v>0.0</v>
      </c>
      <c r="AJ594" t="n">
        <v>0.0</v>
      </c>
      <c r="AK594" t="n">
        <v>0.0</v>
      </c>
      <c r="AL594" t="n">
        <v>168685.0</v>
      </c>
      <c r="AM594" t="n">
        <v>0.0</v>
      </c>
      <c r="AN594" t="n">
        <v>0.0</v>
      </c>
      <c r="AO594" t="n">
        <v>865930.0</v>
      </c>
      <c r="AP594" t="n">
        <v>69724.0</v>
      </c>
      <c r="AQ594" t="n">
        <v>56232.0</v>
      </c>
      <c r="CH594">
        <f>IFERROR(U594*1,0)</f>
      </c>
    </row>
    <row r="595">
      <c r="A595" t="n">
        <v>9.0</v>
      </c>
      <c r="B595">
        <f>IF((K595-G595-H595&gt;2400000),10,(L595/(K595-G595-H595)*100))</f>
      </c>
      <c r="C595">
        <f>IF(N595&gt;2400000,240000,(N595*S595)/100)</f>
      </c>
      <c r="D595">
        <f>IF(S595=0,0,IF((N595-I595)&gt;2400000,((((((N595-I595-J595)-240000))*0.1+(I595+J595)*0.1)))-7000,((((((N595-I595-J595)-(N595-I595-J595)*S595/100)))*0.1+(I595+J595)*0.1)-7000)))</f>
      </c>
      <c r="E595">
        <f>C595-O595</f>
      </c>
      <c r="F595">
        <f>D595-P595</f>
      </c>
      <c r="G595">
        <f>SUMIF(negtgel!U$2:BL$2,'Tsalin uzuulelt'!B$1,negtgel!U595:BL595) + SUMIF(negtgel!U$2:BL$2,'Tsalin uzuulelt'!B$2,negtgel!U595:BL595)+SUMIF(negtgel!U$2:BL$2,'Tsalin uzuulelt'!B$3,negtgel!U595:BL595)+SUMIF(negtgel!U$2:BL$2,'Tsalin uzuulelt'!B$4,negtgel!U595:BL595)+SUMIF(negtgel!U$2:BL$2,'Tsalin uzuulelt'!B$5,negtgel!U595:BL595)</f>
      </c>
      <c r="H595">
        <f>SUMIF(negtgel!U$2:BL$2,'Tsalin uzuulelt'!F$1,negtgel!U595:BL595) + SUMIF(negtgel!U$2:BL$2,'Tsalin uzuulelt'!F$2,negtgel!U595:BL595)+SUMIF(negtgel!U$2:BL$2,'Tsalin uzuulelt'!F$3,negtgel!U595:BL595)+SUMIF(negtgel!U$2:BL$2,'Tsalin uzuulelt'!F$4,negtgel!U595:BL595)+SUMIF(negtgel!U$2:BL$2,'Tsalin uzuulelt'!F$5,negtgel!U595:BL595)</f>
      </c>
      <c r="I595">
        <f>SUMIF(negtgel!U$2:BL$2,'Tsalin uzuulelt'!H$1,negtgel!U595:BL595) + SUMIF(negtgel!U$2:BL$2,'Tsalin uzuulelt'!H$2,negtgel!U595:BL595)+SUMIF(negtgel!U$2:BL$2,'Tsalin uzuulelt'!H$3,negtgel!U595:BL595)+SUMIF(negtgel!U$2:BL$2,'Tsalin uzuulelt'!H$4,negtgel!U595:BL595)+SUMIF(negtgel!U$2:BL$2,'Tsalin uzuulelt'!H$5,negtgel!U595:BL595)</f>
      </c>
      <c r="J595">
        <f>SUMIF(negtgel!U$2:BL$2,'Tsalin uzuulelt'!J$1,negtgel!U595:BL595) + SUMIF(negtgel!U$2:BL$2,'Tsalin uzuulelt'!J$2,negtgel!U595:BL595)+SUMIF(negtgel!U$2:BL$2,'Tsalin uzuulelt'!J$3,negtgel!U595:BL595)+SUMIF(negtgel!U$2:BL$2,'Tsalin uzuulelt'!J$4,negtgel!U595:BL595)+SUMIF(negtgel!U$2:BL$2,'Tsalin uzuulelt'!J$5,negtgel!U595:BL595)</f>
      </c>
      <c r="K595">
        <f>SUMIF(negtgel!U$2:BL$2,'Tsalin uzuulelt'!L$1,negtgel!U595:BL595) + SUMIF(negtgel!U$2:BL$2,'Tsalin uzuulelt'!L$2,negtgel!U595:BL595)+SUMIF(negtgel!U$2:BL$2,'Tsalin uzuulelt'!L$3,negtgel!U595:BL595)+SUMIF(negtgel!U$2:BL$2,'Tsalin uzuulelt'!L$4,negtgel!U595:BL595)+SUMIF(negtgel!U$2:BL$2,'Tsalin uzuulelt'!L$5,negtgel!U595:BL595)</f>
      </c>
      <c r="L595">
        <f>SUMIF(negtgel!U$2:BL$2,'Tsalin uzuulelt'!N$1,negtgel!U595:BL595) + SUMIF(negtgel!U$2:BL$2,'Tsalin uzuulelt'!N$2,negtgel!U595:BL595)+SUMIF(negtgel!U$2:BL$2,'Tsalin uzuulelt'!N$3,negtgel!U595:BL595)+SUMIF(negtgel!U$2:BL$2,'Tsalin uzuulelt'!N$4,negtgel!U595:BL595)+SUMIF(negtgel!U$2:BL$2,'Tsalin uzuulelt'!N$5,negtgel!U595:BL595)</f>
      </c>
      <c r="M595">
        <f>SUMIF(negtgel!U$2:BL$2,'Tsalin uzuulelt'!P$1,negtgel!U595:BL595) + SUMIF(negtgel!U$2:BL$2,'Tsalin uzuulelt'!P$2,negtgel!U595:BL595)+ SUMIF(negtgel!U$2:BL$2,'Tsalin uzuulelt'!P$3,negtgel!U595:BL595)+ SUMIF(negtgel!U$2:BL$2,'Tsalin uzuulelt'!P$4,negtgel!U595:BL595)+ SUMIF(negtgel!U$2:BL$2,'Tsalin uzuulelt'!P$5,negtgel!U595:BL595)</f>
      </c>
      <c r="N595">
        <f>IF(ISNUMBER(U595*1)=CF595,0,K595-H595-G595)</f>
      </c>
      <c r="O595">
        <f>IF(ISNUMBER(U595*1)=CF595,0,L595)</f>
      </c>
      <c r="P595">
        <f>IF(ISNUMBER(U595*1)=CF595,0,M595)</f>
      </c>
      <c r="Q595">
        <f>IF(N595&gt;2400000,N595,0)</f>
      </c>
      <c r="R595">
        <f>IF(L595/Q595*100&lt;3,2,10)</f>
      </c>
      <c r="S595">
        <f>IF(CH595=0,0,IF(B595&gt;9,10,IF(B595&gt;8,B595,IF(B595&gt;7.7,7.8,IF(B595&gt;3,B595,IF(B595&gt;1.5,2))))))</f>
      </c>
      <c r="T595">
        <f>IF(Q595=0,S595,R595)</f>
      </c>
      <c r="U595" t="n">
        <v>81.0</v>
      </c>
      <c r="V595" t="s">
        <v>3835</v>
      </c>
      <c r="W595" t="s">
        <v>3790</v>
      </c>
      <c r="X595" t="n">
        <v>613669.0</v>
      </c>
      <c r="Y595" t="n">
        <v>613669.0</v>
      </c>
      <c r="Z595" t="n">
        <v>30683.0</v>
      </c>
      <c r="AA595" t="n">
        <v>0.0</v>
      </c>
      <c r="AB595" t="n">
        <v>0.0</v>
      </c>
      <c r="AC595" t="n">
        <v>0.0</v>
      </c>
      <c r="AD595" t="n">
        <v>0.0</v>
      </c>
      <c r="AE595" t="n">
        <v>0.0</v>
      </c>
      <c r="AF595" t="n">
        <v>63000.0</v>
      </c>
      <c r="AG595" t="n">
        <v>0.0</v>
      </c>
      <c r="AH595" t="n">
        <v>0.0</v>
      </c>
      <c r="AI595" t="n">
        <v>0.0</v>
      </c>
      <c r="AJ595" t="n">
        <v>0.0</v>
      </c>
      <c r="AK595" t="n">
        <v>0.0</v>
      </c>
      <c r="AL595" t="n">
        <v>92613.0</v>
      </c>
      <c r="AM595" t="n">
        <v>0.0</v>
      </c>
      <c r="AN595" t="n">
        <v>0.0</v>
      </c>
      <c r="AO595" t="n">
        <v>799965.0</v>
      </c>
      <c r="AP595" t="n">
        <v>70736.0</v>
      </c>
      <c r="AQ595" t="n">
        <v>57291.7</v>
      </c>
      <c r="CH595">
        <f>IFERROR(U595*1,0)</f>
      </c>
    </row>
    <row r="596">
      <c r="A596" t="n">
        <v>9.0</v>
      </c>
      <c r="B596">
        <f>IF((K596-G596-H596&gt;2400000),10,(L596/(K596-G596-H596)*100))</f>
      </c>
      <c r="C596">
        <f>IF(N596&gt;2400000,240000,(N596*S596)/100)</f>
      </c>
      <c r="D596">
        <f>IF(S596=0,0,IF((N596-I596)&gt;2400000,((((((N596-I596-J596)-240000))*0.1+(I596+J596)*0.1)))-7000,((((((N596-I596-J596)-(N596-I596-J596)*S596/100)))*0.1+(I596+J596)*0.1)-7000)))</f>
      </c>
      <c r="E596">
        <f>C596-O596</f>
      </c>
      <c r="F596">
        <f>D596-P596</f>
      </c>
      <c r="G596">
        <f>SUMIF(negtgel!U$2:BL$2,'Tsalin uzuulelt'!B$1,negtgel!U596:BL596) + SUMIF(negtgel!U$2:BL$2,'Tsalin uzuulelt'!B$2,negtgel!U596:BL596)+SUMIF(negtgel!U$2:BL$2,'Tsalin uzuulelt'!B$3,negtgel!U596:BL596)+SUMIF(negtgel!U$2:BL$2,'Tsalin uzuulelt'!B$4,negtgel!U596:BL596)+SUMIF(negtgel!U$2:BL$2,'Tsalin uzuulelt'!B$5,negtgel!U596:BL596)</f>
      </c>
      <c r="H596">
        <f>SUMIF(negtgel!U$2:BL$2,'Tsalin uzuulelt'!F$1,negtgel!U596:BL596) + SUMIF(negtgel!U$2:BL$2,'Tsalin uzuulelt'!F$2,negtgel!U596:BL596)+SUMIF(negtgel!U$2:BL$2,'Tsalin uzuulelt'!F$3,negtgel!U596:BL596)+SUMIF(negtgel!U$2:BL$2,'Tsalin uzuulelt'!F$4,negtgel!U596:BL596)+SUMIF(negtgel!U$2:BL$2,'Tsalin uzuulelt'!F$5,negtgel!U596:BL596)</f>
      </c>
      <c r="I596">
        <f>SUMIF(negtgel!U$2:BL$2,'Tsalin uzuulelt'!H$1,negtgel!U596:BL596) + SUMIF(negtgel!U$2:BL$2,'Tsalin uzuulelt'!H$2,negtgel!U596:BL596)+SUMIF(negtgel!U$2:BL$2,'Tsalin uzuulelt'!H$3,negtgel!U596:BL596)+SUMIF(negtgel!U$2:BL$2,'Tsalin uzuulelt'!H$4,negtgel!U596:BL596)+SUMIF(negtgel!U$2:BL$2,'Tsalin uzuulelt'!H$5,negtgel!U596:BL596)</f>
      </c>
      <c r="J596">
        <f>SUMIF(negtgel!U$2:BL$2,'Tsalin uzuulelt'!J$1,negtgel!U596:BL596) + SUMIF(negtgel!U$2:BL$2,'Tsalin uzuulelt'!J$2,negtgel!U596:BL596)+SUMIF(negtgel!U$2:BL$2,'Tsalin uzuulelt'!J$3,negtgel!U596:BL596)+SUMIF(negtgel!U$2:BL$2,'Tsalin uzuulelt'!J$4,negtgel!U596:BL596)+SUMIF(negtgel!U$2:BL$2,'Tsalin uzuulelt'!J$5,negtgel!U596:BL596)</f>
      </c>
      <c r="K596">
        <f>SUMIF(negtgel!U$2:BL$2,'Tsalin uzuulelt'!L$1,negtgel!U596:BL596) + SUMIF(negtgel!U$2:BL$2,'Tsalin uzuulelt'!L$2,negtgel!U596:BL596)+SUMIF(negtgel!U$2:BL$2,'Tsalin uzuulelt'!L$3,negtgel!U596:BL596)+SUMIF(negtgel!U$2:BL$2,'Tsalin uzuulelt'!L$4,negtgel!U596:BL596)+SUMIF(negtgel!U$2:BL$2,'Tsalin uzuulelt'!L$5,negtgel!U596:BL596)</f>
      </c>
      <c r="L596">
        <f>SUMIF(negtgel!U$2:BL$2,'Tsalin uzuulelt'!N$1,negtgel!U596:BL596) + SUMIF(negtgel!U$2:BL$2,'Tsalin uzuulelt'!N$2,negtgel!U596:BL596)+SUMIF(negtgel!U$2:BL$2,'Tsalin uzuulelt'!N$3,negtgel!U596:BL596)+SUMIF(negtgel!U$2:BL$2,'Tsalin uzuulelt'!N$4,negtgel!U596:BL596)+SUMIF(negtgel!U$2:BL$2,'Tsalin uzuulelt'!N$5,negtgel!U596:BL596)</f>
      </c>
      <c r="M596">
        <f>SUMIF(negtgel!U$2:BL$2,'Tsalin uzuulelt'!P$1,negtgel!U596:BL596) + SUMIF(negtgel!U$2:BL$2,'Tsalin uzuulelt'!P$2,negtgel!U596:BL596)+ SUMIF(negtgel!U$2:BL$2,'Tsalin uzuulelt'!P$3,negtgel!U596:BL596)+ SUMIF(negtgel!U$2:BL$2,'Tsalin uzuulelt'!P$4,negtgel!U596:BL596)+ SUMIF(negtgel!U$2:BL$2,'Tsalin uzuulelt'!P$5,negtgel!U596:BL596)</f>
      </c>
      <c r="N596">
        <f>IF(ISNUMBER(U596*1)=CF596,0,K596-H596-G596)</f>
      </c>
      <c r="O596">
        <f>IF(ISNUMBER(U596*1)=CF596,0,L596)</f>
      </c>
      <c r="P596">
        <f>IF(ISNUMBER(U596*1)=CF596,0,M596)</f>
      </c>
      <c r="Q596">
        <f>IF(N596&gt;2400000,N596,0)</f>
      </c>
      <c r="R596">
        <f>IF(L596/Q596*100&lt;3,2,10)</f>
      </c>
      <c r="S596">
        <f>IF(CH596=0,0,IF(B596&gt;9,10,IF(B596&gt;8,B596,IF(B596&gt;7.7,7.8,IF(B596&gt;3,B596,IF(B596&gt;1.5,2))))))</f>
      </c>
      <c r="T596">
        <f>IF(Q596=0,S596,R596)</f>
      </c>
      <c r="U596" t="s">
        <v>3787</v>
      </c>
      <c r="V596"/>
      <c r="W596"/>
      <c r="X596" t="n">
        <v>4146907.0</v>
      </c>
      <c r="Y596" t="n">
        <v>3492419.0</v>
      </c>
      <c r="Z596" t="n">
        <v>280578.0</v>
      </c>
      <c r="AA596" t="n">
        <v>293280.0</v>
      </c>
      <c r="AB596" t="n">
        <v>49691.0</v>
      </c>
      <c r="AC596" t="n">
        <v>0.0</v>
      </c>
      <c r="AD596" t="n">
        <v>0.0</v>
      </c>
      <c r="AE596" t="n">
        <v>0.0</v>
      </c>
      <c r="AF596" t="n">
        <v>363000.0</v>
      </c>
      <c r="AG596" t="n">
        <v>0.0</v>
      </c>
      <c r="AH596" t="n">
        <v>0.0</v>
      </c>
      <c r="AI596" t="n">
        <v>0.0</v>
      </c>
      <c r="AJ596" t="n">
        <v>0.0</v>
      </c>
      <c r="AK596" t="n">
        <v>0.0</v>
      </c>
      <c r="AL596" t="n">
        <v>261298.0</v>
      </c>
      <c r="AM596" t="n">
        <v>0.0</v>
      </c>
      <c r="AN596" t="n">
        <v>0.0</v>
      </c>
      <c r="AO596" t="n">
        <v>4740266.0</v>
      </c>
      <c r="AP596" t="n">
        <v>447896.0</v>
      </c>
      <c r="AQ596" t="n">
        <v>364737.2</v>
      </c>
      <c r="CH596">
        <f>IFERROR(U596*1,0)</f>
      </c>
    </row>
    <row r="597">
      <c r="A597" t="n">
        <v>9.0</v>
      </c>
      <c r="B597">
        <f>IF((K597-G597-H597&gt;2400000),10,(L597/(K597-G597-H597)*100))</f>
      </c>
      <c r="C597">
        <f>IF(N597&gt;2400000,240000,(N597*S597)/100)</f>
      </c>
      <c r="D597">
        <f>IF(S597=0,0,IF((N597-I597)&gt;2400000,((((((N597-I597-J597)-240000))*0.1+(I597+J597)*0.1)))-7000,((((((N597-I597-J597)-(N597-I597-J597)*S597/100)))*0.1+(I597+J597)*0.1)-7000)))</f>
      </c>
      <c r="E597">
        <f>C597-O597</f>
      </c>
      <c r="F597">
        <f>D597-P597</f>
      </c>
      <c r="G597">
        <f>SUMIF(negtgel!U$2:BL$2,'Tsalin uzuulelt'!B$1,negtgel!U597:BL597) + SUMIF(negtgel!U$2:BL$2,'Tsalin uzuulelt'!B$2,negtgel!U597:BL597)+SUMIF(negtgel!U$2:BL$2,'Tsalin uzuulelt'!B$3,negtgel!U597:BL597)+SUMIF(negtgel!U$2:BL$2,'Tsalin uzuulelt'!B$4,negtgel!U597:BL597)+SUMIF(negtgel!U$2:BL$2,'Tsalin uzuulelt'!B$5,negtgel!U597:BL597)</f>
      </c>
      <c r="H597">
        <f>SUMIF(negtgel!U$2:BL$2,'Tsalin uzuulelt'!F$1,negtgel!U597:BL597) + SUMIF(negtgel!U$2:BL$2,'Tsalin uzuulelt'!F$2,negtgel!U597:BL597)+SUMIF(negtgel!U$2:BL$2,'Tsalin uzuulelt'!F$3,negtgel!U597:BL597)+SUMIF(negtgel!U$2:BL$2,'Tsalin uzuulelt'!F$4,negtgel!U597:BL597)+SUMIF(negtgel!U$2:BL$2,'Tsalin uzuulelt'!F$5,negtgel!U597:BL597)</f>
      </c>
      <c r="I597">
        <f>SUMIF(negtgel!U$2:BL$2,'Tsalin uzuulelt'!H$1,negtgel!U597:BL597) + SUMIF(negtgel!U$2:BL$2,'Tsalin uzuulelt'!H$2,negtgel!U597:BL597)+SUMIF(negtgel!U$2:BL$2,'Tsalin uzuulelt'!H$3,negtgel!U597:BL597)+SUMIF(negtgel!U$2:BL$2,'Tsalin uzuulelt'!H$4,negtgel!U597:BL597)+SUMIF(negtgel!U$2:BL$2,'Tsalin uzuulelt'!H$5,negtgel!U597:BL597)</f>
      </c>
      <c r="J597">
        <f>SUMIF(negtgel!U$2:BL$2,'Tsalin uzuulelt'!J$1,negtgel!U597:BL597) + SUMIF(negtgel!U$2:BL$2,'Tsalin uzuulelt'!J$2,negtgel!U597:BL597)+SUMIF(negtgel!U$2:BL$2,'Tsalin uzuulelt'!J$3,negtgel!U597:BL597)+SUMIF(negtgel!U$2:BL$2,'Tsalin uzuulelt'!J$4,negtgel!U597:BL597)+SUMIF(negtgel!U$2:BL$2,'Tsalin uzuulelt'!J$5,negtgel!U597:BL597)</f>
      </c>
      <c r="K597">
        <f>SUMIF(negtgel!U$2:BL$2,'Tsalin uzuulelt'!L$1,negtgel!U597:BL597) + SUMIF(negtgel!U$2:BL$2,'Tsalin uzuulelt'!L$2,negtgel!U597:BL597)+SUMIF(negtgel!U$2:BL$2,'Tsalin uzuulelt'!L$3,negtgel!U597:BL597)+SUMIF(negtgel!U$2:BL$2,'Tsalin uzuulelt'!L$4,negtgel!U597:BL597)+SUMIF(negtgel!U$2:BL$2,'Tsalin uzuulelt'!L$5,negtgel!U597:BL597)</f>
      </c>
      <c r="L597">
        <f>SUMIF(negtgel!U$2:BL$2,'Tsalin uzuulelt'!N$1,negtgel!U597:BL597) + SUMIF(negtgel!U$2:BL$2,'Tsalin uzuulelt'!N$2,negtgel!U597:BL597)+SUMIF(negtgel!U$2:BL$2,'Tsalin uzuulelt'!N$3,negtgel!U597:BL597)+SUMIF(negtgel!U$2:BL$2,'Tsalin uzuulelt'!N$4,negtgel!U597:BL597)+SUMIF(negtgel!U$2:BL$2,'Tsalin uzuulelt'!N$5,negtgel!U597:BL597)</f>
      </c>
      <c r="M597">
        <f>SUMIF(negtgel!U$2:BL$2,'Tsalin uzuulelt'!P$1,negtgel!U597:BL597) + SUMIF(negtgel!U$2:BL$2,'Tsalin uzuulelt'!P$2,negtgel!U597:BL597)+ SUMIF(negtgel!U$2:BL$2,'Tsalin uzuulelt'!P$3,negtgel!U597:BL597)+ SUMIF(negtgel!U$2:BL$2,'Tsalin uzuulelt'!P$4,negtgel!U597:BL597)+ SUMIF(negtgel!U$2:BL$2,'Tsalin uzuulelt'!P$5,negtgel!U597:BL597)</f>
      </c>
      <c r="N597">
        <f>IF(ISNUMBER(U597*1)=CF597,0,K597-H597-G597)</f>
      </c>
      <c r="O597">
        <f>IF(ISNUMBER(U597*1)=CF597,0,L597)</f>
      </c>
      <c r="P597">
        <f>IF(ISNUMBER(U597*1)=CF597,0,M597)</f>
      </c>
      <c r="Q597">
        <f>IF(N597&gt;2400000,N597,0)</f>
      </c>
      <c r="R597">
        <f>IF(L597/Q597*100&lt;3,2,10)</f>
      </c>
      <c r="S597">
        <f>IF(CH597=0,0,IF(B597&gt;9,10,IF(B597&gt;8,B597,IF(B597&gt;7.7,7.8,IF(B597&gt;3,B597,IF(B597&gt;1.5,2))))))</f>
      </c>
      <c r="T597">
        <f>IF(Q597=0,S597,R597)</f>
      </c>
      <c r="U597" t="s">
        <v>3836</v>
      </c>
      <c r="V597"/>
      <c r="W597"/>
      <c r="X597"/>
      <c r="Y597"/>
      <c r="Z597"/>
      <c r="AA597"/>
      <c r="AB597"/>
      <c r="AC597"/>
      <c r="AD597"/>
      <c r="AE597"/>
      <c r="AF597"/>
      <c r="AG597"/>
      <c r="AH597"/>
      <c r="AI597"/>
      <c r="AJ597"/>
      <c r="AK597"/>
      <c r="AL597"/>
      <c r="AM597"/>
      <c r="AN597"/>
      <c r="AO597"/>
      <c r="AP597"/>
      <c r="AQ597"/>
      <c r="CH597">
        <f>IFERROR(U597*1,0)</f>
      </c>
    </row>
    <row r="598">
      <c r="A598" t="n">
        <v>9.0</v>
      </c>
      <c r="B598">
        <f>IF((K598-G598-H598&gt;2400000),10,(L598/(K598-G598-H598)*100))</f>
      </c>
      <c r="C598">
        <f>IF(N598&gt;2400000,240000,(N598*S598)/100)</f>
      </c>
      <c r="D598">
        <f>IF(S598=0,0,IF((N598-I598)&gt;2400000,((((((N598-I598-J598)-240000))*0.1+(I598+J598)*0.1)))-7000,((((((N598-I598-J598)-(N598-I598-J598)*S598/100)))*0.1+(I598+J598)*0.1)-7000)))</f>
      </c>
      <c r="E598">
        <f>C598-O598</f>
      </c>
      <c r="F598">
        <f>D598-P598</f>
      </c>
      <c r="G598">
        <f>SUMIF(negtgel!U$2:BL$2,'Tsalin uzuulelt'!B$1,negtgel!U598:BL598) + SUMIF(negtgel!U$2:BL$2,'Tsalin uzuulelt'!B$2,negtgel!U598:BL598)+SUMIF(negtgel!U$2:BL$2,'Tsalin uzuulelt'!B$3,negtgel!U598:BL598)+SUMIF(negtgel!U$2:BL$2,'Tsalin uzuulelt'!B$4,negtgel!U598:BL598)+SUMIF(negtgel!U$2:BL$2,'Tsalin uzuulelt'!B$5,negtgel!U598:BL598)</f>
      </c>
      <c r="H598">
        <f>SUMIF(negtgel!U$2:BL$2,'Tsalin uzuulelt'!F$1,negtgel!U598:BL598) + SUMIF(negtgel!U$2:BL$2,'Tsalin uzuulelt'!F$2,negtgel!U598:BL598)+SUMIF(negtgel!U$2:BL$2,'Tsalin uzuulelt'!F$3,negtgel!U598:BL598)+SUMIF(negtgel!U$2:BL$2,'Tsalin uzuulelt'!F$4,negtgel!U598:BL598)+SUMIF(negtgel!U$2:BL$2,'Tsalin uzuulelt'!F$5,negtgel!U598:BL598)</f>
      </c>
      <c r="I598">
        <f>SUMIF(negtgel!U$2:BL$2,'Tsalin uzuulelt'!H$1,negtgel!U598:BL598) + SUMIF(negtgel!U$2:BL$2,'Tsalin uzuulelt'!H$2,negtgel!U598:BL598)+SUMIF(negtgel!U$2:BL$2,'Tsalin uzuulelt'!H$3,negtgel!U598:BL598)+SUMIF(negtgel!U$2:BL$2,'Tsalin uzuulelt'!H$4,negtgel!U598:BL598)+SUMIF(negtgel!U$2:BL$2,'Tsalin uzuulelt'!H$5,negtgel!U598:BL598)</f>
      </c>
      <c r="J598">
        <f>SUMIF(negtgel!U$2:BL$2,'Tsalin uzuulelt'!J$1,negtgel!U598:BL598) + SUMIF(negtgel!U$2:BL$2,'Tsalin uzuulelt'!J$2,negtgel!U598:BL598)+SUMIF(negtgel!U$2:BL$2,'Tsalin uzuulelt'!J$3,negtgel!U598:BL598)+SUMIF(negtgel!U$2:BL$2,'Tsalin uzuulelt'!J$4,negtgel!U598:BL598)+SUMIF(negtgel!U$2:BL$2,'Tsalin uzuulelt'!J$5,negtgel!U598:BL598)</f>
      </c>
      <c r="K598">
        <f>SUMIF(negtgel!U$2:BL$2,'Tsalin uzuulelt'!L$1,negtgel!U598:BL598) + SUMIF(negtgel!U$2:BL$2,'Tsalin uzuulelt'!L$2,negtgel!U598:BL598)+SUMIF(negtgel!U$2:BL$2,'Tsalin uzuulelt'!L$3,negtgel!U598:BL598)+SUMIF(negtgel!U$2:BL$2,'Tsalin uzuulelt'!L$4,negtgel!U598:BL598)+SUMIF(negtgel!U$2:BL$2,'Tsalin uzuulelt'!L$5,negtgel!U598:BL598)</f>
      </c>
      <c r="L598">
        <f>SUMIF(negtgel!U$2:BL$2,'Tsalin uzuulelt'!N$1,negtgel!U598:BL598) + SUMIF(negtgel!U$2:BL$2,'Tsalin uzuulelt'!N$2,negtgel!U598:BL598)+SUMIF(negtgel!U$2:BL$2,'Tsalin uzuulelt'!N$3,negtgel!U598:BL598)+SUMIF(negtgel!U$2:BL$2,'Tsalin uzuulelt'!N$4,negtgel!U598:BL598)+SUMIF(negtgel!U$2:BL$2,'Tsalin uzuulelt'!N$5,negtgel!U598:BL598)</f>
      </c>
      <c r="M598">
        <f>SUMIF(negtgel!U$2:BL$2,'Tsalin uzuulelt'!P$1,negtgel!U598:BL598) + SUMIF(negtgel!U$2:BL$2,'Tsalin uzuulelt'!P$2,negtgel!U598:BL598)+ SUMIF(negtgel!U$2:BL$2,'Tsalin uzuulelt'!P$3,negtgel!U598:BL598)+ SUMIF(negtgel!U$2:BL$2,'Tsalin uzuulelt'!P$4,negtgel!U598:BL598)+ SUMIF(negtgel!U$2:BL$2,'Tsalin uzuulelt'!P$5,negtgel!U598:BL598)</f>
      </c>
      <c r="N598">
        <f>IF(ISNUMBER(U598*1)=CF598,0,K598-H598-G598)</f>
      </c>
      <c r="O598">
        <f>IF(ISNUMBER(U598*1)=CF598,0,L598)</f>
      </c>
      <c r="P598">
        <f>IF(ISNUMBER(U598*1)=CF598,0,M598)</f>
      </c>
      <c r="Q598">
        <f>IF(N598&gt;2400000,N598,0)</f>
      </c>
      <c r="R598">
        <f>IF(L598/Q598*100&lt;3,2,10)</f>
      </c>
      <c r="S598">
        <f>IF(CH598=0,0,IF(B598&gt;9,10,IF(B598&gt;8,B598,IF(B598&gt;7.7,7.8,IF(B598&gt;3,B598,IF(B598&gt;1.5,2))))))</f>
      </c>
      <c r="T598">
        <f>IF(Q598=0,S598,R598)</f>
      </c>
      <c r="U598" t="n">
        <v>82.0</v>
      </c>
      <c r="V598" t="s">
        <v>3837</v>
      </c>
      <c r="W598" t="s">
        <v>3820</v>
      </c>
      <c r="X598" t="n">
        <v>645556.0</v>
      </c>
      <c r="Y598" t="n">
        <v>614815.0</v>
      </c>
      <c r="Z598" t="n">
        <v>92222.0</v>
      </c>
      <c r="AA598" t="n">
        <v>122963.0</v>
      </c>
      <c r="AB598" t="n">
        <v>0.0</v>
      </c>
      <c r="AC598" t="n">
        <v>0.0</v>
      </c>
      <c r="AD598" t="n">
        <v>0.0</v>
      </c>
      <c r="AE598" t="n">
        <v>0.0</v>
      </c>
      <c r="AF598" t="n">
        <v>60000.0</v>
      </c>
      <c r="AG598" t="n">
        <v>0.0</v>
      </c>
      <c r="AH598" t="n">
        <v>0.0</v>
      </c>
      <c r="AI598" t="n">
        <v>0.0</v>
      </c>
      <c r="AJ598" t="n">
        <v>0.0</v>
      </c>
      <c r="AK598" t="n">
        <v>0.0</v>
      </c>
      <c r="AL598" t="n">
        <v>0.0</v>
      </c>
      <c r="AM598" t="n">
        <v>0.0</v>
      </c>
      <c r="AN598" t="n">
        <v>0.0</v>
      </c>
      <c r="AO598" t="n">
        <v>890000.0</v>
      </c>
      <c r="AP598" t="n">
        <v>89000.0</v>
      </c>
      <c r="AQ598" t="n">
        <v>73700.0</v>
      </c>
      <c r="CH598">
        <f>IFERROR(U598*1,0)</f>
      </c>
    </row>
    <row r="599">
      <c r="A599" t="n">
        <v>9.0</v>
      </c>
      <c r="B599">
        <f>IF((K599-G599-H599&gt;2400000),10,(L599/(K599-G599-H599)*100))</f>
      </c>
      <c r="C599">
        <f>IF(N599&gt;2400000,240000,(N599*S599)/100)</f>
      </c>
      <c r="D599">
        <f>IF(S599=0,0,IF((N599-I599)&gt;2400000,((((((N599-I599-J599)-240000))*0.1+(I599+J599)*0.1)))-7000,((((((N599-I599-J599)-(N599-I599-J599)*S599/100)))*0.1+(I599+J599)*0.1)-7000)))</f>
      </c>
      <c r="E599">
        <f>C599-O599</f>
      </c>
      <c r="F599">
        <f>D599-P599</f>
      </c>
      <c r="G599">
        <f>SUMIF(negtgel!U$2:BL$2,'Tsalin uzuulelt'!B$1,negtgel!U599:BL599) + SUMIF(negtgel!U$2:BL$2,'Tsalin uzuulelt'!B$2,negtgel!U599:BL599)+SUMIF(negtgel!U$2:BL$2,'Tsalin uzuulelt'!B$3,negtgel!U599:BL599)+SUMIF(negtgel!U$2:BL$2,'Tsalin uzuulelt'!B$4,negtgel!U599:BL599)+SUMIF(negtgel!U$2:BL$2,'Tsalin uzuulelt'!B$5,negtgel!U599:BL599)</f>
      </c>
      <c r="H599">
        <f>SUMIF(negtgel!U$2:BL$2,'Tsalin uzuulelt'!F$1,negtgel!U599:BL599) + SUMIF(negtgel!U$2:BL$2,'Tsalin uzuulelt'!F$2,negtgel!U599:BL599)+SUMIF(negtgel!U$2:BL$2,'Tsalin uzuulelt'!F$3,negtgel!U599:BL599)+SUMIF(negtgel!U$2:BL$2,'Tsalin uzuulelt'!F$4,negtgel!U599:BL599)+SUMIF(negtgel!U$2:BL$2,'Tsalin uzuulelt'!F$5,negtgel!U599:BL599)</f>
      </c>
      <c r="I599">
        <f>SUMIF(negtgel!U$2:BL$2,'Tsalin uzuulelt'!H$1,negtgel!U599:BL599) + SUMIF(negtgel!U$2:BL$2,'Tsalin uzuulelt'!H$2,negtgel!U599:BL599)+SUMIF(negtgel!U$2:BL$2,'Tsalin uzuulelt'!H$3,negtgel!U599:BL599)+SUMIF(negtgel!U$2:BL$2,'Tsalin uzuulelt'!H$4,negtgel!U599:BL599)+SUMIF(negtgel!U$2:BL$2,'Tsalin uzuulelt'!H$5,negtgel!U599:BL599)</f>
      </c>
      <c r="J599">
        <f>SUMIF(negtgel!U$2:BL$2,'Tsalin uzuulelt'!J$1,negtgel!U599:BL599) + SUMIF(negtgel!U$2:BL$2,'Tsalin uzuulelt'!J$2,negtgel!U599:BL599)+SUMIF(negtgel!U$2:BL$2,'Tsalin uzuulelt'!J$3,negtgel!U599:BL599)+SUMIF(negtgel!U$2:BL$2,'Tsalin uzuulelt'!J$4,negtgel!U599:BL599)+SUMIF(negtgel!U$2:BL$2,'Tsalin uzuulelt'!J$5,negtgel!U599:BL599)</f>
      </c>
      <c r="K599">
        <f>SUMIF(negtgel!U$2:BL$2,'Tsalin uzuulelt'!L$1,negtgel!U599:BL599) + SUMIF(negtgel!U$2:BL$2,'Tsalin uzuulelt'!L$2,negtgel!U599:BL599)+SUMIF(negtgel!U$2:BL$2,'Tsalin uzuulelt'!L$3,negtgel!U599:BL599)+SUMIF(negtgel!U$2:BL$2,'Tsalin uzuulelt'!L$4,negtgel!U599:BL599)+SUMIF(negtgel!U$2:BL$2,'Tsalin uzuulelt'!L$5,negtgel!U599:BL599)</f>
      </c>
      <c r="L599">
        <f>SUMIF(negtgel!U$2:BL$2,'Tsalin uzuulelt'!N$1,negtgel!U599:BL599) + SUMIF(negtgel!U$2:BL$2,'Tsalin uzuulelt'!N$2,negtgel!U599:BL599)+SUMIF(negtgel!U$2:BL$2,'Tsalin uzuulelt'!N$3,negtgel!U599:BL599)+SUMIF(negtgel!U$2:BL$2,'Tsalin uzuulelt'!N$4,negtgel!U599:BL599)+SUMIF(negtgel!U$2:BL$2,'Tsalin uzuulelt'!N$5,negtgel!U599:BL599)</f>
      </c>
      <c r="M599">
        <f>SUMIF(negtgel!U$2:BL$2,'Tsalin uzuulelt'!P$1,negtgel!U599:BL599) + SUMIF(negtgel!U$2:BL$2,'Tsalin uzuulelt'!P$2,negtgel!U599:BL599)+ SUMIF(negtgel!U$2:BL$2,'Tsalin uzuulelt'!P$3,negtgel!U599:BL599)+ SUMIF(negtgel!U$2:BL$2,'Tsalin uzuulelt'!P$4,negtgel!U599:BL599)+ SUMIF(negtgel!U$2:BL$2,'Tsalin uzuulelt'!P$5,negtgel!U599:BL599)</f>
      </c>
      <c r="N599">
        <f>IF(ISNUMBER(U599*1)=CF599,0,K599-H599-G599)</f>
      </c>
      <c r="O599">
        <f>IF(ISNUMBER(U599*1)=CF599,0,L599)</f>
      </c>
      <c r="P599">
        <f>IF(ISNUMBER(U599*1)=CF599,0,M599)</f>
      </c>
      <c r="Q599">
        <f>IF(N599&gt;2400000,N599,0)</f>
      </c>
      <c r="R599">
        <f>IF(L599/Q599*100&lt;3,2,10)</f>
      </c>
      <c r="S599">
        <f>IF(CH599=0,0,IF(B599&gt;9,10,IF(B599&gt;8,B599,IF(B599&gt;7.7,7.8,IF(B599&gt;3,B599,IF(B599&gt;1.5,2))))))</f>
      </c>
      <c r="T599">
        <f>IF(Q599=0,S599,R599)</f>
      </c>
      <c r="U599" t="n">
        <v>83.0</v>
      </c>
      <c r="V599" t="s">
        <v>3838</v>
      </c>
      <c r="W599" t="s">
        <v>3790</v>
      </c>
      <c r="X599" t="n">
        <v>677436.0</v>
      </c>
      <c r="Y599" t="n">
        <v>516142.0</v>
      </c>
      <c r="Z599" t="n">
        <v>129036.0</v>
      </c>
      <c r="AA599" t="n">
        <v>103228.0</v>
      </c>
      <c r="AB599" t="n">
        <v>0.0</v>
      </c>
      <c r="AC599" t="n">
        <v>0.0</v>
      </c>
      <c r="AD599" t="n">
        <v>0.0</v>
      </c>
      <c r="AE599" t="n">
        <v>0.0</v>
      </c>
      <c r="AF599" t="n">
        <v>48000.0</v>
      </c>
      <c r="AG599" t="n">
        <v>0.0</v>
      </c>
      <c r="AH599" t="n">
        <v>0.0</v>
      </c>
      <c r="AI599" t="n">
        <v>0.0</v>
      </c>
      <c r="AJ599" t="n">
        <v>0.0</v>
      </c>
      <c r="AK599" t="n">
        <v>0.0</v>
      </c>
      <c r="AL599" t="n">
        <v>0.0</v>
      </c>
      <c r="AM599" t="n">
        <v>0.0</v>
      </c>
      <c r="AN599" t="n">
        <v>0.0</v>
      </c>
      <c r="AO599" t="n">
        <v>796406.0</v>
      </c>
      <c r="AP599" t="n">
        <v>79640.0</v>
      </c>
      <c r="AQ599" t="n">
        <v>65156.5</v>
      </c>
      <c r="CH599">
        <f>IFERROR(U599*1,0)</f>
      </c>
    </row>
    <row r="600">
      <c r="A600" t="n">
        <v>9.0</v>
      </c>
      <c r="B600">
        <f>IF((K600-G600-H600&gt;2400000),10,(L600/(K600-G600-H600)*100))</f>
      </c>
      <c r="C600">
        <f>IF(N600&gt;2400000,240000,(N600*S600)/100)</f>
      </c>
      <c r="D600">
        <f>IF(S600=0,0,IF((N600-I600)&gt;2400000,((((((N600-I600-J600)-240000))*0.1+(I600+J600)*0.1)))-7000,((((((N600-I600-J600)-(N600-I600-J600)*S600/100)))*0.1+(I600+J600)*0.1)-7000)))</f>
      </c>
      <c r="E600">
        <f>C600-O600</f>
      </c>
      <c r="F600">
        <f>D600-P600</f>
      </c>
      <c r="G600">
        <f>SUMIF(negtgel!U$2:BL$2,'Tsalin uzuulelt'!B$1,negtgel!U600:BL600) + SUMIF(negtgel!U$2:BL$2,'Tsalin uzuulelt'!B$2,negtgel!U600:BL600)+SUMIF(negtgel!U$2:BL$2,'Tsalin uzuulelt'!B$3,negtgel!U600:BL600)+SUMIF(negtgel!U$2:BL$2,'Tsalin uzuulelt'!B$4,negtgel!U600:BL600)+SUMIF(negtgel!U$2:BL$2,'Tsalin uzuulelt'!B$5,negtgel!U600:BL600)</f>
      </c>
      <c r="H600">
        <f>SUMIF(negtgel!U$2:BL$2,'Tsalin uzuulelt'!F$1,negtgel!U600:BL600) + SUMIF(negtgel!U$2:BL$2,'Tsalin uzuulelt'!F$2,negtgel!U600:BL600)+SUMIF(negtgel!U$2:BL$2,'Tsalin uzuulelt'!F$3,negtgel!U600:BL600)+SUMIF(negtgel!U$2:BL$2,'Tsalin uzuulelt'!F$4,negtgel!U600:BL600)+SUMIF(negtgel!U$2:BL$2,'Tsalin uzuulelt'!F$5,negtgel!U600:BL600)</f>
      </c>
      <c r="I600">
        <f>SUMIF(negtgel!U$2:BL$2,'Tsalin uzuulelt'!H$1,negtgel!U600:BL600) + SUMIF(negtgel!U$2:BL$2,'Tsalin uzuulelt'!H$2,negtgel!U600:BL600)+SUMIF(negtgel!U$2:BL$2,'Tsalin uzuulelt'!H$3,negtgel!U600:BL600)+SUMIF(negtgel!U$2:BL$2,'Tsalin uzuulelt'!H$4,negtgel!U600:BL600)+SUMIF(negtgel!U$2:BL$2,'Tsalin uzuulelt'!H$5,negtgel!U600:BL600)</f>
      </c>
      <c r="J600">
        <f>SUMIF(negtgel!U$2:BL$2,'Tsalin uzuulelt'!J$1,negtgel!U600:BL600) + SUMIF(negtgel!U$2:BL$2,'Tsalin uzuulelt'!J$2,negtgel!U600:BL600)+SUMIF(negtgel!U$2:BL$2,'Tsalin uzuulelt'!J$3,negtgel!U600:BL600)+SUMIF(negtgel!U$2:BL$2,'Tsalin uzuulelt'!J$4,negtgel!U600:BL600)+SUMIF(negtgel!U$2:BL$2,'Tsalin uzuulelt'!J$5,negtgel!U600:BL600)</f>
      </c>
      <c r="K600">
        <f>SUMIF(negtgel!U$2:BL$2,'Tsalin uzuulelt'!L$1,negtgel!U600:BL600) + SUMIF(negtgel!U$2:BL$2,'Tsalin uzuulelt'!L$2,negtgel!U600:BL600)+SUMIF(negtgel!U$2:BL$2,'Tsalin uzuulelt'!L$3,negtgel!U600:BL600)+SUMIF(negtgel!U$2:BL$2,'Tsalin uzuulelt'!L$4,negtgel!U600:BL600)+SUMIF(negtgel!U$2:BL$2,'Tsalin uzuulelt'!L$5,negtgel!U600:BL600)</f>
      </c>
      <c r="L600">
        <f>SUMIF(negtgel!U$2:BL$2,'Tsalin uzuulelt'!N$1,negtgel!U600:BL600) + SUMIF(negtgel!U$2:BL$2,'Tsalin uzuulelt'!N$2,negtgel!U600:BL600)+SUMIF(negtgel!U$2:BL$2,'Tsalin uzuulelt'!N$3,negtgel!U600:BL600)+SUMIF(negtgel!U$2:BL$2,'Tsalin uzuulelt'!N$4,negtgel!U600:BL600)+SUMIF(negtgel!U$2:BL$2,'Tsalin uzuulelt'!N$5,negtgel!U600:BL600)</f>
      </c>
      <c r="M600">
        <f>SUMIF(negtgel!U$2:BL$2,'Tsalin uzuulelt'!P$1,negtgel!U600:BL600) + SUMIF(negtgel!U$2:BL$2,'Tsalin uzuulelt'!P$2,negtgel!U600:BL600)+ SUMIF(negtgel!U$2:BL$2,'Tsalin uzuulelt'!P$3,negtgel!U600:BL600)+ SUMIF(negtgel!U$2:BL$2,'Tsalin uzuulelt'!P$4,negtgel!U600:BL600)+ SUMIF(negtgel!U$2:BL$2,'Tsalin uzuulelt'!P$5,negtgel!U600:BL600)</f>
      </c>
      <c r="N600">
        <f>IF(ISNUMBER(U600*1)=CF600,0,K600-H600-G600)</f>
      </c>
      <c r="O600">
        <f>IF(ISNUMBER(U600*1)=CF600,0,L600)</f>
      </c>
      <c r="P600">
        <f>IF(ISNUMBER(U600*1)=CF600,0,M600)</f>
      </c>
      <c r="Q600">
        <f>IF(N600&gt;2400000,N600,0)</f>
      </c>
      <c r="R600">
        <f>IF(L600/Q600*100&lt;3,2,10)</f>
      </c>
      <c r="S600">
        <f>IF(CH600=0,0,IF(B600&gt;9,10,IF(B600&gt;8,B600,IF(B600&gt;7.7,7.8,IF(B600&gt;3,B600,IF(B600&gt;1.5,2))))))</f>
      </c>
      <c r="T600">
        <f>IF(Q600=0,S600,R600)</f>
      </c>
      <c r="U600" t="n">
        <v>84.0</v>
      </c>
      <c r="V600" t="s">
        <v>3839</v>
      </c>
      <c r="W600" t="s">
        <v>3790</v>
      </c>
      <c r="X600" t="n">
        <v>677436.0</v>
      </c>
      <c r="Y600" t="n">
        <v>451624.0</v>
      </c>
      <c r="Z600" t="n">
        <v>90325.0</v>
      </c>
      <c r="AA600" t="n">
        <v>99357.0</v>
      </c>
      <c r="AB600" t="n">
        <v>0.0</v>
      </c>
      <c r="AC600" t="n">
        <v>0.0</v>
      </c>
      <c r="AD600" t="n">
        <v>0.0</v>
      </c>
      <c r="AE600" t="n">
        <v>0.0</v>
      </c>
      <c r="AF600" t="n">
        <v>42000.0</v>
      </c>
      <c r="AG600" t="n">
        <v>0.0</v>
      </c>
      <c r="AH600" t="n">
        <v>0.0</v>
      </c>
      <c r="AI600" t="n">
        <v>0.0</v>
      </c>
      <c r="AJ600" t="n">
        <v>0.0</v>
      </c>
      <c r="AK600" t="n">
        <v>0.0</v>
      </c>
      <c r="AL600" t="n">
        <v>0.0</v>
      </c>
      <c r="AM600" t="n">
        <v>0.0</v>
      </c>
      <c r="AN600" t="n">
        <v>0.0</v>
      </c>
      <c r="AO600" t="n">
        <v>683306.0</v>
      </c>
      <c r="AP600" t="n">
        <v>68330.0</v>
      </c>
      <c r="AQ600" t="n">
        <v>54917.5</v>
      </c>
      <c r="CH600">
        <f>IFERROR(U600*1,0)</f>
      </c>
    </row>
    <row r="601">
      <c r="A601" t="n">
        <v>9.0</v>
      </c>
      <c r="B601">
        <f>IF((K601-G601-H601&gt;2400000),10,(L601/(K601-G601-H601)*100))</f>
      </c>
      <c r="C601">
        <f>IF(N601&gt;2400000,240000,(N601*S601)/100)</f>
      </c>
      <c r="D601">
        <f>IF(S601=0,0,IF((N601-I601)&gt;2400000,((((((N601-I601-J601)-240000))*0.1+(I601+J601)*0.1)))-7000,((((((N601-I601-J601)-(N601-I601-J601)*S601/100)))*0.1+(I601+J601)*0.1)-7000)))</f>
      </c>
      <c r="E601">
        <f>C601-O601</f>
      </c>
      <c r="F601">
        <f>D601-P601</f>
      </c>
      <c r="G601">
        <f>SUMIF(negtgel!U$2:BL$2,'Tsalin uzuulelt'!B$1,negtgel!U601:BL601) + SUMIF(negtgel!U$2:BL$2,'Tsalin uzuulelt'!B$2,negtgel!U601:BL601)+SUMIF(negtgel!U$2:BL$2,'Tsalin uzuulelt'!B$3,negtgel!U601:BL601)+SUMIF(negtgel!U$2:BL$2,'Tsalin uzuulelt'!B$4,negtgel!U601:BL601)+SUMIF(negtgel!U$2:BL$2,'Tsalin uzuulelt'!B$5,negtgel!U601:BL601)</f>
      </c>
      <c r="H601">
        <f>SUMIF(negtgel!U$2:BL$2,'Tsalin uzuulelt'!F$1,negtgel!U601:BL601) + SUMIF(negtgel!U$2:BL$2,'Tsalin uzuulelt'!F$2,negtgel!U601:BL601)+SUMIF(negtgel!U$2:BL$2,'Tsalin uzuulelt'!F$3,negtgel!U601:BL601)+SUMIF(negtgel!U$2:BL$2,'Tsalin uzuulelt'!F$4,negtgel!U601:BL601)+SUMIF(negtgel!U$2:BL$2,'Tsalin uzuulelt'!F$5,negtgel!U601:BL601)</f>
      </c>
      <c r="I601">
        <f>SUMIF(negtgel!U$2:BL$2,'Tsalin uzuulelt'!H$1,negtgel!U601:BL601) + SUMIF(negtgel!U$2:BL$2,'Tsalin uzuulelt'!H$2,negtgel!U601:BL601)+SUMIF(negtgel!U$2:BL$2,'Tsalin uzuulelt'!H$3,negtgel!U601:BL601)+SUMIF(negtgel!U$2:BL$2,'Tsalin uzuulelt'!H$4,negtgel!U601:BL601)+SUMIF(negtgel!U$2:BL$2,'Tsalin uzuulelt'!H$5,negtgel!U601:BL601)</f>
      </c>
      <c r="J601">
        <f>SUMIF(negtgel!U$2:BL$2,'Tsalin uzuulelt'!J$1,negtgel!U601:BL601) + SUMIF(negtgel!U$2:BL$2,'Tsalin uzuulelt'!J$2,negtgel!U601:BL601)+SUMIF(negtgel!U$2:BL$2,'Tsalin uzuulelt'!J$3,negtgel!U601:BL601)+SUMIF(negtgel!U$2:BL$2,'Tsalin uzuulelt'!J$4,negtgel!U601:BL601)+SUMIF(negtgel!U$2:BL$2,'Tsalin uzuulelt'!J$5,negtgel!U601:BL601)</f>
      </c>
      <c r="K601">
        <f>SUMIF(negtgel!U$2:BL$2,'Tsalin uzuulelt'!L$1,negtgel!U601:BL601) + SUMIF(negtgel!U$2:BL$2,'Tsalin uzuulelt'!L$2,negtgel!U601:BL601)+SUMIF(negtgel!U$2:BL$2,'Tsalin uzuulelt'!L$3,negtgel!U601:BL601)+SUMIF(negtgel!U$2:BL$2,'Tsalin uzuulelt'!L$4,negtgel!U601:BL601)+SUMIF(negtgel!U$2:BL$2,'Tsalin uzuulelt'!L$5,negtgel!U601:BL601)</f>
      </c>
      <c r="L601">
        <f>SUMIF(negtgel!U$2:BL$2,'Tsalin uzuulelt'!N$1,negtgel!U601:BL601) + SUMIF(negtgel!U$2:BL$2,'Tsalin uzuulelt'!N$2,negtgel!U601:BL601)+SUMIF(negtgel!U$2:BL$2,'Tsalin uzuulelt'!N$3,negtgel!U601:BL601)+SUMIF(negtgel!U$2:BL$2,'Tsalin uzuulelt'!N$4,negtgel!U601:BL601)+SUMIF(negtgel!U$2:BL$2,'Tsalin uzuulelt'!N$5,negtgel!U601:BL601)</f>
      </c>
      <c r="M601">
        <f>SUMIF(negtgel!U$2:BL$2,'Tsalin uzuulelt'!P$1,negtgel!U601:BL601) + SUMIF(negtgel!U$2:BL$2,'Tsalin uzuulelt'!P$2,negtgel!U601:BL601)+ SUMIF(negtgel!U$2:BL$2,'Tsalin uzuulelt'!P$3,negtgel!U601:BL601)+ SUMIF(negtgel!U$2:BL$2,'Tsalin uzuulelt'!P$4,negtgel!U601:BL601)+ SUMIF(negtgel!U$2:BL$2,'Tsalin uzuulelt'!P$5,negtgel!U601:BL601)</f>
      </c>
      <c r="N601">
        <f>IF(ISNUMBER(U601*1)=CF601,0,K601-H601-G601)</f>
      </c>
      <c r="O601">
        <f>IF(ISNUMBER(U601*1)=CF601,0,L601)</f>
      </c>
      <c r="P601">
        <f>IF(ISNUMBER(U601*1)=CF601,0,M601)</f>
      </c>
      <c r="Q601">
        <f>IF(N601&gt;2400000,N601,0)</f>
      </c>
      <c r="R601">
        <f>IF(L601/Q601*100&lt;3,2,10)</f>
      </c>
      <c r="S601">
        <f>IF(CH601=0,0,IF(B601&gt;9,10,IF(B601&gt;8,B601,IF(B601&gt;7.7,7.8,IF(B601&gt;3,B601,IF(B601&gt;1.5,2))))))</f>
      </c>
      <c r="T601">
        <f>IF(Q601=0,S601,R601)</f>
      </c>
      <c r="U601" t="n">
        <v>85.0</v>
      </c>
      <c r="V601" t="s">
        <v>3840</v>
      </c>
      <c r="W601" t="s">
        <v>3820</v>
      </c>
      <c r="X601" t="n">
        <v>677436.0</v>
      </c>
      <c r="Y601" t="n">
        <v>483883.0</v>
      </c>
      <c r="Z601" t="n">
        <v>96777.0</v>
      </c>
      <c r="AA601" t="n">
        <v>96777.0</v>
      </c>
      <c r="AB601" t="n">
        <v>24194.0</v>
      </c>
      <c r="AC601" t="n">
        <v>0.0</v>
      </c>
      <c r="AD601" t="n">
        <v>0.0</v>
      </c>
      <c r="AE601" t="n">
        <v>0.0</v>
      </c>
      <c r="AF601" t="n">
        <v>45000.0</v>
      </c>
      <c r="AG601" t="n">
        <v>0.0</v>
      </c>
      <c r="AH601" t="n">
        <v>0.0</v>
      </c>
      <c r="AI601" t="n">
        <v>0.0</v>
      </c>
      <c r="AJ601" t="n">
        <v>0.0</v>
      </c>
      <c r="AK601" t="n">
        <v>0.0</v>
      </c>
      <c r="AL601" t="n">
        <v>0.0</v>
      </c>
      <c r="AM601" t="n">
        <v>0.0</v>
      </c>
      <c r="AN601" t="n">
        <v>0.0</v>
      </c>
      <c r="AO601" t="n">
        <v>746631.0</v>
      </c>
      <c r="AP601" t="n">
        <v>74663.0</v>
      </c>
      <c r="AQ601" t="n">
        <v>60646.8</v>
      </c>
      <c r="CH601">
        <f>IFERROR(U601*1,0)</f>
      </c>
    </row>
    <row r="602">
      <c r="A602" t="n">
        <v>9.0</v>
      </c>
      <c r="B602">
        <f>IF((K602-G602-H602&gt;2400000),10,(L602/(K602-G602-H602)*100))</f>
      </c>
      <c r="C602">
        <f>IF(N602&gt;2400000,240000,(N602*S602)/100)</f>
      </c>
      <c r="D602">
        <f>IF(S602=0,0,IF((N602-I602)&gt;2400000,((((((N602-I602-J602)-240000))*0.1+(I602+J602)*0.1)))-7000,((((((N602-I602-J602)-(N602-I602-J602)*S602/100)))*0.1+(I602+J602)*0.1)-7000)))</f>
      </c>
      <c r="E602">
        <f>C602-O602</f>
      </c>
      <c r="F602">
        <f>D602-P602</f>
      </c>
      <c r="G602">
        <f>SUMIF(negtgel!U$2:BL$2,'Tsalin uzuulelt'!B$1,negtgel!U602:BL602) + SUMIF(negtgel!U$2:BL$2,'Tsalin uzuulelt'!B$2,negtgel!U602:BL602)+SUMIF(negtgel!U$2:BL$2,'Tsalin uzuulelt'!B$3,negtgel!U602:BL602)+SUMIF(negtgel!U$2:BL$2,'Tsalin uzuulelt'!B$4,negtgel!U602:BL602)+SUMIF(negtgel!U$2:BL$2,'Tsalin uzuulelt'!B$5,negtgel!U602:BL602)</f>
      </c>
      <c r="H602">
        <f>SUMIF(negtgel!U$2:BL$2,'Tsalin uzuulelt'!F$1,negtgel!U602:BL602) + SUMIF(negtgel!U$2:BL$2,'Tsalin uzuulelt'!F$2,negtgel!U602:BL602)+SUMIF(negtgel!U$2:BL$2,'Tsalin uzuulelt'!F$3,negtgel!U602:BL602)+SUMIF(negtgel!U$2:BL$2,'Tsalin uzuulelt'!F$4,negtgel!U602:BL602)+SUMIF(negtgel!U$2:BL$2,'Tsalin uzuulelt'!F$5,negtgel!U602:BL602)</f>
      </c>
      <c r="I602">
        <f>SUMIF(negtgel!U$2:BL$2,'Tsalin uzuulelt'!H$1,negtgel!U602:BL602) + SUMIF(negtgel!U$2:BL$2,'Tsalin uzuulelt'!H$2,negtgel!U602:BL602)+SUMIF(negtgel!U$2:BL$2,'Tsalin uzuulelt'!H$3,negtgel!U602:BL602)+SUMIF(negtgel!U$2:BL$2,'Tsalin uzuulelt'!H$4,negtgel!U602:BL602)+SUMIF(negtgel!U$2:BL$2,'Tsalin uzuulelt'!H$5,negtgel!U602:BL602)</f>
      </c>
      <c r="J602">
        <f>SUMIF(negtgel!U$2:BL$2,'Tsalin uzuulelt'!J$1,negtgel!U602:BL602) + SUMIF(negtgel!U$2:BL$2,'Tsalin uzuulelt'!J$2,negtgel!U602:BL602)+SUMIF(negtgel!U$2:BL$2,'Tsalin uzuulelt'!J$3,negtgel!U602:BL602)+SUMIF(negtgel!U$2:BL$2,'Tsalin uzuulelt'!J$4,negtgel!U602:BL602)+SUMIF(negtgel!U$2:BL$2,'Tsalin uzuulelt'!J$5,negtgel!U602:BL602)</f>
      </c>
      <c r="K602">
        <f>SUMIF(negtgel!U$2:BL$2,'Tsalin uzuulelt'!L$1,negtgel!U602:BL602) + SUMIF(negtgel!U$2:BL$2,'Tsalin uzuulelt'!L$2,negtgel!U602:BL602)+SUMIF(negtgel!U$2:BL$2,'Tsalin uzuulelt'!L$3,negtgel!U602:BL602)+SUMIF(negtgel!U$2:BL$2,'Tsalin uzuulelt'!L$4,negtgel!U602:BL602)+SUMIF(negtgel!U$2:BL$2,'Tsalin uzuulelt'!L$5,negtgel!U602:BL602)</f>
      </c>
      <c r="L602">
        <f>SUMIF(negtgel!U$2:BL$2,'Tsalin uzuulelt'!N$1,negtgel!U602:BL602) + SUMIF(negtgel!U$2:BL$2,'Tsalin uzuulelt'!N$2,negtgel!U602:BL602)+SUMIF(negtgel!U$2:BL$2,'Tsalin uzuulelt'!N$3,negtgel!U602:BL602)+SUMIF(negtgel!U$2:BL$2,'Tsalin uzuulelt'!N$4,negtgel!U602:BL602)+SUMIF(negtgel!U$2:BL$2,'Tsalin uzuulelt'!N$5,negtgel!U602:BL602)</f>
      </c>
      <c r="M602">
        <f>SUMIF(negtgel!U$2:BL$2,'Tsalin uzuulelt'!P$1,negtgel!U602:BL602) + SUMIF(negtgel!U$2:BL$2,'Tsalin uzuulelt'!P$2,negtgel!U602:BL602)+ SUMIF(negtgel!U$2:BL$2,'Tsalin uzuulelt'!P$3,negtgel!U602:BL602)+ SUMIF(negtgel!U$2:BL$2,'Tsalin uzuulelt'!P$4,negtgel!U602:BL602)+ SUMIF(negtgel!U$2:BL$2,'Tsalin uzuulelt'!P$5,negtgel!U602:BL602)</f>
      </c>
      <c r="N602">
        <f>IF(ISNUMBER(U602*1)=CF602,0,K602-H602-G602)</f>
      </c>
      <c r="O602">
        <f>IF(ISNUMBER(U602*1)=CF602,0,L602)</f>
      </c>
      <c r="P602">
        <f>IF(ISNUMBER(U602*1)=CF602,0,M602)</f>
      </c>
      <c r="Q602">
        <f>IF(N602&gt;2400000,N602,0)</f>
      </c>
      <c r="R602">
        <f>IF(L602/Q602*100&lt;3,2,10)</f>
      </c>
      <c r="S602">
        <f>IF(CH602=0,0,IF(B602&gt;9,10,IF(B602&gt;8,B602,IF(B602&gt;7.7,7.8,IF(B602&gt;3,B602,IF(B602&gt;1.5,2))))))</f>
      </c>
      <c r="T602">
        <f>IF(Q602=0,S602,R602)</f>
      </c>
      <c r="U602" t="n">
        <v>86.0</v>
      </c>
      <c r="V602" t="s">
        <v>3841</v>
      </c>
      <c r="W602" t="s">
        <v>3790</v>
      </c>
      <c r="X602" t="n">
        <v>613669.0</v>
      </c>
      <c r="Y602" t="n">
        <v>409113.0</v>
      </c>
      <c r="Z602" t="n">
        <v>20456.0</v>
      </c>
      <c r="AA602" t="n">
        <v>73640.0</v>
      </c>
      <c r="AB602" t="n">
        <v>0.0</v>
      </c>
      <c r="AC602" t="n">
        <v>0.0</v>
      </c>
      <c r="AD602" t="n">
        <v>0.0</v>
      </c>
      <c r="AE602" t="n">
        <v>0.0</v>
      </c>
      <c r="AF602" t="n">
        <v>42000.0</v>
      </c>
      <c r="AG602" t="n">
        <v>0.0</v>
      </c>
      <c r="AH602" t="n">
        <v>0.0</v>
      </c>
      <c r="AI602" t="n">
        <v>0.0</v>
      </c>
      <c r="AJ602" t="n">
        <v>0.0</v>
      </c>
      <c r="AK602" t="n">
        <v>0.0</v>
      </c>
      <c r="AL602" t="n">
        <v>113796.0</v>
      </c>
      <c r="AM602" t="n">
        <v>0.0</v>
      </c>
      <c r="AN602" t="n">
        <v>0.0</v>
      </c>
      <c r="AO602" t="n">
        <v>659005.0</v>
      </c>
      <c r="AP602" t="n">
        <v>54521.0</v>
      </c>
      <c r="AQ602" t="n">
        <v>42488.8</v>
      </c>
      <c r="CH602">
        <f>IFERROR(U602*1,0)</f>
      </c>
    </row>
    <row r="603">
      <c r="A603" t="n">
        <v>9.0</v>
      </c>
      <c r="B603">
        <f>IF((K603-G603-H603&gt;2400000),10,(L603/(K603-G603-H603)*100))</f>
      </c>
      <c r="C603">
        <f>IF(N603&gt;2400000,240000,(N603*S603)/100)</f>
      </c>
      <c r="D603">
        <f>IF(S603=0,0,IF((N603-I603)&gt;2400000,((((((N603-I603-J603)-240000))*0.1+(I603+J603)*0.1)))-7000,((((((N603-I603-J603)-(N603-I603-J603)*S603/100)))*0.1+(I603+J603)*0.1)-7000)))</f>
      </c>
      <c r="E603">
        <f>C603-O603</f>
      </c>
      <c r="F603">
        <f>D603-P603</f>
      </c>
      <c r="G603">
        <f>SUMIF(negtgel!U$2:BL$2,'Tsalin uzuulelt'!B$1,negtgel!U603:BL603) + SUMIF(negtgel!U$2:BL$2,'Tsalin uzuulelt'!B$2,negtgel!U603:BL603)+SUMIF(negtgel!U$2:BL$2,'Tsalin uzuulelt'!B$3,negtgel!U603:BL603)+SUMIF(negtgel!U$2:BL$2,'Tsalin uzuulelt'!B$4,negtgel!U603:BL603)+SUMIF(negtgel!U$2:BL$2,'Tsalin uzuulelt'!B$5,negtgel!U603:BL603)</f>
      </c>
      <c r="H603">
        <f>SUMIF(negtgel!U$2:BL$2,'Tsalin uzuulelt'!F$1,negtgel!U603:BL603) + SUMIF(negtgel!U$2:BL$2,'Tsalin uzuulelt'!F$2,negtgel!U603:BL603)+SUMIF(negtgel!U$2:BL$2,'Tsalin uzuulelt'!F$3,negtgel!U603:BL603)+SUMIF(negtgel!U$2:BL$2,'Tsalin uzuulelt'!F$4,negtgel!U603:BL603)+SUMIF(negtgel!U$2:BL$2,'Tsalin uzuulelt'!F$5,negtgel!U603:BL603)</f>
      </c>
      <c r="I603">
        <f>SUMIF(negtgel!U$2:BL$2,'Tsalin uzuulelt'!H$1,negtgel!U603:BL603) + SUMIF(negtgel!U$2:BL$2,'Tsalin uzuulelt'!H$2,negtgel!U603:BL603)+SUMIF(negtgel!U$2:BL$2,'Tsalin uzuulelt'!H$3,negtgel!U603:BL603)+SUMIF(negtgel!U$2:BL$2,'Tsalin uzuulelt'!H$4,negtgel!U603:BL603)+SUMIF(negtgel!U$2:BL$2,'Tsalin uzuulelt'!H$5,negtgel!U603:BL603)</f>
      </c>
      <c r="J603">
        <f>SUMIF(negtgel!U$2:BL$2,'Tsalin uzuulelt'!J$1,negtgel!U603:BL603) + SUMIF(negtgel!U$2:BL$2,'Tsalin uzuulelt'!J$2,negtgel!U603:BL603)+SUMIF(negtgel!U$2:BL$2,'Tsalin uzuulelt'!J$3,negtgel!U603:BL603)+SUMIF(negtgel!U$2:BL$2,'Tsalin uzuulelt'!J$4,negtgel!U603:BL603)+SUMIF(negtgel!U$2:BL$2,'Tsalin uzuulelt'!J$5,negtgel!U603:BL603)</f>
      </c>
      <c r="K603">
        <f>SUMIF(negtgel!U$2:BL$2,'Tsalin uzuulelt'!L$1,negtgel!U603:BL603) + SUMIF(negtgel!U$2:BL$2,'Tsalin uzuulelt'!L$2,negtgel!U603:BL603)+SUMIF(negtgel!U$2:BL$2,'Tsalin uzuulelt'!L$3,negtgel!U603:BL603)+SUMIF(negtgel!U$2:BL$2,'Tsalin uzuulelt'!L$4,negtgel!U603:BL603)+SUMIF(negtgel!U$2:BL$2,'Tsalin uzuulelt'!L$5,negtgel!U603:BL603)</f>
      </c>
      <c r="L603">
        <f>SUMIF(negtgel!U$2:BL$2,'Tsalin uzuulelt'!N$1,negtgel!U603:BL603) + SUMIF(negtgel!U$2:BL$2,'Tsalin uzuulelt'!N$2,negtgel!U603:BL603)+SUMIF(negtgel!U$2:BL$2,'Tsalin uzuulelt'!N$3,negtgel!U603:BL603)+SUMIF(negtgel!U$2:BL$2,'Tsalin uzuulelt'!N$4,negtgel!U603:BL603)+SUMIF(negtgel!U$2:BL$2,'Tsalin uzuulelt'!N$5,negtgel!U603:BL603)</f>
      </c>
      <c r="M603">
        <f>SUMIF(negtgel!U$2:BL$2,'Tsalin uzuulelt'!P$1,negtgel!U603:BL603) + SUMIF(negtgel!U$2:BL$2,'Tsalin uzuulelt'!P$2,negtgel!U603:BL603)+ SUMIF(negtgel!U$2:BL$2,'Tsalin uzuulelt'!P$3,negtgel!U603:BL603)+ SUMIF(negtgel!U$2:BL$2,'Tsalin uzuulelt'!P$4,negtgel!U603:BL603)+ SUMIF(negtgel!U$2:BL$2,'Tsalin uzuulelt'!P$5,negtgel!U603:BL603)</f>
      </c>
      <c r="N603">
        <f>IF(ISNUMBER(U603*1)=CF603,0,K603-H603-G603)</f>
      </c>
      <c r="O603">
        <f>IF(ISNUMBER(U603*1)=CF603,0,L603)</f>
      </c>
      <c r="P603">
        <f>IF(ISNUMBER(U603*1)=CF603,0,M603)</f>
      </c>
      <c r="Q603">
        <f>IF(N603&gt;2400000,N603,0)</f>
      </c>
      <c r="R603">
        <f>IF(L603/Q603*100&lt;3,2,10)</f>
      </c>
      <c r="S603">
        <f>IF(CH603=0,0,IF(B603&gt;9,10,IF(B603&gt;8,B603,IF(B603&gt;7.7,7.8,IF(B603&gt;3,B603,IF(B603&gt;1.5,2))))))</f>
      </c>
      <c r="T603">
        <f>IF(Q603=0,S603,R603)</f>
      </c>
      <c r="U603" t="n">
        <v>87.0</v>
      </c>
      <c r="V603" t="s">
        <v>3842</v>
      </c>
      <c r="W603" t="s">
        <v>3790</v>
      </c>
      <c r="X603" t="n">
        <v>645556.0</v>
      </c>
      <c r="Y603" t="n">
        <v>553334.0</v>
      </c>
      <c r="Z603" t="n">
        <v>94067.0</v>
      </c>
      <c r="AA603" t="n">
        <v>99600.0</v>
      </c>
      <c r="AB603" t="n">
        <v>0.0</v>
      </c>
      <c r="AC603" t="n">
        <v>0.0</v>
      </c>
      <c r="AD603" t="n">
        <v>0.0</v>
      </c>
      <c r="AE603" t="n">
        <v>0.0</v>
      </c>
      <c r="AF603" t="n">
        <v>54000.0</v>
      </c>
      <c r="AG603" t="n">
        <v>0.0</v>
      </c>
      <c r="AH603" t="n">
        <v>0.0</v>
      </c>
      <c r="AI603" t="n">
        <v>0.0</v>
      </c>
      <c r="AJ603" t="n">
        <v>0.0</v>
      </c>
      <c r="AK603" t="n">
        <v>0.0</v>
      </c>
      <c r="AL603" t="n">
        <v>172639.0</v>
      </c>
      <c r="AM603" t="n">
        <v>0.0</v>
      </c>
      <c r="AN603" t="n">
        <v>0.0</v>
      </c>
      <c r="AO603" t="n">
        <v>973640.0</v>
      </c>
      <c r="AP603" t="n">
        <v>80100.0</v>
      </c>
      <c r="AQ603" t="n">
        <v>65630.1</v>
      </c>
      <c r="CH603">
        <f>IFERROR(U603*1,0)</f>
      </c>
    </row>
    <row r="604">
      <c r="A604" t="n">
        <v>9.0</v>
      </c>
      <c r="B604">
        <f>IF((K604-G604-H604&gt;2400000),10,(L604/(K604-G604-H604)*100))</f>
      </c>
      <c r="C604">
        <f>IF(N604&gt;2400000,240000,(N604*S604)/100)</f>
      </c>
      <c r="D604">
        <f>IF(S604=0,0,IF((N604-I604)&gt;2400000,((((((N604-I604-J604)-240000))*0.1+(I604+J604)*0.1)))-7000,((((((N604-I604-J604)-(N604-I604-J604)*S604/100)))*0.1+(I604+J604)*0.1)-7000)))</f>
      </c>
      <c r="E604">
        <f>C604-O604</f>
      </c>
      <c r="F604">
        <f>D604-P604</f>
      </c>
      <c r="G604">
        <f>SUMIF(negtgel!U$2:BL$2,'Tsalin uzuulelt'!B$1,negtgel!U604:BL604) + SUMIF(negtgel!U$2:BL$2,'Tsalin uzuulelt'!B$2,negtgel!U604:BL604)+SUMIF(negtgel!U$2:BL$2,'Tsalin uzuulelt'!B$3,negtgel!U604:BL604)+SUMIF(negtgel!U$2:BL$2,'Tsalin uzuulelt'!B$4,negtgel!U604:BL604)+SUMIF(negtgel!U$2:BL$2,'Tsalin uzuulelt'!B$5,negtgel!U604:BL604)</f>
      </c>
      <c r="H604">
        <f>SUMIF(negtgel!U$2:BL$2,'Tsalin uzuulelt'!F$1,negtgel!U604:BL604) + SUMIF(negtgel!U$2:BL$2,'Tsalin uzuulelt'!F$2,negtgel!U604:BL604)+SUMIF(negtgel!U$2:BL$2,'Tsalin uzuulelt'!F$3,negtgel!U604:BL604)+SUMIF(negtgel!U$2:BL$2,'Tsalin uzuulelt'!F$4,negtgel!U604:BL604)+SUMIF(negtgel!U$2:BL$2,'Tsalin uzuulelt'!F$5,negtgel!U604:BL604)</f>
      </c>
      <c r="I604">
        <f>SUMIF(negtgel!U$2:BL$2,'Tsalin uzuulelt'!H$1,negtgel!U604:BL604) + SUMIF(negtgel!U$2:BL$2,'Tsalin uzuulelt'!H$2,negtgel!U604:BL604)+SUMIF(negtgel!U$2:BL$2,'Tsalin uzuulelt'!H$3,negtgel!U604:BL604)+SUMIF(negtgel!U$2:BL$2,'Tsalin uzuulelt'!H$4,negtgel!U604:BL604)+SUMIF(negtgel!U$2:BL$2,'Tsalin uzuulelt'!H$5,negtgel!U604:BL604)</f>
      </c>
      <c r="J604">
        <f>SUMIF(negtgel!U$2:BL$2,'Tsalin uzuulelt'!J$1,negtgel!U604:BL604) + SUMIF(negtgel!U$2:BL$2,'Tsalin uzuulelt'!J$2,negtgel!U604:BL604)+SUMIF(negtgel!U$2:BL$2,'Tsalin uzuulelt'!J$3,negtgel!U604:BL604)+SUMIF(negtgel!U$2:BL$2,'Tsalin uzuulelt'!J$4,negtgel!U604:BL604)+SUMIF(negtgel!U$2:BL$2,'Tsalin uzuulelt'!J$5,negtgel!U604:BL604)</f>
      </c>
      <c r="K604">
        <f>SUMIF(negtgel!U$2:BL$2,'Tsalin uzuulelt'!L$1,negtgel!U604:BL604) + SUMIF(negtgel!U$2:BL$2,'Tsalin uzuulelt'!L$2,negtgel!U604:BL604)+SUMIF(negtgel!U$2:BL$2,'Tsalin uzuulelt'!L$3,negtgel!U604:BL604)+SUMIF(negtgel!U$2:BL$2,'Tsalin uzuulelt'!L$4,negtgel!U604:BL604)+SUMIF(negtgel!U$2:BL$2,'Tsalin uzuulelt'!L$5,negtgel!U604:BL604)</f>
      </c>
      <c r="L604">
        <f>SUMIF(negtgel!U$2:BL$2,'Tsalin uzuulelt'!N$1,negtgel!U604:BL604) + SUMIF(negtgel!U$2:BL$2,'Tsalin uzuulelt'!N$2,negtgel!U604:BL604)+SUMIF(negtgel!U$2:BL$2,'Tsalin uzuulelt'!N$3,negtgel!U604:BL604)+SUMIF(negtgel!U$2:BL$2,'Tsalin uzuulelt'!N$4,negtgel!U604:BL604)+SUMIF(negtgel!U$2:BL$2,'Tsalin uzuulelt'!N$5,negtgel!U604:BL604)</f>
      </c>
      <c r="M604">
        <f>SUMIF(negtgel!U$2:BL$2,'Tsalin uzuulelt'!P$1,negtgel!U604:BL604) + SUMIF(negtgel!U$2:BL$2,'Tsalin uzuulelt'!P$2,negtgel!U604:BL604)+ SUMIF(negtgel!U$2:BL$2,'Tsalin uzuulelt'!P$3,negtgel!U604:BL604)+ SUMIF(negtgel!U$2:BL$2,'Tsalin uzuulelt'!P$4,negtgel!U604:BL604)+ SUMIF(negtgel!U$2:BL$2,'Tsalin uzuulelt'!P$5,negtgel!U604:BL604)</f>
      </c>
      <c r="N604">
        <f>IF(ISNUMBER(U604*1)=CF604,0,K604-H604-G604)</f>
      </c>
      <c r="O604">
        <f>IF(ISNUMBER(U604*1)=CF604,0,L604)</f>
      </c>
      <c r="P604">
        <f>IF(ISNUMBER(U604*1)=CF604,0,M604)</f>
      </c>
      <c r="Q604">
        <f>IF(N604&gt;2400000,N604,0)</f>
      </c>
      <c r="R604">
        <f>IF(L604/Q604*100&lt;3,2,10)</f>
      </c>
      <c r="S604">
        <f>IF(CH604=0,0,IF(B604&gt;9,10,IF(B604&gt;8,B604,IF(B604&gt;7.7,7.8,IF(B604&gt;3,B604,IF(B604&gt;1.5,2))))))</f>
      </c>
      <c r="T604">
        <f>IF(Q604=0,S604,R604)</f>
      </c>
      <c r="U604" t="n">
        <v>88.0</v>
      </c>
      <c r="V604" t="s">
        <v>3843</v>
      </c>
      <c r="W604" t="s">
        <v>3820</v>
      </c>
      <c r="X604" t="n">
        <v>698795.0</v>
      </c>
      <c r="Y604" t="n">
        <v>665519.0</v>
      </c>
      <c r="Z604" t="n">
        <v>133104.0</v>
      </c>
      <c r="AA604" t="n">
        <v>133104.0</v>
      </c>
      <c r="AB604" t="n">
        <v>0.0</v>
      </c>
      <c r="AC604" t="n">
        <v>0.0</v>
      </c>
      <c r="AD604" t="n">
        <v>0.0</v>
      </c>
      <c r="AE604" t="n">
        <v>0.0</v>
      </c>
      <c r="AF604" t="n">
        <v>60000.0</v>
      </c>
      <c r="AG604" t="n">
        <v>0.0</v>
      </c>
      <c r="AH604" t="n">
        <v>0.0</v>
      </c>
      <c r="AI604" t="n">
        <v>0.0</v>
      </c>
      <c r="AJ604" t="n">
        <v>0.0</v>
      </c>
      <c r="AK604" t="n">
        <v>0.0</v>
      </c>
      <c r="AL604" t="n">
        <v>0.0</v>
      </c>
      <c r="AM604" t="n">
        <v>0.0</v>
      </c>
      <c r="AN604" t="n">
        <v>0.0</v>
      </c>
      <c r="AO604" t="n">
        <v>991727.0</v>
      </c>
      <c r="AP604" t="n">
        <v>99173.0</v>
      </c>
      <c r="AQ604" t="n">
        <v>82855.4</v>
      </c>
      <c r="CH604">
        <f>IFERROR(U604*1,0)</f>
      </c>
    </row>
    <row r="605">
      <c r="A605" t="n">
        <v>9.0</v>
      </c>
      <c r="B605">
        <f>IF((K605-G605-H605&gt;2400000),10,(L605/(K605-G605-H605)*100))</f>
      </c>
      <c r="C605">
        <f>IF(N605&gt;2400000,240000,(N605*S605)/100)</f>
      </c>
      <c r="D605">
        <f>IF(S605=0,0,IF((N605-I605)&gt;2400000,((((((N605-I605-J605)-240000))*0.1+(I605+J605)*0.1)))-7000,((((((N605-I605-J605)-(N605-I605-J605)*S605/100)))*0.1+(I605+J605)*0.1)-7000)))</f>
      </c>
      <c r="E605">
        <f>C605-O605</f>
      </c>
      <c r="F605">
        <f>D605-P605</f>
      </c>
      <c r="G605">
        <f>SUMIF(negtgel!U$2:BL$2,'Tsalin uzuulelt'!B$1,negtgel!U605:BL605) + SUMIF(negtgel!U$2:BL$2,'Tsalin uzuulelt'!B$2,negtgel!U605:BL605)+SUMIF(negtgel!U$2:BL$2,'Tsalin uzuulelt'!B$3,negtgel!U605:BL605)+SUMIF(negtgel!U$2:BL$2,'Tsalin uzuulelt'!B$4,negtgel!U605:BL605)+SUMIF(negtgel!U$2:BL$2,'Tsalin uzuulelt'!B$5,negtgel!U605:BL605)</f>
      </c>
      <c r="H605">
        <f>SUMIF(negtgel!U$2:BL$2,'Tsalin uzuulelt'!F$1,negtgel!U605:BL605) + SUMIF(negtgel!U$2:BL$2,'Tsalin uzuulelt'!F$2,negtgel!U605:BL605)+SUMIF(negtgel!U$2:BL$2,'Tsalin uzuulelt'!F$3,negtgel!U605:BL605)+SUMIF(negtgel!U$2:BL$2,'Tsalin uzuulelt'!F$4,negtgel!U605:BL605)+SUMIF(negtgel!U$2:BL$2,'Tsalin uzuulelt'!F$5,negtgel!U605:BL605)</f>
      </c>
      <c r="I605">
        <f>SUMIF(negtgel!U$2:BL$2,'Tsalin uzuulelt'!H$1,negtgel!U605:BL605) + SUMIF(negtgel!U$2:BL$2,'Tsalin uzuulelt'!H$2,negtgel!U605:BL605)+SUMIF(negtgel!U$2:BL$2,'Tsalin uzuulelt'!H$3,negtgel!U605:BL605)+SUMIF(negtgel!U$2:BL$2,'Tsalin uzuulelt'!H$4,negtgel!U605:BL605)+SUMIF(negtgel!U$2:BL$2,'Tsalin uzuulelt'!H$5,negtgel!U605:BL605)</f>
      </c>
      <c r="J605">
        <f>SUMIF(negtgel!U$2:BL$2,'Tsalin uzuulelt'!J$1,negtgel!U605:BL605) + SUMIF(negtgel!U$2:BL$2,'Tsalin uzuulelt'!J$2,negtgel!U605:BL605)+SUMIF(negtgel!U$2:BL$2,'Tsalin uzuulelt'!J$3,negtgel!U605:BL605)+SUMIF(negtgel!U$2:BL$2,'Tsalin uzuulelt'!J$4,negtgel!U605:BL605)+SUMIF(negtgel!U$2:BL$2,'Tsalin uzuulelt'!J$5,negtgel!U605:BL605)</f>
      </c>
      <c r="K605">
        <f>SUMIF(negtgel!U$2:BL$2,'Tsalin uzuulelt'!L$1,negtgel!U605:BL605) + SUMIF(negtgel!U$2:BL$2,'Tsalin uzuulelt'!L$2,negtgel!U605:BL605)+SUMIF(negtgel!U$2:BL$2,'Tsalin uzuulelt'!L$3,negtgel!U605:BL605)+SUMIF(negtgel!U$2:BL$2,'Tsalin uzuulelt'!L$4,negtgel!U605:BL605)+SUMIF(negtgel!U$2:BL$2,'Tsalin uzuulelt'!L$5,negtgel!U605:BL605)</f>
      </c>
      <c r="L605">
        <f>SUMIF(negtgel!U$2:BL$2,'Tsalin uzuulelt'!N$1,negtgel!U605:BL605) + SUMIF(negtgel!U$2:BL$2,'Tsalin uzuulelt'!N$2,negtgel!U605:BL605)+SUMIF(negtgel!U$2:BL$2,'Tsalin uzuulelt'!N$3,negtgel!U605:BL605)+SUMIF(negtgel!U$2:BL$2,'Tsalin uzuulelt'!N$4,negtgel!U605:BL605)+SUMIF(negtgel!U$2:BL$2,'Tsalin uzuulelt'!N$5,negtgel!U605:BL605)</f>
      </c>
      <c r="M605">
        <f>SUMIF(negtgel!U$2:BL$2,'Tsalin uzuulelt'!P$1,negtgel!U605:BL605) + SUMIF(negtgel!U$2:BL$2,'Tsalin uzuulelt'!P$2,negtgel!U605:BL605)+ SUMIF(negtgel!U$2:BL$2,'Tsalin uzuulelt'!P$3,negtgel!U605:BL605)+ SUMIF(negtgel!U$2:BL$2,'Tsalin uzuulelt'!P$4,negtgel!U605:BL605)+ SUMIF(negtgel!U$2:BL$2,'Tsalin uzuulelt'!P$5,negtgel!U605:BL605)</f>
      </c>
      <c r="N605">
        <f>IF(ISNUMBER(U605*1)=CF605,0,K605-H605-G605)</f>
      </c>
      <c r="O605">
        <f>IF(ISNUMBER(U605*1)=CF605,0,L605)</f>
      </c>
      <c r="P605">
        <f>IF(ISNUMBER(U605*1)=CF605,0,M605)</f>
      </c>
      <c r="Q605">
        <f>IF(N605&gt;2400000,N605,0)</f>
      </c>
      <c r="R605">
        <f>IF(L605/Q605*100&lt;3,2,10)</f>
      </c>
      <c r="S605">
        <f>IF(CH605=0,0,IF(B605&gt;9,10,IF(B605&gt;8,B605,IF(B605&gt;7.7,7.8,IF(B605&gt;3,B605,IF(B605&gt;1.5,2))))))</f>
      </c>
      <c r="T605">
        <f>IF(Q605=0,S605,R605)</f>
      </c>
      <c r="U605" t="n">
        <v>89.0</v>
      </c>
      <c r="V605" t="s">
        <v>3853</v>
      </c>
      <c r="W605" t="s">
        <v>3790</v>
      </c>
      <c r="X605" t="n">
        <v>613669.0</v>
      </c>
      <c r="Y605" t="n">
        <v>584447.0</v>
      </c>
      <c r="Z605" t="n">
        <v>29222.0</v>
      </c>
      <c r="AA605" t="n">
        <v>87667.0</v>
      </c>
      <c r="AB605" t="n">
        <v>0.0</v>
      </c>
      <c r="AC605" t="n">
        <v>0.0</v>
      </c>
      <c r="AD605" t="n">
        <v>0.0</v>
      </c>
      <c r="AE605" t="n">
        <v>0.0</v>
      </c>
      <c r="AF605" t="n">
        <v>60000.0</v>
      </c>
      <c r="AG605" t="n">
        <v>0.0</v>
      </c>
      <c r="AH605" t="n">
        <v>0.0</v>
      </c>
      <c r="AI605" t="n">
        <v>0.0</v>
      </c>
      <c r="AJ605" t="n">
        <v>0.0</v>
      </c>
      <c r="AK605" t="n">
        <v>0.0</v>
      </c>
      <c r="AL605" t="n">
        <v>0.0</v>
      </c>
      <c r="AM605" t="n">
        <v>0.0</v>
      </c>
      <c r="AN605" t="n">
        <v>0.0</v>
      </c>
      <c r="AO605" t="n">
        <v>761336.0</v>
      </c>
      <c r="AP605" t="n">
        <v>76135.0</v>
      </c>
      <c r="AQ605" t="n">
        <v>62120.2</v>
      </c>
      <c r="CH605">
        <f>IFERROR(U605*1,0)</f>
      </c>
    </row>
    <row r="606">
      <c r="A606" t="n">
        <v>9.0</v>
      </c>
      <c r="B606">
        <f>IF((K606-G606-H606&gt;2400000),10,(L606/(K606-G606-H606)*100))</f>
      </c>
      <c r="C606">
        <f>IF(N606&gt;2400000,240000,(N606*S606)/100)</f>
      </c>
      <c r="D606">
        <f>IF(S606=0,0,IF((N606-I606)&gt;2400000,((((((N606-I606-J606)-240000))*0.1+(I606+J606)*0.1)))-7000,((((((N606-I606-J606)-(N606-I606-J606)*S606/100)))*0.1+(I606+J606)*0.1)-7000)))</f>
      </c>
      <c r="E606">
        <f>C606-O606</f>
      </c>
      <c r="F606">
        <f>D606-P606</f>
      </c>
      <c r="G606">
        <f>SUMIF(negtgel!U$2:BL$2,'Tsalin uzuulelt'!B$1,negtgel!U606:BL606) + SUMIF(negtgel!U$2:BL$2,'Tsalin uzuulelt'!B$2,negtgel!U606:BL606)+SUMIF(negtgel!U$2:BL$2,'Tsalin uzuulelt'!B$3,negtgel!U606:BL606)+SUMIF(negtgel!U$2:BL$2,'Tsalin uzuulelt'!B$4,negtgel!U606:BL606)+SUMIF(negtgel!U$2:BL$2,'Tsalin uzuulelt'!B$5,negtgel!U606:BL606)</f>
      </c>
      <c r="H606">
        <f>SUMIF(negtgel!U$2:BL$2,'Tsalin uzuulelt'!F$1,negtgel!U606:BL606) + SUMIF(negtgel!U$2:BL$2,'Tsalin uzuulelt'!F$2,negtgel!U606:BL606)+SUMIF(negtgel!U$2:BL$2,'Tsalin uzuulelt'!F$3,negtgel!U606:BL606)+SUMIF(negtgel!U$2:BL$2,'Tsalin uzuulelt'!F$4,negtgel!U606:BL606)+SUMIF(negtgel!U$2:BL$2,'Tsalin uzuulelt'!F$5,negtgel!U606:BL606)</f>
      </c>
      <c r="I606">
        <f>SUMIF(negtgel!U$2:BL$2,'Tsalin uzuulelt'!H$1,negtgel!U606:BL606) + SUMIF(negtgel!U$2:BL$2,'Tsalin uzuulelt'!H$2,negtgel!U606:BL606)+SUMIF(negtgel!U$2:BL$2,'Tsalin uzuulelt'!H$3,negtgel!U606:BL606)+SUMIF(negtgel!U$2:BL$2,'Tsalin uzuulelt'!H$4,negtgel!U606:BL606)+SUMIF(negtgel!U$2:BL$2,'Tsalin uzuulelt'!H$5,negtgel!U606:BL606)</f>
      </c>
      <c r="J606">
        <f>SUMIF(negtgel!U$2:BL$2,'Tsalin uzuulelt'!J$1,negtgel!U606:BL606) + SUMIF(negtgel!U$2:BL$2,'Tsalin uzuulelt'!J$2,negtgel!U606:BL606)+SUMIF(negtgel!U$2:BL$2,'Tsalin uzuulelt'!J$3,negtgel!U606:BL606)+SUMIF(negtgel!U$2:BL$2,'Tsalin uzuulelt'!J$4,negtgel!U606:BL606)+SUMIF(negtgel!U$2:BL$2,'Tsalin uzuulelt'!J$5,negtgel!U606:BL606)</f>
      </c>
      <c r="K606">
        <f>SUMIF(negtgel!U$2:BL$2,'Tsalin uzuulelt'!L$1,negtgel!U606:BL606) + SUMIF(negtgel!U$2:BL$2,'Tsalin uzuulelt'!L$2,negtgel!U606:BL606)+SUMIF(negtgel!U$2:BL$2,'Tsalin uzuulelt'!L$3,negtgel!U606:BL606)+SUMIF(negtgel!U$2:BL$2,'Tsalin uzuulelt'!L$4,negtgel!U606:BL606)+SUMIF(negtgel!U$2:BL$2,'Tsalin uzuulelt'!L$5,negtgel!U606:BL606)</f>
      </c>
      <c r="L606">
        <f>SUMIF(negtgel!U$2:BL$2,'Tsalin uzuulelt'!N$1,negtgel!U606:BL606) + SUMIF(negtgel!U$2:BL$2,'Tsalin uzuulelt'!N$2,negtgel!U606:BL606)+SUMIF(negtgel!U$2:BL$2,'Tsalin uzuulelt'!N$3,negtgel!U606:BL606)+SUMIF(negtgel!U$2:BL$2,'Tsalin uzuulelt'!N$4,negtgel!U606:BL606)+SUMIF(negtgel!U$2:BL$2,'Tsalin uzuulelt'!N$5,negtgel!U606:BL606)</f>
      </c>
      <c r="M606">
        <f>SUMIF(negtgel!U$2:BL$2,'Tsalin uzuulelt'!P$1,negtgel!U606:BL606) + SUMIF(negtgel!U$2:BL$2,'Tsalin uzuulelt'!P$2,negtgel!U606:BL606)+ SUMIF(negtgel!U$2:BL$2,'Tsalin uzuulelt'!P$3,negtgel!U606:BL606)+ SUMIF(negtgel!U$2:BL$2,'Tsalin uzuulelt'!P$4,negtgel!U606:BL606)+ SUMIF(negtgel!U$2:BL$2,'Tsalin uzuulelt'!P$5,negtgel!U606:BL606)</f>
      </c>
      <c r="N606">
        <f>IF(ISNUMBER(U606*1)=CF606,0,K606-H606-G606)</f>
      </c>
      <c r="O606">
        <f>IF(ISNUMBER(U606*1)=CF606,0,L606)</f>
      </c>
      <c r="P606">
        <f>IF(ISNUMBER(U606*1)=CF606,0,M606)</f>
      </c>
      <c r="Q606">
        <f>IF(N606&gt;2400000,N606,0)</f>
      </c>
      <c r="R606">
        <f>IF(L606/Q606*100&lt;3,2,10)</f>
      </c>
      <c r="S606">
        <f>IF(CH606=0,0,IF(B606&gt;9,10,IF(B606&gt;8,B606,IF(B606&gt;7.7,7.8,IF(B606&gt;3,B606,IF(B606&gt;1.5,2))))))</f>
      </c>
      <c r="T606">
        <f>IF(Q606=0,S606,R606)</f>
      </c>
      <c r="U606" t="n">
        <v>90.0</v>
      </c>
      <c r="V606" t="s">
        <v>3854</v>
      </c>
      <c r="W606" t="s">
        <v>3785</v>
      </c>
      <c r="X606" t="n">
        <v>795935.0</v>
      </c>
      <c r="Y606" t="n">
        <v>644328.0</v>
      </c>
      <c r="Z606" t="n">
        <v>128866.0</v>
      </c>
      <c r="AA606" t="n">
        <v>141752.0</v>
      </c>
      <c r="AB606" t="n">
        <v>0.0</v>
      </c>
      <c r="AC606" t="n">
        <v>0.0</v>
      </c>
      <c r="AD606" t="n">
        <v>0.0</v>
      </c>
      <c r="AE606" t="n">
        <v>0.0</v>
      </c>
      <c r="AF606" t="n">
        <v>51000.0</v>
      </c>
      <c r="AG606" t="n">
        <v>0.0</v>
      </c>
      <c r="AH606" t="n">
        <v>0.0</v>
      </c>
      <c r="AI606" t="n">
        <v>0.0</v>
      </c>
      <c r="AJ606" t="n">
        <v>0.0</v>
      </c>
      <c r="AK606" t="n">
        <v>0.0</v>
      </c>
      <c r="AL606" t="n">
        <v>0.0</v>
      </c>
      <c r="AM606" t="n">
        <v>0.0</v>
      </c>
      <c r="AN606" t="n">
        <v>0.0</v>
      </c>
      <c r="AO606" t="n">
        <v>965946.0</v>
      </c>
      <c r="AP606" t="n">
        <v>96595.0</v>
      </c>
      <c r="AQ606" t="n">
        <v>80445.1</v>
      </c>
      <c r="CH606">
        <f>IFERROR(U606*1,0)</f>
      </c>
    </row>
    <row r="607">
      <c r="A607" t="n">
        <v>9.0</v>
      </c>
      <c r="B607">
        <f>IF((K607-G607-H607&gt;2400000),10,(L607/(K607-G607-H607)*100))</f>
      </c>
      <c r="C607">
        <f>IF(N607&gt;2400000,240000,(N607*S607)/100)</f>
      </c>
      <c r="D607">
        <f>IF(S607=0,0,IF((N607-I607)&gt;2400000,((((((N607-I607-J607)-240000))*0.1+(I607+J607)*0.1)))-7000,((((((N607-I607-J607)-(N607-I607-J607)*S607/100)))*0.1+(I607+J607)*0.1)-7000)))</f>
      </c>
      <c r="E607">
        <f>C607-O607</f>
      </c>
      <c r="F607">
        <f>D607-P607</f>
      </c>
      <c r="G607">
        <f>SUMIF(negtgel!U$2:BL$2,'Tsalin uzuulelt'!B$1,negtgel!U607:BL607) + SUMIF(negtgel!U$2:BL$2,'Tsalin uzuulelt'!B$2,negtgel!U607:BL607)+SUMIF(negtgel!U$2:BL$2,'Tsalin uzuulelt'!B$3,negtgel!U607:BL607)+SUMIF(negtgel!U$2:BL$2,'Tsalin uzuulelt'!B$4,negtgel!U607:BL607)+SUMIF(negtgel!U$2:BL$2,'Tsalin uzuulelt'!B$5,negtgel!U607:BL607)</f>
      </c>
      <c r="H607">
        <f>SUMIF(negtgel!U$2:BL$2,'Tsalin uzuulelt'!F$1,negtgel!U607:BL607) + SUMIF(negtgel!U$2:BL$2,'Tsalin uzuulelt'!F$2,negtgel!U607:BL607)+SUMIF(negtgel!U$2:BL$2,'Tsalin uzuulelt'!F$3,negtgel!U607:BL607)+SUMIF(negtgel!U$2:BL$2,'Tsalin uzuulelt'!F$4,negtgel!U607:BL607)+SUMIF(negtgel!U$2:BL$2,'Tsalin uzuulelt'!F$5,negtgel!U607:BL607)</f>
      </c>
      <c r="I607">
        <f>SUMIF(negtgel!U$2:BL$2,'Tsalin uzuulelt'!H$1,negtgel!U607:BL607) + SUMIF(negtgel!U$2:BL$2,'Tsalin uzuulelt'!H$2,negtgel!U607:BL607)+SUMIF(negtgel!U$2:BL$2,'Tsalin uzuulelt'!H$3,negtgel!U607:BL607)+SUMIF(negtgel!U$2:BL$2,'Tsalin uzuulelt'!H$4,negtgel!U607:BL607)+SUMIF(negtgel!U$2:BL$2,'Tsalin uzuulelt'!H$5,negtgel!U607:BL607)</f>
      </c>
      <c r="J607">
        <f>SUMIF(negtgel!U$2:BL$2,'Tsalin uzuulelt'!J$1,negtgel!U607:BL607) + SUMIF(negtgel!U$2:BL$2,'Tsalin uzuulelt'!J$2,negtgel!U607:BL607)+SUMIF(negtgel!U$2:BL$2,'Tsalin uzuulelt'!J$3,negtgel!U607:BL607)+SUMIF(negtgel!U$2:BL$2,'Tsalin uzuulelt'!J$4,negtgel!U607:BL607)+SUMIF(negtgel!U$2:BL$2,'Tsalin uzuulelt'!J$5,negtgel!U607:BL607)</f>
      </c>
      <c r="K607">
        <f>SUMIF(negtgel!U$2:BL$2,'Tsalin uzuulelt'!L$1,negtgel!U607:BL607) + SUMIF(negtgel!U$2:BL$2,'Tsalin uzuulelt'!L$2,negtgel!U607:BL607)+SUMIF(negtgel!U$2:BL$2,'Tsalin uzuulelt'!L$3,negtgel!U607:BL607)+SUMIF(negtgel!U$2:BL$2,'Tsalin uzuulelt'!L$4,negtgel!U607:BL607)+SUMIF(negtgel!U$2:BL$2,'Tsalin uzuulelt'!L$5,negtgel!U607:BL607)</f>
      </c>
      <c r="L607">
        <f>SUMIF(negtgel!U$2:BL$2,'Tsalin uzuulelt'!N$1,negtgel!U607:BL607) + SUMIF(negtgel!U$2:BL$2,'Tsalin uzuulelt'!N$2,negtgel!U607:BL607)+SUMIF(negtgel!U$2:BL$2,'Tsalin uzuulelt'!N$3,negtgel!U607:BL607)+SUMIF(negtgel!U$2:BL$2,'Tsalin uzuulelt'!N$4,negtgel!U607:BL607)+SUMIF(negtgel!U$2:BL$2,'Tsalin uzuulelt'!N$5,negtgel!U607:BL607)</f>
      </c>
      <c r="M607">
        <f>SUMIF(negtgel!U$2:BL$2,'Tsalin uzuulelt'!P$1,negtgel!U607:BL607) + SUMIF(negtgel!U$2:BL$2,'Tsalin uzuulelt'!P$2,negtgel!U607:BL607)+ SUMIF(negtgel!U$2:BL$2,'Tsalin uzuulelt'!P$3,negtgel!U607:BL607)+ SUMIF(negtgel!U$2:BL$2,'Tsalin uzuulelt'!P$4,negtgel!U607:BL607)+ SUMIF(negtgel!U$2:BL$2,'Tsalin uzuulelt'!P$5,negtgel!U607:BL607)</f>
      </c>
      <c r="N607">
        <f>IF(ISNUMBER(U607*1)=CF607,0,K607-H607-G607)</f>
      </c>
      <c r="O607">
        <f>IF(ISNUMBER(U607*1)=CF607,0,L607)</f>
      </c>
      <c r="P607">
        <f>IF(ISNUMBER(U607*1)=CF607,0,M607)</f>
      </c>
      <c r="Q607">
        <f>IF(N607&gt;2400000,N607,0)</f>
      </c>
      <c r="R607">
        <f>IF(L607/Q607*100&lt;3,2,10)</f>
      </c>
      <c r="S607">
        <f>IF(CH607=0,0,IF(B607&gt;9,10,IF(B607&gt;8,B607,IF(B607&gt;7.7,7.8,IF(B607&gt;3,B607,IF(B607&gt;1.5,2))))))</f>
      </c>
      <c r="T607">
        <f>IF(Q607=0,S607,R607)</f>
      </c>
      <c r="U607" t="n">
        <v>91.0</v>
      </c>
      <c r="V607" t="s">
        <v>3855</v>
      </c>
      <c r="W607" t="s">
        <v>3790</v>
      </c>
      <c r="X607" t="n">
        <v>580710.0</v>
      </c>
      <c r="Y607" t="n">
        <v>0.0</v>
      </c>
      <c r="Z607" t="n">
        <v>0.0</v>
      </c>
      <c r="AA607" t="n">
        <v>0.0</v>
      </c>
      <c r="AB607" t="n">
        <v>0.0</v>
      </c>
      <c r="AC607" t="n">
        <v>0.0</v>
      </c>
      <c r="AD607" t="n">
        <v>0.0</v>
      </c>
      <c r="AE607" t="n">
        <v>0.0</v>
      </c>
      <c r="AF607" t="n">
        <v>0.0</v>
      </c>
      <c r="AG607" t="n">
        <v>0.0</v>
      </c>
      <c r="AH607" t="n">
        <v>0.0</v>
      </c>
      <c r="AI607" t="n">
        <v>0.0</v>
      </c>
      <c r="AJ607" t="n">
        <v>0.0</v>
      </c>
      <c r="AK607" t="n">
        <v>0.0</v>
      </c>
      <c r="AL607" t="n">
        <v>0.0</v>
      </c>
      <c r="AM607" t="n">
        <v>0.0</v>
      </c>
      <c r="AN607" t="n">
        <v>0.0</v>
      </c>
      <c r="AO607" t="n">
        <v>0.0</v>
      </c>
      <c r="AP607" t="n">
        <v>0.0</v>
      </c>
      <c r="AQ607" t="n">
        <v>0.0</v>
      </c>
      <c r="CH607">
        <f>IFERROR(U607*1,0)</f>
      </c>
    </row>
    <row r="608">
      <c r="A608" t="n">
        <v>9.0</v>
      </c>
      <c r="B608">
        <f>IF((K608-G608-H608&gt;2400000),10,(L608/(K608-G608-H608)*100))</f>
      </c>
      <c r="C608">
        <f>IF(N608&gt;2400000,240000,(N608*S608)/100)</f>
      </c>
      <c r="D608">
        <f>IF(S608=0,0,IF((N608-I608)&gt;2400000,((((((N608-I608-J608)-240000))*0.1+(I608+J608)*0.1)))-7000,((((((N608-I608-J608)-(N608-I608-J608)*S608/100)))*0.1+(I608+J608)*0.1)-7000)))</f>
      </c>
      <c r="E608">
        <f>C608-O608</f>
      </c>
      <c r="F608">
        <f>D608-P608</f>
      </c>
      <c r="G608">
        <f>SUMIF(negtgel!U$2:BL$2,'Tsalin uzuulelt'!B$1,negtgel!U608:BL608) + SUMIF(negtgel!U$2:BL$2,'Tsalin uzuulelt'!B$2,negtgel!U608:BL608)+SUMIF(negtgel!U$2:BL$2,'Tsalin uzuulelt'!B$3,negtgel!U608:BL608)+SUMIF(negtgel!U$2:BL$2,'Tsalin uzuulelt'!B$4,negtgel!U608:BL608)+SUMIF(negtgel!U$2:BL$2,'Tsalin uzuulelt'!B$5,negtgel!U608:BL608)</f>
      </c>
      <c r="H608">
        <f>SUMIF(negtgel!U$2:BL$2,'Tsalin uzuulelt'!F$1,negtgel!U608:BL608) + SUMIF(negtgel!U$2:BL$2,'Tsalin uzuulelt'!F$2,negtgel!U608:BL608)+SUMIF(negtgel!U$2:BL$2,'Tsalin uzuulelt'!F$3,negtgel!U608:BL608)+SUMIF(negtgel!U$2:BL$2,'Tsalin uzuulelt'!F$4,negtgel!U608:BL608)+SUMIF(negtgel!U$2:BL$2,'Tsalin uzuulelt'!F$5,negtgel!U608:BL608)</f>
      </c>
      <c r="I608">
        <f>SUMIF(negtgel!U$2:BL$2,'Tsalin uzuulelt'!H$1,negtgel!U608:BL608) + SUMIF(negtgel!U$2:BL$2,'Tsalin uzuulelt'!H$2,negtgel!U608:BL608)+SUMIF(negtgel!U$2:BL$2,'Tsalin uzuulelt'!H$3,negtgel!U608:BL608)+SUMIF(negtgel!U$2:BL$2,'Tsalin uzuulelt'!H$4,negtgel!U608:BL608)+SUMIF(negtgel!U$2:BL$2,'Tsalin uzuulelt'!H$5,negtgel!U608:BL608)</f>
      </c>
      <c r="J608">
        <f>SUMIF(negtgel!U$2:BL$2,'Tsalin uzuulelt'!J$1,negtgel!U608:BL608) + SUMIF(negtgel!U$2:BL$2,'Tsalin uzuulelt'!J$2,negtgel!U608:BL608)+SUMIF(negtgel!U$2:BL$2,'Tsalin uzuulelt'!J$3,negtgel!U608:BL608)+SUMIF(negtgel!U$2:BL$2,'Tsalin uzuulelt'!J$4,negtgel!U608:BL608)+SUMIF(negtgel!U$2:BL$2,'Tsalin uzuulelt'!J$5,negtgel!U608:BL608)</f>
      </c>
      <c r="K608">
        <f>SUMIF(negtgel!U$2:BL$2,'Tsalin uzuulelt'!L$1,negtgel!U608:BL608) + SUMIF(negtgel!U$2:BL$2,'Tsalin uzuulelt'!L$2,negtgel!U608:BL608)+SUMIF(negtgel!U$2:BL$2,'Tsalin uzuulelt'!L$3,negtgel!U608:BL608)+SUMIF(negtgel!U$2:BL$2,'Tsalin uzuulelt'!L$4,negtgel!U608:BL608)+SUMIF(negtgel!U$2:BL$2,'Tsalin uzuulelt'!L$5,negtgel!U608:BL608)</f>
      </c>
      <c r="L608">
        <f>SUMIF(negtgel!U$2:BL$2,'Tsalin uzuulelt'!N$1,negtgel!U608:BL608) + SUMIF(negtgel!U$2:BL$2,'Tsalin uzuulelt'!N$2,negtgel!U608:BL608)+SUMIF(negtgel!U$2:BL$2,'Tsalin uzuulelt'!N$3,negtgel!U608:BL608)+SUMIF(negtgel!U$2:BL$2,'Tsalin uzuulelt'!N$4,negtgel!U608:BL608)+SUMIF(negtgel!U$2:BL$2,'Tsalin uzuulelt'!N$5,negtgel!U608:BL608)</f>
      </c>
      <c r="M608">
        <f>SUMIF(negtgel!U$2:BL$2,'Tsalin uzuulelt'!P$1,negtgel!U608:BL608) + SUMIF(negtgel!U$2:BL$2,'Tsalin uzuulelt'!P$2,negtgel!U608:BL608)+ SUMIF(negtgel!U$2:BL$2,'Tsalin uzuulelt'!P$3,negtgel!U608:BL608)+ SUMIF(negtgel!U$2:BL$2,'Tsalin uzuulelt'!P$4,negtgel!U608:BL608)+ SUMIF(negtgel!U$2:BL$2,'Tsalin uzuulelt'!P$5,negtgel!U608:BL608)</f>
      </c>
      <c r="N608">
        <f>IF(ISNUMBER(U608*1)=CF608,0,K608-H608-G608)</f>
      </c>
      <c r="O608">
        <f>IF(ISNUMBER(U608*1)=CF608,0,L608)</f>
      </c>
      <c r="P608">
        <f>IF(ISNUMBER(U608*1)=CF608,0,M608)</f>
      </c>
      <c r="Q608">
        <f>IF(N608&gt;2400000,N608,0)</f>
      </c>
      <c r="R608">
        <f>IF(L608/Q608*100&lt;3,2,10)</f>
      </c>
      <c r="S608">
        <f>IF(CH608=0,0,IF(B608&gt;9,10,IF(B608&gt;8,B608,IF(B608&gt;7.7,7.8,IF(B608&gt;3,B608,IF(B608&gt;1.5,2))))))</f>
      </c>
      <c r="T608">
        <f>IF(Q608=0,S608,R608)</f>
      </c>
      <c r="U608" t="n">
        <v>92.0</v>
      </c>
      <c r="V608" t="s">
        <v>3856</v>
      </c>
      <c r="W608" t="s">
        <v>3820</v>
      </c>
      <c r="X608" t="n">
        <v>613669.0</v>
      </c>
      <c r="Y608" t="n">
        <v>467557.0</v>
      </c>
      <c r="Z608" t="n">
        <v>46756.0</v>
      </c>
      <c r="AA608" t="n">
        <v>84160.0</v>
      </c>
      <c r="AB608" t="n">
        <v>0.0</v>
      </c>
      <c r="AC608" t="n">
        <v>0.0</v>
      </c>
      <c r="AD608" t="n">
        <v>0.0</v>
      </c>
      <c r="AE608" t="n">
        <v>0.0</v>
      </c>
      <c r="AF608" t="n">
        <v>48000.0</v>
      </c>
      <c r="AG608" t="n">
        <v>0.0</v>
      </c>
      <c r="AH608" t="n">
        <v>0.0</v>
      </c>
      <c r="AI608" t="n">
        <v>0.0</v>
      </c>
      <c r="AJ608" t="n">
        <v>0.0</v>
      </c>
      <c r="AK608" t="n">
        <v>0.0</v>
      </c>
      <c r="AL608" t="n">
        <v>0.0</v>
      </c>
      <c r="AM608" t="n">
        <v>0.0</v>
      </c>
      <c r="AN608" t="n">
        <v>0.0</v>
      </c>
      <c r="AO608" t="n">
        <v>646473.0</v>
      </c>
      <c r="AP608" t="n">
        <v>64647.0</v>
      </c>
      <c r="AQ608" t="n">
        <v>51662.6</v>
      </c>
      <c r="CH608">
        <f>IFERROR(U608*1,0)</f>
      </c>
    </row>
    <row r="609">
      <c r="A609" t="n">
        <v>9.0</v>
      </c>
      <c r="B609">
        <f>IF((K609-G609-H609&gt;2400000),10,(L609/(K609-G609-H609)*100))</f>
      </c>
      <c r="C609">
        <f>IF(N609&gt;2400000,240000,(N609*S609)/100)</f>
      </c>
      <c r="D609">
        <f>IF(S609=0,0,IF((N609-I609)&gt;2400000,((((((N609-I609-J609)-240000))*0.1+(I609+J609)*0.1)))-7000,((((((N609-I609-J609)-(N609-I609-J609)*S609/100)))*0.1+(I609+J609)*0.1)-7000)))</f>
      </c>
      <c r="E609">
        <f>C609-O609</f>
      </c>
      <c r="F609">
        <f>D609-P609</f>
      </c>
      <c r="G609">
        <f>SUMIF(negtgel!U$2:BL$2,'Tsalin uzuulelt'!B$1,negtgel!U609:BL609) + SUMIF(negtgel!U$2:BL$2,'Tsalin uzuulelt'!B$2,negtgel!U609:BL609)+SUMIF(negtgel!U$2:BL$2,'Tsalin uzuulelt'!B$3,negtgel!U609:BL609)+SUMIF(negtgel!U$2:BL$2,'Tsalin uzuulelt'!B$4,negtgel!U609:BL609)+SUMIF(negtgel!U$2:BL$2,'Tsalin uzuulelt'!B$5,negtgel!U609:BL609)</f>
      </c>
      <c r="H609">
        <f>SUMIF(negtgel!U$2:BL$2,'Tsalin uzuulelt'!F$1,negtgel!U609:BL609) + SUMIF(negtgel!U$2:BL$2,'Tsalin uzuulelt'!F$2,negtgel!U609:BL609)+SUMIF(negtgel!U$2:BL$2,'Tsalin uzuulelt'!F$3,negtgel!U609:BL609)+SUMIF(negtgel!U$2:BL$2,'Tsalin uzuulelt'!F$4,negtgel!U609:BL609)+SUMIF(negtgel!U$2:BL$2,'Tsalin uzuulelt'!F$5,negtgel!U609:BL609)</f>
      </c>
      <c r="I609">
        <f>SUMIF(negtgel!U$2:BL$2,'Tsalin uzuulelt'!H$1,negtgel!U609:BL609) + SUMIF(negtgel!U$2:BL$2,'Tsalin uzuulelt'!H$2,negtgel!U609:BL609)+SUMIF(negtgel!U$2:BL$2,'Tsalin uzuulelt'!H$3,negtgel!U609:BL609)+SUMIF(negtgel!U$2:BL$2,'Tsalin uzuulelt'!H$4,negtgel!U609:BL609)+SUMIF(negtgel!U$2:BL$2,'Tsalin uzuulelt'!H$5,negtgel!U609:BL609)</f>
      </c>
      <c r="J609">
        <f>SUMIF(negtgel!U$2:BL$2,'Tsalin uzuulelt'!J$1,negtgel!U609:BL609) + SUMIF(negtgel!U$2:BL$2,'Tsalin uzuulelt'!J$2,negtgel!U609:BL609)+SUMIF(negtgel!U$2:BL$2,'Tsalin uzuulelt'!J$3,negtgel!U609:BL609)+SUMIF(negtgel!U$2:BL$2,'Tsalin uzuulelt'!J$4,negtgel!U609:BL609)+SUMIF(negtgel!U$2:BL$2,'Tsalin uzuulelt'!J$5,negtgel!U609:BL609)</f>
      </c>
      <c r="K609">
        <f>SUMIF(negtgel!U$2:BL$2,'Tsalin uzuulelt'!L$1,negtgel!U609:BL609) + SUMIF(negtgel!U$2:BL$2,'Tsalin uzuulelt'!L$2,negtgel!U609:BL609)+SUMIF(negtgel!U$2:BL$2,'Tsalin uzuulelt'!L$3,negtgel!U609:BL609)+SUMIF(negtgel!U$2:BL$2,'Tsalin uzuulelt'!L$4,negtgel!U609:BL609)+SUMIF(negtgel!U$2:BL$2,'Tsalin uzuulelt'!L$5,negtgel!U609:BL609)</f>
      </c>
      <c r="L609">
        <f>SUMIF(negtgel!U$2:BL$2,'Tsalin uzuulelt'!N$1,negtgel!U609:BL609) + SUMIF(negtgel!U$2:BL$2,'Tsalin uzuulelt'!N$2,negtgel!U609:BL609)+SUMIF(negtgel!U$2:BL$2,'Tsalin uzuulelt'!N$3,negtgel!U609:BL609)+SUMIF(negtgel!U$2:BL$2,'Tsalin uzuulelt'!N$4,negtgel!U609:BL609)+SUMIF(negtgel!U$2:BL$2,'Tsalin uzuulelt'!N$5,negtgel!U609:BL609)</f>
      </c>
      <c r="M609">
        <f>SUMIF(negtgel!U$2:BL$2,'Tsalin uzuulelt'!P$1,negtgel!U609:BL609) + SUMIF(negtgel!U$2:BL$2,'Tsalin uzuulelt'!P$2,negtgel!U609:BL609)+ SUMIF(negtgel!U$2:BL$2,'Tsalin uzuulelt'!P$3,negtgel!U609:BL609)+ SUMIF(negtgel!U$2:BL$2,'Tsalin uzuulelt'!P$4,negtgel!U609:BL609)+ SUMIF(negtgel!U$2:BL$2,'Tsalin uzuulelt'!P$5,negtgel!U609:BL609)</f>
      </c>
      <c r="N609">
        <f>IF(ISNUMBER(U609*1)=CF609,0,K609-H609-G609)</f>
      </c>
      <c r="O609">
        <f>IF(ISNUMBER(U609*1)=CF609,0,L609)</f>
      </c>
      <c r="P609">
        <f>IF(ISNUMBER(U609*1)=CF609,0,M609)</f>
      </c>
      <c r="Q609">
        <f>IF(N609&gt;2400000,N609,0)</f>
      </c>
      <c r="R609">
        <f>IF(L609/Q609*100&lt;3,2,10)</f>
      </c>
      <c r="S609">
        <f>IF(CH609=0,0,IF(B609&gt;9,10,IF(B609&gt;8,B609,IF(B609&gt;7.7,7.8,IF(B609&gt;3,B609,IF(B609&gt;1.5,2))))))</f>
      </c>
      <c r="T609">
        <f>IF(Q609=0,S609,R609)</f>
      </c>
      <c r="U609" t="n">
        <v>93.0</v>
      </c>
      <c r="V609" t="s">
        <v>3857</v>
      </c>
      <c r="W609" t="s">
        <v>3790</v>
      </c>
      <c r="X609" t="n">
        <v>613669.0</v>
      </c>
      <c r="Y609" t="n">
        <v>379890.0</v>
      </c>
      <c r="Z609" t="n">
        <v>37989.0</v>
      </c>
      <c r="AA609" t="n">
        <v>64581.0</v>
      </c>
      <c r="AB609" t="n">
        <v>0.0</v>
      </c>
      <c r="AC609" t="n">
        <v>0.0</v>
      </c>
      <c r="AD609" t="n">
        <v>0.0</v>
      </c>
      <c r="AE609" t="n">
        <v>0.0</v>
      </c>
      <c r="AF609" t="n">
        <v>39000.0</v>
      </c>
      <c r="AG609" t="n">
        <v>0.0</v>
      </c>
      <c r="AH609" t="n">
        <v>0.0</v>
      </c>
      <c r="AI609" t="n">
        <v>0.0</v>
      </c>
      <c r="AJ609" t="n">
        <v>0.0</v>
      </c>
      <c r="AK609" t="n">
        <v>0.0</v>
      </c>
      <c r="AL609" t="n">
        <v>0.0</v>
      </c>
      <c r="AM609" t="n">
        <v>0.0</v>
      </c>
      <c r="AN609" t="n">
        <v>0.0</v>
      </c>
      <c r="AO609" t="n">
        <v>521460.0</v>
      </c>
      <c r="AP609" t="n">
        <v>52146.0</v>
      </c>
      <c r="AQ609" t="n">
        <v>40321.4</v>
      </c>
      <c r="CH609">
        <f>IFERROR(U609*1,0)</f>
      </c>
    </row>
    <row r="610">
      <c r="A610" t="n">
        <v>9.0</v>
      </c>
      <c r="B610">
        <f>IF((K610-G610-H610&gt;2400000),10,(L610/(K610-G610-H610)*100))</f>
      </c>
      <c r="C610">
        <f>IF(N610&gt;2400000,240000,(N610*S610)/100)</f>
      </c>
      <c r="D610">
        <f>IF(S610=0,0,IF((N610-I610)&gt;2400000,((((((N610-I610-J610)-240000))*0.1+(I610+J610)*0.1)))-7000,((((((N610-I610-J610)-(N610-I610-J610)*S610/100)))*0.1+(I610+J610)*0.1)-7000)))</f>
      </c>
      <c r="E610">
        <f>C610-O610</f>
      </c>
      <c r="F610">
        <f>D610-P610</f>
      </c>
      <c r="G610">
        <f>SUMIF(negtgel!U$2:BL$2,'Tsalin uzuulelt'!B$1,negtgel!U610:BL610) + SUMIF(negtgel!U$2:BL$2,'Tsalin uzuulelt'!B$2,negtgel!U610:BL610)+SUMIF(negtgel!U$2:BL$2,'Tsalin uzuulelt'!B$3,negtgel!U610:BL610)+SUMIF(negtgel!U$2:BL$2,'Tsalin uzuulelt'!B$4,negtgel!U610:BL610)+SUMIF(negtgel!U$2:BL$2,'Tsalin uzuulelt'!B$5,negtgel!U610:BL610)</f>
      </c>
      <c r="H610">
        <f>SUMIF(negtgel!U$2:BL$2,'Tsalin uzuulelt'!F$1,negtgel!U610:BL610) + SUMIF(negtgel!U$2:BL$2,'Tsalin uzuulelt'!F$2,negtgel!U610:BL610)+SUMIF(negtgel!U$2:BL$2,'Tsalin uzuulelt'!F$3,negtgel!U610:BL610)+SUMIF(negtgel!U$2:BL$2,'Tsalin uzuulelt'!F$4,negtgel!U610:BL610)+SUMIF(negtgel!U$2:BL$2,'Tsalin uzuulelt'!F$5,negtgel!U610:BL610)</f>
      </c>
      <c r="I610">
        <f>SUMIF(negtgel!U$2:BL$2,'Tsalin uzuulelt'!H$1,negtgel!U610:BL610) + SUMIF(negtgel!U$2:BL$2,'Tsalin uzuulelt'!H$2,negtgel!U610:BL610)+SUMIF(negtgel!U$2:BL$2,'Tsalin uzuulelt'!H$3,negtgel!U610:BL610)+SUMIF(negtgel!U$2:BL$2,'Tsalin uzuulelt'!H$4,negtgel!U610:BL610)+SUMIF(negtgel!U$2:BL$2,'Tsalin uzuulelt'!H$5,negtgel!U610:BL610)</f>
      </c>
      <c r="J610">
        <f>SUMIF(negtgel!U$2:BL$2,'Tsalin uzuulelt'!J$1,negtgel!U610:BL610) + SUMIF(negtgel!U$2:BL$2,'Tsalin uzuulelt'!J$2,negtgel!U610:BL610)+SUMIF(negtgel!U$2:BL$2,'Tsalin uzuulelt'!J$3,negtgel!U610:BL610)+SUMIF(negtgel!U$2:BL$2,'Tsalin uzuulelt'!J$4,negtgel!U610:BL610)+SUMIF(negtgel!U$2:BL$2,'Tsalin uzuulelt'!J$5,negtgel!U610:BL610)</f>
      </c>
      <c r="K610">
        <f>SUMIF(negtgel!U$2:BL$2,'Tsalin uzuulelt'!L$1,negtgel!U610:BL610) + SUMIF(negtgel!U$2:BL$2,'Tsalin uzuulelt'!L$2,negtgel!U610:BL610)+SUMIF(negtgel!U$2:BL$2,'Tsalin uzuulelt'!L$3,negtgel!U610:BL610)+SUMIF(negtgel!U$2:BL$2,'Tsalin uzuulelt'!L$4,negtgel!U610:BL610)+SUMIF(negtgel!U$2:BL$2,'Tsalin uzuulelt'!L$5,negtgel!U610:BL610)</f>
      </c>
      <c r="L610">
        <f>SUMIF(negtgel!U$2:BL$2,'Tsalin uzuulelt'!N$1,negtgel!U610:BL610) + SUMIF(negtgel!U$2:BL$2,'Tsalin uzuulelt'!N$2,negtgel!U610:BL610)+SUMIF(negtgel!U$2:BL$2,'Tsalin uzuulelt'!N$3,negtgel!U610:BL610)+SUMIF(negtgel!U$2:BL$2,'Tsalin uzuulelt'!N$4,negtgel!U610:BL610)+SUMIF(negtgel!U$2:BL$2,'Tsalin uzuulelt'!N$5,negtgel!U610:BL610)</f>
      </c>
      <c r="M610">
        <f>SUMIF(negtgel!U$2:BL$2,'Tsalin uzuulelt'!P$1,negtgel!U610:BL610) + SUMIF(negtgel!U$2:BL$2,'Tsalin uzuulelt'!P$2,negtgel!U610:BL610)+ SUMIF(negtgel!U$2:BL$2,'Tsalin uzuulelt'!P$3,negtgel!U610:BL610)+ SUMIF(negtgel!U$2:BL$2,'Tsalin uzuulelt'!P$4,negtgel!U610:BL610)+ SUMIF(negtgel!U$2:BL$2,'Tsalin uzuulelt'!P$5,negtgel!U610:BL610)</f>
      </c>
      <c r="N610">
        <f>IF(ISNUMBER(U610*1)=CF610,0,K610-H610-G610)</f>
      </c>
      <c r="O610">
        <f>IF(ISNUMBER(U610*1)=CF610,0,L610)</f>
      </c>
      <c r="P610">
        <f>IF(ISNUMBER(U610*1)=CF610,0,M610)</f>
      </c>
      <c r="Q610">
        <f>IF(N610&gt;2400000,N610,0)</f>
      </c>
      <c r="R610">
        <f>IF(L610/Q610*100&lt;3,2,10)</f>
      </c>
      <c r="S610">
        <f>IF(CH610=0,0,IF(B610&gt;9,10,IF(B610&gt;8,B610,IF(B610&gt;7.7,7.8,IF(B610&gt;3,B610,IF(B610&gt;1.5,2))))))</f>
      </c>
      <c r="T610">
        <f>IF(Q610=0,S610,R610)</f>
      </c>
      <c r="U610" t="s">
        <v>3787</v>
      </c>
      <c r="V610"/>
      <c r="W610"/>
      <c r="X610" t="n">
        <v>7853536.0</v>
      </c>
      <c r="Y610" t="n">
        <v>5770652.0</v>
      </c>
      <c r="Z610" t="n">
        <v>898820.0</v>
      </c>
      <c r="AA610" t="n">
        <v>1106829.0</v>
      </c>
      <c r="AB610" t="n">
        <v>24194.0</v>
      </c>
      <c r="AC610" t="n">
        <v>0.0</v>
      </c>
      <c r="AD610" t="n">
        <v>0.0</v>
      </c>
      <c r="AE610" t="n">
        <v>0.0</v>
      </c>
      <c r="AF610" t="n">
        <v>549000.0</v>
      </c>
      <c r="AG610" t="n">
        <v>0.0</v>
      </c>
      <c r="AH610" t="n">
        <v>0.0</v>
      </c>
      <c r="AI610" t="n">
        <v>0.0</v>
      </c>
      <c r="AJ610" t="n">
        <v>0.0</v>
      </c>
      <c r="AK610" t="n">
        <v>0.0</v>
      </c>
      <c r="AL610" t="n">
        <v>286435.0</v>
      </c>
      <c r="AM610" t="n">
        <v>0.0</v>
      </c>
      <c r="AN610" t="n">
        <v>0.0</v>
      </c>
      <c r="AO610" t="n">
        <v>8635930.0</v>
      </c>
      <c r="AP610" t="n">
        <v>834950.0</v>
      </c>
      <c r="AQ610" t="n">
        <v>679944.4</v>
      </c>
      <c r="CH610">
        <f>IFERROR(U610*1,0)</f>
      </c>
    </row>
    <row r="611">
      <c r="A611" t="n">
        <v>9.0</v>
      </c>
      <c r="B611">
        <f>IF((K611-G611-H611&gt;2400000),10,(L611/(K611-G611-H611)*100))</f>
      </c>
      <c r="C611">
        <f>IF(N611&gt;2400000,240000,(N611*S611)/100)</f>
      </c>
      <c r="D611">
        <f>IF(S611=0,0,IF((N611-I611)&gt;2400000,((((((N611-I611-J611)-240000))*0.1+(I611+J611)*0.1)))-7000,((((((N611-I611-J611)-(N611-I611-J611)*S611/100)))*0.1+(I611+J611)*0.1)-7000)))</f>
      </c>
      <c r="E611">
        <f>C611-O611</f>
      </c>
      <c r="F611">
        <f>D611-P611</f>
      </c>
      <c r="G611">
        <f>SUMIF(negtgel!U$2:BL$2,'Tsalin uzuulelt'!B$1,negtgel!U611:BL611) + SUMIF(negtgel!U$2:BL$2,'Tsalin uzuulelt'!B$2,negtgel!U611:BL611)+SUMIF(negtgel!U$2:BL$2,'Tsalin uzuulelt'!B$3,negtgel!U611:BL611)+SUMIF(negtgel!U$2:BL$2,'Tsalin uzuulelt'!B$4,negtgel!U611:BL611)+SUMIF(negtgel!U$2:BL$2,'Tsalin uzuulelt'!B$5,negtgel!U611:BL611)</f>
      </c>
      <c r="H611">
        <f>SUMIF(negtgel!U$2:BL$2,'Tsalin uzuulelt'!F$1,negtgel!U611:BL611) + SUMIF(negtgel!U$2:BL$2,'Tsalin uzuulelt'!F$2,negtgel!U611:BL611)+SUMIF(negtgel!U$2:BL$2,'Tsalin uzuulelt'!F$3,negtgel!U611:BL611)+SUMIF(negtgel!U$2:BL$2,'Tsalin uzuulelt'!F$4,negtgel!U611:BL611)+SUMIF(negtgel!U$2:BL$2,'Tsalin uzuulelt'!F$5,negtgel!U611:BL611)</f>
      </c>
      <c r="I611">
        <f>SUMIF(negtgel!U$2:BL$2,'Tsalin uzuulelt'!H$1,negtgel!U611:BL611) + SUMIF(negtgel!U$2:BL$2,'Tsalin uzuulelt'!H$2,negtgel!U611:BL611)+SUMIF(negtgel!U$2:BL$2,'Tsalin uzuulelt'!H$3,negtgel!U611:BL611)+SUMIF(negtgel!U$2:BL$2,'Tsalin uzuulelt'!H$4,negtgel!U611:BL611)+SUMIF(negtgel!U$2:BL$2,'Tsalin uzuulelt'!H$5,negtgel!U611:BL611)</f>
      </c>
      <c r="J611">
        <f>SUMIF(negtgel!U$2:BL$2,'Tsalin uzuulelt'!J$1,negtgel!U611:BL611) + SUMIF(negtgel!U$2:BL$2,'Tsalin uzuulelt'!J$2,negtgel!U611:BL611)+SUMIF(negtgel!U$2:BL$2,'Tsalin uzuulelt'!J$3,negtgel!U611:BL611)+SUMIF(negtgel!U$2:BL$2,'Tsalin uzuulelt'!J$4,negtgel!U611:BL611)+SUMIF(negtgel!U$2:BL$2,'Tsalin uzuulelt'!J$5,negtgel!U611:BL611)</f>
      </c>
      <c r="K611">
        <f>SUMIF(negtgel!U$2:BL$2,'Tsalin uzuulelt'!L$1,negtgel!U611:BL611) + SUMIF(negtgel!U$2:BL$2,'Tsalin uzuulelt'!L$2,negtgel!U611:BL611)+SUMIF(negtgel!U$2:BL$2,'Tsalin uzuulelt'!L$3,negtgel!U611:BL611)+SUMIF(negtgel!U$2:BL$2,'Tsalin uzuulelt'!L$4,negtgel!U611:BL611)+SUMIF(negtgel!U$2:BL$2,'Tsalin uzuulelt'!L$5,negtgel!U611:BL611)</f>
      </c>
      <c r="L611">
        <f>SUMIF(negtgel!U$2:BL$2,'Tsalin uzuulelt'!N$1,negtgel!U611:BL611) + SUMIF(negtgel!U$2:BL$2,'Tsalin uzuulelt'!N$2,negtgel!U611:BL611)+SUMIF(negtgel!U$2:BL$2,'Tsalin uzuulelt'!N$3,negtgel!U611:BL611)+SUMIF(negtgel!U$2:BL$2,'Tsalin uzuulelt'!N$4,negtgel!U611:BL611)+SUMIF(negtgel!U$2:BL$2,'Tsalin uzuulelt'!N$5,negtgel!U611:BL611)</f>
      </c>
      <c r="M611">
        <f>SUMIF(negtgel!U$2:BL$2,'Tsalin uzuulelt'!P$1,negtgel!U611:BL611) + SUMIF(negtgel!U$2:BL$2,'Tsalin uzuulelt'!P$2,negtgel!U611:BL611)+ SUMIF(negtgel!U$2:BL$2,'Tsalin uzuulelt'!P$3,negtgel!U611:BL611)+ SUMIF(negtgel!U$2:BL$2,'Tsalin uzuulelt'!P$4,negtgel!U611:BL611)+ SUMIF(negtgel!U$2:BL$2,'Tsalin uzuulelt'!P$5,negtgel!U611:BL611)</f>
      </c>
      <c r="N611">
        <f>IF(ISNUMBER(U611*1)=CF611,0,K611-H611-G611)</f>
      </c>
      <c r="O611">
        <f>IF(ISNUMBER(U611*1)=CF611,0,L611)</f>
      </c>
      <c r="P611">
        <f>IF(ISNUMBER(U611*1)=CF611,0,M611)</f>
      </c>
      <c r="Q611">
        <f>IF(N611&gt;2400000,N611,0)</f>
      </c>
      <c r="R611">
        <f>IF(L611/Q611*100&lt;3,2,10)</f>
      </c>
      <c r="S611">
        <f>IF(CH611=0,0,IF(B611&gt;9,10,IF(B611&gt;8,B611,IF(B611&gt;7.7,7.8,IF(B611&gt;3,B611,IF(B611&gt;1.5,2))))))</f>
      </c>
      <c r="T611">
        <f>IF(Q611=0,S611,R611)</f>
      </c>
      <c r="U611" t="s">
        <v>3858</v>
      </c>
      <c r="V611"/>
      <c r="W611"/>
      <c r="X611"/>
      <c r="Y611"/>
      <c r="Z611"/>
      <c r="AA611"/>
      <c r="AB611"/>
      <c r="AC611"/>
      <c r="AD611"/>
      <c r="AE611"/>
      <c r="AF611"/>
      <c r="AG611"/>
      <c r="AH611"/>
      <c r="AI611"/>
      <c r="AJ611"/>
      <c r="AK611"/>
      <c r="AL611"/>
      <c r="AM611"/>
      <c r="AN611"/>
      <c r="AO611"/>
      <c r="AP611"/>
      <c r="AQ611"/>
      <c r="CH611">
        <f>IFERROR(U611*1,0)</f>
      </c>
    </row>
    <row r="612">
      <c r="A612" t="n">
        <v>9.0</v>
      </c>
      <c r="B612">
        <f>IF((K612-G612-H612&gt;2400000),10,(L612/(K612-G612-H612)*100))</f>
      </c>
      <c r="C612">
        <f>IF(N612&gt;2400000,240000,(N612*S612)/100)</f>
      </c>
      <c r="D612">
        <f>IF(S612=0,0,IF((N612-I612)&gt;2400000,((((((N612-I612-J612)-240000))*0.1+(I612+J612)*0.1)))-7000,((((((N612-I612-J612)-(N612-I612-J612)*S612/100)))*0.1+(I612+J612)*0.1)-7000)))</f>
      </c>
      <c r="E612">
        <f>C612-O612</f>
      </c>
      <c r="F612">
        <f>D612-P612</f>
      </c>
      <c r="G612">
        <f>SUMIF(negtgel!U$2:BL$2,'Tsalin uzuulelt'!B$1,negtgel!U612:BL612) + SUMIF(negtgel!U$2:BL$2,'Tsalin uzuulelt'!B$2,negtgel!U612:BL612)+SUMIF(negtgel!U$2:BL$2,'Tsalin uzuulelt'!B$3,negtgel!U612:BL612)+SUMIF(negtgel!U$2:BL$2,'Tsalin uzuulelt'!B$4,negtgel!U612:BL612)+SUMIF(negtgel!U$2:BL$2,'Tsalin uzuulelt'!B$5,negtgel!U612:BL612)</f>
      </c>
      <c r="H612">
        <f>SUMIF(negtgel!U$2:BL$2,'Tsalin uzuulelt'!F$1,negtgel!U612:BL612) + SUMIF(negtgel!U$2:BL$2,'Tsalin uzuulelt'!F$2,negtgel!U612:BL612)+SUMIF(negtgel!U$2:BL$2,'Tsalin uzuulelt'!F$3,negtgel!U612:BL612)+SUMIF(negtgel!U$2:BL$2,'Tsalin uzuulelt'!F$4,negtgel!U612:BL612)+SUMIF(negtgel!U$2:BL$2,'Tsalin uzuulelt'!F$5,negtgel!U612:BL612)</f>
      </c>
      <c r="I612">
        <f>SUMIF(negtgel!U$2:BL$2,'Tsalin uzuulelt'!H$1,negtgel!U612:BL612) + SUMIF(negtgel!U$2:BL$2,'Tsalin uzuulelt'!H$2,negtgel!U612:BL612)+SUMIF(negtgel!U$2:BL$2,'Tsalin uzuulelt'!H$3,negtgel!U612:BL612)+SUMIF(negtgel!U$2:BL$2,'Tsalin uzuulelt'!H$4,negtgel!U612:BL612)+SUMIF(negtgel!U$2:BL$2,'Tsalin uzuulelt'!H$5,negtgel!U612:BL612)</f>
      </c>
      <c r="J612">
        <f>SUMIF(negtgel!U$2:BL$2,'Tsalin uzuulelt'!J$1,negtgel!U612:BL612) + SUMIF(negtgel!U$2:BL$2,'Tsalin uzuulelt'!J$2,negtgel!U612:BL612)+SUMIF(negtgel!U$2:BL$2,'Tsalin uzuulelt'!J$3,negtgel!U612:BL612)+SUMIF(negtgel!U$2:BL$2,'Tsalin uzuulelt'!J$4,negtgel!U612:BL612)+SUMIF(negtgel!U$2:BL$2,'Tsalin uzuulelt'!J$5,negtgel!U612:BL612)</f>
      </c>
      <c r="K612">
        <f>SUMIF(negtgel!U$2:BL$2,'Tsalin uzuulelt'!L$1,negtgel!U612:BL612) + SUMIF(negtgel!U$2:BL$2,'Tsalin uzuulelt'!L$2,negtgel!U612:BL612)+SUMIF(negtgel!U$2:BL$2,'Tsalin uzuulelt'!L$3,negtgel!U612:BL612)+SUMIF(negtgel!U$2:BL$2,'Tsalin uzuulelt'!L$4,negtgel!U612:BL612)+SUMIF(negtgel!U$2:BL$2,'Tsalin uzuulelt'!L$5,negtgel!U612:BL612)</f>
      </c>
      <c r="L612">
        <f>SUMIF(negtgel!U$2:BL$2,'Tsalin uzuulelt'!N$1,negtgel!U612:BL612) + SUMIF(negtgel!U$2:BL$2,'Tsalin uzuulelt'!N$2,negtgel!U612:BL612)+SUMIF(negtgel!U$2:BL$2,'Tsalin uzuulelt'!N$3,negtgel!U612:BL612)+SUMIF(negtgel!U$2:BL$2,'Tsalin uzuulelt'!N$4,negtgel!U612:BL612)+SUMIF(negtgel!U$2:BL$2,'Tsalin uzuulelt'!N$5,negtgel!U612:BL612)</f>
      </c>
      <c r="M612">
        <f>SUMIF(negtgel!U$2:BL$2,'Tsalin uzuulelt'!P$1,negtgel!U612:BL612) + SUMIF(negtgel!U$2:BL$2,'Tsalin uzuulelt'!P$2,negtgel!U612:BL612)+ SUMIF(negtgel!U$2:BL$2,'Tsalin uzuulelt'!P$3,negtgel!U612:BL612)+ SUMIF(negtgel!U$2:BL$2,'Tsalin uzuulelt'!P$4,negtgel!U612:BL612)+ SUMIF(negtgel!U$2:BL$2,'Tsalin uzuulelt'!P$5,negtgel!U612:BL612)</f>
      </c>
      <c r="N612">
        <f>IF(ISNUMBER(U612*1)=CF612,0,K612-H612-G612)</f>
      </c>
      <c r="O612">
        <f>IF(ISNUMBER(U612*1)=CF612,0,L612)</f>
      </c>
      <c r="P612">
        <f>IF(ISNUMBER(U612*1)=CF612,0,M612)</f>
      </c>
      <c r="Q612">
        <f>IF(N612&gt;2400000,N612,0)</f>
      </c>
      <c r="R612">
        <f>IF(L612/Q612*100&lt;3,2,10)</f>
      </c>
      <c r="S612">
        <f>IF(CH612=0,0,IF(B612&gt;9,10,IF(B612&gt;8,B612,IF(B612&gt;7.7,7.8,IF(B612&gt;3,B612,IF(B612&gt;1.5,2))))))</f>
      </c>
      <c r="T612">
        <f>IF(Q612=0,S612,R612)</f>
      </c>
      <c r="U612" t="n">
        <v>94.0</v>
      </c>
      <c r="V612" t="s">
        <v>3859</v>
      </c>
      <c r="W612" t="s">
        <v>3790</v>
      </c>
      <c r="X612" t="n">
        <v>580710.0</v>
      </c>
      <c r="Y612" t="n">
        <v>0.0</v>
      </c>
      <c r="Z612" t="n">
        <v>0.0</v>
      </c>
      <c r="AA612" t="n">
        <v>0.0</v>
      </c>
      <c r="AB612" t="n">
        <v>0.0</v>
      </c>
      <c r="AC612" t="n">
        <v>0.0</v>
      </c>
      <c r="AD612" t="n">
        <v>0.0</v>
      </c>
      <c r="AE612" t="n">
        <v>0.0</v>
      </c>
      <c r="AF612" t="n">
        <v>0.0</v>
      </c>
      <c r="AG612" t="n">
        <v>0.0</v>
      </c>
      <c r="AH612" t="n">
        <v>0.0</v>
      </c>
      <c r="AI612" t="n">
        <v>0.0</v>
      </c>
      <c r="AJ612" t="n">
        <v>0.0</v>
      </c>
      <c r="AK612" t="n">
        <v>0.0</v>
      </c>
      <c r="AL612" t="n">
        <v>0.0</v>
      </c>
      <c r="AM612" t="n">
        <v>0.0</v>
      </c>
      <c r="AN612" t="n">
        <v>0.0</v>
      </c>
      <c r="AO612" t="n">
        <v>0.0</v>
      </c>
      <c r="AP612" t="n">
        <v>0.0</v>
      </c>
      <c r="AQ612" t="n">
        <v>0.0</v>
      </c>
      <c r="CH612">
        <f>IFERROR(U612*1,0)</f>
      </c>
    </row>
    <row r="613">
      <c r="A613" t="n">
        <v>9.0</v>
      </c>
      <c r="B613">
        <f>IF((K613-G613-H613&gt;2400000),10,(L613/(K613-G613-H613)*100))</f>
      </c>
      <c r="C613">
        <f>IF(N613&gt;2400000,240000,(N613*S613)/100)</f>
      </c>
      <c r="D613">
        <f>IF(S613=0,0,IF((N613-I613)&gt;2400000,((((((N613-I613-J613)-240000))*0.1+(I613+J613)*0.1)))-7000,((((((N613-I613-J613)-(N613-I613-J613)*S613/100)))*0.1+(I613+J613)*0.1)-7000)))</f>
      </c>
      <c r="E613">
        <f>C613-O613</f>
      </c>
      <c r="F613">
        <f>D613-P613</f>
      </c>
      <c r="G613">
        <f>SUMIF(negtgel!U$2:BL$2,'Tsalin uzuulelt'!B$1,negtgel!U613:BL613) + SUMIF(negtgel!U$2:BL$2,'Tsalin uzuulelt'!B$2,negtgel!U613:BL613)+SUMIF(negtgel!U$2:BL$2,'Tsalin uzuulelt'!B$3,negtgel!U613:BL613)+SUMIF(negtgel!U$2:BL$2,'Tsalin uzuulelt'!B$4,negtgel!U613:BL613)+SUMIF(negtgel!U$2:BL$2,'Tsalin uzuulelt'!B$5,negtgel!U613:BL613)</f>
      </c>
      <c r="H613">
        <f>SUMIF(negtgel!U$2:BL$2,'Tsalin uzuulelt'!F$1,negtgel!U613:BL613) + SUMIF(negtgel!U$2:BL$2,'Tsalin uzuulelt'!F$2,negtgel!U613:BL613)+SUMIF(negtgel!U$2:BL$2,'Tsalin uzuulelt'!F$3,negtgel!U613:BL613)+SUMIF(negtgel!U$2:BL$2,'Tsalin uzuulelt'!F$4,negtgel!U613:BL613)+SUMIF(negtgel!U$2:BL$2,'Tsalin uzuulelt'!F$5,negtgel!U613:BL613)</f>
      </c>
      <c r="I613">
        <f>SUMIF(negtgel!U$2:BL$2,'Tsalin uzuulelt'!H$1,negtgel!U613:BL613) + SUMIF(negtgel!U$2:BL$2,'Tsalin uzuulelt'!H$2,negtgel!U613:BL613)+SUMIF(negtgel!U$2:BL$2,'Tsalin uzuulelt'!H$3,negtgel!U613:BL613)+SUMIF(negtgel!U$2:BL$2,'Tsalin uzuulelt'!H$4,negtgel!U613:BL613)+SUMIF(negtgel!U$2:BL$2,'Tsalin uzuulelt'!H$5,negtgel!U613:BL613)</f>
      </c>
      <c r="J613">
        <f>SUMIF(negtgel!U$2:BL$2,'Tsalin uzuulelt'!J$1,negtgel!U613:BL613) + SUMIF(negtgel!U$2:BL$2,'Tsalin uzuulelt'!J$2,negtgel!U613:BL613)+SUMIF(negtgel!U$2:BL$2,'Tsalin uzuulelt'!J$3,negtgel!U613:BL613)+SUMIF(negtgel!U$2:BL$2,'Tsalin uzuulelt'!J$4,negtgel!U613:BL613)+SUMIF(negtgel!U$2:BL$2,'Tsalin uzuulelt'!J$5,negtgel!U613:BL613)</f>
      </c>
      <c r="K613">
        <f>SUMIF(negtgel!U$2:BL$2,'Tsalin uzuulelt'!L$1,negtgel!U613:BL613) + SUMIF(negtgel!U$2:BL$2,'Tsalin uzuulelt'!L$2,negtgel!U613:BL613)+SUMIF(negtgel!U$2:BL$2,'Tsalin uzuulelt'!L$3,negtgel!U613:BL613)+SUMIF(negtgel!U$2:BL$2,'Tsalin uzuulelt'!L$4,negtgel!U613:BL613)+SUMIF(negtgel!U$2:BL$2,'Tsalin uzuulelt'!L$5,negtgel!U613:BL613)</f>
      </c>
      <c r="L613">
        <f>SUMIF(negtgel!U$2:BL$2,'Tsalin uzuulelt'!N$1,negtgel!U613:BL613) + SUMIF(negtgel!U$2:BL$2,'Tsalin uzuulelt'!N$2,negtgel!U613:BL613)+SUMIF(negtgel!U$2:BL$2,'Tsalin uzuulelt'!N$3,negtgel!U613:BL613)+SUMIF(negtgel!U$2:BL$2,'Tsalin uzuulelt'!N$4,negtgel!U613:BL613)+SUMIF(negtgel!U$2:BL$2,'Tsalin uzuulelt'!N$5,negtgel!U613:BL613)</f>
      </c>
      <c r="M613">
        <f>SUMIF(negtgel!U$2:BL$2,'Tsalin uzuulelt'!P$1,negtgel!U613:BL613) + SUMIF(negtgel!U$2:BL$2,'Tsalin uzuulelt'!P$2,negtgel!U613:BL613)+ SUMIF(negtgel!U$2:BL$2,'Tsalin uzuulelt'!P$3,negtgel!U613:BL613)+ SUMIF(negtgel!U$2:BL$2,'Tsalin uzuulelt'!P$4,negtgel!U613:BL613)+ SUMIF(negtgel!U$2:BL$2,'Tsalin uzuulelt'!P$5,negtgel!U613:BL613)</f>
      </c>
      <c r="N613">
        <f>IF(ISNUMBER(U613*1)=CF613,0,K613-H613-G613)</f>
      </c>
      <c r="O613">
        <f>IF(ISNUMBER(U613*1)=CF613,0,L613)</f>
      </c>
      <c r="P613">
        <f>IF(ISNUMBER(U613*1)=CF613,0,M613)</f>
      </c>
      <c r="Q613">
        <f>IF(N613&gt;2400000,N613,0)</f>
      </c>
      <c r="R613">
        <f>IF(L613/Q613*100&lt;3,2,10)</f>
      </c>
      <c r="S613">
        <f>IF(CH613=0,0,IF(B613&gt;9,10,IF(B613&gt;8,B613,IF(B613&gt;7.7,7.8,IF(B613&gt;3,B613,IF(B613&gt;1.5,2))))))</f>
      </c>
      <c r="T613">
        <f>IF(Q613=0,S613,R613)</f>
      </c>
      <c r="U613" t="n">
        <v>95.0</v>
      </c>
      <c r="V613" t="s">
        <v>3873</v>
      </c>
      <c r="W613" t="s">
        <v>3792</v>
      </c>
      <c r="X613" t="n">
        <v>496912.0</v>
      </c>
      <c r="Y613" t="n">
        <v>0.0</v>
      </c>
      <c r="Z613" t="n">
        <v>0.0</v>
      </c>
      <c r="AA613" t="n">
        <v>0.0</v>
      </c>
      <c r="AB613" t="n">
        <v>0.0</v>
      </c>
      <c r="AC613" t="n">
        <v>0.0</v>
      </c>
      <c r="AD613" t="n">
        <v>0.0</v>
      </c>
      <c r="AE613" t="n">
        <v>0.0</v>
      </c>
      <c r="AF613" t="n">
        <v>0.0</v>
      </c>
      <c r="AG613" t="n">
        <v>0.0</v>
      </c>
      <c r="AH613" t="n">
        <v>0.0</v>
      </c>
      <c r="AI613" t="n">
        <v>0.0</v>
      </c>
      <c r="AJ613" t="n">
        <v>0.0</v>
      </c>
      <c r="AK613" t="n">
        <v>0.0</v>
      </c>
      <c r="AL613" t="n">
        <v>0.0</v>
      </c>
      <c r="AM613" t="n">
        <v>0.0</v>
      </c>
      <c r="AN613" t="n">
        <v>0.0</v>
      </c>
      <c r="AO613" t="n">
        <v>0.0</v>
      </c>
      <c r="AP613" t="n">
        <v>0.0</v>
      </c>
      <c r="AQ613" t="n">
        <v>0.0</v>
      </c>
      <c r="CH613">
        <f>IFERROR(U613*1,0)</f>
      </c>
    </row>
    <row r="614">
      <c r="A614" t="n">
        <v>9.0</v>
      </c>
      <c r="B614">
        <f>IF((K614-G614-H614&gt;2400000),10,(L614/(K614-G614-H614)*100))</f>
      </c>
      <c r="C614">
        <f>IF(N614&gt;2400000,240000,(N614*S614)/100)</f>
      </c>
      <c r="D614">
        <f>IF(S614=0,0,IF((N614-I614)&gt;2400000,((((((N614-I614-J614)-240000))*0.1+(I614+J614)*0.1)))-7000,((((((N614-I614-J614)-(N614-I614-J614)*S614/100)))*0.1+(I614+J614)*0.1)-7000)))</f>
      </c>
      <c r="E614">
        <f>C614-O614</f>
      </c>
      <c r="F614">
        <f>D614-P614</f>
      </c>
      <c r="G614">
        <f>SUMIF(negtgel!U$2:BL$2,'Tsalin uzuulelt'!B$1,negtgel!U614:BL614) + SUMIF(negtgel!U$2:BL$2,'Tsalin uzuulelt'!B$2,negtgel!U614:BL614)+SUMIF(negtgel!U$2:BL$2,'Tsalin uzuulelt'!B$3,negtgel!U614:BL614)+SUMIF(negtgel!U$2:BL$2,'Tsalin uzuulelt'!B$4,negtgel!U614:BL614)+SUMIF(negtgel!U$2:BL$2,'Tsalin uzuulelt'!B$5,negtgel!U614:BL614)</f>
      </c>
      <c r="H614">
        <f>SUMIF(negtgel!U$2:BL$2,'Tsalin uzuulelt'!F$1,negtgel!U614:BL614) + SUMIF(negtgel!U$2:BL$2,'Tsalin uzuulelt'!F$2,negtgel!U614:BL614)+SUMIF(negtgel!U$2:BL$2,'Tsalin uzuulelt'!F$3,negtgel!U614:BL614)+SUMIF(negtgel!U$2:BL$2,'Tsalin uzuulelt'!F$4,negtgel!U614:BL614)+SUMIF(negtgel!U$2:BL$2,'Tsalin uzuulelt'!F$5,negtgel!U614:BL614)</f>
      </c>
      <c r="I614">
        <f>SUMIF(negtgel!U$2:BL$2,'Tsalin uzuulelt'!H$1,negtgel!U614:BL614) + SUMIF(negtgel!U$2:BL$2,'Tsalin uzuulelt'!H$2,negtgel!U614:BL614)+SUMIF(negtgel!U$2:BL$2,'Tsalin uzuulelt'!H$3,negtgel!U614:BL614)+SUMIF(negtgel!U$2:BL$2,'Tsalin uzuulelt'!H$4,negtgel!U614:BL614)+SUMIF(negtgel!U$2:BL$2,'Tsalin uzuulelt'!H$5,negtgel!U614:BL614)</f>
      </c>
      <c r="J614">
        <f>SUMIF(negtgel!U$2:BL$2,'Tsalin uzuulelt'!J$1,negtgel!U614:BL614) + SUMIF(negtgel!U$2:BL$2,'Tsalin uzuulelt'!J$2,negtgel!U614:BL614)+SUMIF(negtgel!U$2:BL$2,'Tsalin uzuulelt'!J$3,negtgel!U614:BL614)+SUMIF(negtgel!U$2:BL$2,'Tsalin uzuulelt'!J$4,negtgel!U614:BL614)+SUMIF(negtgel!U$2:BL$2,'Tsalin uzuulelt'!J$5,negtgel!U614:BL614)</f>
      </c>
      <c r="K614">
        <f>SUMIF(negtgel!U$2:BL$2,'Tsalin uzuulelt'!L$1,negtgel!U614:BL614) + SUMIF(negtgel!U$2:BL$2,'Tsalin uzuulelt'!L$2,negtgel!U614:BL614)+SUMIF(negtgel!U$2:BL$2,'Tsalin uzuulelt'!L$3,negtgel!U614:BL614)+SUMIF(negtgel!U$2:BL$2,'Tsalin uzuulelt'!L$4,negtgel!U614:BL614)+SUMIF(negtgel!U$2:BL$2,'Tsalin uzuulelt'!L$5,negtgel!U614:BL614)</f>
      </c>
      <c r="L614">
        <f>SUMIF(negtgel!U$2:BL$2,'Tsalin uzuulelt'!N$1,negtgel!U614:BL614) + SUMIF(negtgel!U$2:BL$2,'Tsalin uzuulelt'!N$2,negtgel!U614:BL614)+SUMIF(negtgel!U$2:BL$2,'Tsalin uzuulelt'!N$3,negtgel!U614:BL614)+SUMIF(negtgel!U$2:BL$2,'Tsalin uzuulelt'!N$4,negtgel!U614:BL614)+SUMIF(negtgel!U$2:BL$2,'Tsalin uzuulelt'!N$5,negtgel!U614:BL614)</f>
      </c>
      <c r="M614">
        <f>SUMIF(negtgel!U$2:BL$2,'Tsalin uzuulelt'!P$1,negtgel!U614:BL614) + SUMIF(negtgel!U$2:BL$2,'Tsalin uzuulelt'!P$2,negtgel!U614:BL614)+ SUMIF(negtgel!U$2:BL$2,'Tsalin uzuulelt'!P$3,negtgel!U614:BL614)+ SUMIF(negtgel!U$2:BL$2,'Tsalin uzuulelt'!P$4,negtgel!U614:BL614)+ SUMIF(negtgel!U$2:BL$2,'Tsalin uzuulelt'!P$5,negtgel!U614:BL614)</f>
      </c>
      <c r="N614">
        <f>IF(ISNUMBER(U614*1)=CF614,0,K614-H614-G614)</f>
      </c>
      <c r="O614">
        <f>IF(ISNUMBER(U614*1)=CF614,0,L614)</f>
      </c>
      <c r="P614">
        <f>IF(ISNUMBER(U614*1)=CF614,0,M614)</f>
      </c>
      <c r="Q614">
        <f>IF(N614&gt;2400000,N614,0)</f>
      </c>
      <c r="R614">
        <f>IF(L614/Q614*100&lt;3,2,10)</f>
      </c>
      <c r="S614">
        <f>IF(CH614=0,0,IF(B614&gt;9,10,IF(B614&gt;8,B614,IF(B614&gt;7.7,7.8,IF(B614&gt;3,B614,IF(B614&gt;1.5,2))))))</f>
      </c>
      <c r="T614">
        <f>IF(Q614=0,S614,R614)</f>
      </c>
      <c r="U614" t="n">
        <v>96.0</v>
      </c>
      <c r="V614" t="s">
        <v>3874</v>
      </c>
      <c r="W614" t="s">
        <v>3790</v>
      </c>
      <c r="X614" t="n">
        <v>677436.0</v>
      </c>
      <c r="Y614" t="n">
        <v>0.0</v>
      </c>
      <c r="Z614" t="n">
        <v>0.0</v>
      </c>
      <c r="AA614" t="n">
        <v>0.0</v>
      </c>
      <c r="AB614" t="n">
        <v>0.0</v>
      </c>
      <c r="AC614" t="n">
        <v>0.0</v>
      </c>
      <c r="AD614" t="n">
        <v>0.0</v>
      </c>
      <c r="AE614" t="n">
        <v>0.0</v>
      </c>
      <c r="AF614" t="n">
        <v>0.0</v>
      </c>
      <c r="AG614" t="n">
        <v>0.0</v>
      </c>
      <c r="AH614" t="n">
        <v>0.0</v>
      </c>
      <c r="AI614" t="n">
        <v>0.0</v>
      </c>
      <c r="AJ614" t="n">
        <v>0.0</v>
      </c>
      <c r="AK614" t="n">
        <v>0.0</v>
      </c>
      <c r="AL614" t="n">
        <v>0.0</v>
      </c>
      <c r="AM614" t="n">
        <v>0.0</v>
      </c>
      <c r="AN614" t="n">
        <v>0.0</v>
      </c>
      <c r="AO614" t="n">
        <v>0.0</v>
      </c>
      <c r="AP614" t="n">
        <v>0.0</v>
      </c>
      <c r="AQ614" t="n">
        <v>0.0</v>
      </c>
      <c r="CH614">
        <f>IFERROR(U614*1,0)</f>
      </c>
    </row>
    <row r="615">
      <c r="A615" t="n">
        <v>9.0</v>
      </c>
      <c r="B615">
        <f>IF((K615-G615-H615&gt;2400000),10,(L615/(K615-G615-H615)*100))</f>
      </c>
      <c r="C615">
        <f>IF(N615&gt;2400000,240000,(N615*S615)/100)</f>
      </c>
      <c r="D615">
        <f>IF(S615=0,0,IF((N615-I615)&gt;2400000,((((((N615-I615-J615)-240000))*0.1+(I615+J615)*0.1)))-7000,((((((N615-I615-J615)-(N615-I615-J615)*S615/100)))*0.1+(I615+J615)*0.1)-7000)))</f>
      </c>
      <c r="E615">
        <f>C615-O615</f>
      </c>
      <c r="F615">
        <f>D615-P615</f>
      </c>
      <c r="G615">
        <f>SUMIF(negtgel!U$2:BL$2,'Tsalin uzuulelt'!B$1,negtgel!U615:BL615) + SUMIF(negtgel!U$2:BL$2,'Tsalin uzuulelt'!B$2,negtgel!U615:BL615)+SUMIF(negtgel!U$2:BL$2,'Tsalin uzuulelt'!B$3,negtgel!U615:BL615)+SUMIF(negtgel!U$2:BL$2,'Tsalin uzuulelt'!B$4,negtgel!U615:BL615)+SUMIF(negtgel!U$2:BL$2,'Tsalin uzuulelt'!B$5,negtgel!U615:BL615)</f>
      </c>
      <c r="H615">
        <f>SUMIF(negtgel!U$2:BL$2,'Tsalin uzuulelt'!F$1,negtgel!U615:BL615) + SUMIF(negtgel!U$2:BL$2,'Tsalin uzuulelt'!F$2,negtgel!U615:BL615)+SUMIF(negtgel!U$2:BL$2,'Tsalin uzuulelt'!F$3,negtgel!U615:BL615)+SUMIF(negtgel!U$2:BL$2,'Tsalin uzuulelt'!F$4,negtgel!U615:BL615)+SUMIF(negtgel!U$2:BL$2,'Tsalin uzuulelt'!F$5,negtgel!U615:BL615)</f>
      </c>
      <c r="I615">
        <f>SUMIF(negtgel!U$2:BL$2,'Tsalin uzuulelt'!H$1,negtgel!U615:BL615) + SUMIF(negtgel!U$2:BL$2,'Tsalin uzuulelt'!H$2,negtgel!U615:BL615)+SUMIF(negtgel!U$2:BL$2,'Tsalin uzuulelt'!H$3,negtgel!U615:BL615)+SUMIF(negtgel!U$2:BL$2,'Tsalin uzuulelt'!H$4,negtgel!U615:BL615)+SUMIF(negtgel!U$2:BL$2,'Tsalin uzuulelt'!H$5,negtgel!U615:BL615)</f>
      </c>
      <c r="J615">
        <f>SUMIF(negtgel!U$2:BL$2,'Tsalin uzuulelt'!J$1,negtgel!U615:BL615) + SUMIF(negtgel!U$2:BL$2,'Tsalin uzuulelt'!J$2,negtgel!U615:BL615)+SUMIF(negtgel!U$2:BL$2,'Tsalin uzuulelt'!J$3,negtgel!U615:BL615)+SUMIF(negtgel!U$2:BL$2,'Tsalin uzuulelt'!J$4,negtgel!U615:BL615)+SUMIF(negtgel!U$2:BL$2,'Tsalin uzuulelt'!J$5,negtgel!U615:BL615)</f>
      </c>
      <c r="K615">
        <f>SUMIF(negtgel!U$2:BL$2,'Tsalin uzuulelt'!L$1,negtgel!U615:BL615) + SUMIF(negtgel!U$2:BL$2,'Tsalin uzuulelt'!L$2,negtgel!U615:BL615)+SUMIF(negtgel!U$2:BL$2,'Tsalin uzuulelt'!L$3,negtgel!U615:BL615)+SUMIF(negtgel!U$2:BL$2,'Tsalin uzuulelt'!L$4,negtgel!U615:BL615)+SUMIF(negtgel!U$2:BL$2,'Tsalin uzuulelt'!L$5,negtgel!U615:BL615)</f>
      </c>
      <c r="L615">
        <f>SUMIF(negtgel!U$2:BL$2,'Tsalin uzuulelt'!N$1,negtgel!U615:BL615) + SUMIF(negtgel!U$2:BL$2,'Tsalin uzuulelt'!N$2,negtgel!U615:BL615)+SUMIF(negtgel!U$2:BL$2,'Tsalin uzuulelt'!N$3,negtgel!U615:BL615)+SUMIF(negtgel!U$2:BL$2,'Tsalin uzuulelt'!N$4,negtgel!U615:BL615)+SUMIF(negtgel!U$2:BL$2,'Tsalin uzuulelt'!N$5,negtgel!U615:BL615)</f>
      </c>
      <c r="M615">
        <f>SUMIF(negtgel!U$2:BL$2,'Tsalin uzuulelt'!P$1,negtgel!U615:BL615) + SUMIF(negtgel!U$2:BL$2,'Tsalin uzuulelt'!P$2,negtgel!U615:BL615)+ SUMIF(negtgel!U$2:BL$2,'Tsalin uzuulelt'!P$3,negtgel!U615:BL615)+ SUMIF(negtgel!U$2:BL$2,'Tsalin uzuulelt'!P$4,negtgel!U615:BL615)+ SUMIF(negtgel!U$2:BL$2,'Tsalin uzuulelt'!P$5,negtgel!U615:BL615)</f>
      </c>
      <c r="N615">
        <f>IF(ISNUMBER(U615*1)=CF615,0,K615-H615-G615)</f>
      </c>
      <c r="O615">
        <f>IF(ISNUMBER(U615*1)=CF615,0,L615)</f>
      </c>
      <c r="P615">
        <f>IF(ISNUMBER(U615*1)=CF615,0,M615)</f>
      </c>
      <c r="Q615">
        <f>IF(N615&gt;2400000,N615,0)</f>
      </c>
      <c r="R615">
        <f>IF(L615/Q615*100&lt;3,2,10)</f>
      </c>
      <c r="S615">
        <f>IF(CH615=0,0,IF(B615&gt;9,10,IF(B615&gt;8,B615,IF(B615&gt;7.7,7.8,IF(B615&gt;3,B615,IF(B615&gt;1.5,2))))))</f>
      </c>
      <c r="T615">
        <f>IF(Q615=0,S615,R615)</f>
      </c>
      <c r="U615" t="n">
        <v>97.0</v>
      </c>
      <c r="V615" t="s">
        <v>3875</v>
      </c>
      <c r="W615" t="s">
        <v>3790</v>
      </c>
      <c r="X615" t="n">
        <v>580710.0</v>
      </c>
      <c r="Y615" t="n">
        <v>0.0</v>
      </c>
      <c r="Z615" t="n">
        <v>0.0</v>
      </c>
      <c r="AA615" t="n">
        <v>0.0</v>
      </c>
      <c r="AB615" t="n">
        <v>0.0</v>
      </c>
      <c r="AC615" t="n">
        <v>0.0</v>
      </c>
      <c r="AD615" t="n">
        <v>0.0</v>
      </c>
      <c r="AE615" t="n">
        <v>0.0</v>
      </c>
      <c r="AF615" t="n">
        <v>0.0</v>
      </c>
      <c r="AG615" t="n">
        <v>0.0</v>
      </c>
      <c r="AH615" t="n">
        <v>0.0</v>
      </c>
      <c r="AI615" t="n">
        <v>0.0</v>
      </c>
      <c r="AJ615" t="n">
        <v>0.0</v>
      </c>
      <c r="AK615" t="n">
        <v>0.0</v>
      </c>
      <c r="AL615" t="n">
        <v>0.0</v>
      </c>
      <c r="AM615" t="n">
        <v>0.0</v>
      </c>
      <c r="AN615" t="n">
        <v>0.0</v>
      </c>
      <c r="AO615" t="n">
        <v>0.0</v>
      </c>
      <c r="AP615" t="n">
        <v>0.0</v>
      </c>
      <c r="AQ615" t="n">
        <v>0.0</v>
      </c>
      <c r="CH615">
        <f>IFERROR(U615*1,0)</f>
      </c>
    </row>
    <row r="616">
      <c r="A616" t="n">
        <v>9.0</v>
      </c>
      <c r="B616">
        <f>IF((K616-G616-H616&gt;2400000),10,(L616/(K616-G616-H616)*100))</f>
      </c>
      <c r="C616">
        <f>IF(N616&gt;2400000,240000,(N616*S616)/100)</f>
      </c>
      <c r="D616">
        <f>IF(S616=0,0,IF((N616-I616)&gt;2400000,((((((N616-I616-J616)-240000))*0.1+(I616+J616)*0.1)))-7000,((((((N616-I616-J616)-(N616-I616-J616)*S616/100)))*0.1+(I616+J616)*0.1)-7000)))</f>
      </c>
      <c r="E616">
        <f>C616-O616</f>
      </c>
      <c r="F616">
        <f>D616-P616</f>
      </c>
      <c r="G616">
        <f>SUMIF(negtgel!U$2:BL$2,'Tsalin uzuulelt'!B$1,negtgel!U616:BL616) + SUMIF(negtgel!U$2:BL$2,'Tsalin uzuulelt'!B$2,negtgel!U616:BL616)+SUMIF(negtgel!U$2:BL$2,'Tsalin uzuulelt'!B$3,negtgel!U616:BL616)+SUMIF(negtgel!U$2:BL$2,'Tsalin uzuulelt'!B$4,negtgel!U616:BL616)+SUMIF(negtgel!U$2:BL$2,'Tsalin uzuulelt'!B$5,negtgel!U616:BL616)</f>
      </c>
      <c r="H616">
        <f>SUMIF(negtgel!U$2:BL$2,'Tsalin uzuulelt'!F$1,negtgel!U616:BL616) + SUMIF(negtgel!U$2:BL$2,'Tsalin uzuulelt'!F$2,negtgel!U616:BL616)+SUMIF(negtgel!U$2:BL$2,'Tsalin uzuulelt'!F$3,negtgel!U616:BL616)+SUMIF(negtgel!U$2:BL$2,'Tsalin uzuulelt'!F$4,negtgel!U616:BL616)+SUMIF(negtgel!U$2:BL$2,'Tsalin uzuulelt'!F$5,negtgel!U616:BL616)</f>
      </c>
      <c r="I616">
        <f>SUMIF(negtgel!U$2:BL$2,'Tsalin uzuulelt'!H$1,negtgel!U616:BL616) + SUMIF(negtgel!U$2:BL$2,'Tsalin uzuulelt'!H$2,negtgel!U616:BL616)+SUMIF(negtgel!U$2:BL$2,'Tsalin uzuulelt'!H$3,negtgel!U616:BL616)+SUMIF(negtgel!U$2:BL$2,'Tsalin uzuulelt'!H$4,negtgel!U616:BL616)+SUMIF(negtgel!U$2:BL$2,'Tsalin uzuulelt'!H$5,negtgel!U616:BL616)</f>
      </c>
      <c r="J616">
        <f>SUMIF(negtgel!U$2:BL$2,'Tsalin uzuulelt'!J$1,negtgel!U616:BL616) + SUMIF(negtgel!U$2:BL$2,'Tsalin uzuulelt'!J$2,negtgel!U616:BL616)+SUMIF(negtgel!U$2:BL$2,'Tsalin uzuulelt'!J$3,negtgel!U616:BL616)+SUMIF(negtgel!U$2:BL$2,'Tsalin uzuulelt'!J$4,negtgel!U616:BL616)+SUMIF(negtgel!U$2:BL$2,'Tsalin uzuulelt'!J$5,negtgel!U616:BL616)</f>
      </c>
      <c r="K616">
        <f>SUMIF(negtgel!U$2:BL$2,'Tsalin uzuulelt'!L$1,negtgel!U616:BL616) + SUMIF(negtgel!U$2:BL$2,'Tsalin uzuulelt'!L$2,negtgel!U616:BL616)+SUMIF(negtgel!U$2:BL$2,'Tsalin uzuulelt'!L$3,negtgel!U616:BL616)+SUMIF(negtgel!U$2:BL$2,'Tsalin uzuulelt'!L$4,negtgel!U616:BL616)+SUMIF(negtgel!U$2:BL$2,'Tsalin uzuulelt'!L$5,negtgel!U616:BL616)</f>
      </c>
      <c r="L616">
        <f>SUMIF(negtgel!U$2:BL$2,'Tsalin uzuulelt'!N$1,negtgel!U616:BL616) + SUMIF(negtgel!U$2:BL$2,'Tsalin uzuulelt'!N$2,negtgel!U616:BL616)+SUMIF(negtgel!U$2:BL$2,'Tsalin uzuulelt'!N$3,negtgel!U616:BL616)+SUMIF(negtgel!U$2:BL$2,'Tsalin uzuulelt'!N$4,negtgel!U616:BL616)+SUMIF(negtgel!U$2:BL$2,'Tsalin uzuulelt'!N$5,negtgel!U616:BL616)</f>
      </c>
      <c r="M616">
        <f>SUMIF(negtgel!U$2:BL$2,'Tsalin uzuulelt'!P$1,negtgel!U616:BL616) + SUMIF(negtgel!U$2:BL$2,'Tsalin uzuulelt'!P$2,negtgel!U616:BL616)+ SUMIF(negtgel!U$2:BL$2,'Tsalin uzuulelt'!P$3,negtgel!U616:BL616)+ SUMIF(negtgel!U$2:BL$2,'Tsalin uzuulelt'!P$4,negtgel!U616:BL616)+ SUMIF(negtgel!U$2:BL$2,'Tsalin uzuulelt'!P$5,negtgel!U616:BL616)</f>
      </c>
      <c r="N616">
        <f>IF(ISNUMBER(U616*1)=CF616,0,K616-H616-G616)</f>
      </c>
      <c r="O616">
        <f>IF(ISNUMBER(U616*1)=CF616,0,L616)</f>
      </c>
      <c r="P616">
        <f>IF(ISNUMBER(U616*1)=CF616,0,M616)</f>
      </c>
      <c r="Q616">
        <f>IF(N616&gt;2400000,N616,0)</f>
      </c>
      <c r="R616">
        <f>IF(L616/Q616*100&lt;3,2,10)</f>
      </c>
      <c r="S616">
        <f>IF(CH616=0,0,IF(B616&gt;9,10,IF(B616&gt;8,B616,IF(B616&gt;7.7,7.8,IF(B616&gt;3,B616,IF(B616&gt;1.5,2))))))</f>
      </c>
      <c r="T616">
        <f>IF(Q616=0,S616,R616)</f>
      </c>
      <c r="U616" t="n">
        <v>151.0</v>
      </c>
      <c r="V616" t="s">
        <v>3870</v>
      </c>
      <c r="W616" t="s">
        <v>3790</v>
      </c>
      <c r="X616" t="n">
        <v>580710.0</v>
      </c>
      <c r="Y616" t="n">
        <v>0.0</v>
      </c>
      <c r="Z616" t="n">
        <v>0.0</v>
      </c>
      <c r="AA616" t="n">
        <v>0.0</v>
      </c>
      <c r="AB616" t="n">
        <v>0.0</v>
      </c>
      <c r="AC616" t="n">
        <v>0.0</v>
      </c>
      <c r="AD616" t="n">
        <v>0.0</v>
      </c>
      <c r="AE616" t="n">
        <v>0.0</v>
      </c>
      <c r="AF616" t="n">
        <v>0.0</v>
      </c>
      <c r="AG616" t="n">
        <v>0.0</v>
      </c>
      <c r="AH616" t="n">
        <v>0.0</v>
      </c>
      <c r="AI616" t="n">
        <v>0.0</v>
      </c>
      <c r="AJ616" t="n">
        <v>0.0</v>
      </c>
      <c r="AK616" t="n">
        <v>0.0</v>
      </c>
      <c r="AL616" t="n">
        <v>0.0</v>
      </c>
      <c r="AM616" t="n">
        <v>0.0</v>
      </c>
      <c r="AN616" t="n">
        <v>0.0</v>
      </c>
      <c r="AO616" t="n">
        <v>0.0</v>
      </c>
      <c r="AP616" t="n">
        <v>0.0</v>
      </c>
      <c r="AQ616" t="n">
        <v>0.0</v>
      </c>
      <c r="CH616">
        <f>IFERROR(U616*1,0)</f>
      </c>
    </row>
    <row r="617">
      <c r="A617" t="n">
        <v>9.0</v>
      </c>
      <c r="B617">
        <f>IF((K617-G617-H617&gt;2400000),10,(L617/(K617-G617-H617)*100))</f>
      </c>
      <c r="C617">
        <f>IF(N617&gt;2400000,240000,(N617*S617)/100)</f>
      </c>
      <c r="D617">
        <f>IF(S617=0,0,IF((N617-I617)&gt;2400000,((((((N617-I617-J617)-240000))*0.1+(I617+J617)*0.1)))-7000,((((((N617-I617-J617)-(N617-I617-J617)*S617/100)))*0.1+(I617+J617)*0.1)-7000)))</f>
      </c>
      <c r="E617">
        <f>C617-O617</f>
      </c>
      <c r="F617">
        <f>D617-P617</f>
      </c>
      <c r="G617">
        <f>SUMIF(negtgel!U$2:BL$2,'Tsalin uzuulelt'!B$1,negtgel!U617:BL617) + SUMIF(negtgel!U$2:BL$2,'Tsalin uzuulelt'!B$2,negtgel!U617:BL617)+SUMIF(negtgel!U$2:BL$2,'Tsalin uzuulelt'!B$3,negtgel!U617:BL617)+SUMIF(negtgel!U$2:BL$2,'Tsalin uzuulelt'!B$4,negtgel!U617:BL617)+SUMIF(negtgel!U$2:BL$2,'Tsalin uzuulelt'!B$5,negtgel!U617:BL617)</f>
      </c>
      <c r="H617">
        <f>SUMIF(negtgel!U$2:BL$2,'Tsalin uzuulelt'!F$1,negtgel!U617:BL617) + SUMIF(negtgel!U$2:BL$2,'Tsalin uzuulelt'!F$2,negtgel!U617:BL617)+SUMIF(negtgel!U$2:BL$2,'Tsalin uzuulelt'!F$3,negtgel!U617:BL617)+SUMIF(negtgel!U$2:BL$2,'Tsalin uzuulelt'!F$4,negtgel!U617:BL617)+SUMIF(negtgel!U$2:BL$2,'Tsalin uzuulelt'!F$5,negtgel!U617:BL617)</f>
      </c>
      <c r="I617">
        <f>SUMIF(negtgel!U$2:BL$2,'Tsalin uzuulelt'!H$1,negtgel!U617:BL617) + SUMIF(negtgel!U$2:BL$2,'Tsalin uzuulelt'!H$2,negtgel!U617:BL617)+SUMIF(negtgel!U$2:BL$2,'Tsalin uzuulelt'!H$3,negtgel!U617:BL617)+SUMIF(negtgel!U$2:BL$2,'Tsalin uzuulelt'!H$4,negtgel!U617:BL617)+SUMIF(negtgel!U$2:BL$2,'Tsalin uzuulelt'!H$5,negtgel!U617:BL617)</f>
      </c>
      <c r="J617">
        <f>SUMIF(negtgel!U$2:BL$2,'Tsalin uzuulelt'!J$1,negtgel!U617:BL617) + SUMIF(negtgel!U$2:BL$2,'Tsalin uzuulelt'!J$2,negtgel!U617:BL617)+SUMIF(negtgel!U$2:BL$2,'Tsalin uzuulelt'!J$3,negtgel!U617:BL617)+SUMIF(negtgel!U$2:BL$2,'Tsalin uzuulelt'!J$4,negtgel!U617:BL617)+SUMIF(negtgel!U$2:BL$2,'Tsalin uzuulelt'!J$5,negtgel!U617:BL617)</f>
      </c>
      <c r="K617">
        <f>SUMIF(negtgel!U$2:BL$2,'Tsalin uzuulelt'!L$1,negtgel!U617:BL617) + SUMIF(negtgel!U$2:BL$2,'Tsalin uzuulelt'!L$2,negtgel!U617:BL617)+SUMIF(negtgel!U$2:BL$2,'Tsalin uzuulelt'!L$3,negtgel!U617:BL617)+SUMIF(negtgel!U$2:BL$2,'Tsalin uzuulelt'!L$4,negtgel!U617:BL617)+SUMIF(negtgel!U$2:BL$2,'Tsalin uzuulelt'!L$5,negtgel!U617:BL617)</f>
      </c>
      <c r="L617">
        <f>SUMIF(negtgel!U$2:BL$2,'Tsalin uzuulelt'!N$1,negtgel!U617:BL617) + SUMIF(negtgel!U$2:BL$2,'Tsalin uzuulelt'!N$2,negtgel!U617:BL617)+SUMIF(negtgel!U$2:BL$2,'Tsalin uzuulelt'!N$3,negtgel!U617:BL617)+SUMIF(negtgel!U$2:BL$2,'Tsalin uzuulelt'!N$4,negtgel!U617:BL617)+SUMIF(negtgel!U$2:BL$2,'Tsalin uzuulelt'!N$5,negtgel!U617:BL617)</f>
      </c>
      <c r="M617">
        <f>SUMIF(negtgel!U$2:BL$2,'Tsalin uzuulelt'!P$1,negtgel!U617:BL617) + SUMIF(negtgel!U$2:BL$2,'Tsalin uzuulelt'!P$2,negtgel!U617:BL617)+ SUMIF(negtgel!U$2:BL$2,'Tsalin uzuulelt'!P$3,negtgel!U617:BL617)+ SUMIF(negtgel!U$2:BL$2,'Tsalin uzuulelt'!P$4,negtgel!U617:BL617)+ SUMIF(negtgel!U$2:BL$2,'Tsalin uzuulelt'!P$5,negtgel!U617:BL617)</f>
      </c>
      <c r="N617">
        <f>IF(ISNUMBER(U617*1)=CF617,0,K617-H617-G617)</f>
      </c>
      <c r="O617">
        <f>IF(ISNUMBER(U617*1)=CF617,0,L617)</f>
      </c>
      <c r="P617">
        <f>IF(ISNUMBER(U617*1)=CF617,0,M617)</f>
      </c>
      <c r="Q617">
        <f>IF(N617&gt;2400000,N617,0)</f>
      </c>
      <c r="R617">
        <f>IF(L617/Q617*100&lt;3,2,10)</f>
      </c>
      <c r="S617">
        <f>IF(CH617=0,0,IF(B617&gt;9,10,IF(B617&gt;8,B617,IF(B617&gt;7.7,7.8,IF(B617&gt;3,B617,IF(B617&gt;1.5,2))))))</f>
      </c>
      <c r="T617">
        <f>IF(Q617=0,S617,R617)</f>
      </c>
      <c r="U617" t="n">
        <v>152.0</v>
      </c>
      <c r="V617" t="s">
        <v>3871</v>
      </c>
      <c r="W617" t="s">
        <v>3790</v>
      </c>
      <c r="X617" t="n">
        <v>613669.0</v>
      </c>
      <c r="Y617" t="n">
        <v>0.0</v>
      </c>
      <c r="Z617" t="n">
        <v>0.0</v>
      </c>
      <c r="AA617" t="n">
        <v>0.0</v>
      </c>
      <c r="AB617" t="n">
        <v>0.0</v>
      </c>
      <c r="AC617" t="n">
        <v>0.0</v>
      </c>
      <c r="AD617" t="n">
        <v>0.0</v>
      </c>
      <c r="AE617" t="n">
        <v>0.0</v>
      </c>
      <c r="AF617" t="n">
        <v>0.0</v>
      </c>
      <c r="AG617" t="n">
        <v>0.0</v>
      </c>
      <c r="AH617" t="n">
        <v>0.0</v>
      </c>
      <c r="AI617" t="n">
        <v>0.0</v>
      </c>
      <c r="AJ617" t="n">
        <v>0.0</v>
      </c>
      <c r="AK617" t="n">
        <v>0.0</v>
      </c>
      <c r="AL617" t="n">
        <v>0.0</v>
      </c>
      <c r="AM617" t="n">
        <v>0.0</v>
      </c>
      <c r="AN617" t="n">
        <v>0.0</v>
      </c>
      <c r="AO617" t="n">
        <v>0.0</v>
      </c>
      <c r="AP617" t="n">
        <v>0.0</v>
      </c>
      <c r="AQ617" t="n">
        <v>0.0</v>
      </c>
      <c r="CH617">
        <f>IFERROR(U617*1,0)</f>
      </c>
    </row>
    <row r="618">
      <c r="A618" t="n">
        <v>9.0</v>
      </c>
      <c r="B618">
        <f>IF((K618-G618-H618&gt;2400000),10,(L618/(K618-G618-H618)*100))</f>
      </c>
      <c r="C618">
        <f>IF(N618&gt;2400000,240000,(N618*S618)/100)</f>
      </c>
      <c r="D618">
        <f>IF(S618=0,0,IF((N618-I618)&gt;2400000,((((((N618-I618-J618)-240000))*0.1+(I618+J618)*0.1)))-7000,((((((N618-I618-J618)-(N618-I618-J618)*S618/100)))*0.1+(I618+J618)*0.1)-7000)))</f>
      </c>
      <c r="E618">
        <f>C618-O618</f>
      </c>
      <c r="F618">
        <f>D618-P618</f>
      </c>
      <c r="G618">
        <f>SUMIF(negtgel!U$2:BL$2,'Tsalin uzuulelt'!B$1,negtgel!U618:BL618) + SUMIF(negtgel!U$2:BL$2,'Tsalin uzuulelt'!B$2,negtgel!U618:BL618)+SUMIF(negtgel!U$2:BL$2,'Tsalin uzuulelt'!B$3,negtgel!U618:BL618)+SUMIF(negtgel!U$2:BL$2,'Tsalin uzuulelt'!B$4,negtgel!U618:BL618)+SUMIF(negtgel!U$2:BL$2,'Tsalin uzuulelt'!B$5,negtgel!U618:BL618)</f>
      </c>
      <c r="H618">
        <f>SUMIF(negtgel!U$2:BL$2,'Tsalin uzuulelt'!F$1,negtgel!U618:BL618) + SUMIF(negtgel!U$2:BL$2,'Tsalin uzuulelt'!F$2,negtgel!U618:BL618)+SUMIF(negtgel!U$2:BL$2,'Tsalin uzuulelt'!F$3,negtgel!U618:BL618)+SUMIF(negtgel!U$2:BL$2,'Tsalin uzuulelt'!F$4,negtgel!U618:BL618)+SUMIF(negtgel!U$2:BL$2,'Tsalin uzuulelt'!F$5,negtgel!U618:BL618)</f>
      </c>
      <c r="I618">
        <f>SUMIF(negtgel!U$2:BL$2,'Tsalin uzuulelt'!H$1,negtgel!U618:BL618) + SUMIF(negtgel!U$2:BL$2,'Tsalin uzuulelt'!H$2,negtgel!U618:BL618)+SUMIF(negtgel!U$2:BL$2,'Tsalin uzuulelt'!H$3,negtgel!U618:BL618)+SUMIF(negtgel!U$2:BL$2,'Tsalin uzuulelt'!H$4,negtgel!U618:BL618)+SUMIF(negtgel!U$2:BL$2,'Tsalin uzuulelt'!H$5,negtgel!U618:BL618)</f>
      </c>
      <c r="J618">
        <f>SUMIF(negtgel!U$2:BL$2,'Tsalin uzuulelt'!J$1,negtgel!U618:BL618) + SUMIF(negtgel!U$2:BL$2,'Tsalin uzuulelt'!J$2,negtgel!U618:BL618)+SUMIF(negtgel!U$2:BL$2,'Tsalin uzuulelt'!J$3,negtgel!U618:BL618)+SUMIF(negtgel!U$2:BL$2,'Tsalin uzuulelt'!J$4,negtgel!U618:BL618)+SUMIF(negtgel!U$2:BL$2,'Tsalin uzuulelt'!J$5,negtgel!U618:BL618)</f>
      </c>
      <c r="K618">
        <f>SUMIF(negtgel!U$2:BL$2,'Tsalin uzuulelt'!L$1,negtgel!U618:BL618) + SUMIF(negtgel!U$2:BL$2,'Tsalin uzuulelt'!L$2,negtgel!U618:BL618)+SUMIF(negtgel!U$2:BL$2,'Tsalin uzuulelt'!L$3,negtgel!U618:BL618)+SUMIF(negtgel!U$2:BL$2,'Tsalin uzuulelt'!L$4,negtgel!U618:BL618)+SUMIF(negtgel!U$2:BL$2,'Tsalin uzuulelt'!L$5,negtgel!U618:BL618)</f>
      </c>
      <c r="L618">
        <f>SUMIF(negtgel!U$2:BL$2,'Tsalin uzuulelt'!N$1,negtgel!U618:BL618) + SUMIF(negtgel!U$2:BL$2,'Tsalin uzuulelt'!N$2,negtgel!U618:BL618)+SUMIF(negtgel!U$2:BL$2,'Tsalin uzuulelt'!N$3,negtgel!U618:BL618)+SUMIF(negtgel!U$2:BL$2,'Tsalin uzuulelt'!N$4,negtgel!U618:BL618)+SUMIF(negtgel!U$2:BL$2,'Tsalin uzuulelt'!N$5,negtgel!U618:BL618)</f>
      </c>
      <c r="M618">
        <f>SUMIF(negtgel!U$2:BL$2,'Tsalin uzuulelt'!P$1,negtgel!U618:BL618) + SUMIF(negtgel!U$2:BL$2,'Tsalin uzuulelt'!P$2,negtgel!U618:BL618)+ SUMIF(negtgel!U$2:BL$2,'Tsalin uzuulelt'!P$3,negtgel!U618:BL618)+ SUMIF(negtgel!U$2:BL$2,'Tsalin uzuulelt'!P$4,negtgel!U618:BL618)+ SUMIF(negtgel!U$2:BL$2,'Tsalin uzuulelt'!P$5,negtgel!U618:BL618)</f>
      </c>
      <c r="N618">
        <f>IF(ISNUMBER(U618*1)=CF618,0,K618-H618-G618)</f>
      </c>
      <c r="O618">
        <f>IF(ISNUMBER(U618*1)=CF618,0,L618)</f>
      </c>
      <c r="P618">
        <f>IF(ISNUMBER(U618*1)=CF618,0,M618)</f>
      </c>
      <c r="Q618">
        <f>IF(N618&gt;2400000,N618,0)</f>
      </c>
      <c r="R618">
        <f>IF(L618/Q618*100&lt;3,2,10)</f>
      </c>
      <c r="S618">
        <f>IF(CH618=0,0,IF(B618&gt;9,10,IF(B618&gt;8,B618,IF(B618&gt;7.7,7.8,IF(B618&gt;3,B618,IF(B618&gt;1.5,2))))))</f>
      </c>
      <c r="T618">
        <f>IF(Q618=0,S618,R618)</f>
      </c>
      <c r="U618" t="n">
        <v>153.0</v>
      </c>
      <c r="V618" t="s">
        <v>3863</v>
      </c>
      <c r="W618" t="s">
        <v>3790</v>
      </c>
      <c r="X618" t="n">
        <v>577826.0</v>
      </c>
      <c r="Y618" t="n">
        <v>0.0</v>
      </c>
      <c r="Z618" t="n">
        <v>0.0</v>
      </c>
      <c r="AA618" t="n">
        <v>0.0</v>
      </c>
      <c r="AB618" t="n">
        <v>0.0</v>
      </c>
      <c r="AC618" t="n">
        <v>0.0</v>
      </c>
      <c r="AD618" t="n">
        <v>0.0</v>
      </c>
      <c r="AE618" t="n">
        <v>0.0</v>
      </c>
      <c r="AF618" t="n">
        <v>0.0</v>
      </c>
      <c r="AG618" t="n">
        <v>0.0</v>
      </c>
      <c r="AH618" t="n">
        <v>0.0</v>
      </c>
      <c r="AI618" t="n">
        <v>0.0</v>
      </c>
      <c r="AJ618" t="n">
        <v>0.0</v>
      </c>
      <c r="AK618" t="n">
        <v>0.0</v>
      </c>
      <c r="AL618" t="n">
        <v>0.0</v>
      </c>
      <c r="AM618" t="n">
        <v>0.0</v>
      </c>
      <c r="AN618" t="n">
        <v>0.0</v>
      </c>
      <c r="AO618" t="n">
        <v>0.0</v>
      </c>
      <c r="AP618" t="n">
        <v>0.0</v>
      </c>
      <c r="AQ618" t="n">
        <v>0.0</v>
      </c>
      <c r="CH618">
        <f>IFERROR(U618*1,0)</f>
      </c>
    </row>
    <row r="619">
      <c r="A619" t="n">
        <v>9.0</v>
      </c>
      <c r="B619">
        <f>IF((K619-G619-H619&gt;2400000),10,(L619/(K619-G619-H619)*100))</f>
      </c>
      <c r="C619">
        <f>IF(N619&gt;2400000,240000,(N619*S619)/100)</f>
      </c>
      <c r="D619">
        <f>IF(S619=0,0,IF((N619-I619)&gt;2400000,((((((N619-I619-J619)-240000))*0.1+(I619+J619)*0.1)))-7000,((((((N619-I619-J619)-(N619-I619-J619)*S619/100)))*0.1+(I619+J619)*0.1)-7000)))</f>
      </c>
      <c r="E619">
        <f>C619-O619</f>
      </c>
      <c r="F619">
        <f>D619-P619</f>
      </c>
      <c r="G619">
        <f>SUMIF(negtgel!U$2:BL$2,'Tsalin uzuulelt'!B$1,negtgel!U619:BL619) + SUMIF(negtgel!U$2:BL$2,'Tsalin uzuulelt'!B$2,negtgel!U619:BL619)+SUMIF(negtgel!U$2:BL$2,'Tsalin uzuulelt'!B$3,negtgel!U619:BL619)+SUMIF(negtgel!U$2:BL$2,'Tsalin uzuulelt'!B$4,negtgel!U619:BL619)+SUMIF(negtgel!U$2:BL$2,'Tsalin uzuulelt'!B$5,negtgel!U619:BL619)</f>
      </c>
      <c r="H619">
        <f>SUMIF(negtgel!U$2:BL$2,'Tsalin uzuulelt'!F$1,negtgel!U619:BL619) + SUMIF(negtgel!U$2:BL$2,'Tsalin uzuulelt'!F$2,negtgel!U619:BL619)+SUMIF(negtgel!U$2:BL$2,'Tsalin uzuulelt'!F$3,negtgel!U619:BL619)+SUMIF(negtgel!U$2:BL$2,'Tsalin uzuulelt'!F$4,negtgel!U619:BL619)+SUMIF(negtgel!U$2:BL$2,'Tsalin uzuulelt'!F$5,negtgel!U619:BL619)</f>
      </c>
      <c r="I619">
        <f>SUMIF(negtgel!U$2:BL$2,'Tsalin uzuulelt'!H$1,negtgel!U619:BL619) + SUMIF(negtgel!U$2:BL$2,'Tsalin uzuulelt'!H$2,negtgel!U619:BL619)+SUMIF(negtgel!U$2:BL$2,'Tsalin uzuulelt'!H$3,negtgel!U619:BL619)+SUMIF(negtgel!U$2:BL$2,'Tsalin uzuulelt'!H$4,negtgel!U619:BL619)+SUMIF(negtgel!U$2:BL$2,'Tsalin uzuulelt'!H$5,negtgel!U619:BL619)</f>
      </c>
      <c r="J619">
        <f>SUMIF(negtgel!U$2:BL$2,'Tsalin uzuulelt'!J$1,negtgel!U619:BL619) + SUMIF(negtgel!U$2:BL$2,'Tsalin uzuulelt'!J$2,negtgel!U619:BL619)+SUMIF(negtgel!U$2:BL$2,'Tsalin uzuulelt'!J$3,negtgel!U619:BL619)+SUMIF(negtgel!U$2:BL$2,'Tsalin uzuulelt'!J$4,negtgel!U619:BL619)+SUMIF(negtgel!U$2:BL$2,'Tsalin uzuulelt'!J$5,negtgel!U619:BL619)</f>
      </c>
      <c r="K619">
        <f>SUMIF(negtgel!U$2:BL$2,'Tsalin uzuulelt'!L$1,negtgel!U619:BL619) + SUMIF(negtgel!U$2:BL$2,'Tsalin uzuulelt'!L$2,negtgel!U619:BL619)+SUMIF(negtgel!U$2:BL$2,'Tsalin uzuulelt'!L$3,negtgel!U619:BL619)+SUMIF(negtgel!U$2:BL$2,'Tsalin uzuulelt'!L$4,negtgel!U619:BL619)+SUMIF(negtgel!U$2:BL$2,'Tsalin uzuulelt'!L$5,negtgel!U619:BL619)</f>
      </c>
      <c r="L619">
        <f>SUMIF(negtgel!U$2:BL$2,'Tsalin uzuulelt'!N$1,negtgel!U619:BL619) + SUMIF(negtgel!U$2:BL$2,'Tsalin uzuulelt'!N$2,negtgel!U619:BL619)+SUMIF(negtgel!U$2:BL$2,'Tsalin uzuulelt'!N$3,negtgel!U619:BL619)+SUMIF(negtgel!U$2:BL$2,'Tsalin uzuulelt'!N$4,negtgel!U619:BL619)+SUMIF(negtgel!U$2:BL$2,'Tsalin uzuulelt'!N$5,negtgel!U619:BL619)</f>
      </c>
      <c r="M619">
        <f>SUMIF(negtgel!U$2:BL$2,'Tsalin uzuulelt'!P$1,negtgel!U619:BL619) + SUMIF(negtgel!U$2:BL$2,'Tsalin uzuulelt'!P$2,negtgel!U619:BL619)+ SUMIF(negtgel!U$2:BL$2,'Tsalin uzuulelt'!P$3,negtgel!U619:BL619)+ SUMIF(negtgel!U$2:BL$2,'Tsalin uzuulelt'!P$4,negtgel!U619:BL619)+ SUMIF(negtgel!U$2:BL$2,'Tsalin uzuulelt'!P$5,negtgel!U619:BL619)</f>
      </c>
      <c r="N619">
        <f>IF(ISNUMBER(U619*1)=CF619,0,K619-H619-G619)</f>
      </c>
      <c r="O619">
        <f>IF(ISNUMBER(U619*1)=CF619,0,L619)</f>
      </c>
      <c r="P619">
        <f>IF(ISNUMBER(U619*1)=CF619,0,M619)</f>
      </c>
      <c r="Q619">
        <f>IF(N619&gt;2400000,N619,0)</f>
      </c>
      <c r="R619">
        <f>IF(L619/Q619*100&lt;3,2,10)</f>
      </c>
      <c r="S619">
        <f>IF(CH619=0,0,IF(B619&gt;9,10,IF(B619&gt;8,B619,IF(B619&gt;7.7,7.8,IF(B619&gt;3,B619,IF(B619&gt;1.5,2))))))</f>
      </c>
      <c r="T619">
        <f>IF(Q619=0,S619,R619)</f>
      </c>
      <c r="U619" t="n">
        <v>154.0</v>
      </c>
      <c r="V619" t="s">
        <v>3786</v>
      </c>
      <c r="W619" t="s">
        <v>3785</v>
      </c>
      <c r="X619" t="n">
        <v>627465.0</v>
      </c>
      <c r="Y619" t="n">
        <v>0.0</v>
      </c>
      <c r="Z619" t="n">
        <v>0.0</v>
      </c>
      <c r="AA619" t="n">
        <v>0.0</v>
      </c>
      <c r="AB619" t="n">
        <v>0.0</v>
      </c>
      <c r="AC619" t="n">
        <v>0.0</v>
      </c>
      <c r="AD619" t="n">
        <v>0.0</v>
      </c>
      <c r="AE619" t="n">
        <v>0.0</v>
      </c>
      <c r="AF619" t="n">
        <v>0.0</v>
      </c>
      <c r="AG619" t="n">
        <v>0.0</v>
      </c>
      <c r="AH619" t="n">
        <v>0.0</v>
      </c>
      <c r="AI619" t="n">
        <v>0.0</v>
      </c>
      <c r="AJ619" t="n">
        <v>0.0</v>
      </c>
      <c r="AK619" t="n">
        <v>0.0</v>
      </c>
      <c r="AL619" t="n">
        <v>0.0</v>
      </c>
      <c r="AM619" t="n">
        <v>0.0</v>
      </c>
      <c r="AN619" t="n">
        <v>0.0</v>
      </c>
      <c r="AO619" t="n">
        <v>0.0</v>
      </c>
      <c r="AP619" t="n">
        <v>0.0</v>
      </c>
      <c r="AQ619" t="n">
        <v>0.0</v>
      </c>
      <c r="CH619">
        <f>IFERROR(U619*1,0)</f>
      </c>
    </row>
    <row r="620">
      <c r="A620" t="n">
        <v>9.0</v>
      </c>
      <c r="B620">
        <f>IF((K620-G620-H620&gt;2400000),10,(L620/(K620-G620-H620)*100))</f>
      </c>
      <c r="C620">
        <f>IF(N620&gt;2400000,240000,(N620*S620)/100)</f>
      </c>
      <c r="D620">
        <f>IF(S620=0,0,IF((N620-I620)&gt;2400000,((((((N620-I620-J620)-240000))*0.1+(I620+J620)*0.1)))-7000,((((((N620-I620-J620)-(N620-I620-J620)*S620/100)))*0.1+(I620+J620)*0.1)-7000)))</f>
      </c>
      <c r="E620">
        <f>C620-O620</f>
      </c>
      <c r="F620">
        <f>D620-P620</f>
      </c>
      <c r="G620">
        <f>SUMIF(negtgel!U$2:BL$2,'Tsalin uzuulelt'!B$1,negtgel!U620:BL620) + SUMIF(negtgel!U$2:BL$2,'Tsalin uzuulelt'!B$2,negtgel!U620:BL620)+SUMIF(negtgel!U$2:BL$2,'Tsalin uzuulelt'!B$3,negtgel!U620:BL620)+SUMIF(negtgel!U$2:BL$2,'Tsalin uzuulelt'!B$4,negtgel!U620:BL620)+SUMIF(negtgel!U$2:BL$2,'Tsalin uzuulelt'!B$5,negtgel!U620:BL620)</f>
      </c>
      <c r="H620">
        <f>SUMIF(negtgel!U$2:BL$2,'Tsalin uzuulelt'!F$1,negtgel!U620:BL620) + SUMIF(negtgel!U$2:BL$2,'Tsalin uzuulelt'!F$2,negtgel!U620:BL620)+SUMIF(negtgel!U$2:BL$2,'Tsalin uzuulelt'!F$3,negtgel!U620:BL620)+SUMIF(negtgel!U$2:BL$2,'Tsalin uzuulelt'!F$4,negtgel!U620:BL620)+SUMIF(negtgel!U$2:BL$2,'Tsalin uzuulelt'!F$5,negtgel!U620:BL620)</f>
      </c>
      <c r="I620">
        <f>SUMIF(negtgel!U$2:BL$2,'Tsalin uzuulelt'!H$1,negtgel!U620:BL620) + SUMIF(negtgel!U$2:BL$2,'Tsalin uzuulelt'!H$2,negtgel!U620:BL620)+SUMIF(negtgel!U$2:BL$2,'Tsalin uzuulelt'!H$3,negtgel!U620:BL620)+SUMIF(negtgel!U$2:BL$2,'Tsalin uzuulelt'!H$4,negtgel!U620:BL620)+SUMIF(negtgel!U$2:BL$2,'Tsalin uzuulelt'!H$5,negtgel!U620:BL620)</f>
      </c>
      <c r="J620">
        <f>SUMIF(negtgel!U$2:BL$2,'Tsalin uzuulelt'!J$1,negtgel!U620:BL620) + SUMIF(negtgel!U$2:BL$2,'Tsalin uzuulelt'!J$2,negtgel!U620:BL620)+SUMIF(negtgel!U$2:BL$2,'Tsalin uzuulelt'!J$3,negtgel!U620:BL620)+SUMIF(negtgel!U$2:BL$2,'Tsalin uzuulelt'!J$4,negtgel!U620:BL620)+SUMIF(negtgel!U$2:BL$2,'Tsalin uzuulelt'!J$5,negtgel!U620:BL620)</f>
      </c>
      <c r="K620">
        <f>SUMIF(negtgel!U$2:BL$2,'Tsalin uzuulelt'!L$1,negtgel!U620:BL620) + SUMIF(negtgel!U$2:BL$2,'Tsalin uzuulelt'!L$2,negtgel!U620:BL620)+SUMIF(negtgel!U$2:BL$2,'Tsalin uzuulelt'!L$3,negtgel!U620:BL620)+SUMIF(negtgel!U$2:BL$2,'Tsalin uzuulelt'!L$4,negtgel!U620:BL620)+SUMIF(negtgel!U$2:BL$2,'Tsalin uzuulelt'!L$5,negtgel!U620:BL620)</f>
      </c>
      <c r="L620">
        <f>SUMIF(negtgel!U$2:BL$2,'Tsalin uzuulelt'!N$1,negtgel!U620:BL620) + SUMIF(negtgel!U$2:BL$2,'Tsalin uzuulelt'!N$2,negtgel!U620:BL620)+SUMIF(negtgel!U$2:BL$2,'Tsalin uzuulelt'!N$3,negtgel!U620:BL620)+SUMIF(negtgel!U$2:BL$2,'Tsalin uzuulelt'!N$4,negtgel!U620:BL620)+SUMIF(negtgel!U$2:BL$2,'Tsalin uzuulelt'!N$5,negtgel!U620:BL620)</f>
      </c>
      <c r="M620">
        <f>SUMIF(negtgel!U$2:BL$2,'Tsalin uzuulelt'!P$1,negtgel!U620:BL620) + SUMIF(negtgel!U$2:BL$2,'Tsalin uzuulelt'!P$2,negtgel!U620:BL620)+ SUMIF(negtgel!U$2:BL$2,'Tsalin uzuulelt'!P$3,negtgel!U620:BL620)+ SUMIF(negtgel!U$2:BL$2,'Tsalin uzuulelt'!P$4,negtgel!U620:BL620)+ SUMIF(negtgel!U$2:BL$2,'Tsalin uzuulelt'!P$5,negtgel!U620:BL620)</f>
      </c>
      <c r="N620">
        <f>IF(ISNUMBER(U620*1)=CF620,0,K620-H620-G620)</f>
      </c>
      <c r="O620">
        <f>IF(ISNUMBER(U620*1)=CF620,0,L620)</f>
      </c>
      <c r="P620">
        <f>IF(ISNUMBER(U620*1)=CF620,0,M620)</f>
      </c>
      <c r="Q620">
        <f>IF(N620&gt;2400000,N620,0)</f>
      </c>
      <c r="R620">
        <f>IF(L620/Q620*100&lt;3,2,10)</f>
      </c>
      <c r="S620">
        <f>IF(CH620=0,0,IF(B620&gt;9,10,IF(B620&gt;8,B620,IF(B620&gt;7.7,7.8,IF(B620&gt;3,B620,IF(B620&gt;1.5,2))))))</f>
      </c>
      <c r="T620">
        <f>IF(Q620=0,S620,R620)</f>
      </c>
      <c r="U620" t="n">
        <v>155.0</v>
      </c>
      <c r="V620" t="s">
        <v>3860</v>
      </c>
      <c r="W620" t="s">
        <v>3790</v>
      </c>
      <c r="X620" t="n">
        <v>547759.0</v>
      </c>
      <c r="Y620" t="n">
        <v>0.0</v>
      </c>
      <c r="Z620" t="n">
        <v>0.0</v>
      </c>
      <c r="AA620" t="n">
        <v>0.0</v>
      </c>
      <c r="AB620" t="n">
        <v>0.0</v>
      </c>
      <c r="AC620" t="n">
        <v>0.0</v>
      </c>
      <c r="AD620" t="n">
        <v>0.0</v>
      </c>
      <c r="AE620" t="n">
        <v>0.0</v>
      </c>
      <c r="AF620" t="n">
        <v>0.0</v>
      </c>
      <c r="AG620" t="n">
        <v>0.0</v>
      </c>
      <c r="AH620" t="n">
        <v>0.0</v>
      </c>
      <c r="AI620" t="n">
        <v>0.0</v>
      </c>
      <c r="AJ620" t="n">
        <v>0.0</v>
      </c>
      <c r="AK620" t="n">
        <v>0.0</v>
      </c>
      <c r="AL620" t="n">
        <v>0.0</v>
      </c>
      <c r="AM620" t="n">
        <v>0.0</v>
      </c>
      <c r="AN620" t="n">
        <v>0.0</v>
      </c>
      <c r="AO620" t="n">
        <v>0.0</v>
      </c>
      <c r="AP620" t="n">
        <v>0.0</v>
      </c>
      <c r="AQ620" t="n">
        <v>0.0</v>
      </c>
      <c r="CH620">
        <f>IFERROR(U620*1,0)</f>
      </c>
    </row>
    <row r="621">
      <c r="A621" t="n">
        <v>9.0</v>
      </c>
      <c r="B621">
        <f>IF((K621-G621-H621&gt;2400000),10,(L621/(K621-G621-H621)*100))</f>
      </c>
      <c r="C621">
        <f>IF(N621&gt;2400000,240000,(N621*S621)/100)</f>
      </c>
      <c r="D621">
        <f>IF(S621=0,0,IF((N621-I621)&gt;2400000,((((((N621-I621-J621)-240000))*0.1+(I621+J621)*0.1)))-7000,((((((N621-I621-J621)-(N621-I621-J621)*S621/100)))*0.1+(I621+J621)*0.1)-7000)))</f>
      </c>
      <c r="E621">
        <f>C621-O621</f>
      </c>
      <c r="F621">
        <f>D621-P621</f>
      </c>
      <c r="G621">
        <f>SUMIF(negtgel!U$2:BL$2,'Tsalin uzuulelt'!B$1,negtgel!U621:BL621) + SUMIF(negtgel!U$2:BL$2,'Tsalin uzuulelt'!B$2,negtgel!U621:BL621)+SUMIF(negtgel!U$2:BL$2,'Tsalin uzuulelt'!B$3,negtgel!U621:BL621)+SUMIF(negtgel!U$2:BL$2,'Tsalin uzuulelt'!B$4,negtgel!U621:BL621)+SUMIF(negtgel!U$2:BL$2,'Tsalin uzuulelt'!B$5,negtgel!U621:BL621)</f>
      </c>
      <c r="H621">
        <f>SUMIF(negtgel!U$2:BL$2,'Tsalin uzuulelt'!F$1,negtgel!U621:BL621) + SUMIF(negtgel!U$2:BL$2,'Tsalin uzuulelt'!F$2,negtgel!U621:BL621)+SUMIF(negtgel!U$2:BL$2,'Tsalin uzuulelt'!F$3,negtgel!U621:BL621)+SUMIF(negtgel!U$2:BL$2,'Tsalin uzuulelt'!F$4,negtgel!U621:BL621)+SUMIF(negtgel!U$2:BL$2,'Tsalin uzuulelt'!F$5,negtgel!U621:BL621)</f>
      </c>
      <c r="I621">
        <f>SUMIF(negtgel!U$2:BL$2,'Tsalin uzuulelt'!H$1,negtgel!U621:BL621) + SUMIF(negtgel!U$2:BL$2,'Tsalin uzuulelt'!H$2,negtgel!U621:BL621)+SUMIF(negtgel!U$2:BL$2,'Tsalin uzuulelt'!H$3,negtgel!U621:BL621)+SUMIF(negtgel!U$2:BL$2,'Tsalin uzuulelt'!H$4,negtgel!U621:BL621)+SUMIF(negtgel!U$2:BL$2,'Tsalin uzuulelt'!H$5,negtgel!U621:BL621)</f>
      </c>
      <c r="J621">
        <f>SUMIF(negtgel!U$2:BL$2,'Tsalin uzuulelt'!J$1,negtgel!U621:BL621) + SUMIF(negtgel!U$2:BL$2,'Tsalin uzuulelt'!J$2,negtgel!U621:BL621)+SUMIF(negtgel!U$2:BL$2,'Tsalin uzuulelt'!J$3,negtgel!U621:BL621)+SUMIF(negtgel!U$2:BL$2,'Tsalin uzuulelt'!J$4,negtgel!U621:BL621)+SUMIF(negtgel!U$2:BL$2,'Tsalin uzuulelt'!J$5,negtgel!U621:BL621)</f>
      </c>
      <c r="K621">
        <f>SUMIF(negtgel!U$2:BL$2,'Tsalin uzuulelt'!L$1,negtgel!U621:BL621) + SUMIF(negtgel!U$2:BL$2,'Tsalin uzuulelt'!L$2,negtgel!U621:BL621)+SUMIF(negtgel!U$2:BL$2,'Tsalin uzuulelt'!L$3,negtgel!U621:BL621)+SUMIF(negtgel!U$2:BL$2,'Tsalin uzuulelt'!L$4,negtgel!U621:BL621)+SUMIF(negtgel!U$2:BL$2,'Tsalin uzuulelt'!L$5,negtgel!U621:BL621)</f>
      </c>
      <c r="L621">
        <f>SUMIF(negtgel!U$2:BL$2,'Tsalin uzuulelt'!N$1,negtgel!U621:BL621) + SUMIF(negtgel!U$2:BL$2,'Tsalin uzuulelt'!N$2,negtgel!U621:BL621)+SUMIF(negtgel!U$2:BL$2,'Tsalin uzuulelt'!N$3,negtgel!U621:BL621)+SUMIF(negtgel!U$2:BL$2,'Tsalin uzuulelt'!N$4,negtgel!U621:BL621)+SUMIF(negtgel!U$2:BL$2,'Tsalin uzuulelt'!N$5,negtgel!U621:BL621)</f>
      </c>
      <c r="M621">
        <f>SUMIF(negtgel!U$2:BL$2,'Tsalin uzuulelt'!P$1,negtgel!U621:BL621) + SUMIF(negtgel!U$2:BL$2,'Tsalin uzuulelt'!P$2,negtgel!U621:BL621)+ SUMIF(negtgel!U$2:BL$2,'Tsalin uzuulelt'!P$3,negtgel!U621:BL621)+ SUMIF(negtgel!U$2:BL$2,'Tsalin uzuulelt'!P$4,negtgel!U621:BL621)+ SUMIF(negtgel!U$2:BL$2,'Tsalin uzuulelt'!P$5,negtgel!U621:BL621)</f>
      </c>
      <c r="N621">
        <f>IF(ISNUMBER(U621*1)=CF621,0,K621-H621-G621)</f>
      </c>
      <c r="O621">
        <f>IF(ISNUMBER(U621*1)=CF621,0,L621)</f>
      </c>
      <c r="P621">
        <f>IF(ISNUMBER(U621*1)=CF621,0,M621)</f>
      </c>
      <c r="Q621">
        <f>IF(N621&gt;2400000,N621,0)</f>
      </c>
      <c r="R621">
        <f>IF(L621/Q621*100&lt;3,2,10)</f>
      </c>
      <c r="S621">
        <f>IF(CH621=0,0,IF(B621&gt;9,10,IF(B621&gt;8,B621,IF(B621&gt;7.7,7.8,IF(B621&gt;3,B621,IF(B621&gt;1.5,2))))))</f>
      </c>
      <c r="T621">
        <f>IF(Q621=0,S621,R621)</f>
      </c>
      <c r="U621" t="n">
        <v>156.0</v>
      </c>
      <c r="V621" t="s">
        <v>3844</v>
      </c>
      <c r="W621" t="s">
        <v>3790</v>
      </c>
      <c r="X621" t="n">
        <v>677436.0</v>
      </c>
      <c r="Y621" t="n">
        <v>0.0</v>
      </c>
      <c r="Z621" t="n">
        <v>0.0</v>
      </c>
      <c r="AA621" t="n">
        <v>0.0</v>
      </c>
      <c r="AB621" t="n">
        <v>0.0</v>
      </c>
      <c r="AC621" t="n">
        <v>0.0</v>
      </c>
      <c r="AD621" t="n">
        <v>0.0</v>
      </c>
      <c r="AE621" t="n">
        <v>0.0</v>
      </c>
      <c r="AF621" t="n">
        <v>0.0</v>
      </c>
      <c r="AG621" t="n">
        <v>0.0</v>
      </c>
      <c r="AH621" t="n">
        <v>0.0</v>
      </c>
      <c r="AI621" t="n">
        <v>0.0</v>
      </c>
      <c r="AJ621" t="n">
        <v>0.0</v>
      </c>
      <c r="AK621" t="n">
        <v>0.0</v>
      </c>
      <c r="AL621" t="n">
        <v>0.0</v>
      </c>
      <c r="AM621" t="n">
        <v>0.0</v>
      </c>
      <c r="AN621" t="n">
        <v>0.0</v>
      </c>
      <c r="AO621" t="n">
        <v>0.0</v>
      </c>
      <c r="AP621" t="n">
        <v>0.0</v>
      </c>
      <c r="AQ621" t="n">
        <v>0.0</v>
      </c>
      <c r="CH621">
        <f>IFERROR(U621*1,0)</f>
      </c>
    </row>
    <row r="622">
      <c r="A622" t="n">
        <v>9.0</v>
      </c>
      <c r="B622">
        <f>IF((K622-G622-H622&gt;2400000),10,(L622/(K622-G622-H622)*100))</f>
      </c>
      <c r="C622">
        <f>IF(N622&gt;2400000,240000,(N622*S622)/100)</f>
      </c>
      <c r="D622">
        <f>IF(S622=0,0,IF((N622-I622)&gt;2400000,((((((N622-I622-J622)-240000))*0.1+(I622+J622)*0.1)))-7000,((((((N622-I622-J622)-(N622-I622-J622)*S622/100)))*0.1+(I622+J622)*0.1)-7000)))</f>
      </c>
      <c r="E622">
        <f>C622-O622</f>
      </c>
      <c r="F622">
        <f>D622-P622</f>
      </c>
      <c r="G622">
        <f>SUMIF(negtgel!U$2:BL$2,'Tsalin uzuulelt'!B$1,negtgel!U622:BL622) + SUMIF(negtgel!U$2:BL$2,'Tsalin uzuulelt'!B$2,negtgel!U622:BL622)+SUMIF(negtgel!U$2:BL$2,'Tsalin uzuulelt'!B$3,negtgel!U622:BL622)+SUMIF(negtgel!U$2:BL$2,'Tsalin uzuulelt'!B$4,negtgel!U622:BL622)+SUMIF(negtgel!U$2:BL$2,'Tsalin uzuulelt'!B$5,negtgel!U622:BL622)</f>
      </c>
      <c r="H622">
        <f>SUMIF(negtgel!U$2:BL$2,'Tsalin uzuulelt'!F$1,negtgel!U622:BL622) + SUMIF(negtgel!U$2:BL$2,'Tsalin uzuulelt'!F$2,negtgel!U622:BL622)+SUMIF(negtgel!U$2:BL$2,'Tsalin uzuulelt'!F$3,negtgel!U622:BL622)+SUMIF(negtgel!U$2:BL$2,'Tsalin uzuulelt'!F$4,negtgel!U622:BL622)+SUMIF(negtgel!U$2:BL$2,'Tsalin uzuulelt'!F$5,negtgel!U622:BL622)</f>
      </c>
      <c r="I622">
        <f>SUMIF(negtgel!U$2:BL$2,'Tsalin uzuulelt'!H$1,negtgel!U622:BL622) + SUMIF(negtgel!U$2:BL$2,'Tsalin uzuulelt'!H$2,negtgel!U622:BL622)+SUMIF(negtgel!U$2:BL$2,'Tsalin uzuulelt'!H$3,negtgel!U622:BL622)+SUMIF(negtgel!U$2:BL$2,'Tsalin uzuulelt'!H$4,negtgel!U622:BL622)+SUMIF(negtgel!U$2:BL$2,'Tsalin uzuulelt'!H$5,negtgel!U622:BL622)</f>
      </c>
      <c r="J622">
        <f>SUMIF(negtgel!U$2:BL$2,'Tsalin uzuulelt'!J$1,negtgel!U622:BL622) + SUMIF(negtgel!U$2:BL$2,'Tsalin uzuulelt'!J$2,negtgel!U622:BL622)+SUMIF(negtgel!U$2:BL$2,'Tsalin uzuulelt'!J$3,negtgel!U622:BL622)+SUMIF(negtgel!U$2:BL$2,'Tsalin uzuulelt'!J$4,negtgel!U622:BL622)+SUMIF(negtgel!U$2:BL$2,'Tsalin uzuulelt'!J$5,negtgel!U622:BL622)</f>
      </c>
      <c r="K622">
        <f>SUMIF(negtgel!U$2:BL$2,'Tsalin uzuulelt'!L$1,negtgel!U622:BL622) + SUMIF(negtgel!U$2:BL$2,'Tsalin uzuulelt'!L$2,negtgel!U622:BL622)+SUMIF(negtgel!U$2:BL$2,'Tsalin uzuulelt'!L$3,negtgel!U622:BL622)+SUMIF(negtgel!U$2:BL$2,'Tsalin uzuulelt'!L$4,negtgel!U622:BL622)+SUMIF(negtgel!U$2:BL$2,'Tsalin uzuulelt'!L$5,negtgel!U622:BL622)</f>
      </c>
      <c r="L622">
        <f>SUMIF(negtgel!U$2:BL$2,'Tsalin uzuulelt'!N$1,negtgel!U622:BL622) + SUMIF(negtgel!U$2:BL$2,'Tsalin uzuulelt'!N$2,negtgel!U622:BL622)+SUMIF(negtgel!U$2:BL$2,'Tsalin uzuulelt'!N$3,negtgel!U622:BL622)+SUMIF(negtgel!U$2:BL$2,'Tsalin uzuulelt'!N$4,negtgel!U622:BL622)+SUMIF(negtgel!U$2:BL$2,'Tsalin uzuulelt'!N$5,negtgel!U622:BL622)</f>
      </c>
      <c r="M622">
        <f>SUMIF(negtgel!U$2:BL$2,'Tsalin uzuulelt'!P$1,negtgel!U622:BL622) + SUMIF(negtgel!U$2:BL$2,'Tsalin uzuulelt'!P$2,negtgel!U622:BL622)+ SUMIF(negtgel!U$2:BL$2,'Tsalin uzuulelt'!P$3,negtgel!U622:BL622)+ SUMIF(negtgel!U$2:BL$2,'Tsalin uzuulelt'!P$4,negtgel!U622:BL622)+ SUMIF(negtgel!U$2:BL$2,'Tsalin uzuulelt'!P$5,negtgel!U622:BL622)</f>
      </c>
      <c r="N622">
        <f>IF(ISNUMBER(U622*1)=CF622,0,K622-H622-G622)</f>
      </c>
      <c r="O622">
        <f>IF(ISNUMBER(U622*1)=CF622,0,L622)</f>
      </c>
      <c r="P622">
        <f>IF(ISNUMBER(U622*1)=CF622,0,M622)</f>
      </c>
      <c r="Q622">
        <f>IF(N622&gt;2400000,N622,0)</f>
      </c>
      <c r="R622">
        <f>IF(L622/Q622*100&lt;3,2,10)</f>
      </c>
      <c r="S622">
        <f>IF(CH622=0,0,IF(B622&gt;9,10,IF(B622&gt;8,B622,IF(B622&gt;7.7,7.8,IF(B622&gt;3,B622,IF(B622&gt;1.5,2))))))</f>
      </c>
      <c r="T622">
        <f>IF(Q622=0,S622,R622)</f>
      </c>
      <c r="U622" t="n">
        <v>157.0</v>
      </c>
      <c r="V622" t="s">
        <v>3845</v>
      </c>
      <c r="W622" t="s">
        <v>3790</v>
      </c>
      <c r="X622" t="n">
        <v>677436.0</v>
      </c>
      <c r="Y622" t="n">
        <v>0.0</v>
      </c>
      <c r="Z622" t="n">
        <v>0.0</v>
      </c>
      <c r="AA622" t="n">
        <v>0.0</v>
      </c>
      <c r="AB622" t="n">
        <v>0.0</v>
      </c>
      <c r="AC622" t="n">
        <v>0.0</v>
      </c>
      <c r="AD622" t="n">
        <v>0.0</v>
      </c>
      <c r="AE622" t="n">
        <v>0.0</v>
      </c>
      <c r="AF622" t="n">
        <v>0.0</v>
      </c>
      <c r="AG622" t="n">
        <v>0.0</v>
      </c>
      <c r="AH622" t="n">
        <v>0.0</v>
      </c>
      <c r="AI622" t="n">
        <v>0.0</v>
      </c>
      <c r="AJ622" t="n">
        <v>0.0</v>
      </c>
      <c r="AK622" t="n">
        <v>0.0</v>
      </c>
      <c r="AL622" t="n">
        <v>0.0</v>
      </c>
      <c r="AM622" t="n">
        <v>0.0</v>
      </c>
      <c r="AN622" t="n">
        <v>0.0</v>
      </c>
      <c r="AO622" t="n">
        <v>0.0</v>
      </c>
      <c r="AP622" t="n">
        <v>0.0</v>
      </c>
      <c r="AQ622" t="n">
        <v>0.0</v>
      </c>
      <c r="CH622">
        <f>IFERROR(U622*1,0)</f>
      </c>
    </row>
    <row r="625">
      <c r="A625" t="n">
        <v>10.0</v>
      </c>
      <c r="B625">
        <f>IF((K625-G625-H625&gt;2400000),10,(L625/(K625-G625-H625)*100))</f>
      </c>
      <c r="C625">
        <f>IF(N625&gt;2400000,240000,(N625*S625)/100)</f>
      </c>
      <c r="D625">
        <f>IF(S625=0,0,IF((N625-I625)&gt;2400000,((((((N625-I625-J625)-240000))*0.1+(I625+J625)*0.1)))-7000,((((((N625-I625-J625)-(N625-I625-J625)*S625/100)))*0.1+(I625+J625)*0.1)-7000)))</f>
      </c>
      <c r="E625">
        <f>C625-O625</f>
      </c>
      <c r="F625">
        <f>D625-P625</f>
      </c>
      <c r="G625">
        <f>SUMIF(negtgel!U$2:BL$2,'Tsalin uzuulelt'!B$1,negtgel!U625:BL625) + SUMIF(negtgel!U$2:BL$2,'Tsalin uzuulelt'!B$2,negtgel!U625:BL625)+SUMIF(negtgel!U$2:BL$2,'Tsalin uzuulelt'!B$3,negtgel!U625:BL625)+SUMIF(negtgel!U$2:BL$2,'Tsalin uzuulelt'!B$4,negtgel!U625:BL625)+SUMIF(negtgel!U$2:BL$2,'Tsalin uzuulelt'!B$5,negtgel!U625:BL625)</f>
      </c>
      <c r="H625">
        <f>SUMIF(negtgel!U$2:BL$2,'Tsalin uzuulelt'!F$1,negtgel!U625:BL625) + SUMIF(negtgel!U$2:BL$2,'Tsalin uzuulelt'!F$2,negtgel!U625:BL625)+SUMIF(negtgel!U$2:BL$2,'Tsalin uzuulelt'!F$3,negtgel!U625:BL625)+SUMIF(negtgel!U$2:BL$2,'Tsalin uzuulelt'!F$4,negtgel!U625:BL625)+SUMIF(negtgel!U$2:BL$2,'Tsalin uzuulelt'!F$5,negtgel!U625:BL625)</f>
      </c>
      <c r="I625">
        <f>SUMIF(negtgel!U$2:BL$2,'Tsalin uzuulelt'!H$1,negtgel!U625:BL625) + SUMIF(negtgel!U$2:BL$2,'Tsalin uzuulelt'!H$2,negtgel!U625:BL625)+SUMIF(negtgel!U$2:BL$2,'Tsalin uzuulelt'!H$3,negtgel!U625:BL625)+SUMIF(negtgel!U$2:BL$2,'Tsalin uzuulelt'!H$4,negtgel!U625:BL625)+SUMIF(negtgel!U$2:BL$2,'Tsalin uzuulelt'!H$5,negtgel!U625:BL625)</f>
      </c>
      <c r="J625">
        <f>SUMIF(negtgel!U$2:BL$2,'Tsalin uzuulelt'!J$1,negtgel!U625:BL625) + SUMIF(negtgel!U$2:BL$2,'Tsalin uzuulelt'!J$2,negtgel!U625:BL625)+SUMIF(negtgel!U$2:BL$2,'Tsalin uzuulelt'!J$3,negtgel!U625:BL625)+SUMIF(negtgel!U$2:BL$2,'Tsalin uzuulelt'!J$4,negtgel!U625:BL625)+SUMIF(negtgel!U$2:BL$2,'Tsalin uzuulelt'!J$5,negtgel!U625:BL625)</f>
      </c>
      <c r="K625">
        <f>SUMIF(negtgel!U$2:BL$2,'Tsalin uzuulelt'!L$1,negtgel!U625:BL625) + SUMIF(negtgel!U$2:BL$2,'Tsalin uzuulelt'!L$2,negtgel!U625:BL625)+SUMIF(negtgel!U$2:BL$2,'Tsalin uzuulelt'!L$3,negtgel!U625:BL625)+SUMIF(negtgel!U$2:BL$2,'Tsalin uzuulelt'!L$4,negtgel!U625:BL625)+SUMIF(negtgel!U$2:BL$2,'Tsalin uzuulelt'!L$5,negtgel!U625:BL625)</f>
      </c>
      <c r="L625">
        <f>SUMIF(negtgel!U$2:BL$2,'Tsalin uzuulelt'!N$1,negtgel!U625:BL625) + SUMIF(negtgel!U$2:BL$2,'Tsalin uzuulelt'!N$2,negtgel!U625:BL625)+SUMIF(negtgel!U$2:BL$2,'Tsalin uzuulelt'!N$3,negtgel!U625:BL625)+SUMIF(negtgel!U$2:BL$2,'Tsalin uzuulelt'!N$4,negtgel!U625:BL625)+SUMIF(negtgel!U$2:BL$2,'Tsalin uzuulelt'!N$5,negtgel!U625:BL625)</f>
      </c>
      <c r="M625">
        <f>SUMIF(negtgel!U$2:BL$2,'Tsalin uzuulelt'!P$1,negtgel!U625:BL625) + SUMIF(negtgel!U$2:BL$2,'Tsalin uzuulelt'!P$2,negtgel!U625:BL625)+ SUMIF(negtgel!U$2:BL$2,'Tsalin uzuulelt'!P$3,negtgel!U625:BL625)+ SUMIF(negtgel!U$2:BL$2,'Tsalin uzuulelt'!P$4,negtgel!U625:BL625)+ SUMIF(negtgel!U$2:BL$2,'Tsalin uzuulelt'!P$5,negtgel!U625:BL625)</f>
      </c>
      <c r="N625">
        <f>IF(ISNUMBER(U625*1)=CF625,0,K625-H625-G625)</f>
      </c>
      <c r="O625">
        <f>IF(ISNUMBER(U625*1)=CF625,0,L625)</f>
      </c>
      <c r="P625">
        <f>IF(ISNUMBER(U625*1)=CF625,0,M625)</f>
      </c>
      <c r="Q625">
        <f>IF(N625&gt;2400000,N625,0)</f>
      </c>
      <c r="R625">
        <f>IF(L625/Q625*100&lt;3,2,10)</f>
      </c>
      <c r="S625">
        <f>IF(CH625=0,0,IF(B625&gt;9,10,IF(B625&gt;8,B625,IF(B625&gt;7.7,7.8,IF(B625&gt;3,B625,IF(B625&gt;1.5,2))))))</f>
      </c>
      <c r="T625">
        <f>IF(Q625=0,S625,R625)</f>
      </c>
      <c r="U625" t="s">
        <v>3781</v>
      </c>
      <c r="V625"/>
      <c r="W625"/>
      <c r="X625"/>
      <c r="Y625"/>
      <c r="Z625"/>
      <c r="AA625"/>
      <c r="AB625"/>
      <c r="AC625"/>
      <c r="AD625"/>
      <c r="AE625"/>
      <c r="AF625"/>
      <c r="AG625"/>
      <c r="AH625"/>
      <c r="AI625"/>
      <c r="AJ625"/>
      <c r="AK625"/>
      <c r="AL625"/>
      <c r="AM625"/>
      <c r="AN625"/>
      <c r="AO625"/>
      <c r="AP625"/>
      <c r="AQ625"/>
      <c r="CH625">
        <f>IFERROR(U625*1,0)</f>
      </c>
    </row>
    <row r="626">
      <c r="A626" t="n">
        <v>10.0</v>
      </c>
      <c r="B626">
        <f>IF((K626-G626-H626&gt;2400000),10,(L626/(K626-G626-H626)*100))</f>
      </c>
      <c r="C626">
        <f>IF(N626&gt;2400000,240000,(N626*S626)/100)</f>
      </c>
      <c r="D626">
        <f>IF(S626=0,0,IF((N626-I626)&gt;2400000,((((((N626-I626-J626)-240000))*0.1+(I626+J626)*0.1)))-7000,((((((N626-I626-J626)-(N626-I626-J626)*S626/100)))*0.1+(I626+J626)*0.1)-7000)))</f>
      </c>
      <c r="E626">
        <f>C626-O626</f>
      </c>
      <c r="F626">
        <f>D626-P626</f>
      </c>
      <c r="G626">
        <f>SUMIF(negtgel!U$2:BL$2,'Tsalin uzuulelt'!B$1,negtgel!U626:BL626) + SUMIF(negtgel!U$2:BL$2,'Tsalin uzuulelt'!B$2,negtgel!U626:BL626)+SUMIF(negtgel!U$2:BL$2,'Tsalin uzuulelt'!B$3,negtgel!U626:BL626)+SUMIF(negtgel!U$2:BL$2,'Tsalin uzuulelt'!B$4,negtgel!U626:BL626)+SUMIF(negtgel!U$2:BL$2,'Tsalin uzuulelt'!B$5,negtgel!U626:BL626)</f>
      </c>
      <c r="H626">
        <f>SUMIF(negtgel!U$2:BL$2,'Tsalin uzuulelt'!F$1,negtgel!U626:BL626) + SUMIF(negtgel!U$2:BL$2,'Tsalin uzuulelt'!F$2,negtgel!U626:BL626)+SUMIF(negtgel!U$2:BL$2,'Tsalin uzuulelt'!F$3,negtgel!U626:BL626)+SUMIF(negtgel!U$2:BL$2,'Tsalin uzuulelt'!F$4,negtgel!U626:BL626)+SUMIF(negtgel!U$2:BL$2,'Tsalin uzuulelt'!F$5,negtgel!U626:BL626)</f>
      </c>
      <c r="I626">
        <f>SUMIF(negtgel!U$2:BL$2,'Tsalin uzuulelt'!H$1,negtgel!U626:BL626) + SUMIF(negtgel!U$2:BL$2,'Tsalin uzuulelt'!H$2,negtgel!U626:BL626)+SUMIF(negtgel!U$2:BL$2,'Tsalin uzuulelt'!H$3,negtgel!U626:BL626)+SUMIF(negtgel!U$2:BL$2,'Tsalin uzuulelt'!H$4,negtgel!U626:BL626)+SUMIF(negtgel!U$2:BL$2,'Tsalin uzuulelt'!H$5,negtgel!U626:BL626)</f>
      </c>
      <c r="J626">
        <f>SUMIF(negtgel!U$2:BL$2,'Tsalin uzuulelt'!J$1,negtgel!U626:BL626) + SUMIF(negtgel!U$2:BL$2,'Tsalin uzuulelt'!J$2,negtgel!U626:BL626)+SUMIF(negtgel!U$2:BL$2,'Tsalin uzuulelt'!J$3,negtgel!U626:BL626)+SUMIF(negtgel!U$2:BL$2,'Tsalin uzuulelt'!J$4,negtgel!U626:BL626)+SUMIF(negtgel!U$2:BL$2,'Tsalin uzuulelt'!J$5,negtgel!U626:BL626)</f>
      </c>
      <c r="K626">
        <f>SUMIF(negtgel!U$2:BL$2,'Tsalin uzuulelt'!L$1,negtgel!U626:BL626) + SUMIF(negtgel!U$2:BL$2,'Tsalin uzuulelt'!L$2,negtgel!U626:BL626)+SUMIF(negtgel!U$2:BL$2,'Tsalin uzuulelt'!L$3,negtgel!U626:BL626)+SUMIF(negtgel!U$2:BL$2,'Tsalin uzuulelt'!L$4,negtgel!U626:BL626)+SUMIF(negtgel!U$2:BL$2,'Tsalin uzuulelt'!L$5,negtgel!U626:BL626)</f>
      </c>
      <c r="L626">
        <f>SUMIF(negtgel!U$2:BL$2,'Tsalin uzuulelt'!N$1,negtgel!U626:BL626) + SUMIF(negtgel!U$2:BL$2,'Tsalin uzuulelt'!N$2,negtgel!U626:BL626)+SUMIF(negtgel!U$2:BL$2,'Tsalin uzuulelt'!N$3,negtgel!U626:BL626)+SUMIF(negtgel!U$2:BL$2,'Tsalin uzuulelt'!N$4,negtgel!U626:BL626)+SUMIF(negtgel!U$2:BL$2,'Tsalin uzuulelt'!N$5,negtgel!U626:BL626)</f>
      </c>
      <c r="M626">
        <f>SUMIF(negtgel!U$2:BL$2,'Tsalin uzuulelt'!P$1,negtgel!U626:BL626) + SUMIF(negtgel!U$2:BL$2,'Tsalin uzuulelt'!P$2,negtgel!U626:BL626)+ SUMIF(negtgel!U$2:BL$2,'Tsalin uzuulelt'!P$3,negtgel!U626:BL626)+ SUMIF(negtgel!U$2:BL$2,'Tsalin uzuulelt'!P$4,negtgel!U626:BL626)+ SUMIF(negtgel!U$2:BL$2,'Tsalin uzuulelt'!P$5,negtgel!U626:BL626)</f>
      </c>
      <c r="N626">
        <f>IF(ISNUMBER(U626*1)=CF626,0,K626-H626-G626)</f>
      </c>
      <c r="O626">
        <f>IF(ISNUMBER(U626*1)=CF626,0,L626)</f>
      </c>
      <c r="P626">
        <f>IF(ISNUMBER(U626*1)=CF626,0,M626)</f>
      </c>
      <c r="Q626">
        <f>IF(N626&gt;2400000,N626,0)</f>
      </c>
      <c r="R626">
        <f>IF(L626/Q626*100&lt;3,2,10)</f>
      </c>
      <c r="S626">
        <f>IF(CH626=0,0,IF(B626&gt;9,10,IF(B626&gt;8,B626,IF(B626&gt;7.7,7.8,IF(B626&gt;3,B626,IF(B626&gt;1.5,2))))))</f>
      </c>
      <c r="T626">
        <f>IF(Q626=0,S626,R626)</f>
      </c>
      <c r="U626" t="n">
        <v>20.0</v>
      </c>
      <c r="V626" t="s">
        <v>3861</v>
      </c>
      <c r="W626" t="s">
        <v>3790</v>
      </c>
      <c r="X626" t="n">
        <v>645556.0</v>
      </c>
      <c r="Y626" t="n">
        <v>645556.0</v>
      </c>
      <c r="Z626" t="n">
        <v>96833.0</v>
      </c>
      <c r="AA626" t="n">
        <v>129111.0</v>
      </c>
      <c r="AB626" t="n">
        <v>0.0</v>
      </c>
      <c r="AC626" t="n">
        <v>96833.0</v>
      </c>
      <c r="AD626" t="n">
        <v>0.0</v>
      </c>
      <c r="AE626" t="n">
        <v>129111.0</v>
      </c>
      <c r="AF626" t="n">
        <v>66000.0</v>
      </c>
      <c r="AG626" t="n">
        <v>0.0</v>
      </c>
      <c r="AH626" t="n">
        <v>0.0</v>
      </c>
      <c r="AI626" t="n">
        <v>0.0</v>
      </c>
      <c r="AJ626" t="n">
        <v>0.0</v>
      </c>
      <c r="AK626" t="n">
        <v>0.0</v>
      </c>
      <c r="AL626" t="n">
        <v>0.0</v>
      </c>
      <c r="AM626" t="n">
        <v>0.0</v>
      </c>
      <c r="AN626" t="n">
        <v>0.0</v>
      </c>
      <c r="AO626" t="n">
        <v>1163444.0</v>
      </c>
      <c r="AP626" t="n">
        <v>116345.0</v>
      </c>
      <c r="AQ626" t="n">
        <v>98370.0</v>
      </c>
      <c r="CH626">
        <f>IFERROR(U626*1,0)</f>
      </c>
    </row>
    <row r="627">
      <c r="A627" t="n">
        <v>10.0</v>
      </c>
      <c r="B627">
        <f>IF((K627-G627-H627&gt;2400000),10,(L627/(K627-G627-H627)*100))</f>
      </c>
      <c r="C627">
        <f>IF(N627&gt;2400000,240000,(N627*S627)/100)</f>
      </c>
      <c r="D627">
        <f>IF(S627=0,0,IF((N627-I627)&gt;2400000,((((((N627-I627-J627)-240000))*0.1+(I627+J627)*0.1)))-7000,((((((N627-I627-J627)-(N627-I627-J627)*S627/100)))*0.1+(I627+J627)*0.1)-7000)))</f>
      </c>
      <c r="E627">
        <f>C627-O627</f>
      </c>
      <c r="F627">
        <f>D627-P627</f>
      </c>
      <c r="G627">
        <f>SUMIF(negtgel!U$2:BL$2,'Tsalin uzuulelt'!B$1,negtgel!U627:BL627) + SUMIF(negtgel!U$2:BL$2,'Tsalin uzuulelt'!B$2,negtgel!U627:BL627)+SUMIF(negtgel!U$2:BL$2,'Tsalin uzuulelt'!B$3,negtgel!U627:BL627)+SUMIF(negtgel!U$2:BL$2,'Tsalin uzuulelt'!B$4,negtgel!U627:BL627)+SUMIF(negtgel!U$2:BL$2,'Tsalin uzuulelt'!B$5,negtgel!U627:BL627)</f>
      </c>
      <c r="H627">
        <f>SUMIF(negtgel!U$2:BL$2,'Tsalin uzuulelt'!F$1,negtgel!U627:BL627) + SUMIF(negtgel!U$2:BL$2,'Tsalin uzuulelt'!F$2,negtgel!U627:BL627)+SUMIF(negtgel!U$2:BL$2,'Tsalin uzuulelt'!F$3,negtgel!U627:BL627)+SUMIF(negtgel!U$2:BL$2,'Tsalin uzuulelt'!F$4,negtgel!U627:BL627)+SUMIF(negtgel!U$2:BL$2,'Tsalin uzuulelt'!F$5,negtgel!U627:BL627)</f>
      </c>
      <c r="I627">
        <f>SUMIF(negtgel!U$2:BL$2,'Tsalin uzuulelt'!H$1,negtgel!U627:BL627) + SUMIF(negtgel!U$2:BL$2,'Tsalin uzuulelt'!H$2,negtgel!U627:BL627)+SUMIF(negtgel!U$2:BL$2,'Tsalin uzuulelt'!H$3,negtgel!U627:BL627)+SUMIF(negtgel!U$2:BL$2,'Tsalin uzuulelt'!H$4,negtgel!U627:BL627)+SUMIF(negtgel!U$2:BL$2,'Tsalin uzuulelt'!H$5,negtgel!U627:BL627)</f>
      </c>
      <c r="J627">
        <f>SUMIF(negtgel!U$2:BL$2,'Tsalin uzuulelt'!J$1,negtgel!U627:BL627) + SUMIF(negtgel!U$2:BL$2,'Tsalin uzuulelt'!J$2,negtgel!U627:BL627)+SUMIF(negtgel!U$2:BL$2,'Tsalin uzuulelt'!J$3,negtgel!U627:BL627)+SUMIF(negtgel!U$2:BL$2,'Tsalin uzuulelt'!J$4,negtgel!U627:BL627)+SUMIF(negtgel!U$2:BL$2,'Tsalin uzuulelt'!J$5,negtgel!U627:BL627)</f>
      </c>
      <c r="K627">
        <f>SUMIF(negtgel!U$2:BL$2,'Tsalin uzuulelt'!L$1,negtgel!U627:BL627) + SUMIF(negtgel!U$2:BL$2,'Tsalin uzuulelt'!L$2,negtgel!U627:BL627)+SUMIF(negtgel!U$2:BL$2,'Tsalin uzuulelt'!L$3,negtgel!U627:BL627)+SUMIF(negtgel!U$2:BL$2,'Tsalin uzuulelt'!L$4,negtgel!U627:BL627)+SUMIF(negtgel!U$2:BL$2,'Tsalin uzuulelt'!L$5,negtgel!U627:BL627)</f>
      </c>
      <c r="L627">
        <f>SUMIF(negtgel!U$2:BL$2,'Tsalin uzuulelt'!N$1,negtgel!U627:BL627) + SUMIF(negtgel!U$2:BL$2,'Tsalin uzuulelt'!N$2,negtgel!U627:BL627)+SUMIF(negtgel!U$2:BL$2,'Tsalin uzuulelt'!N$3,negtgel!U627:BL627)+SUMIF(negtgel!U$2:BL$2,'Tsalin uzuulelt'!N$4,negtgel!U627:BL627)+SUMIF(negtgel!U$2:BL$2,'Tsalin uzuulelt'!N$5,negtgel!U627:BL627)</f>
      </c>
      <c r="M627">
        <f>SUMIF(negtgel!U$2:BL$2,'Tsalin uzuulelt'!P$1,negtgel!U627:BL627) + SUMIF(negtgel!U$2:BL$2,'Tsalin uzuulelt'!P$2,negtgel!U627:BL627)+ SUMIF(negtgel!U$2:BL$2,'Tsalin uzuulelt'!P$3,negtgel!U627:BL627)+ SUMIF(negtgel!U$2:BL$2,'Tsalin uzuulelt'!P$4,negtgel!U627:BL627)+ SUMIF(negtgel!U$2:BL$2,'Tsalin uzuulelt'!P$5,negtgel!U627:BL627)</f>
      </c>
      <c r="N627">
        <f>IF(ISNUMBER(U627*1)=CF627,0,K627-H627-G627)</f>
      </c>
      <c r="O627">
        <f>IF(ISNUMBER(U627*1)=CF627,0,L627)</f>
      </c>
      <c r="P627">
        <f>IF(ISNUMBER(U627*1)=CF627,0,M627)</f>
      </c>
      <c r="Q627">
        <f>IF(N627&gt;2400000,N627,0)</f>
      </c>
      <c r="R627">
        <f>IF(L627/Q627*100&lt;3,2,10)</f>
      </c>
      <c r="S627">
        <f>IF(CH627=0,0,IF(B627&gt;9,10,IF(B627&gt;8,B627,IF(B627&gt;7.7,7.8,IF(B627&gt;3,B627,IF(B627&gt;1.5,2))))))</f>
      </c>
      <c r="T627">
        <f>IF(Q627=0,S627,R627)</f>
      </c>
      <c r="U627" t="s">
        <v>3787</v>
      </c>
      <c r="V627"/>
      <c r="W627"/>
      <c r="X627" t="n">
        <v>1.1878239E7</v>
      </c>
      <c r="Y627" t="n">
        <v>1.0681096E7</v>
      </c>
      <c r="Z627" t="n">
        <v>1374739.0</v>
      </c>
      <c r="AA627" t="n">
        <v>1484087.0</v>
      </c>
      <c r="AB627" t="n">
        <v>481395.0</v>
      </c>
      <c r="AC627" t="n">
        <v>422131.0</v>
      </c>
      <c r="AD627" t="n">
        <v>568736.0</v>
      </c>
      <c r="AE627" t="n">
        <v>535572.0</v>
      </c>
      <c r="AF627" t="n">
        <v>1155000.0</v>
      </c>
      <c r="AG627" t="n">
        <v>0.0</v>
      </c>
      <c r="AH627" t="n">
        <v>0.0</v>
      </c>
      <c r="AI627" t="n">
        <v>0.0</v>
      </c>
      <c r="AJ627" t="n">
        <v>1996732.0</v>
      </c>
      <c r="AK627" t="n">
        <v>0.0</v>
      </c>
      <c r="AL627" t="n">
        <v>145938.0</v>
      </c>
      <c r="AM627" t="n">
        <v>0.0</v>
      </c>
      <c r="AN627" t="n">
        <v>0.0</v>
      </c>
      <c r="AO627" t="n">
        <v>1.8907191E7</v>
      </c>
      <c r="AP627" t="n">
        <v>1876127.0</v>
      </c>
      <c r="AQ627" t="n">
        <v>1560062.8</v>
      </c>
      <c r="CH627">
        <f>IFERROR(U627*1,0)</f>
      </c>
    </row>
    <row r="628">
      <c r="A628" t="n">
        <v>10.0</v>
      </c>
      <c r="B628">
        <f>IF((K628-G628-H628&gt;2400000),10,(L628/(K628-G628-H628)*100))</f>
      </c>
      <c r="C628">
        <f>IF(N628&gt;2400000,240000,(N628*S628)/100)</f>
      </c>
      <c r="D628">
        <f>IF(S628=0,0,IF((N628-I628)&gt;2400000,((((((N628-I628-J628)-240000))*0.1+(I628+J628)*0.1)))-7000,((((((N628-I628-J628)-(N628-I628-J628)*S628/100)))*0.1+(I628+J628)*0.1)-7000)))</f>
      </c>
      <c r="E628">
        <f>C628-O628</f>
      </c>
      <c r="F628">
        <f>D628-P628</f>
      </c>
      <c r="G628">
        <f>SUMIF(negtgel!U$2:BL$2,'Tsalin uzuulelt'!B$1,negtgel!U628:BL628) + SUMIF(negtgel!U$2:BL$2,'Tsalin uzuulelt'!B$2,negtgel!U628:BL628)+SUMIF(negtgel!U$2:BL$2,'Tsalin uzuulelt'!B$3,negtgel!U628:BL628)+SUMIF(negtgel!U$2:BL$2,'Tsalin uzuulelt'!B$4,negtgel!U628:BL628)+SUMIF(negtgel!U$2:BL$2,'Tsalin uzuulelt'!B$5,negtgel!U628:BL628)</f>
      </c>
      <c r="H628">
        <f>SUMIF(negtgel!U$2:BL$2,'Tsalin uzuulelt'!F$1,negtgel!U628:BL628) + SUMIF(negtgel!U$2:BL$2,'Tsalin uzuulelt'!F$2,negtgel!U628:BL628)+SUMIF(negtgel!U$2:BL$2,'Tsalin uzuulelt'!F$3,negtgel!U628:BL628)+SUMIF(negtgel!U$2:BL$2,'Tsalin uzuulelt'!F$4,negtgel!U628:BL628)+SUMIF(negtgel!U$2:BL$2,'Tsalin uzuulelt'!F$5,negtgel!U628:BL628)</f>
      </c>
      <c r="I628">
        <f>SUMIF(negtgel!U$2:BL$2,'Tsalin uzuulelt'!H$1,negtgel!U628:BL628) + SUMIF(negtgel!U$2:BL$2,'Tsalin uzuulelt'!H$2,negtgel!U628:BL628)+SUMIF(negtgel!U$2:BL$2,'Tsalin uzuulelt'!H$3,negtgel!U628:BL628)+SUMIF(negtgel!U$2:BL$2,'Tsalin uzuulelt'!H$4,negtgel!U628:BL628)+SUMIF(negtgel!U$2:BL$2,'Tsalin uzuulelt'!H$5,negtgel!U628:BL628)</f>
      </c>
      <c r="J628">
        <f>SUMIF(negtgel!U$2:BL$2,'Tsalin uzuulelt'!J$1,negtgel!U628:BL628) + SUMIF(negtgel!U$2:BL$2,'Tsalin uzuulelt'!J$2,negtgel!U628:BL628)+SUMIF(negtgel!U$2:BL$2,'Tsalin uzuulelt'!J$3,negtgel!U628:BL628)+SUMIF(negtgel!U$2:BL$2,'Tsalin uzuulelt'!J$4,negtgel!U628:BL628)+SUMIF(negtgel!U$2:BL$2,'Tsalin uzuulelt'!J$5,negtgel!U628:BL628)</f>
      </c>
      <c r="K628">
        <f>SUMIF(negtgel!U$2:BL$2,'Tsalin uzuulelt'!L$1,negtgel!U628:BL628) + SUMIF(negtgel!U$2:BL$2,'Tsalin uzuulelt'!L$2,negtgel!U628:BL628)+SUMIF(negtgel!U$2:BL$2,'Tsalin uzuulelt'!L$3,negtgel!U628:BL628)+SUMIF(negtgel!U$2:BL$2,'Tsalin uzuulelt'!L$4,negtgel!U628:BL628)+SUMIF(negtgel!U$2:BL$2,'Tsalin uzuulelt'!L$5,negtgel!U628:BL628)</f>
      </c>
      <c r="L628">
        <f>SUMIF(negtgel!U$2:BL$2,'Tsalin uzuulelt'!N$1,negtgel!U628:BL628) + SUMIF(negtgel!U$2:BL$2,'Tsalin uzuulelt'!N$2,negtgel!U628:BL628)+SUMIF(negtgel!U$2:BL$2,'Tsalin uzuulelt'!N$3,negtgel!U628:BL628)+SUMIF(negtgel!U$2:BL$2,'Tsalin uzuulelt'!N$4,negtgel!U628:BL628)+SUMIF(negtgel!U$2:BL$2,'Tsalin uzuulelt'!N$5,negtgel!U628:BL628)</f>
      </c>
      <c r="M628">
        <f>SUMIF(negtgel!U$2:BL$2,'Tsalin uzuulelt'!P$1,negtgel!U628:BL628) + SUMIF(negtgel!U$2:BL$2,'Tsalin uzuulelt'!P$2,negtgel!U628:BL628)+ SUMIF(negtgel!U$2:BL$2,'Tsalin uzuulelt'!P$3,negtgel!U628:BL628)+ SUMIF(negtgel!U$2:BL$2,'Tsalin uzuulelt'!P$4,negtgel!U628:BL628)+ SUMIF(negtgel!U$2:BL$2,'Tsalin uzuulelt'!P$5,negtgel!U628:BL628)</f>
      </c>
      <c r="N628">
        <f>IF(ISNUMBER(U628*1)=CF628,0,K628-H628-G628)</f>
      </c>
      <c r="O628">
        <f>IF(ISNUMBER(U628*1)=CF628,0,L628)</f>
      </c>
      <c r="P628">
        <f>IF(ISNUMBER(U628*1)=CF628,0,M628)</f>
      </c>
      <c r="Q628">
        <f>IF(N628&gt;2400000,N628,0)</f>
      </c>
      <c r="R628">
        <f>IF(L628/Q628*100&lt;3,2,10)</f>
      </c>
      <c r="S628">
        <f>IF(CH628=0,0,IF(B628&gt;9,10,IF(B628&gt;8,B628,IF(B628&gt;7.7,7.8,IF(B628&gt;3,B628,IF(B628&gt;1.5,2))))))</f>
      </c>
      <c r="T628">
        <f>IF(Q628=0,S628,R628)</f>
      </c>
      <c r="U628" t="s">
        <v>3788</v>
      </c>
      <c r="V628"/>
      <c r="W628"/>
      <c r="X628"/>
      <c r="Y628"/>
      <c r="Z628"/>
      <c r="AA628"/>
      <c r="AB628"/>
      <c r="AC628"/>
      <c r="AD628"/>
      <c r="AE628"/>
      <c r="AF628"/>
      <c r="AG628"/>
      <c r="AH628"/>
      <c r="AI628"/>
      <c r="AJ628"/>
      <c r="AK628"/>
      <c r="AL628"/>
      <c r="AM628"/>
      <c r="AN628"/>
      <c r="AO628"/>
      <c r="AP628"/>
      <c r="AQ628"/>
      <c r="CH628">
        <f>IFERROR(U628*1,0)</f>
      </c>
    </row>
    <row r="629">
      <c r="A629" t="n">
        <v>10.0</v>
      </c>
      <c r="B629">
        <f>IF((K629-G629-H629&gt;2400000),10,(L629/(K629-G629-H629)*100))</f>
      </c>
      <c r="C629">
        <f>IF(N629&gt;2400000,240000,(N629*S629)/100)</f>
      </c>
      <c r="D629">
        <f>IF(S629=0,0,IF((N629-I629)&gt;2400000,((((((N629-I629-J629)-240000))*0.1+(I629+J629)*0.1)))-7000,((((((N629-I629-J629)-(N629-I629-J629)*S629/100)))*0.1+(I629+J629)*0.1)-7000)))</f>
      </c>
      <c r="E629">
        <f>C629-O629</f>
      </c>
      <c r="F629">
        <f>D629-P629</f>
      </c>
      <c r="G629">
        <f>SUMIF(negtgel!U$2:BL$2,'Tsalin uzuulelt'!B$1,negtgel!U629:BL629) + SUMIF(negtgel!U$2:BL$2,'Tsalin uzuulelt'!B$2,negtgel!U629:BL629)+SUMIF(negtgel!U$2:BL$2,'Tsalin uzuulelt'!B$3,negtgel!U629:BL629)+SUMIF(negtgel!U$2:BL$2,'Tsalin uzuulelt'!B$4,negtgel!U629:BL629)+SUMIF(negtgel!U$2:BL$2,'Tsalin uzuulelt'!B$5,negtgel!U629:BL629)</f>
      </c>
      <c r="H629">
        <f>SUMIF(negtgel!U$2:BL$2,'Tsalin uzuulelt'!F$1,negtgel!U629:BL629) + SUMIF(negtgel!U$2:BL$2,'Tsalin uzuulelt'!F$2,negtgel!U629:BL629)+SUMIF(negtgel!U$2:BL$2,'Tsalin uzuulelt'!F$3,negtgel!U629:BL629)+SUMIF(negtgel!U$2:BL$2,'Tsalin uzuulelt'!F$4,negtgel!U629:BL629)+SUMIF(negtgel!U$2:BL$2,'Tsalin uzuulelt'!F$5,negtgel!U629:BL629)</f>
      </c>
      <c r="I629">
        <f>SUMIF(negtgel!U$2:BL$2,'Tsalin uzuulelt'!H$1,negtgel!U629:BL629) + SUMIF(negtgel!U$2:BL$2,'Tsalin uzuulelt'!H$2,negtgel!U629:BL629)+SUMIF(negtgel!U$2:BL$2,'Tsalin uzuulelt'!H$3,negtgel!U629:BL629)+SUMIF(negtgel!U$2:BL$2,'Tsalin uzuulelt'!H$4,negtgel!U629:BL629)+SUMIF(negtgel!U$2:BL$2,'Tsalin uzuulelt'!H$5,negtgel!U629:BL629)</f>
      </c>
      <c r="J629">
        <f>SUMIF(negtgel!U$2:BL$2,'Tsalin uzuulelt'!J$1,negtgel!U629:BL629) + SUMIF(negtgel!U$2:BL$2,'Tsalin uzuulelt'!J$2,negtgel!U629:BL629)+SUMIF(negtgel!U$2:BL$2,'Tsalin uzuulelt'!J$3,negtgel!U629:BL629)+SUMIF(negtgel!U$2:BL$2,'Tsalin uzuulelt'!J$4,negtgel!U629:BL629)+SUMIF(negtgel!U$2:BL$2,'Tsalin uzuulelt'!J$5,negtgel!U629:BL629)</f>
      </c>
      <c r="K629">
        <f>SUMIF(negtgel!U$2:BL$2,'Tsalin uzuulelt'!L$1,negtgel!U629:BL629) + SUMIF(negtgel!U$2:BL$2,'Tsalin uzuulelt'!L$2,negtgel!U629:BL629)+SUMIF(negtgel!U$2:BL$2,'Tsalin uzuulelt'!L$3,negtgel!U629:BL629)+SUMIF(negtgel!U$2:BL$2,'Tsalin uzuulelt'!L$4,negtgel!U629:BL629)+SUMIF(negtgel!U$2:BL$2,'Tsalin uzuulelt'!L$5,negtgel!U629:BL629)</f>
      </c>
      <c r="L629">
        <f>SUMIF(negtgel!U$2:BL$2,'Tsalin uzuulelt'!N$1,negtgel!U629:BL629) + SUMIF(negtgel!U$2:BL$2,'Tsalin uzuulelt'!N$2,negtgel!U629:BL629)+SUMIF(negtgel!U$2:BL$2,'Tsalin uzuulelt'!N$3,negtgel!U629:BL629)+SUMIF(negtgel!U$2:BL$2,'Tsalin uzuulelt'!N$4,negtgel!U629:BL629)+SUMIF(negtgel!U$2:BL$2,'Tsalin uzuulelt'!N$5,negtgel!U629:BL629)</f>
      </c>
      <c r="M629">
        <f>SUMIF(negtgel!U$2:BL$2,'Tsalin uzuulelt'!P$1,negtgel!U629:BL629) + SUMIF(negtgel!U$2:BL$2,'Tsalin uzuulelt'!P$2,negtgel!U629:BL629)+ SUMIF(negtgel!U$2:BL$2,'Tsalin uzuulelt'!P$3,negtgel!U629:BL629)+ SUMIF(negtgel!U$2:BL$2,'Tsalin uzuulelt'!P$4,negtgel!U629:BL629)+ SUMIF(negtgel!U$2:BL$2,'Tsalin uzuulelt'!P$5,negtgel!U629:BL629)</f>
      </c>
      <c r="N629">
        <f>IF(ISNUMBER(U629*1)=CF629,0,K629-H629-G629)</f>
      </c>
      <c r="O629">
        <f>IF(ISNUMBER(U629*1)=CF629,0,L629)</f>
      </c>
      <c r="P629">
        <f>IF(ISNUMBER(U629*1)=CF629,0,M629)</f>
      </c>
      <c r="Q629">
        <f>IF(N629&gt;2400000,N629,0)</f>
      </c>
      <c r="R629">
        <f>IF(L629/Q629*100&lt;3,2,10)</f>
      </c>
      <c r="S629">
        <f>IF(CH629=0,0,IF(B629&gt;9,10,IF(B629&gt;8,B629,IF(B629&gt;7.7,7.8,IF(B629&gt;3,B629,IF(B629&gt;1.5,2))))))</f>
      </c>
      <c r="T629">
        <f>IF(Q629=0,S629,R629)</f>
      </c>
      <c r="U629" t="n">
        <v>21.0</v>
      </c>
      <c r="V629" t="s">
        <v>3789</v>
      </c>
      <c r="W629" t="s">
        <v>3790</v>
      </c>
      <c r="X629" t="n">
        <v>613669.0</v>
      </c>
      <c r="Y629" t="n">
        <v>613669.0</v>
      </c>
      <c r="Z629" t="n">
        <v>61367.0</v>
      </c>
      <c r="AA629" t="n">
        <v>92050.0</v>
      </c>
      <c r="AB629" t="n">
        <v>0.0</v>
      </c>
      <c r="AC629" t="n">
        <v>0.0</v>
      </c>
      <c r="AD629" t="n">
        <v>0.0</v>
      </c>
      <c r="AE629" t="n">
        <v>0.0</v>
      </c>
      <c r="AF629" t="n">
        <v>66000.0</v>
      </c>
      <c r="AG629" t="n">
        <v>0.0</v>
      </c>
      <c r="AH629" t="n">
        <v>0.0</v>
      </c>
      <c r="AI629" t="n">
        <v>0.0</v>
      </c>
      <c r="AJ629" t="n">
        <v>0.0</v>
      </c>
      <c r="AK629" t="n">
        <v>0.0</v>
      </c>
      <c r="AL629" t="n">
        <v>0.0</v>
      </c>
      <c r="AM629" t="n">
        <v>0.0</v>
      </c>
      <c r="AN629" t="n">
        <v>0.0</v>
      </c>
      <c r="AO629" t="n">
        <v>833086.0</v>
      </c>
      <c r="AP629" t="n">
        <v>83309.0</v>
      </c>
      <c r="AQ629" t="n">
        <v>68637.7</v>
      </c>
      <c r="CH629">
        <f>IFERROR(U629*1,0)</f>
      </c>
    </row>
    <row r="630">
      <c r="A630" t="n">
        <v>10.0</v>
      </c>
      <c r="B630">
        <f>IF((K630-G630-H630&gt;2400000),10,(L630/(K630-G630-H630)*100))</f>
      </c>
      <c r="C630">
        <f>IF(N630&gt;2400000,240000,(N630*S630)/100)</f>
      </c>
      <c r="D630">
        <f>IF(S630=0,0,IF((N630-I630)&gt;2400000,((((((N630-I630-J630)-240000))*0.1+(I630+J630)*0.1)))-7000,((((((N630-I630-J630)-(N630-I630-J630)*S630/100)))*0.1+(I630+J630)*0.1)-7000)))</f>
      </c>
      <c r="E630">
        <f>C630-O630</f>
      </c>
      <c r="F630">
        <f>D630-P630</f>
      </c>
      <c r="G630">
        <f>SUMIF(negtgel!U$2:BL$2,'Tsalin uzuulelt'!B$1,negtgel!U630:BL630) + SUMIF(negtgel!U$2:BL$2,'Tsalin uzuulelt'!B$2,negtgel!U630:BL630)+SUMIF(negtgel!U$2:BL$2,'Tsalin uzuulelt'!B$3,negtgel!U630:BL630)+SUMIF(negtgel!U$2:BL$2,'Tsalin uzuulelt'!B$4,negtgel!U630:BL630)+SUMIF(negtgel!U$2:BL$2,'Tsalin uzuulelt'!B$5,negtgel!U630:BL630)</f>
      </c>
      <c r="H630">
        <f>SUMIF(negtgel!U$2:BL$2,'Tsalin uzuulelt'!F$1,negtgel!U630:BL630) + SUMIF(negtgel!U$2:BL$2,'Tsalin uzuulelt'!F$2,negtgel!U630:BL630)+SUMIF(negtgel!U$2:BL$2,'Tsalin uzuulelt'!F$3,negtgel!U630:BL630)+SUMIF(negtgel!U$2:BL$2,'Tsalin uzuulelt'!F$4,negtgel!U630:BL630)+SUMIF(negtgel!U$2:BL$2,'Tsalin uzuulelt'!F$5,negtgel!U630:BL630)</f>
      </c>
      <c r="I630">
        <f>SUMIF(negtgel!U$2:BL$2,'Tsalin uzuulelt'!H$1,negtgel!U630:BL630) + SUMIF(negtgel!U$2:BL$2,'Tsalin uzuulelt'!H$2,negtgel!U630:BL630)+SUMIF(negtgel!U$2:BL$2,'Tsalin uzuulelt'!H$3,negtgel!U630:BL630)+SUMIF(negtgel!U$2:BL$2,'Tsalin uzuulelt'!H$4,negtgel!U630:BL630)+SUMIF(negtgel!U$2:BL$2,'Tsalin uzuulelt'!H$5,negtgel!U630:BL630)</f>
      </c>
      <c r="J630">
        <f>SUMIF(negtgel!U$2:BL$2,'Tsalin uzuulelt'!J$1,negtgel!U630:BL630) + SUMIF(negtgel!U$2:BL$2,'Tsalin uzuulelt'!J$2,negtgel!U630:BL630)+SUMIF(negtgel!U$2:BL$2,'Tsalin uzuulelt'!J$3,negtgel!U630:BL630)+SUMIF(negtgel!U$2:BL$2,'Tsalin uzuulelt'!J$4,negtgel!U630:BL630)+SUMIF(negtgel!U$2:BL$2,'Tsalin uzuulelt'!J$5,negtgel!U630:BL630)</f>
      </c>
      <c r="K630">
        <f>SUMIF(negtgel!U$2:BL$2,'Tsalin uzuulelt'!L$1,negtgel!U630:BL630) + SUMIF(negtgel!U$2:BL$2,'Tsalin uzuulelt'!L$2,negtgel!U630:BL630)+SUMIF(negtgel!U$2:BL$2,'Tsalin uzuulelt'!L$3,negtgel!U630:BL630)+SUMIF(negtgel!U$2:BL$2,'Tsalin uzuulelt'!L$4,negtgel!U630:BL630)+SUMIF(negtgel!U$2:BL$2,'Tsalin uzuulelt'!L$5,negtgel!U630:BL630)</f>
      </c>
      <c r="L630">
        <f>SUMIF(negtgel!U$2:BL$2,'Tsalin uzuulelt'!N$1,negtgel!U630:BL630) + SUMIF(negtgel!U$2:BL$2,'Tsalin uzuulelt'!N$2,negtgel!U630:BL630)+SUMIF(negtgel!U$2:BL$2,'Tsalin uzuulelt'!N$3,negtgel!U630:BL630)+SUMIF(negtgel!U$2:BL$2,'Tsalin uzuulelt'!N$4,negtgel!U630:BL630)+SUMIF(negtgel!U$2:BL$2,'Tsalin uzuulelt'!N$5,negtgel!U630:BL630)</f>
      </c>
      <c r="M630">
        <f>SUMIF(negtgel!U$2:BL$2,'Tsalin uzuulelt'!P$1,negtgel!U630:BL630) + SUMIF(negtgel!U$2:BL$2,'Tsalin uzuulelt'!P$2,negtgel!U630:BL630)+ SUMIF(negtgel!U$2:BL$2,'Tsalin uzuulelt'!P$3,negtgel!U630:BL630)+ SUMIF(negtgel!U$2:BL$2,'Tsalin uzuulelt'!P$4,negtgel!U630:BL630)+ SUMIF(negtgel!U$2:BL$2,'Tsalin uzuulelt'!P$5,negtgel!U630:BL630)</f>
      </c>
      <c r="N630">
        <f>IF(ISNUMBER(U630*1)=CF630,0,K630-H630-G630)</f>
      </c>
      <c r="O630">
        <f>IF(ISNUMBER(U630*1)=CF630,0,L630)</f>
      </c>
      <c r="P630">
        <f>IF(ISNUMBER(U630*1)=CF630,0,M630)</f>
      </c>
      <c r="Q630">
        <f>IF(N630&gt;2400000,N630,0)</f>
      </c>
      <c r="R630">
        <f>IF(L630/Q630*100&lt;3,2,10)</f>
      </c>
      <c r="S630">
        <f>IF(CH630=0,0,IF(B630&gt;9,10,IF(B630&gt;8,B630,IF(B630&gt;7.7,7.8,IF(B630&gt;3,B630,IF(B630&gt;1.5,2))))))</f>
      </c>
      <c r="T630">
        <f>IF(Q630=0,S630,R630)</f>
      </c>
      <c r="U630" t="n">
        <v>22.0</v>
      </c>
      <c r="V630" t="s">
        <v>3791</v>
      </c>
      <c r="W630" t="s">
        <v>3792</v>
      </c>
      <c r="X630" t="n">
        <v>535584.0</v>
      </c>
      <c r="Y630" t="n">
        <v>535584.0</v>
      </c>
      <c r="Z630" t="n">
        <v>0.0</v>
      </c>
      <c r="AA630" t="n">
        <v>0.0</v>
      </c>
      <c r="AB630" t="n">
        <v>0.0</v>
      </c>
      <c r="AC630" t="n">
        <v>0.0</v>
      </c>
      <c r="AD630" t="n">
        <v>0.0</v>
      </c>
      <c r="AE630" t="n">
        <v>0.0</v>
      </c>
      <c r="AF630" t="n">
        <v>66000.0</v>
      </c>
      <c r="AG630" t="n">
        <v>0.0</v>
      </c>
      <c r="AH630" t="n">
        <v>0.0</v>
      </c>
      <c r="AI630" t="n">
        <v>0.0</v>
      </c>
      <c r="AJ630" t="n">
        <v>0.0</v>
      </c>
      <c r="AK630" t="n">
        <v>0.0</v>
      </c>
      <c r="AL630" t="n">
        <v>0.0</v>
      </c>
      <c r="AM630" t="n">
        <v>0.0</v>
      </c>
      <c r="AN630" t="n">
        <v>0.0</v>
      </c>
      <c r="AO630" t="n">
        <v>601584.0</v>
      </c>
      <c r="AP630" t="n">
        <v>60159.0</v>
      </c>
      <c r="AQ630" t="n">
        <v>47802.6</v>
      </c>
      <c r="CH630">
        <f>IFERROR(U630*1,0)</f>
      </c>
    </row>
    <row r="631">
      <c r="A631" t="n">
        <v>10.0</v>
      </c>
      <c r="B631">
        <f>IF((K631-G631-H631&gt;2400000),10,(L631/(K631-G631-H631)*100))</f>
      </c>
      <c r="C631">
        <f>IF(N631&gt;2400000,240000,(N631*S631)/100)</f>
      </c>
      <c r="D631">
        <f>IF(S631=0,0,IF((N631-I631)&gt;2400000,((((((N631-I631-J631)-240000))*0.1+(I631+J631)*0.1)))-7000,((((((N631-I631-J631)-(N631-I631-J631)*S631/100)))*0.1+(I631+J631)*0.1)-7000)))</f>
      </c>
      <c r="E631">
        <f>C631-O631</f>
      </c>
      <c r="F631">
        <f>D631-P631</f>
      </c>
      <c r="G631">
        <f>SUMIF(negtgel!U$2:BL$2,'Tsalin uzuulelt'!B$1,negtgel!U631:BL631) + SUMIF(negtgel!U$2:BL$2,'Tsalin uzuulelt'!B$2,negtgel!U631:BL631)+SUMIF(negtgel!U$2:BL$2,'Tsalin uzuulelt'!B$3,negtgel!U631:BL631)+SUMIF(negtgel!U$2:BL$2,'Tsalin uzuulelt'!B$4,negtgel!U631:BL631)+SUMIF(negtgel!U$2:BL$2,'Tsalin uzuulelt'!B$5,negtgel!U631:BL631)</f>
      </c>
      <c r="H631">
        <f>SUMIF(negtgel!U$2:BL$2,'Tsalin uzuulelt'!F$1,negtgel!U631:BL631) + SUMIF(negtgel!U$2:BL$2,'Tsalin uzuulelt'!F$2,negtgel!U631:BL631)+SUMIF(negtgel!U$2:BL$2,'Tsalin uzuulelt'!F$3,negtgel!U631:BL631)+SUMIF(negtgel!U$2:BL$2,'Tsalin uzuulelt'!F$4,negtgel!U631:BL631)+SUMIF(negtgel!U$2:BL$2,'Tsalin uzuulelt'!F$5,negtgel!U631:BL631)</f>
      </c>
      <c r="I631">
        <f>SUMIF(negtgel!U$2:BL$2,'Tsalin uzuulelt'!H$1,negtgel!U631:BL631) + SUMIF(negtgel!U$2:BL$2,'Tsalin uzuulelt'!H$2,negtgel!U631:BL631)+SUMIF(negtgel!U$2:BL$2,'Tsalin uzuulelt'!H$3,negtgel!U631:BL631)+SUMIF(negtgel!U$2:BL$2,'Tsalin uzuulelt'!H$4,negtgel!U631:BL631)+SUMIF(negtgel!U$2:BL$2,'Tsalin uzuulelt'!H$5,negtgel!U631:BL631)</f>
      </c>
      <c r="J631">
        <f>SUMIF(negtgel!U$2:BL$2,'Tsalin uzuulelt'!J$1,negtgel!U631:BL631) + SUMIF(negtgel!U$2:BL$2,'Tsalin uzuulelt'!J$2,negtgel!U631:BL631)+SUMIF(negtgel!U$2:BL$2,'Tsalin uzuulelt'!J$3,negtgel!U631:BL631)+SUMIF(negtgel!U$2:BL$2,'Tsalin uzuulelt'!J$4,negtgel!U631:BL631)+SUMIF(negtgel!U$2:BL$2,'Tsalin uzuulelt'!J$5,negtgel!U631:BL631)</f>
      </c>
      <c r="K631">
        <f>SUMIF(negtgel!U$2:BL$2,'Tsalin uzuulelt'!L$1,negtgel!U631:BL631) + SUMIF(negtgel!U$2:BL$2,'Tsalin uzuulelt'!L$2,negtgel!U631:BL631)+SUMIF(negtgel!U$2:BL$2,'Tsalin uzuulelt'!L$3,negtgel!U631:BL631)+SUMIF(negtgel!U$2:BL$2,'Tsalin uzuulelt'!L$4,negtgel!U631:BL631)+SUMIF(negtgel!U$2:BL$2,'Tsalin uzuulelt'!L$5,negtgel!U631:BL631)</f>
      </c>
      <c r="L631">
        <f>SUMIF(negtgel!U$2:BL$2,'Tsalin uzuulelt'!N$1,negtgel!U631:BL631) + SUMIF(negtgel!U$2:BL$2,'Tsalin uzuulelt'!N$2,negtgel!U631:BL631)+SUMIF(negtgel!U$2:BL$2,'Tsalin uzuulelt'!N$3,negtgel!U631:BL631)+SUMIF(negtgel!U$2:BL$2,'Tsalin uzuulelt'!N$4,negtgel!U631:BL631)+SUMIF(negtgel!U$2:BL$2,'Tsalin uzuulelt'!N$5,negtgel!U631:BL631)</f>
      </c>
      <c r="M631">
        <f>SUMIF(negtgel!U$2:BL$2,'Tsalin uzuulelt'!P$1,negtgel!U631:BL631) + SUMIF(negtgel!U$2:BL$2,'Tsalin uzuulelt'!P$2,negtgel!U631:BL631)+ SUMIF(negtgel!U$2:BL$2,'Tsalin uzuulelt'!P$3,negtgel!U631:BL631)+ SUMIF(negtgel!U$2:BL$2,'Tsalin uzuulelt'!P$4,negtgel!U631:BL631)+ SUMIF(negtgel!U$2:BL$2,'Tsalin uzuulelt'!P$5,negtgel!U631:BL631)</f>
      </c>
      <c r="N631">
        <f>IF(ISNUMBER(U631*1)=CF631,0,K631-H631-G631)</f>
      </c>
      <c r="O631">
        <f>IF(ISNUMBER(U631*1)=CF631,0,L631)</f>
      </c>
      <c r="P631">
        <f>IF(ISNUMBER(U631*1)=CF631,0,M631)</f>
      </c>
      <c r="Q631">
        <f>IF(N631&gt;2400000,N631,0)</f>
      </c>
      <c r="R631">
        <f>IF(L631/Q631*100&lt;3,2,10)</f>
      </c>
      <c r="S631">
        <f>IF(CH631=0,0,IF(B631&gt;9,10,IF(B631&gt;8,B631,IF(B631&gt;7.7,7.8,IF(B631&gt;3,B631,IF(B631&gt;1.5,2))))))</f>
      </c>
      <c r="T631">
        <f>IF(Q631=0,S631,R631)</f>
      </c>
      <c r="U631" t="n">
        <v>23.0</v>
      </c>
      <c r="V631" t="s">
        <v>3793</v>
      </c>
      <c r="W631" t="s">
        <v>3790</v>
      </c>
      <c r="X631" t="n">
        <v>645556.0</v>
      </c>
      <c r="Y631" t="n">
        <v>645556.0</v>
      </c>
      <c r="Z631" t="n">
        <v>96833.0</v>
      </c>
      <c r="AA631" t="n">
        <v>0.0</v>
      </c>
      <c r="AB631" t="n">
        <v>0.0</v>
      </c>
      <c r="AC631" t="n">
        <v>0.0</v>
      </c>
      <c r="AD631" t="n">
        <v>0.0</v>
      </c>
      <c r="AE631" t="n">
        <v>0.0</v>
      </c>
      <c r="AF631" t="n">
        <v>66000.0</v>
      </c>
      <c r="AG631" t="n">
        <v>0.0</v>
      </c>
      <c r="AH631" t="n">
        <v>0.0</v>
      </c>
      <c r="AI631" t="n">
        <v>0.0</v>
      </c>
      <c r="AJ631" t="n">
        <v>0.0</v>
      </c>
      <c r="AK631" t="n">
        <v>0.0</v>
      </c>
      <c r="AL631" t="n">
        <v>0.0</v>
      </c>
      <c r="AM631" t="n">
        <v>0.0</v>
      </c>
      <c r="AN631" t="n">
        <v>0.0</v>
      </c>
      <c r="AO631" t="n">
        <v>808389.0</v>
      </c>
      <c r="AP631" t="n">
        <v>80839.0</v>
      </c>
      <c r="AQ631" t="n">
        <v>66415.0</v>
      </c>
      <c r="CH631">
        <f>IFERROR(U631*1,0)</f>
      </c>
    </row>
    <row r="632">
      <c r="A632" t="n">
        <v>10.0</v>
      </c>
      <c r="B632">
        <f>IF((K632-G632-H632&gt;2400000),10,(L632/(K632-G632-H632)*100))</f>
      </c>
      <c r="C632">
        <f>IF(N632&gt;2400000,240000,(N632*S632)/100)</f>
      </c>
      <c r="D632">
        <f>IF(S632=0,0,IF((N632-I632)&gt;2400000,((((((N632-I632-J632)-240000))*0.1+(I632+J632)*0.1)))-7000,((((((N632-I632-J632)-(N632-I632-J632)*S632/100)))*0.1+(I632+J632)*0.1)-7000)))</f>
      </c>
      <c r="E632">
        <f>C632-O632</f>
      </c>
      <c r="F632">
        <f>D632-P632</f>
      </c>
      <c r="G632">
        <f>SUMIF(negtgel!U$2:BL$2,'Tsalin uzuulelt'!B$1,negtgel!U632:BL632) + SUMIF(negtgel!U$2:BL$2,'Tsalin uzuulelt'!B$2,negtgel!U632:BL632)+SUMIF(negtgel!U$2:BL$2,'Tsalin uzuulelt'!B$3,negtgel!U632:BL632)+SUMIF(negtgel!U$2:BL$2,'Tsalin uzuulelt'!B$4,negtgel!U632:BL632)+SUMIF(negtgel!U$2:BL$2,'Tsalin uzuulelt'!B$5,negtgel!U632:BL632)</f>
      </c>
      <c r="H632">
        <f>SUMIF(negtgel!U$2:BL$2,'Tsalin uzuulelt'!F$1,negtgel!U632:BL632) + SUMIF(negtgel!U$2:BL$2,'Tsalin uzuulelt'!F$2,negtgel!U632:BL632)+SUMIF(negtgel!U$2:BL$2,'Tsalin uzuulelt'!F$3,negtgel!U632:BL632)+SUMIF(negtgel!U$2:BL$2,'Tsalin uzuulelt'!F$4,negtgel!U632:BL632)+SUMIF(negtgel!U$2:BL$2,'Tsalin uzuulelt'!F$5,negtgel!U632:BL632)</f>
      </c>
      <c r="I632">
        <f>SUMIF(negtgel!U$2:BL$2,'Tsalin uzuulelt'!H$1,negtgel!U632:BL632) + SUMIF(negtgel!U$2:BL$2,'Tsalin uzuulelt'!H$2,negtgel!U632:BL632)+SUMIF(negtgel!U$2:BL$2,'Tsalin uzuulelt'!H$3,negtgel!U632:BL632)+SUMIF(negtgel!U$2:BL$2,'Tsalin uzuulelt'!H$4,negtgel!U632:BL632)+SUMIF(negtgel!U$2:BL$2,'Tsalin uzuulelt'!H$5,negtgel!U632:BL632)</f>
      </c>
      <c r="J632">
        <f>SUMIF(negtgel!U$2:BL$2,'Tsalin uzuulelt'!J$1,negtgel!U632:BL632) + SUMIF(negtgel!U$2:BL$2,'Tsalin uzuulelt'!J$2,negtgel!U632:BL632)+SUMIF(negtgel!U$2:BL$2,'Tsalin uzuulelt'!J$3,negtgel!U632:BL632)+SUMIF(negtgel!U$2:BL$2,'Tsalin uzuulelt'!J$4,negtgel!U632:BL632)+SUMIF(negtgel!U$2:BL$2,'Tsalin uzuulelt'!J$5,negtgel!U632:BL632)</f>
      </c>
      <c r="K632">
        <f>SUMIF(negtgel!U$2:BL$2,'Tsalin uzuulelt'!L$1,negtgel!U632:BL632) + SUMIF(negtgel!U$2:BL$2,'Tsalin uzuulelt'!L$2,negtgel!U632:BL632)+SUMIF(negtgel!U$2:BL$2,'Tsalin uzuulelt'!L$3,negtgel!U632:BL632)+SUMIF(negtgel!U$2:BL$2,'Tsalin uzuulelt'!L$4,negtgel!U632:BL632)+SUMIF(negtgel!U$2:BL$2,'Tsalin uzuulelt'!L$5,negtgel!U632:BL632)</f>
      </c>
      <c r="L632">
        <f>SUMIF(negtgel!U$2:BL$2,'Tsalin uzuulelt'!N$1,negtgel!U632:BL632) + SUMIF(negtgel!U$2:BL$2,'Tsalin uzuulelt'!N$2,negtgel!U632:BL632)+SUMIF(negtgel!U$2:BL$2,'Tsalin uzuulelt'!N$3,negtgel!U632:BL632)+SUMIF(negtgel!U$2:BL$2,'Tsalin uzuulelt'!N$4,negtgel!U632:BL632)+SUMIF(negtgel!U$2:BL$2,'Tsalin uzuulelt'!N$5,negtgel!U632:BL632)</f>
      </c>
      <c r="M632">
        <f>SUMIF(negtgel!U$2:BL$2,'Tsalin uzuulelt'!P$1,negtgel!U632:BL632) + SUMIF(negtgel!U$2:BL$2,'Tsalin uzuulelt'!P$2,negtgel!U632:BL632)+ SUMIF(negtgel!U$2:BL$2,'Tsalin uzuulelt'!P$3,negtgel!U632:BL632)+ SUMIF(negtgel!U$2:BL$2,'Tsalin uzuulelt'!P$4,negtgel!U632:BL632)+ SUMIF(negtgel!U$2:BL$2,'Tsalin uzuulelt'!P$5,negtgel!U632:BL632)</f>
      </c>
      <c r="N632">
        <f>IF(ISNUMBER(U632*1)=CF632,0,K632-H632-G632)</f>
      </c>
      <c r="O632">
        <f>IF(ISNUMBER(U632*1)=CF632,0,L632)</f>
      </c>
      <c r="P632">
        <f>IF(ISNUMBER(U632*1)=CF632,0,M632)</f>
      </c>
      <c r="Q632">
        <f>IF(N632&gt;2400000,N632,0)</f>
      </c>
      <c r="R632">
        <f>IF(L632/Q632*100&lt;3,2,10)</f>
      </c>
      <c r="S632">
        <f>IF(CH632=0,0,IF(B632&gt;9,10,IF(B632&gt;8,B632,IF(B632&gt;7.7,7.8,IF(B632&gt;3,B632,IF(B632&gt;1.5,2))))))</f>
      </c>
      <c r="T632">
        <f>IF(Q632=0,S632,R632)</f>
      </c>
      <c r="U632" t="n">
        <v>24.0</v>
      </c>
      <c r="V632" t="s">
        <v>3794</v>
      </c>
      <c r="W632" t="s">
        <v>3792</v>
      </c>
      <c r="X632" t="n">
        <v>496912.0</v>
      </c>
      <c r="Y632" t="n">
        <v>496912.0</v>
      </c>
      <c r="Z632" t="n">
        <v>0.0</v>
      </c>
      <c r="AA632" t="n">
        <v>0.0</v>
      </c>
      <c r="AB632" t="n">
        <v>0.0</v>
      </c>
      <c r="AC632" t="n">
        <v>0.0</v>
      </c>
      <c r="AD632" t="n">
        <v>0.0</v>
      </c>
      <c r="AE632" t="n">
        <v>0.0</v>
      </c>
      <c r="AF632" t="n">
        <v>66000.0</v>
      </c>
      <c r="AG632" t="n">
        <v>0.0</v>
      </c>
      <c r="AH632" t="n">
        <v>0.0</v>
      </c>
      <c r="AI632" t="n">
        <v>0.0</v>
      </c>
      <c r="AJ632" t="n">
        <v>0.0</v>
      </c>
      <c r="AK632" t="n">
        <v>0.0</v>
      </c>
      <c r="AL632" t="n">
        <v>0.0</v>
      </c>
      <c r="AM632" t="n">
        <v>0.0</v>
      </c>
      <c r="AN632" t="n">
        <v>0.0</v>
      </c>
      <c r="AO632" t="n">
        <v>562912.0</v>
      </c>
      <c r="AP632" t="n">
        <v>56291.0</v>
      </c>
      <c r="AQ632" t="n">
        <v>44322.1</v>
      </c>
      <c r="CH632">
        <f>IFERROR(U632*1,0)</f>
      </c>
    </row>
    <row r="633">
      <c r="A633" t="n">
        <v>10.0</v>
      </c>
      <c r="B633">
        <f>IF((K633-G633-H633&gt;2400000),10,(L633/(K633-G633-H633)*100))</f>
      </c>
      <c r="C633">
        <f>IF(N633&gt;2400000,240000,(N633*S633)/100)</f>
      </c>
      <c r="D633">
        <f>IF(S633=0,0,IF((N633-I633)&gt;2400000,((((((N633-I633-J633)-240000))*0.1+(I633+J633)*0.1)))-7000,((((((N633-I633-J633)-(N633-I633-J633)*S633/100)))*0.1+(I633+J633)*0.1)-7000)))</f>
      </c>
      <c r="E633">
        <f>C633-O633</f>
      </c>
      <c r="F633">
        <f>D633-P633</f>
      </c>
      <c r="G633">
        <f>SUMIF(negtgel!U$2:BL$2,'Tsalin uzuulelt'!B$1,negtgel!U633:BL633) + SUMIF(negtgel!U$2:BL$2,'Tsalin uzuulelt'!B$2,negtgel!U633:BL633)+SUMIF(negtgel!U$2:BL$2,'Tsalin uzuulelt'!B$3,negtgel!U633:BL633)+SUMIF(negtgel!U$2:BL$2,'Tsalin uzuulelt'!B$4,negtgel!U633:BL633)+SUMIF(negtgel!U$2:BL$2,'Tsalin uzuulelt'!B$5,negtgel!U633:BL633)</f>
      </c>
      <c r="H633">
        <f>SUMIF(negtgel!U$2:BL$2,'Tsalin uzuulelt'!F$1,negtgel!U633:BL633) + SUMIF(negtgel!U$2:BL$2,'Tsalin uzuulelt'!F$2,negtgel!U633:BL633)+SUMIF(negtgel!U$2:BL$2,'Tsalin uzuulelt'!F$3,negtgel!U633:BL633)+SUMIF(negtgel!U$2:BL$2,'Tsalin uzuulelt'!F$4,negtgel!U633:BL633)+SUMIF(negtgel!U$2:BL$2,'Tsalin uzuulelt'!F$5,negtgel!U633:BL633)</f>
      </c>
      <c r="I633">
        <f>SUMIF(negtgel!U$2:BL$2,'Tsalin uzuulelt'!H$1,negtgel!U633:BL633) + SUMIF(negtgel!U$2:BL$2,'Tsalin uzuulelt'!H$2,negtgel!U633:BL633)+SUMIF(negtgel!U$2:BL$2,'Tsalin uzuulelt'!H$3,negtgel!U633:BL633)+SUMIF(negtgel!U$2:BL$2,'Tsalin uzuulelt'!H$4,negtgel!U633:BL633)+SUMIF(negtgel!U$2:BL$2,'Tsalin uzuulelt'!H$5,negtgel!U633:BL633)</f>
      </c>
      <c r="J633">
        <f>SUMIF(negtgel!U$2:BL$2,'Tsalin uzuulelt'!J$1,negtgel!U633:BL633) + SUMIF(negtgel!U$2:BL$2,'Tsalin uzuulelt'!J$2,negtgel!U633:BL633)+SUMIF(negtgel!U$2:BL$2,'Tsalin uzuulelt'!J$3,negtgel!U633:BL633)+SUMIF(negtgel!U$2:BL$2,'Tsalin uzuulelt'!J$4,negtgel!U633:BL633)+SUMIF(negtgel!U$2:BL$2,'Tsalin uzuulelt'!J$5,negtgel!U633:BL633)</f>
      </c>
      <c r="K633">
        <f>SUMIF(negtgel!U$2:BL$2,'Tsalin uzuulelt'!L$1,negtgel!U633:BL633) + SUMIF(negtgel!U$2:BL$2,'Tsalin uzuulelt'!L$2,negtgel!U633:BL633)+SUMIF(negtgel!U$2:BL$2,'Tsalin uzuulelt'!L$3,negtgel!U633:BL633)+SUMIF(negtgel!U$2:BL$2,'Tsalin uzuulelt'!L$4,negtgel!U633:BL633)+SUMIF(negtgel!U$2:BL$2,'Tsalin uzuulelt'!L$5,negtgel!U633:BL633)</f>
      </c>
      <c r="L633">
        <f>SUMIF(negtgel!U$2:BL$2,'Tsalin uzuulelt'!N$1,negtgel!U633:BL633) + SUMIF(negtgel!U$2:BL$2,'Tsalin uzuulelt'!N$2,negtgel!U633:BL633)+SUMIF(negtgel!U$2:BL$2,'Tsalin uzuulelt'!N$3,negtgel!U633:BL633)+SUMIF(negtgel!U$2:BL$2,'Tsalin uzuulelt'!N$4,negtgel!U633:BL633)+SUMIF(negtgel!U$2:BL$2,'Tsalin uzuulelt'!N$5,negtgel!U633:BL633)</f>
      </c>
      <c r="M633">
        <f>SUMIF(negtgel!U$2:BL$2,'Tsalin uzuulelt'!P$1,negtgel!U633:BL633) + SUMIF(negtgel!U$2:BL$2,'Tsalin uzuulelt'!P$2,negtgel!U633:BL633)+ SUMIF(negtgel!U$2:BL$2,'Tsalin uzuulelt'!P$3,negtgel!U633:BL633)+ SUMIF(negtgel!U$2:BL$2,'Tsalin uzuulelt'!P$4,negtgel!U633:BL633)+ SUMIF(negtgel!U$2:BL$2,'Tsalin uzuulelt'!P$5,negtgel!U633:BL633)</f>
      </c>
      <c r="N633">
        <f>IF(ISNUMBER(U633*1)=CF633,0,K633-H633-G633)</f>
      </c>
      <c r="O633">
        <f>IF(ISNUMBER(U633*1)=CF633,0,L633)</f>
      </c>
      <c r="P633">
        <f>IF(ISNUMBER(U633*1)=CF633,0,M633)</f>
      </c>
      <c r="Q633">
        <f>IF(N633&gt;2400000,N633,0)</f>
      </c>
      <c r="R633">
        <f>IF(L633/Q633*100&lt;3,2,10)</f>
      </c>
      <c r="S633">
        <f>IF(CH633=0,0,IF(B633&gt;9,10,IF(B633&gt;8,B633,IF(B633&gt;7.7,7.8,IF(B633&gt;3,B633,IF(B633&gt;1.5,2))))))</f>
      </c>
      <c r="T633">
        <f>IF(Q633=0,S633,R633)</f>
      </c>
      <c r="U633" t="n">
        <v>25.0</v>
      </c>
      <c r="V633" t="s">
        <v>3850</v>
      </c>
      <c r="W633" t="s">
        <v>3790</v>
      </c>
      <c r="X633" t="n">
        <v>547759.0</v>
      </c>
      <c r="Y633" t="n">
        <v>547759.0</v>
      </c>
      <c r="Z633" t="n">
        <v>0.0</v>
      </c>
      <c r="AA633" t="n">
        <v>0.0</v>
      </c>
      <c r="AB633" t="n">
        <v>0.0</v>
      </c>
      <c r="AC633" t="n">
        <v>0.0</v>
      </c>
      <c r="AD633" t="n">
        <v>0.0</v>
      </c>
      <c r="AE633" t="n">
        <v>0.0</v>
      </c>
      <c r="AF633" t="n">
        <v>66000.0</v>
      </c>
      <c r="AG633" t="n">
        <v>0.0</v>
      </c>
      <c r="AH633" t="n">
        <v>0.0</v>
      </c>
      <c r="AI633" t="n">
        <v>0.0</v>
      </c>
      <c r="AJ633" t="n">
        <v>0.0</v>
      </c>
      <c r="AK633" t="n">
        <v>0.0</v>
      </c>
      <c r="AL633" t="n">
        <v>0.0</v>
      </c>
      <c r="AM633" t="n">
        <v>0.0</v>
      </c>
      <c r="AN633" t="n">
        <v>0.0</v>
      </c>
      <c r="AO633" t="n">
        <v>613759.0</v>
      </c>
      <c r="AP633" t="n">
        <v>61376.0</v>
      </c>
      <c r="AQ633" t="n">
        <v>48898.3</v>
      </c>
      <c r="CH633">
        <f>IFERROR(U633*1,0)</f>
      </c>
    </row>
    <row r="634">
      <c r="A634" t="n">
        <v>10.0</v>
      </c>
      <c r="B634">
        <f>IF((K634-G634-H634&gt;2400000),10,(L634/(K634-G634-H634)*100))</f>
      </c>
      <c r="C634">
        <f>IF(N634&gt;2400000,240000,(N634*S634)/100)</f>
      </c>
      <c r="D634">
        <f>IF(S634=0,0,IF((N634-I634)&gt;2400000,((((((N634-I634-J634)-240000))*0.1+(I634+J634)*0.1)))-7000,((((((N634-I634-J634)-(N634-I634-J634)*S634/100)))*0.1+(I634+J634)*0.1)-7000)))</f>
      </c>
      <c r="E634">
        <f>C634-O634</f>
      </c>
      <c r="F634">
        <f>D634-P634</f>
      </c>
      <c r="G634">
        <f>SUMIF(negtgel!U$2:BL$2,'Tsalin uzuulelt'!B$1,negtgel!U634:BL634) + SUMIF(negtgel!U$2:BL$2,'Tsalin uzuulelt'!B$2,negtgel!U634:BL634)+SUMIF(negtgel!U$2:BL$2,'Tsalin uzuulelt'!B$3,negtgel!U634:BL634)+SUMIF(negtgel!U$2:BL$2,'Tsalin uzuulelt'!B$4,negtgel!U634:BL634)+SUMIF(negtgel!U$2:BL$2,'Tsalin uzuulelt'!B$5,negtgel!U634:BL634)</f>
      </c>
      <c r="H634">
        <f>SUMIF(negtgel!U$2:BL$2,'Tsalin uzuulelt'!F$1,negtgel!U634:BL634) + SUMIF(negtgel!U$2:BL$2,'Tsalin uzuulelt'!F$2,negtgel!U634:BL634)+SUMIF(negtgel!U$2:BL$2,'Tsalin uzuulelt'!F$3,negtgel!U634:BL634)+SUMIF(negtgel!U$2:BL$2,'Tsalin uzuulelt'!F$4,negtgel!U634:BL634)+SUMIF(negtgel!U$2:BL$2,'Tsalin uzuulelt'!F$5,negtgel!U634:BL634)</f>
      </c>
      <c r="I634">
        <f>SUMIF(negtgel!U$2:BL$2,'Tsalin uzuulelt'!H$1,negtgel!U634:BL634) + SUMIF(negtgel!U$2:BL$2,'Tsalin uzuulelt'!H$2,negtgel!U634:BL634)+SUMIF(negtgel!U$2:BL$2,'Tsalin uzuulelt'!H$3,negtgel!U634:BL634)+SUMIF(negtgel!U$2:BL$2,'Tsalin uzuulelt'!H$4,negtgel!U634:BL634)+SUMIF(negtgel!U$2:BL$2,'Tsalin uzuulelt'!H$5,negtgel!U634:BL634)</f>
      </c>
      <c r="J634">
        <f>SUMIF(negtgel!U$2:BL$2,'Tsalin uzuulelt'!J$1,negtgel!U634:BL634) + SUMIF(negtgel!U$2:BL$2,'Tsalin uzuulelt'!J$2,negtgel!U634:BL634)+SUMIF(negtgel!U$2:BL$2,'Tsalin uzuulelt'!J$3,negtgel!U634:BL634)+SUMIF(negtgel!U$2:BL$2,'Tsalin uzuulelt'!J$4,negtgel!U634:BL634)+SUMIF(negtgel!U$2:BL$2,'Tsalin uzuulelt'!J$5,negtgel!U634:BL634)</f>
      </c>
      <c r="K634">
        <f>SUMIF(negtgel!U$2:BL$2,'Tsalin uzuulelt'!L$1,negtgel!U634:BL634) + SUMIF(negtgel!U$2:BL$2,'Tsalin uzuulelt'!L$2,negtgel!U634:BL634)+SUMIF(negtgel!U$2:BL$2,'Tsalin uzuulelt'!L$3,negtgel!U634:BL634)+SUMIF(negtgel!U$2:BL$2,'Tsalin uzuulelt'!L$4,negtgel!U634:BL634)+SUMIF(negtgel!U$2:BL$2,'Tsalin uzuulelt'!L$5,negtgel!U634:BL634)</f>
      </c>
      <c r="L634">
        <f>SUMIF(negtgel!U$2:BL$2,'Tsalin uzuulelt'!N$1,negtgel!U634:BL634) + SUMIF(negtgel!U$2:BL$2,'Tsalin uzuulelt'!N$2,negtgel!U634:BL634)+SUMIF(negtgel!U$2:BL$2,'Tsalin uzuulelt'!N$3,negtgel!U634:BL634)+SUMIF(negtgel!U$2:BL$2,'Tsalin uzuulelt'!N$4,negtgel!U634:BL634)+SUMIF(negtgel!U$2:BL$2,'Tsalin uzuulelt'!N$5,negtgel!U634:BL634)</f>
      </c>
      <c r="M634">
        <f>SUMIF(negtgel!U$2:BL$2,'Tsalin uzuulelt'!P$1,negtgel!U634:BL634) + SUMIF(negtgel!U$2:BL$2,'Tsalin uzuulelt'!P$2,negtgel!U634:BL634)+ SUMIF(negtgel!U$2:BL$2,'Tsalin uzuulelt'!P$3,negtgel!U634:BL634)+ SUMIF(negtgel!U$2:BL$2,'Tsalin uzuulelt'!P$4,negtgel!U634:BL634)+ SUMIF(negtgel!U$2:BL$2,'Tsalin uzuulelt'!P$5,negtgel!U634:BL634)</f>
      </c>
      <c r="N634">
        <f>IF(ISNUMBER(U634*1)=CF634,0,K634-H634-G634)</f>
      </c>
      <c r="O634">
        <f>IF(ISNUMBER(U634*1)=CF634,0,L634)</f>
      </c>
      <c r="P634">
        <f>IF(ISNUMBER(U634*1)=CF634,0,M634)</f>
      </c>
      <c r="Q634">
        <f>IF(N634&gt;2400000,N634,0)</f>
      </c>
      <c r="R634">
        <f>IF(L634/Q634*100&lt;3,2,10)</f>
      </c>
      <c r="S634">
        <f>IF(CH634=0,0,IF(B634&gt;9,10,IF(B634&gt;8,B634,IF(B634&gt;7.7,7.8,IF(B634&gt;3,B634,IF(B634&gt;1.5,2))))))</f>
      </c>
      <c r="T634">
        <f>IF(Q634=0,S634,R634)</f>
      </c>
      <c r="U634" t="n">
        <v>26.0</v>
      </c>
      <c r="V634" t="s">
        <v>3795</v>
      </c>
      <c r="W634" t="s">
        <v>3790</v>
      </c>
      <c r="X634" t="n">
        <v>613669.0</v>
      </c>
      <c r="Y634" t="n">
        <v>613669.0</v>
      </c>
      <c r="Z634" t="n">
        <v>92050.0</v>
      </c>
      <c r="AA634" t="n">
        <v>122734.0</v>
      </c>
      <c r="AB634" t="n">
        <v>0.0</v>
      </c>
      <c r="AC634" t="n">
        <v>0.0</v>
      </c>
      <c r="AD634" t="n">
        <v>0.0</v>
      </c>
      <c r="AE634" t="n">
        <v>0.0</v>
      </c>
      <c r="AF634" t="n">
        <v>66000.0</v>
      </c>
      <c r="AG634" t="n">
        <v>0.0</v>
      </c>
      <c r="AH634" t="n">
        <v>0.0</v>
      </c>
      <c r="AI634" t="n">
        <v>0.0</v>
      </c>
      <c r="AJ634" t="n">
        <v>0.0</v>
      </c>
      <c r="AK634" t="n">
        <v>0.0</v>
      </c>
      <c r="AL634" t="n">
        <v>0.0</v>
      </c>
      <c r="AM634" t="n">
        <v>0.0</v>
      </c>
      <c r="AN634" t="n">
        <v>0.0</v>
      </c>
      <c r="AO634" t="n">
        <v>894453.0</v>
      </c>
      <c r="AP634" t="n">
        <v>89446.0</v>
      </c>
      <c r="AQ634" t="n">
        <v>74160.8</v>
      </c>
      <c r="CH634">
        <f>IFERROR(U634*1,0)</f>
      </c>
    </row>
    <row r="635">
      <c r="A635" t="n">
        <v>10.0</v>
      </c>
      <c r="B635">
        <f>IF((K635-G635-H635&gt;2400000),10,(L635/(K635-G635-H635)*100))</f>
      </c>
      <c r="C635">
        <f>IF(N635&gt;2400000,240000,(N635*S635)/100)</f>
      </c>
      <c r="D635">
        <f>IF(S635=0,0,IF((N635-I635)&gt;2400000,((((((N635-I635-J635)-240000))*0.1+(I635+J635)*0.1)))-7000,((((((N635-I635-J635)-(N635-I635-J635)*S635/100)))*0.1+(I635+J635)*0.1)-7000)))</f>
      </c>
      <c r="E635">
        <f>C635-O635</f>
      </c>
      <c r="F635">
        <f>D635-P635</f>
      </c>
      <c r="G635">
        <f>SUMIF(negtgel!U$2:BL$2,'Tsalin uzuulelt'!B$1,negtgel!U635:BL635) + SUMIF(negtgel!U$2:BL$2,'Tsalin uzuulelt'!B$2,negtgel!U635:BL635)+SUMIF(negtgel!U$2:BL$2,'Tsalin uzuulelt'!B$3,negtgel!U635:BL635)+SUMIF(negtgel!U$2:BL$2,'Tsalin uzuulelt'!B$4,negtgel!U635:BL635)+SUMIF(negtgel!U$2:BL$2,'Tsalin uzuulelt'!B$5,negtgel!U635:BL635)</f>
      </c>
      <c r="H635">
        <f>SUMIF(negtgel!U$2:BL$2,'Tsalin uzuulelt'!F$1,negtgel!U635:BL635) + SUMIF(negtgel!U$2:BL$2,'Tsalin uzuulelt'!F$2,negtgel!U635:BL635)+SUMIF(negtgel!U$2:BL$2,'Tsalin uzuulelt'!F$3,negtgel!U635:BL635)+SUMIF(negtgel!U$2:BL$2,'Tsalin uzuulelt'!F$4,negtgel!U635:BL635)+SUMIF(negtgel!U$2:BL$2,'Tsalin uzuulelt'!F$5,negtgel!U635:BL635)</f>
      </c>
      <c r="I635">
        <f>SUMIF(negtgel!U$2:BL$2,'Tsalin uzuulelt'!H$1,negtgel!U635:BL635) + SUMIF(negtgel!U$2:BL$2,'Tsalin uzuulelt'!H$2,negtgel!U635:BL635)+SUMIF(negtgel!U$2:BL$2,'Tsalin uzuulelt'!H$3,negtgel!U635:BL635)+SUMIF(negtgel!U$2:BL$2,'Tsalin uzuulelt'!H$4,negtgel!U635:BL635)+SUMIF(negtgel!U$2:BL$2,'Tsalin uzuulelt'!H$5,negtgel!U635:BL635)</f>
      </c>
      <c r="J635">
        <f>SUMIF(negtgel!U$2:BL$2,'Tsalin uzuulelt'!J$1,negtgel!U635:BL635) + SUMIF(negtgel!U$2:BL$2,'Tsalin uzuulelt'!J$2,negtgel!U635:BL635)+SUMIF(negtgel!U$2:BL$2,'Tsalin uzuulelt'!J$3,negtgel!U635:BL635)+SUMIF(negtgel!U$2:BL$2,'Tsalin uzuulelt'!J$4,negtgel!U635:BL635)+SUMIF(negtgel!U$2:BL$2,'Tsalin uzuulelt'!J$5,negtgel!U635:BL635)</f>
      </c>
      <c r="K635">
        <f>SUMIF(negtgel!U$2:BL$2,'Tsalin uzuulelt'!L$1,negtgel!U635:BL635) + SUMIF(negtgel!U$2:BL$2,'Tsalin uzuulelt'!L$2,negtgel!U635:BL635)+SUMIF(negtgel!U$2:BL$2,'Tsalin uzuulelt'!L$3,negtgel!U635:BL635)+SUMIF(negtgel!U$2:BL$2,'Tsalin uzuulelt'!L$4,negtgel!U635:BL635)+SUMIF(negtgel!U$2:BL$2,'Tsalin uzuulelt'!L$5,negtgel!U635:BL635)</f>
      </c>
      <c r="L635">
        <f>SUMIF(negtgel!U$2:BL$2,'Tsalin uzuulelt'!N$1,negtgel!U635:BL635) + SUMIF(negtgel!U$2:BL$2,'Tsalin uzuulelt'!N$2,negtgel!U635:BL635)+SUMIF(negtgel!U$2:BL$2,'Tsalin uzuulelt'!N$3,negtgel!U635:BL635)+SUMIF(negtgel!U$2:BL$2,'Tsalin uzuulelt'!N$4,negtgel!U635:BL635)+SUMIF(negtgel!U$2:BL$2,'Tsalin uzuulelt'!N$5,negtgel!U635:BL635)</f>
      </c>
      <c r="M635">
        <f>SUMIF(negtgel!U$2:BL$2,'Tsalin uzuulelt'!P$1,negtgel!U635:BL635) + SUMIF(negtgel!U$2:BL$2,'Tsalin uzuulelt'!P$2,negtgel!U635:BL635)+ SUMIF(negtgel!U$2:BL$2,'Tsalin uzuulelt'!P$3,negtgel!U635:BL635)+ SUMIF(negtgel!U$2:BL$2,'Tsalin uzuulelt'!P$4,negtgel!U635:BL635)+ SUMIF(negtgel!U$2:BL$2,'Tsalin uzuulelt'!P$5,negtgel!U635:BL635)</f>
      </c>
      <c r="N635">
        <f>IF(ISNUMBER(U635*1)=CF635,0,K635-H635-G635)</f>
      </c>
      <c r="O635">
        <f>IF(ISNUMBER(U635*1)=CF635,0,L635)</f>
      </c>
      <c r="P635">
        <f>IF(ISNUMBER(U635*1)=CF635,0,M635)</f>
      </c>
      <c r="Q635">
        <f>IF(N635&gt;2400000,N635,0)</f>
      </c>
      <c r="R635">
        <f>IF(L635/Q635*100&lt;3,2,10)</f>
      </c>
      <c r="S635">
        <f>IF(CH635=0,0,IF(B635&gt;9,10,IF(B635&gt;8,B635,IF(B635&gt;7.7,7.8,IF(B635&gt;3,B635,IF(B635&gt;1.5,2))))))</f>
      </c>
      <c r="T635">
        <f>IF(Q635=0,S635,R635)</f>
      </c>
      <c r="U635" t="n">
        <v>49.0</v>
      </c>
      <c r="V635" t="s">
        <v>3797</v>
      </c>
      <c r="W635" t="s">
        <v>3790</v>
      </c>
      <c r="X635" t="n">
        <v>613669.0</v>
      </c>
      <c r="Y635" t="n">
        <v>613669.0</v>
      </c>
      <c r="Z635" t="n">
        <v>30683.0</v>
      </c>
      <c r="AA635" t="n">
        <v>92050.0</v>
      </c>
      <c r="AB635" t="n">
        <v>0.0</v>
      </c>
      <c r="AC635" t="n">
        <v>0.0</v>
      </c>
      <c r="AD635" t="n">
        <v>0.0</v>
      </c>
      <c r="AE635" t="n">
        <v>0.0</v>
      </c>
      <c r="AF635" t="n">
        <v>66000.0</v>
      </c>
      <c r="AG635" t="n">
        <v>0.0</v>
      </c>
      <c r="AH635" t="n">
        <v>0.0</v>
      </c>
      <c r="AI635" t="n">
        <v>0.0</v>
      </c>
      <c r="AJ635" t="n">
        <v>0.0</v>
      </c>
      <c r="AK635" t="n">
        <v>0.0</v>
      </c>
      <c r="AL635" t="n">
        <v>0.0</v>
      </c>
      <c r="AM635" t="n">
        <v>0.0</v>
      </c>
      <c r="AN635" t="n">
        <v>0.0</v>
      </c>
      <c r="AO635" t="n">
        <v>802402.0</v>
      </c>
      <c r="AP635" t="n">
        <v>80240.0</v>
      </c>
      <c r="AQ635" t="n">
        <v>65876.2</v>
      </c>
      <c r="CH635">
        <f>IFERROR(U635*1,0)</f>
      </c>
    </row>
    <row r="636">
      <c r="A636" t="n">
        <v>10.0</v>
      </c>
      <c r="B636">
        <f>IF((K636-G636-H636&gt;2400000),10,(L636/(K636-G636-H636)*100))</f>
      </c>
      <c r="C636">
        <f>IF(N636&gt;2400000,240000,(N636*S636)/100)</f>
      </c>
      <c r="D636">
        <f>IF(S636=0,0,IF((N636-I636)&gt;2400000,((((((N636-I636-J636)-240000))*0.1+(I636+J636)*0.1)))-7000,((((((N636-I636-J636)-(N636-I636-J636)*S636/100)))*0.1+(I636+J636)*0.1)-7000)))</f>
      </c>
      <c r="E636">
        <f>C636-O636</f>
      </c>
      <c r="F636">
        <f>D636-P636</f>
      </c>
      <c r="G636">
        <f>SUMIF(negtgel!U$2:BL$2,'Tsalin uzuulelt'!B$1,negtgel!U636:BL636) + SUMIF(negtgel!U$2:BL$2,'Tsalin uzuulelt'!B$2,negtgel!U636:BL636)+SUMIF(negtgel!U$2:BL$2,'Tsalin uzuulelt'!B$3,negtgel!U636:BL636)+SUMIF(negtgel!U$2:BL$2,'Tsalin uzuulelt'!B$4,negtgel!U636:BL636)+SUMIF(negtgel!U$2:BL$2,'Tsalin uzuulelt'!B$5,negtgel!U636:BL636)</f>
      </c>
      <c r="H636">
        <f>SUMIF(negtgel!U$2:BL$2,'Tsalin uzuulelt'!F$1,negtgel!U636:BL636) + SUMIF(negtgel!U$2:BL$2,'Tsalin uzuulelt'!F$2,negtgel!U636:BL636)+SUMIF(negtgel!U$2:BL$2,'Tsalin uzuulelt'!F$3,negtgel!U636:BL636)+SUMIF(negtgel!U$2:BL$2,'Tsalin uzuulelt'!F$4,negtgel!U636:BL636)+SUMIF(negtgel!U$2:BL$2,'Tsalin uzuulelt'!F$5,negtgel!U636:BL636)</f>
      </c>
      <c r="I636">
        <f>SUMIF(negtgel!U$2:BL$2,'Tsalin uzuulelt'!H$1,negtgel!U636:BL636) + SUMIF(negtgel!U$2:BL$2,'Tsalin uzuulelt'!H$2,negtgel!U636:BL636)+SUMIF(negtgel!U$2:BL$2,'Tsalin uzuulelt'!H$3,negtgel!U636:BL636)+SUMIF(negtgel!U$2:BL$2,'Tsalin uzuulelt'!H$4,negtgel!U636:BL636)+SUMIF(negtgel!U$2:BL$2,'Tsalin uzuulelt'!H$5,negtgel!U636:BL636)</f>
      </c>
      <c r="J636">
        <f>SUMIF(negtgel!U$2:BL$2,'Tsalin uzuulelt'!J$1,negtgel!U636:BL636) + SUMIF(negtgel!U$2:BL$2,'Tsalin uzuulelt'!J$2,negtgel!U636:BL636)+SUMIF(negtgel!U$2:BL$2,'Tsalin uzuulelt'!J$3,negtgel!U636:BL636)+SUMIF(negtgel!U$2:BL$2,'Tsalin uzuulelt'!J$4,negtgel!U636:BL636)+SUMIF(negtgel!U$2:BL$2,'Tsalin uzuulelt'!J$5,negtgel!U636:BL636)</f>
      </c>
      <c r="K636">
        <f>SUMIF(negtgel!U$2:BL$2,'Tsalin uzuulelt'!L$1,negtgel!U636:BL636) + SUMIF(negtgel!U$2:BL$2,'Tsalin uzuulelt'!L$2,negtgel!U636:BL636)+SUMIF(negtgel!U$2:BL$2,'Tsalin uzuulelt'!L$3,negtgel!U636:BL636)+SUMIF(negtgel!U$2:BL$2,'Tsalin uzuulelt'!L$4,negtgel!U636:BL636)+SUMIF(negtgel!U$2:BL$2,'Tsalin uzuulelt'!L$5,negtgel!U636:BL636)</f>
      </c>
      <c r="L636">
        <f>SUMIF(negtgel!U$2:BL$2,'Tsalin uzuulelt'!N$1,negtgel!U636:BL636) + SUMIF(negtgel!U$2:BL$2,'Tsalin uzuulelt'!N$2,negtgel!U636:BL636)+SUMIF(negtgel!U$2:BL$2,'Tsalin uzuulelt'!N$3,negtgel!U636:BL636)+SUMIF(negtgel!U$2:BL$2,'Tsalin uzuulelt'!N$4,negtgel!U636:BL636)+SUMIF(negtgel!U$2:BL$2,'Tsalin uzuulelt'!N$5,negtgel!U636:BL636)</f>
      </c>
      <c r="M636">
        <f>SUMIF(negtgel!U$2:BL$2,'Tsalin uzuulelt'!P$1,negtgel!U636:BL636) + SUMIF(negtgel!U$2:BL$2,'Tsalin uzuulelt'!P$2,negtgel!U636:BL636)+ SUMIF(negtgel!U$2:BL$2,'Tsalin uzuulelt'!P$3,negtgel!U636:BL636)+ SUMIF(negtgel!U$2:BL$2,'Tsalin uzuulelt'!P$4,negtgel!U636:BL636)+ SUMIF(negtgel!U$2:BL$2,'Tsalin uzuulelt'!P$5,negtgel!U636:BL636)</f>
      </c>
      <c r="N636">
        <f>IF(ISNUMBER(U636*1)=CF636,0,K636-H636-G636)</f>
      </c>
      <c r="O636">
        <f>IF(ISNUMBER(U636*1)=CF636,0,L636)</f>
      </c>
      <c r="P636">
        <f>IF(ISNUMBER(U636*1)=CF636,0,M636)</f>
      </c>
      <c r="Q636">
        <f>IF(N636&gt;2400000,N636,0)</f>
      </c>
      <c r="R636">
        <f>IF(L636/Q636*100&lt;3,2,10)</f>
      </c>
      <c r="S636">
        <f>IF(CH636=0,0,IF(B636&gt;9,10,IF(B636&gt;8,B636,IF(B636&gt;7.7,7.8,IF(B636&gt;3,B636,IF(B636&gt;1.5,2))))))</f>
      </c>
      <c r="T636">
        <f>IF(Q636=0,S636,R636)</f>
      </c>
      <c r="U636" t="n">
        <v>50.0</v>
      </c>
      <c r="V636" t="s">
        <v>3798</v>
      </c>
      <c r="W636" t="s">
        <v>3792</v>
      </c>
      <c r="X636" t="n">
        <v>496912.0</v>
      </c>
      <c r="Y636" t="n">
        <v>496912.0</v>
      </c>
      <c r="Z636" t="n">
        <v>0.0</v>
      </c>
      <c r="AA636" t="n">
        <v>0.0</v>
      </c>
      <c r="AB636" t="n">
        <v>0.0</v>
      </c>
      <c r="AC636" t="n">
        <v>0.0</v>
      </c>
      <c r="AD636" t="n">
        <v>0.0</v>
      </c>
      <c r="AE636" t="n">
        <v>0.0</v>
      </c>
      <c r="AF636" t="n">
        <v>66000.0</v>
      </c>
      <c r="AG636" t="n">
        <v>0.0</v>
      </c>
      <c r="AH636" t="n">
        <v>0.0</v>
      </c>
      <c r="AI636" t="n">
        <v>0.0</v>
      </c>
      <c r="AJ636" t="n">
        <v>0.0</v>
      </c>
      <c r="AK636" t="n">
        <v>0.0</v>
      </c>
      <c r="AL636" t="n">
        <v>0.0</v>
      </c>
      <c r="AM636" t="n">
        <v>0.0</v>
      </c>
      <c r="AN636" t="n">
        <v>0.0</v>
      </c>
      <c r="AO636" t="n">
        <v>562912.0</v>
      </c>
      <c r="AP636" t="n">
        <v>56291.0</v>
      </c>
      <c r="AQ636" t="n">
        <v>44322.1</v>
      </c>
      <c r="CH636">
        <f>IFERROR(U636*1,0)</f>
      </c>
    </row>
    <row r="637">
      <c r="A637" t="n">
        <v>10.0</v>
      </c>
      <c r="B637">
        <f>IF((K637-G637-H637&gt;2400000),10,(L637/(K637-G637-H637)*100))</f>
      </c>
      <c r="C637">
        <f>IF(N637&gt;2400000,240000,(N637*S637)/100)</f>
      </c>
      <c r="D637">
        <f>IF(S637=0,0,IF((N637-I637)&gt;2400000,((((((N637-I637-J637)-240000))*0.1+(I637+J637)*0.1)))-7000,((((((N637-I637-J637)-(N637-I637-J637)*S637/100)))*0.1+(I637+J637)*0.1)-7000)))</f>
      </c>
      <c r="E637">
        <f>C637-O637</f>
      </c>
      <c r="F637">
        <f>D637-P637</f>
      </c>
      <c r="G637">
        <f>SUMIF(negtgel!U$2:BL$2,'Tsalin uzuulelt'!B$1,negtgel!U637:BL637) + SUMIF(negtgel!U$2:BL$2,'Tsalin uzuulelt'!B$2,negtgel!U637:BL637)+SUMIF(negtgel!U$2:BL$2,'Tsalin uzuulelt'!B$3,negtgel!U637:BL637)+SUMIF(negtgel!U$2:BL$2,'Tsalin uzuulelt'!B$4,negtgel!U637:BL637)+SUMIF(negtgel!U$2:BL$2,'Tsalin uzuulelt'!B$5,negtgel!U637:BL637)</f>
      </c>
      <c r="H637">
        <f>SUMIF(negtgel!U$2:BL$2,'Tsalin uzuulelt'!F$1,negtgel!U637:BL637) + SUMIF(negtgel!U$2:BL$2,'Tsalin uzuulelt'!F$2,negtgel!U637:BL637)+SUMIF(negtgel!U$2:BL$2,'Tsalin uzuulelt'!F$3,negtgel!U637:BL637)+SUMIF(negtgel!U$2:BL$2,'Tsalin uzuulelt'!F$4,negtgel!U637:BL637)+SUMIF(negtgel!U$2:BL$2,'Tsalin uzuulelt'!F$5,negtgel!U637:BL637)</f>
      </c>
      <c r="I637">
        <f>SUMIF(negtgel!U$2:BL$2,'Tsalin uzuulelt'!H$1,negtgel!U637:BL637) + SUMIF(negtgel!U$2:BL$2,'Tsalin uzuulelt'!H$2,negtgel!U637:BL637)+SUMIF(negtgel!U$2:BL$2,'Tsalin uzuulelt'!H$3,negtgel!U637:BL637)+SUMIF(negtgel!U$2:BL$2,'Tsalin uzuulelt'!H$4,negtgel!U637:BL637)+SUMIF(negtgel!U$2:BL$2,'Tsalin uzuulelt'!H$5,negtgel!U637:BL637)</f>
      </c>
      <c r="J637">
        <f>SUMIF(negtgel!U$2:BL$2,'Tsalin uzuulelt'!J$1,negtgel!U637:BL637) + SUMIF(negtgel!U$2:BL$2,'Tsalin uzuulelt'!J$2,negtgel!U637:BL637)+SUMIF(negtgel!U$2:BL$2,'Tsalin uzuulelt'!J$3,negtgel!U637:BL637)+SUMIF(negtgel!U$2:BL$2,'Tsalin uzuulelt'!J$4,negtgel!U637:BL637)+SUMIF(negtgel!U$2:BL$2,'Tsalin uzuulelt'!J$5,negtgel!U637:BL637)</f>
      </c>
      <c r="K637">
        <f>SUMIF(negtgel!U$2:BL$2,'Tsalin uzuulelt'!L$1,negtgel!U637:BL637) + SUMIF(negtgel!U$2:BL$2,'Tsalin uzuulelt'!L$2,negtgel!U637:BL637)+SUMIF(negtgel!U$2:BL$2,'Tsalin uzuulelt'!L$3,negtgel!U637:BL637)+SUMIF(negtgel!U$2:BL$2,'Tsalin uzuulelt'!L$4,negtgel!U637:BL637)+SUMIF(negtgel!U$2:BL$2,'Tsalin uzuulelt'!L$5,negtgel!U637:BL637)</f>
      </c>
      <c r="L637">
        <f>SUMIF(negtgel!U$2:BL$2,'Tsalin uzuulelt'!N$1,negtgel!U637:BL637) + SUMIF(negtgel!U$2:BL$2,'Tsalin uzuulelt'!N$2,negtgel!U637:BL637)+SUMIF(negtgel!U$2:BL$2,'Tsalin uzuulelt'!N$3,negtgel!U637:BL637)+SUMIF(negtgel!U$2:BL$2,'Tsalin uzuulelt'!N$4,negtgel!U637:BL637)+SUMIF(negtgel!U$2:BL$2,'Tsalin uzuulelt'!N$5,negtgel!U637:BL637)</f>
      </c>
      <c r="M637">
        <f>SUMIF(negtgel!U$2:BL$2,'Tsalin uzuulelt'!P$1,negtgel!U637:BL637) + SUMIF(negtgel!U$2:BL$2,'Tsalin uzuulelt'!P$2,negtgel!U637:BL637)+ SUMIF(negtgel!U$2:BL$2,'Tsalin uzuulelt'!P$3,negtgel!U637:BL637)+ SUMIF(negtgel!U$2:BL$2,'Tsalin uzuulelt'!P$4,negtgel!U637:BL637)+ SUMIF(negtgel!U$2:BL$2,'Tsalin uzuulelt'!P$5,negtgel!U637:BL637)</f>
      </c>
      <c r="N637">
        <f>IF(ISNUMBER(U637*1)=CF637,0,K637-H637-G637)</f>
      </c>
      <c r="O637">
        <f>IF(ISNUMBER(U637*1)=CF637,0,L637)</f>
      </c>
      <c r="P637">
        <f>IF(ISNUMBER(U637*1)=CF637,0,M637)</f>
      </c>
      <c r="Q637">
        <f>IF(N637&gt;2400000,N637,0)</f>
      </c>
      <c r="R637">
        <f>IF(L637/Q637*100&lt;3,2,10)</f>
      </c>
      <c r="S637">
        <f>IF(CH637=0,0,IF(B637&gt;9,10,IF(B637&gt;8,B637,IF(B637&gt;7.7,7.8,IF(B637&gt;3,B637,IF(B637&gt;1.5,2))))))</f>
      </c>
      <c r="T637">
        <f>IF(Q637=0,S637,R637)</f>
      </c>
      <c r="U637" t="n">
        <v>51.0</v>
      </c>
      <c r="V637" t="s">
        <v>3799</v>
      </c>
      <c r="W637" t="s">
        <v>3785</v>
      </c>
      <c r="X637" t="n">
        <v>795935.0</v>
      </c>
      <c r="Y637" t="n">
        <v>795935.0</v>
      </c>
      <c r="Z637" t="n">
        <v>119390.0</v>
      </c>
      <c r="AA637" t="n">
        <v>159187.0</v>
      </c>
      <c r="AB637" t="n">
        <v>0.0</v>
      </c>
      <c r="AC637" t="n">
        <v>0.0</v>
      </c>
      <c r="AD637" t="n">
        <v>0.0</v>
      </c>
      <c r="AE637" t="n">
        <v>0.0</v>
      </c>
      <c r="AF637" t="n">
        <v>66000.0</v>
      </c>
      <c r="AG637" t="n">
        <v>0.0</v>
      </c>
      <c r="AH637" t="n">
        <v>0.0</v>
      </c>
      <c r="AI637" t="n">
        <v>0.0</v>
      </c>
      <c r="AJ637" t="n">
        <v>0.0</v>
      </c>
      <c r="AK637" t="n">
        <v>0.0</v>
      </c>
      <c r="AL637" t="n">
        <v>0.0</v>
      </c>
      <c r="AM637" t="n">
        <v>0.0</v>
      </c>
      <c r="AN637" t="n">
        <v>0.0</v>
      </c>
      <c r="AO637" t="n">
        <v>1140512.0</v>
      </c>
      <c r="AP637" t="n">
        <v>114051.0</v>
      </c>
      <c r="AQ637" t="n">
        <v>96306.1</v>
      </c>
      <c r="CH637">
        <f>IFERROR(U637*1,0)</f>
      </c>
    </row>
    <row r="638">
      <c r="A638" t="n">
        <v>10.0</v>
      </c>
      <c r="B638">
        <f>IF((K638-G638-H638&gt;2400000),10,(L638/(K638-G638-H638)*100))</f>
      </c>
      <c r="C638">
        <f>IF(N638&gt;2400000,240000,(N638*S638)/100)</f>
      </c>
      <c r="D638">
        <f>IF(S638=0,0,IF((N638-I638)&gt;2400000,((((((N638-I638-J638)-240000))*0.1+(I638+J638)*0.1)))-7000,((((((N638-I638-J638)-(N638-I638-J638)*S638/100)))*0.1+(I638+J638)*0.1)-7000)))</f>
      </c>
      <c r="E638">
        <f>C638-O638</f>
      </c>
      <c r="F638">
        <f>D638-P638</f>
      </c>
      <c r="G638">
        <f>SUMIF(negtgel!U$2:BL$2,'Tsalin uzuulelt'!B$1,negtgel!U638:BL638) + SUMIF(negtgel!U$2:BL$2,'Tsalin uzuulelt'!B$2,negtgel!U638:BL638)+SUMIF(negtgel!U$2:BL$2,'Tsalin uzuulelt'!B$3,negtgel!U638:BL638)+SUMIF(negtgel!U$2:BL$2,'Tsalin uzuulelt'!B$4,negtgel!U638:BL638)+SUMIF(negtgel!U$2:BL$2,'Tsalin uzuulelt'!B$5,negtgel!U638:BL638)</f>
      </c>
      <c r="H638">
        <f>SUMIF(negtgel!U$2:BL$2,'Tsalin uzuulelt'!F$1,negtgel!U638:BL638) + SUMIF(negtgel!U$2:BL$2,'Tsalin uzuulelt'!F$2,negtgel!U638:BL638)+SUMIF(negtgel!U$2:BL$2,'Tsalin uzuulelt'!F$3,negtgel!U638:BL638)+SUMIF(negtgel!U$2:BL$2,'Tsalin uzuulelt'!F$4,negtgel!U638:BL638)+SUMIF(negtgel!U$2:BL$2,'Tsalin uzuulelt'!F$5,negtgel!U638:BL638)</f>
      </c>
      <c r="I638">
        <f>SUMIF(negtgel!U$2:BL$2,'Tsalin uzuulelt'!H$1,negtgel!U638:BL638) + SUMIF(negtgel!U$2:BL$2,'Tsalin uzuulelt'!H$2,negtgel!U638:BL638)+SUMIF(negtgel!U$2:BL$2,'Tsalin uzuulelt'!H$3,negtgel!U638:BL638)+SUMIF(negtgel!U$2:BL$2,'Tsalin uzuulelt'!H$4,negtgel!U638:BL638)+SUMIF(negtgel!U$2:BL$2,'Tsalin uzuulelt'!H$5,negtgel!U638:BL638)</f>
      </c>
      <c r="J638">
        <f>SUMIF(negtgel!U$2:BL$2,'Tsalin uzuulelt'!J$1,negtgel!U638:BL638) + SUMIF(negtgel!U$2:BL$2,'Tsalin uzuulelt'!J$2,negtgel!U638:BL638)+SUMIF(negtgel!U$2:BL$2,'Tsalin uzuulelt'!J$3,negtgel!U638:BL638)+SUMIF(negtgel!U$2:BL$2,'Tsalin uzuulelt'!J$4,negtgel!U638:BL638)+SUMIF(negtgel!U$2:BL$2,'Tsalin uzuulelt'!J$5,negtgel!U638:BL638)</f>
      </c>
      <c r="K638">
        <f>SUMIF(negtgel!U$2:BL$2,'Tsalin uzuulelt'!L$1,negtgel!U638:BL638) + SUMIF(negtgel!U$2:BL$2,'Tsalin uzuulelt'!L$2,negtgel!U638:BL638)+SUMIF(negtgel!U$2:BL$2,'Tsalin uzuulelt'!L$3,negtgel!U638:BL638)+SUMIF(negtgel!U$2:BL$2,'Tsalin uzuulelt'!L$4,negtgel!U638:BL638)+SUMIF(negtgel!U$2:BL$2,'Tsalin uzuulelt'!L$5,negtgel!U638:BL638)</f>
      </c>
      <c r="L638">
        <f>SUMIF(negtgel!U$2:BL$2,'Tsalin uzuulelt'!N$1,negtgel!U638:BL638) + SUMIF(negtgel!U$2:BL$2,'Tsalin uzuulelt'!N$2,negtgel!U638:BL638)+SUMIF(negtgel!U$2:BL$2,'Tsalin uzuulelt'!N$3,negtgel!U638:BL638)+SUMIF(negtgel!U$2:BL$2,'Tsalin uzuulelt'!N$4,negtgel!U638:BL638)+SUMIF(negtgel!U$2:BL$2,'Tsalin uzuulelt'!N$5,negtgel!U638:BL638)</f>
      </c>
      <c r="M638">
        <f>SUMIF(negtgel!U$2:BL$2,'Tsalin uzuulelt'!P$1,negtgel!U638:BL638) + SUMIF(negtgel!U$2:BL$2,'Tsalin uzuulelt'!P$2,negtgel!U638:BL638)+ SUMIF(negtgel!U$2:BL$2,'Tsalin uzuulelt'!P$3,negtgel!U638:BL638)+ SUMIF(negtgel!U$2:BL$2,'Tsalin uzuulelt'!P$4,negtgel!U638:BL638)+ SUMIF(negtgel!U$2:BL$2,'Tsalin uzuulelt'!P$5,negtgel!U638:BL638)</f>
      </c>
      <c r="N638">
        <f>IF(ISNUMBER(U638*1)=CF638,0,K638-H638-G638)</f>
      </c>
      <c r="O638">
        <f>IF(ISNUMBER(U638*1)=CF638,0,L638)</f>
      </c>
      <c r="P638">
        <f>IF(ISNUMBER(U638*1)=CF638,0,M638)</f>
      </c>
      <c r="Q638">
        <f>IF(N638&gt;2400000,N638,0)</f>
      </c>
      <c r="R638">
        <f>IF(L638/Q638*100&lt;3,2,10)</f>
      </c>
      <c r="S638">
        <f>IF(CH638=0,0,IF(B638&gt;9,10,IF(B638&gt;8,B638,IF(B638&gt;7.7,7.8,IF(B638&gt;3,B638,IF(B638&gt;1.5,2))))))</f>
      </c>
      <c r="T638">
        <f>IF(Q638=0,S638,R638)</f>
      </c>
      <c r="U638" t="n">
        <v>52.0</v>
      </c>
      <c r="V638" t="s">
        <v>3800</v>
      </c>
      <c r="W638" t="s">
        <v>3790</v>
      </c>
      <c r="X638" t="n">
        <v>613669.0</v>
      </c>
      <c r="Y638" t="n">
        <v>613669.0</v>
      </c>
      <c r="Z638" t="n">
        <v>92050.0</v>
      </c>
      <c r="AA638" t="n">
        <v>122734.0</v>
      </c>
      <c r="AB638" t="n">
        <v>0.0</v>
      </c>
      <c r="AC638" t="n">
        <v>0.0</v>
      </c>
      <c r="AD638" t="n">
        <v>0.0</v>
      </c>
      <c r="AE638" t="n">
        <v>0.0</v>
      </c>
      <c r="AF638" t="n">
        <v>66000.0</v>
      </c>
      <c r="AG638" t="n">
        <v>0.0</v>
      </c>
      <c r="AH638" t="n">
        <v>0.0</v>
      </c>
      <c r="AI638" t="n">
        <v>0.0</v>
      </c>
      <c r="AJ638" t="n">
        <v>0.0</v>
      </c>
      <c r="AK638" t="n">
        <v>0.0</v>
      </c>
      <c r="AL638" t="n">
        <v>0.0</v>
      </c>
      <c r="AM638" t="n">
        <v>0.0</v>
      </c>
      <c r="AN638" t="n">
        <v>0.0</v>
      </c>
      <c r="AO638" t="n">
        <v>894453.0</v>
      </c>
      <c r="AP638" t="n">
        <v>89446.0</v>
      </c>
      <c r="AQ638" t="n">
        <v>74160.8</v>
      </c>
      <c r="CH638">
        <f>IFERROR(U638*1,0)</f>
      </c>
    </row>
    <row r="639">
      <c r="A639" t="n">
        <v>10.0</v>
      </c>
      <c r="B639">
        <f>IF((K639-G639-H639&gt;2400000),10,(L639/(K639-G639-H639)*100))</f>
      </c>
      <c r="C639">
        <f>IF(N639&gt;2400000,240000,(N639*S639)/100)</f>
      </c>
      <c r="D639">
        <f>IF(S639=0,0,IF((N639-I639)&gt;2400000,((((((N639-I639-J639)-240000))*0.1+(I639+J639)*0.1)))-7000,((((((N639-I639-J639)-(N639-I639-J639)*S639/100)))*0.1+(I639+J639)*0.1)-7000)))</f>
      </c>
      <c r="E639">
        <f>C639-O639</f>
      </c>
      <c r="F639">
        <f>D639-P639</f>
      </c>
      <c r="G639">
        <f>SUMIF(negtgel!U$2:BL$2,'Tsalin uzuulelt'!B$1,negtgel!U639:BL639) + SUMIF(negtgel!U$2:BL$2,'Tsalin uzuulelt'!B$2,negtgel!U639:BL639)+SUMIF(negtgel!U$2:BL$2,'Tsalin uzuulelt'!B$3,negtgel!U639:BL639)+SUMIF(negtgel!U$2:BL$2,'Tsalin uzuulelt'!B$4,negtgel!U639:BL639)+SUMIF(negtgel!U$2:BL$2,'Tsalin uzuulelt'!B$5,negtgel!U639:BL639)</f>
      </c>
      <c r="H639">
        <f>SUMIF(negtgel!U$2:BL$2,'Tsalin uzuulelt'!F$1,negtgel!U639:BL639) + SUMIF(negtgel!U$2:BL$2,'Tsalin uzuulelt'!F$2,negtgel!U639:BL639)+SUMIF(negtgel!U$2:BL$2,'Tsalin uzuulelt'!F$3,negtgel!U639:BL639)+SUMIF(negtgel!U$2:BL$2,'Tsalin uzuulelt'!F$4,negtgel!U639:BL639)+SUMIF(negtgel!U$2:BL$2,'Tsalin uzuulelt'!F$5,negtgel!U639:BL639)</f>
      </c>
      <c r="I639">
        <f>SUMIF(negtgel!U$2:BL$2,'Tsalin uzuulelt'!H$1,negtgel!U639:BL639) + SUMIF(negtgel!U$2:BL$2,'Tsalin uzuulelt'!H$2,negtgel!U639:BL639)+SUMIF(negtgel!U$2:BL$2,'Tsalin uzuulelt'!H$3,negtgel!U639:BL639)+SUMIF(negtgel!U$2:BL$2,'Tsalin uzuulelt'!H$4,negtgel!U639:BL639)+SUMIF(negtgel!U$2:BL$2,'Tsalin uzuulelt'!H$5,negtgel!U639:BL639)</f>
      </c>
      <c r="J639">
        <f>SUMIF(negtgel!U$2:BL$2,'Tsalin uzuulelt'!J$1,negtgel!U639:BL639) + SUMIF(negtgel!U$2:BL$2,'Tsalin uzuulelt'!J$2,negtgel!U639:BL639)+SUMIF(negtgel!U$2:BL$2,'Tsalin uzuulelt'!J$3,negtgel!U639:BL639)+SUMIF(negtgel!U$2:BL$2,'Tsalin uzuulelt'!J$4,negtgel!U639:BL639)+SUMIF(negtgel!U$2:BL$2,'Tsalin uzuulelt'!J$5,negtgel!U639:BL639)</f>
      </c>
      <c r="K639">
        <f>SUMIF(negtgel!U$2:BL$2,'Tsalin uzuulelt'!L$1,negtgel!U639:BL639) + SUMIF(negtgel!U$2:BL$2,'Tsalin uzuulelt'!L$2,negtgel!U639:BL639)+SUMIF(negtgel!U$2:BL$2,'Tsalin uzuulelt'!L$3,negtgel!U639:BL639)+SUMIF(negtgel!U$2:BL$2,'Tsalin uzuulelt'!L$4,negtgel!U639:BL639)+SUMIF(negtgel!U$2:BL$2,'Tsalin uzuulelt'!L$5,negtgel!U639:BL639)</f>
      </c>
      <c r="L639">
        <f>SUMIF(negtgel!U$2:BL$2,'Tsalin uzuulelt'!N$1,negtgel!U639:BL639) + SUMIF(negtgel!U$2:BL$2,'Tsalin uzuulelt'!N$2,negtgel!U639:BL639)+SUMIF(negtgel!U$2:BL$2,'Tsalin uzuulelt'!N$3,negtgel!U639:BL639)+SUMIF(negtgel!U$2:BL$2,'Tsalin uzuulelt'!N$4,negtgel!U639:BL639)+SUMIF(negtgel!U$2:BL$2,'Tsalin uzuulelt'!N$5,negtgel!U639:BL639)</f>
      </c>
      <c r="M639">
        <f>SUMIF(negtgel!U$2:BL$2,'Tsalin uzuulelt'!P$1,negtgel!U639:BL639) + SUMIF(negtgel!U$2:BL$2,'Tsalin uzuulelt'!P$2,negtgel!U639:BL639)+ SUMIF(negtgel!U$2:BL$2,'Tsalin uzuulelt'!P$3,negtgel!U639:BL639)+ SUMIF(negtgel!U$2:BL$2,'Tsalin uzuulelt'!P$4,negtgel!U639:BL639)+ SUMIF(negtgel!U$2:BL$2,'Tsalin uzuulelt'!P$5,negtgel!U639:BL639)</f>
      </c>
      <c r="N639">
        <f>IF(ISNUMBER(U639*1)=CF639,0,K639-H639-G639)</f>
      </c>
      <c r="O639">
        <f>IF(ISNUMBER(U639*1)=CF639,0,L639)</f>
      </c>
      <c r="P639">
        <f>IF(ISNUMBER(U639*1)=CF639,0,M639)</f>
      </c>
      <c r="Q639">
        <f>IF(N639&gt;2400000,N639,0)</f>
      </c>
      <c r="R639">
        <f>IF(L639/Q639*100&lt;3,2,10)</f>
      </c>
      <c r="S639">
        <f>IF(CH639=0,0,IF(B639&gt;9,10,IF(B639&gt;8,B639,IF(B639&gt;7.7,7.8,IF(B639&gt;3,B639,IF(B639&gt;1.5,2))))))</f>
      </c>
      <c r="T639">
        <f>IF(Q639=0,S639,R639)</f>
      </c>
      <c r="U639" t="n">
        <v>53.0</v>
      </c>
      <c r="V639" t="s">
        <v>3801</v>
      </c>
      <c r="W639" t="s">
        <v>3790</v>
      </c>
      <c r="X639" t="n">
        <v>580710.0</v>
      </c>
      <c r="Y639" t="n">
        <v>580710.0</v>
      </c>
      <c r="Z639" t="n">
        <v>0.0</v>
      </c>
      <c r="AA639" t="n">
        <v>0.0</v>
      </c>
      <c r="AB639" t="n">
        <v>0.0</v>
      </c>
      <c r="AC639" t="n">
        <v>0.0</v>
      </c>
      <c r="AD639" t="n">
        <v>0.0</v>
      </c>
      <c r="AE639" t="n">
        <v>0.0</v>
      </c>
      <c r="AF639" t="n">
        <v>66000.0</v>
      </c>
      <c r="AG639" t="n">
        <v>0.0</v>
      </c>
      <c r="AH639" t="n">
        <v>0.0</v>
      </c>
      <c r="AI639" t="n">
        <v>0.0</v>
      </c>
      <c r="AJ639" t="n">
        <v>0.0</v>
      </c>
      <c r="AK639" t="n">
        <v>0.0</v>
      </c>
      <c r="AL639" t="n">
        <v>0.0</v>
      </c>
      <c r="AM639" t="n">
        <v>0.0</v>
      </c>
      <c r="AN639" t="n">
        <v>0.0</v>
      </c>
      <c r="AO639" t="n">
        <v>646710.0</v>
      </c>
      <c r="AP639" t="n">
        <v>64671.0</v>
      </c>
      <c r="AQ639" t="n">
        <v>51863.9</v>
      </c>
      <c r="CH639">
        <f>IFERROR(U639*1,0)</f>
      </c>
    </row>
    <row r="640">
      <c r="A640" t="n">
        <v>10.0</v>
      </c>
      <c r="B640">
        <f>IF((K640-G640-H640&gt;2400000),10,(L640/(K640-G640-H640)*100))</f>
      </c>
      <c r="C640">
        <f>IF(N640&gt;2400000,240000,(N640*S640)/100)</f>
      </c>
      <c r="D640">
        <f>IF(S640=0,0,IF((N640-I640)&gt;2400000,((((((N640-I640-J640)-240000))*0.1+(I640+J640)*0.1)))-7000,((((((N640-I640-J640)-(N640-I640-J640)*S640/100)))*0.1+(I640+J640)*0.1)-7000)))</f>
      </c>
      <c r="E640">
        <f>C640-O640</f>
      </c>
      <c r="F640">
        <f>D640-P640</f>
      </c>
      <c r="G640">
        <f>SUMIF(negtgel!U$2:BL$2,'Tsalin uzuulelt'!B$1,negtgel!U640:BL640) + SUMIF(negtgel!U$2:BL$2,'Tsalin uzuulelt'!B$2,negtgel!U640:BL640)+SUMIF(negtgel!U$2:BL$2,'Tsalin uzuulelt'!B$3,negtgel!U640:BL640)+SUMIF(negtgel!U$2:BL$2,'Tsalin uzuulelt'!B$4,negtgel!U640:BL640)+SUMIF(negtgel!U$2:BL$2,'Tsalin uzuulelt'!B$5,negtgel!U640:BL640)</f>
      </c>
      <c r="H640">
        <f>SUMIF(negtgel!U$2:BL$2,'Tsalin uzuulelt'!F$1,negtgel!U640:BL640) + SUMIF(negtgel!U$2:BL$2,'Tsalin uzuulelt'!F$2,negtgel!U640:BL640)+SUMIF(negtgel!U$2:BL$2,'Tsalin uzuulelt'!F$3,negtgel!U640:BL640)+SUMIF(negtgel!U$2:BL$2,'Tsalin uzuulelt'!F$4,negtgel!U640:BL640)+SUMIF(negtgel!U$2:BL$2,'Tsalin uzuulelt'!F$5,negtgel!U640:BL640)</f>
      </c>
      <c r="I640">
        <f>SUMIF(negtgel!U$2:BL$2,'Tsalin uzuulelt'!H$1,negtgel!U640:BL640) + SUMIF(negtgel!U$2:BL$2,'Tsalin uzuulelt'!H$2,negtgel!U640:BL640)+SUMIF(negtgel!U$2:BL$2,'Tsalin uzuulelt'!H$3,negtgel!U640:BL640)+SUMIF(negtgel!U$2:BL$2,'Tsalin uzuulelt'!H$4,negtgel!U640:BL640)+SUMIF(negtgel!U$2:BL$2,'Tsalin uzuulelt'!H$5,negtgel!U640:BL640)</f>
      </c>
      <c r="J640">
        <f>SUMIF(negtgel!U$2:BL$2,'Tsalin uzuulelt'!J$1,negtgel!U640:BL640) + SUMIF(negtgel!U$2:BL$2,'Tsalin uzuulelt'!J$2,negtgel!U640:BL640)+SUMIF(negtgel!U$2:BL$2,'Tsalin uzuulelt'!J$3,negtgel!U640:BL640)+SUMIF(negtgel!U$2:BL$2,'Tsalin uzuulelt'!J$4,negtgel!U640:BL640)+SUMIF(negtgel!U$2:BL$2,'Tsalin uzuulelt'!J$5,negtgel!U640:BL640)</f>
      </c>
      <c r="K640">
        <f>SUMIF(negtgel!U$2:BL$2,'Tsalin uzuulelt'!L$1,negtgel!U640:BL640) + SUMIF(negtgel!U$2:BL$2,'Tsalin uzuulelt'!L$2,negtgel!U640:BL640)+SUMIF(negtgel!U$2:BL$2,'Tsalin uzuulelt'!L$3,negtgel!U640:BL640)+SUMIF(negtgel!U$2:BL$2,'Tsalin uzuulelt'!L$4,negtgel!U640:BL640)+SUMIF(negtgel!U$2:BL$2,'Tsalin uzuulelt'!L$5,negtgel!U640:BL640)</f>
      </c>
      <c r="L640">
        <f>SUMIF(negtgel!U$2:BL$2,'Tsalin uzuulelt'!N$1,negtgel!U640:BL640) + SUMIF(negtgel!U$2:BL$2,'Tsalin uzuulelt'!N$2,negtgel!U640:BL640)+SUMIF(negtgel!U$2:BL$2,'Tsalin uzuulelt'!N$3,negtgel!U640:BL640)+SUMIF(negtgel!U$2:BL$2,'Tsalin uzuulelt'!N$4,negtgel!U640:BL640)+SUMIF(negtgel!U$2:BL$2,'Tsalin uzuulelt'!N$5,negtgel!U640:BL640)</f>
      </c>
      <c r="M640">
        <f>SUMIF(negtgel!U$2:BL$2,'Tsalin uzuulelt'!P$1,negtgel!U640:BL640) + SUMIF(negtgel!U$2:BL$2,'Tsalin uzuulelt'!P$2,negtgel!U640:BL640)+ SUMIF(negtgel!U$2:BL$2,'Tsalin uzuulelt'!P$3,negtgel!U640:BL640)+ SUMIF(negtgel!U$2:BL$2,'Tsalin uzuulelt'!P$4,negtgel!U640:BL640)+ SUMIF(negtgel!U$2:BL$2,'Tsalin uzuulelt'!P$5,negtgel!U640:BL640)</f>
      </c>
      <c r="N640">
        <f>IF(ISNUMBER(U640*1)=CF640,0,K640-H640-G640)</f>
      </c>
      <c r="O640">
        <f>IF(ISNUMBER(U640*1)=CF640,0,L640)</f>
      </c>
      <c r="P640">
        <f>IF(ISNUMBER(U640*1)=CF640,0,M640)</f>
      </c>
      <c r="Q640">
        <f>IF(N640&gt;2400000,N640,0)</f>
      </c>
      <c r="R640">
        <f>IF(L640/Q640*100&lt;3,2,10)</f>
      </c>
      <c r="S640">
        <f>IF(CH640=0,0,IF(B640&gt;9,10,IF(B640&gt;8,B640,IF(B640&gt;7.7,7.8,IF(B640&gt;3,B640,IF(B640&gt;1.5,2))))))</f>
      </c>
      <c r="T640">
        <f>IF(Q640=0,S640,R640)</f>
      </c>
      <c r="U640" t="n">
        <v>54.0</v>
      </c>
      <c r="V640" t="s">
        <v>3802</v>
      </c>
      <c r="W640" t="s">
        <v>3792</v>
      </c>
      <c r="X640" t="n">
        <v>496912.0</v>
      </c>
      <c r="Y640" t="n">
        <v>496912.0</v>
      </c>
      <c r="Z640" t="n">
        <v>0.0</v>
      </c>
      <c r="AA640" t="n">
        <v>0.0</v>
      </c>
      <c r="AB640" t="n">
        <v>0.0</v>
      </c>
      <c r="AC640" t="n">
        <v>0.0</v>
      </c>
      <c r="AD640" t="n">
        <v>0.0</v>
      </c>
      <c r="AE640" t="n">
        <v>0.0</v>
      </c>
      <c r="AF640" t="n">
        <v>66000.0</v>
      </c>
      <c r="AG640" t="n">
        <v>0.0</v>
      </c>
      <c r="AH640" t="n">
        <v>0.0</v>
      </c>
      <c r="AI640" t="n">
        <v>0.0</v>
      </c>
      <c r="AJ640" t="n">
        <v>0.0</v>
      </c>
      <c r="AK640" t="n">
        <v>0.0</v>
      </c>
      <c r="AL640" t="n">
        <v>0.0</v>
      </c>
      <c r="AM640" t="n">
        <v>0.0</v>
      </c>
      <c r="AN640" t="n">
        <v>0.0</v>
      </c>
      <c r="AO640" t="n">
        <v>562912.0</v>
      </c>
      <c r="AP640" t="n">
        <v>56291.0</v>
      </c>
      <c r="AQ640" t="n">
        <v>44322.1</v>
      </c>
      <c r="CH640">
        <f>IFERROR(U640*1,0)</f>
      </c>
    </row>
    <row r="641">
      <c r="A641" t="n">
        <v>10.0</v>
      </c>
      <c r="B641">
        <f>IF((K641-G641-H641&gt;2400000),10,(L641/(K641-G641-H641)*100))</f>
      </c>
      <c r="C641">
        <f>IF(N641&gt;2400000,240000,(N641*S641)/100)</f>
      </c>
      <c r="D641">
        <f>IF(S641=0,0,IF((N641-I641)&gt;2400000,((((((N641-I641-J641)-240000))*0.1+(I641+J641)*0.1)))-7000,((((((N641-I641-J641)-(N641-I641-J641)*S641/100)))*0.1+(I641+J641)*0.1)-7000)))</f>
      </c>
      <c r="E641">
        <f>C641-O641</f>
      </c>
      <c r="F641">
        <f>D641-P641</f>
      </c>
      <c r="G641">
        <f>SUMIF(negtgel!U$2:BL$2,'Tsalin uzuulelt'!B$1,negtgel!U641:BL641) + SUMIF(negtgel!U$2:BL$2,'Tsalin uzuulelt'!B$2,negtgel!U641:BL641)+SUMIF(negtgel!U$2:BL$2,'Tsalin uzuulelt'!B$3,negtgel!U641:BL641)+SUMIF(negtgel!U$2:BL$2,'Tsalin uzuulelt'!B$4,negtgel!U641:BL641)+SUMIF(negtgel!U$2:BL$2,'Tsalin uzuulelt'!B$5,negtgel!U641:BL641)</f>
      </c>
      <c r="H641">
        <f>SUMIF(negtgel!U$2:BL$2,'Tsalin uzuulelt'!F$1,negtgel!U641:BL641) + SUMIF(negtgel!U$2:BL$2,'Tsalin uzuulelt'!F$2,negtgel!U641:BL641)+SUMIF(negtgel!U$2:BL$2,'Tsalin uzuulelt'!F$3,negtgel!U641:BL641)+SUMIF(negtgel!U$2:BL$2,'Tsalin uzuulelt'!F$4,negtgel!U641:BL641)+SUMIF(negtgel!U$2:BL$2,'Tsalin uzuulelt'!F$5,negtgel!U641:BL641)</f>
      </c>
      <c r="I641">
        <f>SUMIF(negtgel!U$2:BL$2,'Tsalin uzuulelt'!H$1,negtgel!U641:BL641) + SUMIF(negtgel!U$2:BL$2,'Tsalin uzuulelt'!H$2,negtgel!U641:BL641)+SUMIF(negtgel!U$2:BL$2,'Tsalin uzuulelt'!H$3,negtgel!U641:BL641)+SUMIF(negtgel!U$2:BL$2,'Tsalin uzuulelt'!H$4,negtgel!U641:BL641)+SUMIF(negtgel!U$2:BL$2,'Tsalin uzuulelt'!H$5,negtgel!U641:BL641)</f>
      </c>
      <c r="J641">
        <f>SUMIF(negtgel!U$2:BL$2,'Tsalin uzuulelt'!J$1,negtgel!U641:BL641) + SUMIF(negtgel!U$2:BL$2,'Tsalin uzuulelt'!J$2,negtgel!U641:BL641)+SUMIF(negtgel!U$2:BL$2,'Tsalin uzuulelt'!J$3,negtgel!U641:BL641)+SUMIF(negtgel!U$2:BL$2,'Tsalin uzuulelt'!J$4,negtgel!U641:BL641)+SUMIF(negtgel!U$2:BL$2,'Tsalin uzuulelt'!J$5,negtgel!U641:BL641)</f>
      </c>
      <c r="K641">
        <f>SUMIF(negtgel!U$2:BL$2,'Tsalin uzuulelt'!L$1,negtgel!U641:BL641) + SUMIF(negtgel!U$2:BL$2,'Tsalin uzuulelt'!L$2,negtgel!U641:BL641)+SUMIF(negtgel!U$2:BL$2,'Tsalin uzuulelt'!L$3,negtgel!U641:BL641)+SUMIF(negtgel!U$2:BL$2,'Tsalin uzuulelt'!L$4,negtgel!U641:BL641)+SUMIF(negtgel!U$2:BL$2,'Tsalin uzuulelt'!L$5,negtgel!U641:BL641)</f>
      </c>
      <c r="L641">
        <f>SUMIF(negtgel!U$2:BL$2,'Tsalin uzuulelt'!N$1,negtgel!U641:BL641) + SUMIF(negtgel!U$2:BL$2,'Tsalin uzuulelt'!N$2,negtgel!U641:BL641)+SUMIF(negtgel!U$2:BL$2,'Tsalin uzuulelt'!N$3,negtgel!U641:BL641)+SUMIF(negtgel!U$2:BL$2,'Tsalin uzuulelt'!N$4,negtgel!U641:BL641)+SUMIF(negtgel!U$2:BL$2,'Tsalin uzuulelt'!N$5,negtgel!U641:BL641)</f>
      </c>
      <c r="M641">
        <f>SUMIF(negtgel!U$2:BL$2,'Tsalin uzuulelt'!P$1,negtgel!U641:BL641) + SUMIF(negtgel!U$2:BL$2,'Tsalin uzuulelt'!P$2,negtgel!U641:BL641)+ SUMIF(negtgel!U$2:BL$2,'Tsalin uzuulelt'!P$3,negtgel!U641:BL641)+ SUMIF(negtgel!U$2:BL$2,'Tsalin uzuulelt'!P$4,negtgel!U641:BL641)+ SUMIF(negtgel!U$2:BL$2,'Tsalin uzuulelt'!P$5,negtgel!U641:BL641)</f>
      </c>
      <c r="N641">
        <f>IF(ISNUMBER(U641*1)=CF641,0,K641-H641-G641)</f>
      </c>
      <c r="O641">
        <f>IF(ISNUMBER(U641*1)=CF641,0,L641)</f>
      </c>
      <c r="P641">
        <f>IF(ISNUMBER(U641*1)=CF641,0,M641)</f>
      </c>
      <c r="Q641">
        <f>IF(N641&gt;2400000,N641,0)</f>
      </c>
      <c r="R641">
        <f>IF(L641/Q641*100&lt;3,2,10)</f>
      </c>
      <c r="S641">
        <f>IF(CH641=0,0,IF(B641&gt;9,10,IF(B641&gt;8,B641,IF(B641&gt;7.7,7.8,IF(B641&gt;3,B641,IF(B641&gt;1.5,2))))))</f>
      </c>
      <c r="T641">
        <f>IF(Q641=0,S641,R641)</f>
      </c>
      <c r="U641" t="n">
        <v>55.0</v>
      </c>
      <c r="V641" t="s">
        <v>3803</v>
      </c>
      <c r="W641" t="s">
        <v>3790</v>
      </c>
      <c r="X641" t="n">
        <v>733863.0</v>
      </c>
      <c r="Y641" t="n">
        <v>733863.0</v>
      </c>
      <c r="Z641" t="n">
        <v>146773.0</v>
      </c>
      <c r="AA641" t="n">
        <v>146773.0</v>
      </c>
      <c r="AB641" t="n">
        <v>0.0</v>
      </c>
      <c r="AC641" t="n">
        <v>110079.0</v>
      </c>
      <c r="AD641" t="n">
        <v>0.0</v>
      </c>
      <c r="AE641" t="n">
        <v>0.0</v>
      </c>
      <c r="AF641" t="n">
        <v>66000.0</v>
      </c>
      <c r="AG641" t="n">
        <v>0.0</v>
      </c>
      <c r="AH641" t="n">
        <v>0.0</v>
      </c>
      <c r="AI641" t="n">
        <v>0.0</v>
      </c>
      <c r="AJ641" t="n">
        <v>0.0</v>
      </c>
      <c r="AK641" t="n">
        <v>0.0</v>
      </c>
      <c r="AL641" t="n">
        <v>0.0</v>
      </c>
      <c r="AM641" t="n">
        <v>0.0</v>
      </c>
      <c r="AN641" t="n">
        <v>0.0</v>
      </c>
      <c r="AO641" t="n">
        <v>1203488.0</v>
      </c>
      <c r="AP641" t="n">
        <v>120349.0</v>
      </c>
      <c r="AQ641" t="n">
        <v>101973.9</v>
      </c>
      <c r="CH641">
        <f>IFERROR(U641*1,0)</f>
      </c>
    </row>
    <row r="642">
      <c r="A642" t="n">
        <v>10.0</v>
      </c>
      <c r="B642">
        <f>IF((K642-G642-H642&gt;2400000),10,(L642/(K642-G642-H642)*100))</f>
      </c>
      <c r="C642">
        <f>IF(N642&gt;2400000,240000,(N642*S642)/100)</f>
      </c>
      <c r="D642">
        <f>IF(S642=0,0,IF((N642-I642)&gt;2400000,((((((N642-I642-J642)-240000))*0.1+(I642+J642)*0.1)))-7000,((((((N642-I642-J642)-(N642-I642-J642)*S642/100)))*0.1+(I642+J642)*0.1)-7000)))</f>
      </c>
      <c r="E642">
        <f>C642-O642</f>
      </c>
      <c r="F642">
        <f>D642-P642</f>
      </c>
      <c r="G642">
        <f>SUMIF(negtgel!U$2:BL$2,'Tsalin uzuulelt'!B$1,negtgel!U642:BL642) + SUMIF(negtgel!U$2:BL$2,'Tsalin uzuulelt'!B$2,negtgel!U642:BL642)+SUMIF(negtgel!U$2:BL$2,'Tsalin uzuulelt'!B$3,negtgel!U642:BL642)+SUMIF(negtgel!U$2:BL$2,'Tsalin uzuulelt'!B$4,negtgel!U642:BL642)+SUMIF(negtgel!U$2:BL$2,'Tsalin uzuulelt'!B$5,negtgel!U642:BL642)</f>
      </c>
      <c r="H642">
        <f>SUMIF(negtgel!U$2:BL$2,'Tsalin uzuulelt'!F$1,negtgel!U642:BL642) + SUMIF(negtgel!U$2:BL$2,'Tsalin uzuulelt'!F$2,negtgel!U642:BL642)+SUMIF(negtgel!U$2:BL$2,'Tsalin uzuulelt'!F$3,negtgel!U642:BL642)+SUMIF(negtgel!U$2:BL$2,'Tsalin uzuulelt'!F$4,negtgel!U642:BL642)+SUMIF(negtgel!U$2:BL$2,'Tsalin uzuulelt'!F$5,negtgel!U642:BL642)</f>
      </c>
      <c r="I642">
        <f>SUMIF(negtgel!U$2:BL$2,'Tsalin uzuulelt'!H$1,negtgel!U642:BL642) + SUMIF(negtgel!U$2:BL$2,'Tsalin uzuulelt'!H$2,negtgel!U642:BL642)+SUMIF(negtgel!U$2:BL$2,'Tsalin uzuulelt'!H$3,negtgel!U642:BL642)+SUMIF(negtgel!U$2:BL$2,'Tsalin uzuulelt'!H$4,negtgel!U642:BL642)+SUMIF(negtgel!U$2:BL$2,'Tsalin uzuulelt'!H$5,negtgel!U642:BL642)</f>
      </c>
      <c r="J642">
        <f>SUMIF(negtgel!U$2:BL$2,'Tsalin uzuulelt'!J$1,negtgel!U642:BL642) + SUMIF(negtgel!U$2:BL$2,'Tsalin uzuulelt'!J$2,negtgel!U642:BL642)+SUMIF(negtgel!U$2:BL$2,'Tsalin uzuulelt'!J$3,negtgel!U642:BL642)+SUMIF(negtgel!U$2:BL$2,'Tsalin uzuulelt'!J$4,negtgel!U642:BL642)+SUMIF(negtgel!U$2:BL$2,'Tsalin uzuulelt'!J$5,negtgel!U642:BL642)</f>
      </c>
      <c r="K642">
        <f>SUMIF(negtgel!U$2:BL$2,'Tsalin uzuulelt'!L$1,negtgel!U642:BL642) + SUMIF(negtgel!U$2:BL$2,'Tsalin uzuulelt'!L$2,negtgel!U642:BL642)+SUMIF(negtgel!U$2:BL$2,'Tsalin uzuulelt'!L$3,negtgel!U642:BL642)+SUMIF(negtgel!U$2:BL$2,'Tsalin uzuulelt'!L$4,negtgel!U642:BL642)+SUMIF(negtgel!U$2:BL$2,'Tsalin uzuulelt'!L$5,negtgel!U642:BL642)</f>
      </c>
      <c r="L642">
        <f>SUMIF(negtgel!U$2:BL$2,'Tsalin uzuulelt'!N$1,negtgel!U642:BL642) + SUMIF(negtgel!U$2:BL$2,'Tsalin uzuulelt'!N$2,negtgel!U642:BL642)+SUMIF(negtgel!U$2:BL$2,'Tsalin uzuulelt'!N$3,negtgel!U642:BL642)+SUMIF(negtgel!U$2:BL$2,'Tsalin uzuulelt'!N$4,negtgel!U642:BL642)+SUMIF(negtgel!U$2:BL$2,'Tsalin uzuulelt'!N$5,negtgel!U642:BL642)</f>
      </c>
      <c r="M642">
        <f>SUMIF(negtgel!U$2:BL$2,'Tsalin uzuulelt'!P$1,negtgel!U642:BL642) + SUMIF(negtgel!U$2:BL$2,'Tsalin uzuulelt'!P$2,negtgel!U642:BL642)+ SUMIF(negtgel!U$2:BL$2,'Tsalin uzuulelt'!P$3,negtgel!U642:BL642)+ SUMIF(negtgel!U$2:BL$2,'Tsalin uzuulelt'!P$4,negtgel!U642:BL642)+ SUMIF(negtgel!U$2:BL$2,'Tsalin uzuulelt'!P$5,negtgel!U642:BL642)</f>
      </c>
      <c r="N642">
        <f>IF(ISNUMBER(U642*1)=CF642,0,K642-H642-G642)</f>
      </c>
      <c r="O642">
        <f>IF(ISNUMBER(U642*1)=CF642,0,L642)</f>
      </c>
      <c r="P642">
        <f>IF(ISNUMBER(U642*1)=CF642,0,M642)</f>
      </c>
      <c r="Q642">
        <f>IF(N642&gt;2400000,N642,0)</f>
      </c>
      <c r="R642">
        <f>IF(L642/Q642*100&lt;3,2,10)</f>
      </c>
      <c r="S642">
        <f>IF(CH642=0,0,IF(B642&gt;9,10,IF(B642&gt;8,B642,IF(B642&gt;7.7,7.8,IF(B642&gt;3,B642,IF(B642&gt;1.5,2))))))</f>
      </c>
      <c r="T642">
        <f>IF(Q642=0,S642,R642)</f>
      </c>
      <c r="U642" t="s">
        <v>3787</v>
      </c>
      <c r="V642"/>
      <c r="W642"/>
      <c r="X642" t="n">
        <v>5622775.0</v>
      </c>
      <c r="Y642" t="n">
        <v>5622775.0</v>
      </c>
      <c r="Z642" t="n">
        <v>490511.0</v>
      </c>
      <c r="AA642" t="n">
        <v>656231.0</v>
      </c>
      <c r="AB642" t="n">
        <v>0.0</v>
      </c>
      <c r="AC642" t="n">
        <v>211694.0</v>
      </c>
      <c r="AD642" t="n">
        <v>0.0</v>
      </c>
      <c r="AE642" t="n">
        <v>0.0</v>
      </c>
      <c r="AF642" t="n">
        <v>594000.0</v>
      </c>
      <c r="AG642" t="n">
        <v>0.0</v>
      </c>
      <c r="AH642" t="n">
        <v>0.0</v>
      </c>
      <c r="AI642" t="n">
        <v>0.0</v>
      </c>
      <c r="AJ642" t="n">
        <v>0.0</v>
      </c>
      <c r="AK642" t="n">
        <v>0.0</v>
      </c>
      <c r="AL642" t="n">
        <v>0.0</v>
      </c>
      <c r="AM642" t="n">
        <v>0.0</v>
      </c>
      <c r="AN642" t="n">
        <v>0.0</v>
      </c>
      <c r="AO642" t="n">
        <v>7575211.0</v>
      </c>
      <c r="AP642" t="n">
        <v>757520.0</v>
      </c>
      <c r="AQ642" t="n">
        <v>624709.1</v>
      </c>
      <c r="CH642">
        <f>IFERROR(U642*1,0)</f>
      </c>
    </row>
    <row r="643">
      <c r="A643" t="n">
        <v>10.0</v>
      </c>
      <c r="B643">
        <f>IF((K643-G643-H643&gt;2400000),10,(L643/(K643-G643-H643)*100))</f>
      </c>
      <c r="C643">
        <f>IF(N643&gt;2400000,240000,(N643*S643)/100)</f>
      </c>
      <c r="D643">
        <f>IF(S643=0,0,IF((N643-I643)&gt;2400000,((((((N643-I643-J643)-240000))*0.1+(I643+J643)*0.1)))-7000,((((((N643-I643-J643)-(N643-I643-J643)*S643/100)))*0.1+(I643+J643)*0.1)-7000)))</f>
      </c>
      <c r="E643">
        <f>C643-O643</f>
      </c>
      <c r="F643">
        <f>D643-P643</f>
      </c>
      <c r="G643">
        <f>SUMIF(negtgel!U$2:BL$2,'Tsalin uzuulelt'!B$1,negtgel!U643:BL643) + SUMIF(negtgel!U$2:BL$2,'Tsalin uzuulelt'!B$2,negtgel!U643:BL643)+SUMIF(negtgel!U$2:BL$2,'Tsalin uzuulelt'!B$3,negtgel!U643:BL643)+SUMIF(negtgel!U$2:BL$2,'Tsalin uzuulelt'!B$4,negtgel!U643:BL643)+SUMIF(negtgel!U$2:BL$2,'Tsalin uzuulelt'!B$5,negtgel!U643:BL643)</f>
      </c>
      <c r="H643">
        <f>SUMIF(negtgel!U$2:BL$2,'Tsalin uzuulelt'!F$1,negtgel!U643:BL643) + SUMIF(negtgel!U$2:BL$2,'Tsalin uzuulelt'!F$2,negtgel!U643:BL643)+SUMIF(negtgel!U$2:BL$2,'Tsalin uzuulelt'!F$3,negtgel!U643:BL643)+SUMIF(negtgel!U$2:BL$2,'Tsalin uzuulelt'!F$4,negtgel!U643:BL643)+SUMIF(negtgel!U$2:BL$2,'Tsalin uzuulelt'!F$5,negtgel!U643:BL643)</f>
      </c>
      <c r="I643">
        <f>SUMIF(negtgel!U$2:BL$2,'Tsalin uzuulelt'!H$1,negtgel!U643:BL643) + SUMIF(negtgel!U$2:BL$2,'Tsalin uzuulelt'!H$2,negtgel!U643:BL643)+SUMIF(negtgel!U$2:BL$2,'Tsalin uzuulelt'!H$3,negtgel!U643:BL643)+SUMIF(negtgel!U$2:BL$2,'Tsalin uzuulelt'!H$4,negtgel!U643:BL643)+SUMIF(negtgel!U$2:BL$2,'Tsalin uzuulelt'!H$5,negtgel!U643:BL643)</f>
      </c>
      <c r="J643">
        <f>SUMIF(negtgel!U$2:BL$2,'Tsalin uzuulelt'!J$1,negtgel!U643:BL643) + SUMIF(negtgel!U$2:BL$2,'Tsalin uzuulelt'!J$2,negtgel!U643:BL643)+SUMIF(negtgel!U$2:BL$2,'Tsalin uzuulelt'!J$3,negtgel!U643:BL643)+SUMIF(negtgel!U$2:BL$2,'Tsalin uzuulelt'!J$4,negtgel!U643:BL643)+SUMIF(negtgel!U$2:BL$2,'Tsalin uzuulelt'!J$5,negtgel!U643:BL643)</f>
      </c>
      <c r="K643">
        <f>SUMIF(negtgel!U$2:BL$2,'Tsalin uzuulelt'!L$1,negtgel!U643:BL643) + SUMIF(negtgel!U$2:BL$2,'Tsalin uzuulelt'!L$2,negtgel!U643:BL643)+SUMIF(negtgel!U$2:BL$2,'Tsalin uzuulelt'!L$3,negtgel!U643:BL643)+SUMIF(negtgel!U$2:BL$2,'Tsalin uzuulelt'!L$4,negtgel!U643:BL643)+SUMIF(negtgel!U$2:BL$2,'Tsalin uzuulelt'!L$5,negtgel!U643:BL643)</f>
      </c>
      <c r="L643">
        <f>SUMIF(negtgel!U$2:BL$2,'Tsalin uzuulelt'!N$1,negtgel!U643:BL643) + SUMIF(negtgel!U$2:BL$2,'Tsalin uzuulelt'!N$2,negtgel!U643:BL643)+SUMIF(negtgel!U$2:BL$2,'Tsalin uzuulelt'!N$3,negtgel!U643:BL643)+SUMIF(negtgel!U$2:BL$2,'Tsalin uzuulelt'!N$4,negtgel!U643:BL643)+SUMIF(negtgel!U$2:BL$2,'Tsalin uzuulelt'!N$5,negtgel!U643:BL643)</f>
      </c>
      <c r="M643">
        <f>SUMIF(negtgel!U$2:BL$2,'Tsalin uzuulelt'!P$1,negtgel!U643:BL643) + SUMIF(negtgel!U$2:BL$2,'Tsalin uzuulelt'!P$2,negtgel!U643:BL643)+ SUMIF(negtgel!U$2:BL$2,'Tsalin uzuulelt'!P$3,negtgel!U643:BL643)+ SUMIF(negtgel!U$2:BL$2,'Tsalin uzuulelt'!P$4,negtgel!U643:BL643)+ SUMIF(negtgel!U$2:BL$2,'Tsalin uzuulelt'!P$5,negtgel!U643:BL643)</f>
      </c>
      <c r="N643">
        <f>IF(ISNUMBER(U643*1)=CF643,0,K643-H643-G643)</f>
      </c>
      <c r="O643">
        <f>IF(ISNUMBER(U643*1)=CF643,0,L643)</f>
      </c>
      <c r="P643">
        <f>IF(ISNUMBER(U643*1)=CF643,0,M643)</f>
      </c>
      <c r="Q643">
        <f>IF(N643&gt;2400000,N643,0)</f>
      </c>
      <c r="R643">
        <f>IF(L643/Q643*100&lt;3,2,10)</f>
      </c>
      <c r="S643">
        <f>IF(CH643=0,0,IF(B643&gt;9,10,IF(B643&gt;8,B643,IF(B643&gt;7.7,7.8,IF(B643&gt;3,B643,IF(B643&gt;1.5,2))))))</f>
      </c>
      <c r="T643">
        <f>IF(Q643=0,S643,R643)</f>
      </c>
      <c r="U643" t="s">
        <v>3804</v>
      </c>
      <c r="V643"/>
      <c r="W643"/>
      <c r="X643"/>
      <c r="Y643"/>
      <c r="Z643"/>
      <c r="AA643"/>
      <c r="AB643"/>
      <c r="AC643"/>
      <c r="AD643"/>
      <c r="AE643"/>
      <c r="AF643"/>
      <c r="AG643"/>
      <c r="AH643"/>
      <c r="AI643"/>
      <c r="AJ643"/>
      <c r="AK643"/>
      <c r="AL643"/>
      <c r="AM643"/>
      <c r="AN643"/>
      <c r="AO643"/>
      <c r="AP643"/>
      <c r="AQ643"/>
      <c r="CH643">
        <f>IFERROR(U643*1,0)</f>
      </c>
    </row>
    <row r="644">
      <c r="A644" t="n">
        <v>10.0</v>
      </c>
      <c r="B644">
        <f>IF((K644-G644-H644&gt;2400000),10,(L644/(K644-G644-H644)*100))</f>
      </c>
      <c r="C644">
        <f>IF(N644&gt;2400000,240000,(N644*S644)/100)</f>
      </c>
      <c r="D644">
        <f>IF(S644=0,0,IF((N644-I644)&gt;2400000,((((((N644-I644-J644)-240000))*0.1+(I644+J644)*0.1)))-7000,((((((N644-I644-J644)-(N644-I644-J644)*S644/100)))*0.1+(I644+J644)*0.1)-7000)))</f>
      </c>
      <c r="E644">
        <f>C644-O644</f>
      </c>
      <c r="F644">
        <f>D644-P644</f>
      </c>
      <c r="G644">
        <f>SUMIF(negtgel!U$2:BL$2,'Tsalin uzuulelt'!B$1,negtgel!U644:BL644) + SUMIF(negtgel!U$2:BL$2,'Tsalin uzuulelt'!B$2,negtgel!U644:BL644)+SUMIF(negtgel!U$2:BL$2,'Tsalin uzuulelt'!B$3,negtgel!U644:BL644)+SUMIF(negtgel!U$2:BL$2,'Tsalin uzuulelt'!B$4,negtgel!U644:BL644)+SUMIF(negtgel!U$2:BL$2,'Tsalin uzuulelt'!B$5,negtgel!U644:BL644)</f>
      </c>
      <c r="H644">
        <f>SUMIF(negtgel!U$2:BL$2,'Tsalin uzuulelt'!F$1,negtgel!U644:BL644) + SUMIF(negtgel!U$2:BL$2,'Tsalin uzuulelt'!F$2,negtgel!U644:BL644)+SUMIF(negtgel!U$2:BL$2,'Tsalin uzuulelt'!F$3,negtgel!U644:BL644)+SUMIF(negtgel!U$2:BL$2,'Tsalin uzuulelt'!F$4,negtgel!U644:BL644)+SUMIF(negtgel!U$2:BL$2,'Tsalin uzuulelt'!F$5,negtgel!U644:BL644)</f>
      </c>
      <c r="I644">
        <f>SUMIF(negtgel!U$2:BL$2,'Tsalin uzuulelt'!H$1,negtgel!U644:BL644) + SUMIF(negtgel!U$2:BL$2,'Tsalin uzuulelt'!H$2,negtgel!U644:BL644)+SUMIF(negtgel!U$2:BL$2,'Tsalin uzuulelt'!H$3,negtgel!U644:BL644)+SUMIF(negtgel!U$2:BL$2,'Tsalin uzuulelt'!H$4,negtgel!U644:BL644)+SUMIF(negtgel!U$2:BL$2,'Tsalin uzuulelt'!H$5,negtgel!U644:BL644)</f>
      </c>
      <c r="J644">
        <f>SUMIF(negtgel!U$2:BL$2,'Tsalin uzuulelt'!J$1,negtgel!U644:BL644) + SUMIF(negtgel!U$2:BL$2,'Tsalin uzuulelt'!J$2,negtgel!U644:BL644)+SUMIF(negtgel!U$2:BL$2,'Tsalin uzuulelt'!J$3,negtgel!U644:BL644)+SUMIF(negtgel!U$2:BL$2,'Tsalin uzuulelt'!J$4,negtgel!U644:BL644)+SUMIF(negtgel!U$2:BL$2,'Tsalin uzuulelt'!J$5,negtgel!U644:BL644)</f>
      </c>
      <c r="K644">
        <f>SUMIF(negtgel!U$2:BL$2,'Tsalin uzuulelt'!L$1,negtgel!U644:BL644) + SUMIF(negtgel!U$2:BL$2,'Tsalin uzuulelt'!L$2,negtgel!U644:BL644)+SUMIF(negtgel!U$2:BL$2,'Tsalin uzuulelt'!L$3,negtgel!U644:BL644)+SUMIF(negtgel!U$2:BL$2,'Tsalin uzuulelt'!L$4,negtgel!U644:BL644)+SUMIF(negtgel!U$2:BL$2,'Tsalin uzuulelt'!L$5,negtgel!U644:BL644)</f>
      </c>
      <c r="L644">
        <f>SUMIF(negtgel!U$2:BL$2,'Tsalin uzuulelt'!N$1,negtgel!U644:BL644) + SUMIF(negtgel!U$2:BL$2,'Tsalin uzuulelt'!N$2,negtgel!U644:BL644)+SUMIF(negtgel!U$2:BL$2,'Tsalin uzuulelt'!N$3,negtgel!U644:BL644)+SUMIF(negtgel!U$2:BL$2,'Tsalin uzuulelt'!N$4,negtgel!U644:BL644)+SUMIF(negtgel!U$2:BL$2,'Tsalin uzuulelt'!N$5,negtgel!U644:BL644)</f>
      </c>
      <c r="M644">
        <f>SUMIF(negtgel!U$2:BL$2,'Tsalin uzuulelt'!P$1,negtgel!U644:BL644) + SUMIF(negtgel!U$2:BL$2,'Tsalin uzuulelt'!P$2,negtgel!U644:BL644)+ SUMIF(negtgel!U$2:BL$2,'Tsalin uzuulelt'!P$3,negtgel!U644:BL644)+ SUMIF(negtgel!U$2:BL$2,'Tsalin uzuulelt'!P$4,negtgel!U644:BL644)+ SUMIF(negtgel!U$2:BL$2,'Tsalin uzuulelt'!P$5,negtgel!U644:BL644)</f>
      </c>
      <c r="N644">
        <f>IF(ISNUMBER(U644*1)=CF644,0,K644-H644-G644)</f>
      </c>
      <c r="O644">
        <f>IF(ISNUMBER(U644*1)=CF644,0,L644)</f>
      </c>
      <c r="P644">
        <f>IF(ISNUMBER(U644*1)=CF644,0,M644)</f>
      </c>
      <c r="Q644">
        <f>IF(N644&gt;2400000,N644,0)</f>
      </c>
      <c r="R644">
        <f>IF(L644/Q644*100&lt;3,2,10)</f>
      </c>
      <c r="S644">
        <f>IF(CH644=0,0,IF(B644&gt;9,10,IF(B644&gt;8,B644,IF(B644&gt;7.7,7.8,IF(B644&gt;3,B644,IF(B644&gt;1.5,2))))))</f>
      </c>
      <c r="T644">
        <f>IF(Q644=0,S644,R644)</f>
      </c>
      <c r="U644" t="n">
        <v>56.0</v>
      </c>
      <c r="V644" t="s">
        <v>3805</v>
      </c>
      <c r="W644" t="s">
        <v>3790</v>
      </c>
      <c r="X644" t="n">
        <v>645556.0</v>
      </c>
      <c r="Y644" t="n">
        <v>498839.0</v>
      </c>
      <c r="Z644" t="n">
        <v>49884.0</v>
      </c>
      <c r="AA644" t="n">
        <v>84803.0</v>
      </c>
      <c r="AB644" t="n">
        <v>0.0</v>
      </c>
      <c r="AC644" t="n">
        <v>0.0</v>
      </c>
      <c r="AD644" t="n">
        <v>0.0</v>
      </c>
      <c r="AE644" t="n">
        <v>0.0</v>
      </c>
      <c r="AF644" t="n">
        <v>51000.0</v>
      </c>
      <c r="AG644" t="n">
        <v>0.0</v>
      </c>
      <c r="AH644" t="n">
        <v>0.0</v>
      </c>
      <c r="AI644" t="n">
        <v>0.0</v>
      </c>
      <c r="AJ644" t="n">
        <v>0.0</v>
      </c>
      <c r="AK644" t="n">
        <v>0.0</v>
      </c>
      <c r="AL644" t="n">
        <v>0.0</v>
      </c>
      <c r="AM644" t="n">
        <v>0.0</v>
      </c>
      <c r="AN644" t="n">
        <v>0.0</v>
      </c>
      <c r="AO644" t="n">
        <v>684526.0</v>
      </c>
      <c r="AP644" t="n">
        <v>68453.0</v>
      </c>
      <c r="AQ644" t="n">
        <v>55117.3</v>
      </c>
      <c r="CH644">
        <f>IFERROR(U644*1,0)</f>
      </c>
    </row>
    <row r="645">
      <c r="A645" t="n">
        <v>10.0</v>
      </c>
      <c r="B645">
        <f>IF((K645-G645-H645&gt;2400000),10,(L645/(K645-G645-H645)*100))</f>
      </c>
      <c r="C645">
        <f>IF(N645&gt;2400000,240000,(N645*S645)/100)</f>
      </c>
      <c r="D645">
        <f>IF(S645=0,0,IF((N645-I645)&gt;2400000,((((((N645-I645-J645)-240000))*0.1+(I645+J645)*0.1)))-7000,((((((N645-I645-J645)-(N645-I645-J645)*S645/100)))*0.1+(I645+J645)*0.1)-7000)))</f>
      </c>
      <c r="E645">
        <f>C645-O645</f>
      </c>
      <c r="F645">
        <f>D645-P645</f>
      </c>
      <c r="G645">
        <f>SUMIF(negtgel!U$2:BL$2,'Tsalin uzuulelt'!B$1,negtgel!U645:BL645) + SUMIF(negtgel!U$2:BL$2,'Tsalin uzuulelt'!B$2,negtgel!U645:BL645)+SUMIF(negtgel!U$2:BL$2,'Tsalin uzuulelt'!B$3,negtgel!U645:BL645)+SUMIF(negtgel!U$2:BL$2,'Tsalin uzuulelt'!B$4,negtgel!U645:BL645)+SUMIF(negtgel!U$2:BL$2,'Tsalin uzuulelt'!B$5,negtgel!U645:BL645)</f>
      </c>
      <c r="H645">
        <f>SUMIF(negtgel!U$2:BL$2,'Tsalin uzuulelt'!F$1,negtgel!U645:BL645) + SUMIF(negtgel!U$2:BL$2,'Tsalin uzuulelt'!F$2,negtgel!U645:BL645)+SUMIF(negtgel!U$2:BL$2,'Tsalin uzuulelt'!F$3,negtgel!U645:BL645)+SUMIF(negtgel!U$2:BL$2,'Tsalin uzuulelt'!F$4,negtgel!U645:BL645)+SUMIF(negtgel!U$2:BL$2,'Tsalin uzuulelt'!F$5,negtgel!U645:BL645)</f>
      </c>
      <c r="I645">
        <f>SUMIF(negtgel!U$2:BL$2,'Tsalin uzuulelt'!H$1,negtgel!U645:BL645) + SUMIF(negtgel!U$2:BL$2,'Tsalin uzuulelt'!H$2,negtgel!U645:BL645)+SUMIF(negtgel!U$2:BL$2,'Tsalin uzuulelt'!H$3,negtgel!U645:BL645)+SUMIF(negtgel!U$2:BL$2,'Tsalin uzuulelt'!H$4,negtgel!U645:BL645)+SUMIF(negtgel!U$2:BL$2,'Tsalin uzuulelt'!H$5,negtgel!U645:BL645)</f>
      </c>
      <c r="J645">
        <f>SUMIF(negtgel!U$2:BL$2,'Tsalin uzuulelt'!J$1,negtgel!U645:BL645) + SUMIF(negtgel!U$2:BL$2,'Tsalin uzuulelt'!J$2,negtgel!U645:BL645)+SUMIF(negtgel!U$2:BL$2,'Tsalin uzuulelt'!J$3,negtgel!U645:BL645)+SUMIF(negtgel!U$2:BL$2,'Tsalin uzuulelt'!J$4,negtgel!U645:BL645)+SUMIF(negtgel!U$2:BL$2,'Tsalin uzuulelt'!J$5,negtgel!U645:BL645)</f>
      </c>
      <c r="K645">
        <f>SUMIF(negtgel!U$2:BL$2,'Tsalin uzuulelt'!L$1,negtgel!U645:BL645) + SUMIF(negtgel!U$2:BL$2,'Tsalin uzuulelt'!L$2,negtgel!U645:BL645)+SUMIF(negtgel!U$2:BL$2,'Tsalin uzuulelt'!L$3,negtgel!U645:BL645)+SUMIF(negtgel!U$2:BL$2,'Tsalin uzuulelt'!L$4,negtgel!U645:BL645)+SUMIF(negtgel!U$2:BL$2,'Tsalin uzuulelt'!L$5,negtgel!U645:BL645)</f>
      </c>
      <c r="L645">
        <f>SUMIF(negtgel!U$2:BL$2,'Tsalin uzuulelt'!N$1,negtgel!U645:BL645) + SUMIF(negtgel!U$2:BL$2,'Tsalin uzuulelt'!N$2,negtgel!U645:BL645)+SUMIF(negtgel!U$2:BL$2,'Tsalin uzuulelt'!N$3,negtgel!U645:BL645)+SUMIF(negtgel!U$2:BL$2,'Tsalin uzuulelt'!N$4,negtgel!U645:BL645)+SUMIF(negtgel!U$2:BL$2,'Tsalin uzuulelt'!N$5,negtgel!U645:BL645)</f>
      </c>
      <c r="M645">
        <f>SUMIF(negtgel!U$2:BL$2,'Tsalin uzuulelt'!P$1,negtgel!U645:BL645) + SUMIF(negtgel!U$2:BL$2,'Tsalin uzuulelt'!P$2,negtgel!U645:BL645)+ SUMIF(negtgel!U$2:BL$2,'Tsalin uzuulelt'!P$3,negtgel!U645:BL645)+ SUMIF(negtgel!U$2:BL$2,'Tsalin uzuulelt'!P$4,negtgel!U645:BL645)+ SUMIF(negtgel!U$2:BL$2,'Tsalin uzuulelt'!P$5,negtgel!U645:BL645)</f>
      </c>
      <c r="N645">
        <f>IF(ISNUMBER(U645*1)=CF645,0,K645-H645-G645)</f>
      </c>
      <c r="O645">
        <f>IF(ISNUMBER(U645*1)=CF645,0,L645)</f>
      </c>
      <c r="P645">
        <f>IF(ISNUMBER(U645*1)=CF645,0,M645)</f>
      </c>
      <c r="Q645">
        <f>IF(N645&gt;2400000,N645,0)</f>
      </c>
      <c r="R645">
        <f>IF(L645/Q645*100&lt;3,2,10)</f>
      </c>
      <c r="S645">
        <f>IF(CH645=0,0,IF(B645&gt;9,10,IF(B645&gt;8,B645,IF(B645&gt;7.7,7.8,IF(B645&gt;3,B645,IF(B645&gt;1.5,2))))))</f>
      </c>
      <c r="T645">
        <f>IF(Q645=0,S645,R645)</f>
      </c>
      <c r="U645" t="n">
        <v>57.0</v>
      </c>
      <c r="V645" t="s">
        <v>3852</v>
      </c>
      <c r="W645" t="s">
        <v>3792</v>
      </c>
      <c r="X645" t="n">
        <v>496912.0</v>
      </c>
      <c r="Y645" t="n">
        <v>496912.0</v>
      </c>
      <c r="Z645" t="n">
        <v>0.0</v>
      </c>
      <c r="AA645" t="n">
        <v>0.0</v>
      </c>
      <c r="AB645" t="n">
        <v>49691.0</v>
      </c>
      <c r="AC645" t="n">
        <v>0.0</v>
      </c>
      <c r="AD645" t="n">
        <v>0.0</v>
      </c>
      <c r="AE645" t="n">
        <v>0.0</v>
      </c>
      <c r="AF645" t="n">
        <v>66000.0</v>
      </c>
      <c r="AG645" t="n">
        <v>0.0</v>
      </c>
      <c r="AH645" t="n">
        <v>0.0</v>
      </c>
      <c r="AI645" t="n">
        <v>0.0</v>
      </c>
      <c r="AJ645" t="n">
        <v>0.0</v>
      </c>
      <c r="AK645" t="n">
        <v>0.0</v>
      </c>
      <c r="AL645" t="n">
        <v>0.0</v>
      </c>
      <c r="AM645" t="n">
        <v>0.0</v>
      </c>
      <c r="AN645" t="n">
        <v>0.0</v>
      </c>
      <c r="AO645" t="n">
        <v>612603.0</v>
      </c>
      <c r="AP645" t="n">
        <v>61260.0</v>
      </c>
      <c r="AQ645" t="n">
        <v>48794.3</v>
      </c>
      <c r="CH645">
        <f>IFERROR(U645*1,0)</f>
      </c>
    </row>
    <row r="646">
      <c r="A646" t="n">
        <v>10.0</v>
      </c>
      <c r="B646">
        <f>IF((K646-G646-H646&gt;2400000),10,(L646/(K646-G646-H646)*100))</f>
      </c>
      <c r="C646">
        <f>IF(N646&gt;2400000,240000,(N646*S646)/100)</f>
      </c>
      <c r="D646">
        <f>IF(S646=0,0,IF((N646-I646)&gt;2400000,((((((N646-I646-J646)-240000))*0.1+(I646+J646)*0.1)))-7000,((((((N646-I646-J646)-(N646-I646-J646)*S646/100)))*0.1+(I646+J646)*0.1)-7000)))</f>
      </c>
      <c r="E646">
        <f>C646-O646</f>
      </c>
      <c r="F646">
        <f>D646-P646</f>
      </c>
      <c r="G646">
        <f>SUMIF(negtgel!U$2:BL$2,'Tsalin uzuulelt'!B$1,negtgel!U646:BL646) + SUMIF(negtgel!U$2:BL$2,'Tsalin uzuulelt'!B$2,negtgel!U646:BL646)+SUMIF(negtgel!U$2:BL$2,'Tsalin uzuulelt'!B$3,negtgel!U646:BL646)+SUMIF(negtgel!U$2:BL$2,'Tsalin uzuulelt'!B$4,negtgel!U646:BL646)+SUMIF(negtgel!U$2:BL$2,'Tsalin uzuulelt'!B$5,negtgel!U646:BL646)</f>
      </c>
      <c r="H646">
        <f>SUMIF(negtgel!U$2:BL$2,'Tsalin uzuulelt'!F$1,negtgel!U646:BL646) + SUMIF(negtgel!U$2:BL$2,'Tsalin uzuulelt'!F$2,negtgel!U646:BL646)+SUMIF(negtgel!U$2:BL$2,'Tsalin uzuulelt'!F$3,negtgel!U646:BL646)+SUMIF(negtgel!U$2:BL$2,'Tsalin uzuulelt'!F$4,negtgel!U646:BL646)+SUMIF(negtgel!U$2:BL$2,'Tsalin uzuulelt'!F$5,negtgel!U646:BL646)</f>
      </c>
      <c r="I646">
        <f>SUMIF(negtgel!U$2:BL$2,'Tsalin uzuulelt'!H$1,negtgel!U646:BL646) + SUMIF(negtgel!U$2:BL$2,'Tsalin uzuulelt'!H$2,negtgel!U646:BL646)+SUMIF(negtgel!U$2:BL$2,'Tsalin uzuulelt'!H$3,negtgel!U646:BL646)+SUMIF(negtgel!U$2:BL$2,'Tsalin uzuulelt'!H$4,negtgel!U646:BL646)+SUMIF(negtgel!U$2:BL$2,'Tsalin uzuulelt'!H$5,negtgel!U646:BL646)</f>
      </c>
      <c r="J646">
        <f>SUMIF(negtgel!U$2:BL$2,'Tsalin uzuulelt'!J$1,negtgel!U646:BL646) + SUMIF(negtgel!U$2:BL$2,'Tsalin uzuulelt'!J$2,negtgel!U646:BL646)+SUMIF(negtgel!U$2:BL$2,'Tsalin uzuulelt'!J$3,negtgel!U646:BL646)+SUMIF(negtgel!U$2:BL$2,'Tsalin uzuulelt'!J$4,negtgel!U646:BL646)+SUMIF(negtgel!U$2:BL$2,'Tsalin uzuulelt'!J$5,negtgel!U646:BL646)</f>
      </c>
      <c r="K646">
        <f>SUMIF(negtgel!U$2:BL$2,'Tsalin uzuulelt'!L$1,negtgel!U646:BL646) + SUMIF(negtgel!U$2:BL$2,'Tsalin uzuulelt'!L$2,negtgel!U646:BL646)+SUMIF(negtgel!U$2:BL$2,'Tsalin uzuulelt'!L$3,negtgel!U646:BL646)+SUMIF(negtgel!U$2:BL$2,'Tsalin uzuulelt'!L$4,negtgel!U646:BL646)+SUMIF(negtgel!U$2:BL$2,'Tsalin uzuulelt'!L$5,negtgel!U646:BL646)</f>
      </c>
      <c r="L646">
        <f>SUMIF(negtgel!U$2:BL$2,'Tsalin uzuulelt'!N$1,negtgel!U646:BL646) + SUMIF(negtgel!U$2:BL$2,'Tsalin uzuulelt'!N$2,negtgel!U646:BL646)+SUMIF(negtgel!U$2:BL$2,'Tsalin uzuulelt'!N$3,negtgel!U646:BL646)+SUMIF(negtgel!U$2:BL$2,'Tsalin uzuulelt'!N$4,negtgel!U646:BL646)+SUMIF(negtgel!U$2:BL$2,'Tsalin uzuulelt'!N$5,negtgel!U646:BL646)</f>
      </c>
      <c r="M646">
        <f>SUMIF(negtgel!U$2:BL$2,'Tsalin uzuulelt'!P$1,negtgel!U646:BL646) + SUMIF(negtgel!U$2:BL$2,'Tsalin uzuulelt'!P$2,negtgel!U646:BL646)+ SUMIF(negtgel!U$2:BL$2,'Tsalin uzuulelt'!P$3,negtgel!U646:BL646)+ SUMIF(negtgel!U$2:BL$2,'Tsalin uzuulelt'!P$4,negtgel!U646:BL646)+ SUMIF(negtgel!U$2:BL$2,'Tsalin uzuulelt'!P$5,negtgel!U646:BL646)</f>
      </c>
      <c r="N646">
        <f>IF(ISNUMBER(U646*1)=CF646,0,K646-H646-G646)</f>
      </c>
      <c r="O646">
        <f>IF(ISNUMBER(U646*1)=CF646,0,L646)</f>
      </c>
      <c r="P646">
        <f>IF(ISNUMBER(U646*1)=CF646,0,M646)</f>
      </c>
      <c r="Q646">
        <f>IF(N646&gt;2400000,N646,0)</f>
      </c>
      <c r="R646">
        <f>IF(L646/Q646*100&lt;3,2,10)</f>
      </c>
      <c r="S646">
        <f>IF(CH646=0,0,IF(B646&gt;9,10,IF(B646&gt;8,B646,IF(B646&gt;7.7,7.8,IF(B646&gt;3,B646,IF(B646&gt;1.5,2))))))</f>
      </c>
      <c r="T646">
        <f>IF(Q646=0,S646,R646)</f>
      </c>
      <c r="U646" t="n">
        <v>58.0</v>
      </c>
      <c r="V646" t="s">
        <v>3872</v>
      </c>
      <c r="W646" t="s">
        <v>3790</v>
      </c>
      <c r="X646" t="n">
        <v>645556.0</v>
      </c>
      <c r="Y646" t="n">
        <v>322778.0</v>
      </c>
      <c r="Z646" t="n">
        <v>48417.0</v>
      </c>
      <c r="AA646" t="n">
        <v>54872.0</v>
      </c>
      <c r="AB646" t="n">
        <v>0.0</v>
      </c>
      <c r="AC646" t="n">
        <v>0.0</v>
      </c>
      <c r="AD646" t="n">
        <v>0.0</v>
      </c>
      <c r="AE646" t="n">
        <v>0.0</v>
      </c>
      <c r="AF646" t="n">
        <v>33000.0</v>
      </c>
      <c r="AG646" t="n">
        <v>0.0</v>
      </c>
      <c r="AH646" t="n">
        <v>0.0</v>
      </c>
      <c r="AI646" t="n">
        <v>0.0</v>
      </c>
      <c r="AJ646" t="n">
        <v>0.0</v>
      </c>
      <c r="AK646" t="n">
        <v>0.0</v>
      </c>
      <c r="AL646" t="n">
        <v>0.0</v>
      </c>
      <c r="AM646" t="n">
        <v>0.0</v>
      </c>
      <c r="AN646" t="n">
        <v>0.0</v>
      </c>
      <c r="AO646" t="n">
        <v>459067.0</v>
      </c>
      <c r="AP646" t="n">
        <v>45907.0</v>
      </c>
      <c r="AQ646" t="n">
        <v>34646.0</v>
      </c>
      <c r="CH646">
        <f>IFERROR(U646*1,0)</f>
      </c>
    </row>
    <row r="647">
      <c r="A647" t="n">
        <v>10.0</v>
      </c>
      <c r="B647">
        <f>IF((K647-G647-H647&gt;2400000),10,(L647/(K647-G647-H647)*100))</f>
      </c>
      <c r="C647">
        <f>IF(N647&gt;2400000,240000,(N647*S647)/100)</f>
      </c>
      <c r="D647">
        <f>IF(S647=0,0,IF((N647-I647)&gt;2400000,((((((N647-I647-J647)-240000))*0.1+(I647+J647)*0.1)))-7000,((((((N647-I647-J647)-(N647-I647-J647)*S647/100)))*0.1+(I647+J647)*0.1)-7000)))</f>
      </c>
      <c r="E647">
        <f>C647-O647</f>
      </c>
      <c r="F647">
        <f>D647-P647</f>
      </c>
      <c r="G647">
        <f>SUMIF(negtgel!U$2:BL$2,'Tsalin uzuulelt'!B$1,negtgel!U647:BL647) + SUMIF(negtgel!U$2:BL$2,'Tsalin uzuulelt'!B$2,negtgel!U647:BL647)+SUMIF(negtgel!U$2:BL$2,'Tsalin uzuulelt'!B$3,negtgel!U647:BL647)+SUMIF(negtgel!U$2:BL$2,'Tsalin uzuulelt'!B$4,negtgel!U647:BL647)+SUMIF(negtgel!U$2:BL$2,'Tsalin uzuulelt'!B$5,negtgel!U647:BL647)</f>
      </c>
      <c r="H647">
        <f>SUMIF(negtgel!U$2:BL$2,'Tsalin uzuulelt'!F$1,negtgel!U647:BL647) + SUMIF(negtgel!U$2:BL$2,'Tsalin uzuulelt'!F$2,negtgel!U647:BL647)+SUMIF(negtgel!U$2:BL$2,'Tsalin uzuulelt'!F$3,negtgel!U647:BL647)+SUMIF(negtgel!U$2:BL$2,'Tsalin uzuulelt'!F$4,negtgel!U647:BL647)+SUMIF(negtgel!U$2:BL$2,'Tsalin uzuulelt'!F$5,negtgel!U647:BL647)</f>
      </c>
      <c r="I647">
        <f>SUMIF(negtgel!U$2:BL$2,'Tsalin uzuulelt'!H$1,negtgel!U647:BL647) + SUMIF(negtgel!U$2:BL$2,'Tsalin uzuulelt'!H$2,negtgel!U647:BL647)+SUMIF(negtgel!U$2:BL$2,'Tsalin uzuulelt'!H$3,negtgel!U647:BL647)+SUMIF(negtgel!U$2:BL$2,'Tsalin uzuulelt'!H$4,negtgel!U647:BL647)+SUMIF(negtgel!U$2:BL$2,'Tsalin uzuulelt'!H$5,negtgel!U647:BL647)</f>
      </c>
      <c r="J647">
        <f>SUMIF(negtgel!U$2:BL$2,'Tsalin uzuulelt'!J$1,negtgel!U647:BL647) + SUMIF(negtgel!U$2:BL$2,'Tsalin uzuulelt'!J$2,negtgel!U647:BL647)+SUMIF(negtgel!U$2:BL$2,'Tsalin uzuulelt'!J$3,negtgel!U647:BL647)+SUMIF(negtgel!U$2:BL$2,'Tsalin uzuulelt'!J$4,negtgel!U647:BL647)+SUMIF(negtgel!U$2:BL$2,'Tsalin uzuulelt'!J$5,negtgel!U647:BL647)</f>
      </c>
      <c r="K647">
        <f>SUMIF(negtgel!U$2:BL$2,'Tsalin uzuulelt'!L$1,negtgel!U647:BL647) + SUMIF(negtgel!U$2:BL$2,'Tsalin uzuulelt'!L$2,negtgel!U647:BL647)+SUMIF(negtgel!U$2:BL$2,'Tsalin uzuulelt'!L$3,negtgel!U647:BL647)+SUMIF(negtgel!U$2:BL$2,'Tsalin uzuulelt'!L$4,negtgel!U647:BL647)+SUMIF(negtgel!U$2:BL$2,'Tsalin uzuulelt'!L$5,negtgel!U647:BL647)</f>
      </c>
      <c r="L647">
        <f>SUMIF(negtgel!U$2:BL$2,'Tsalin uzuulelt'!N$1,negtgel!U647:BL647) + SUMIF(negtgel!U$2:BL$2,'Tsalin uzuulelt'!N$2,negtgel!U647:BL647)+SUMIF(negtgel!U$2:BL$2,'Tsalin uzuulelt'!N$3,negtgel!U647:BL647)+SUMIF(negtgel!U$2:BL$2,'Tsalin uzuulelt'!N$4,negtgel!U647:BL647)+SUMIF(negtgel!U$2:BL$2,'Tsalin uzuulelt'!N$5,negtgel!U647:BL647)</f>
      </c>
      <c r="M647">
        <f>SUMIF(negtgel!U$2:BL$2,'Tsalin uzuulelt'!P$1,negtgel!U647:BL647) + SUMIF(negtgel!U$2:BL$2,'Tsalin uzuulelt'!P$2,negtgel!U647:BL647)+ SUMIF(negtgel!U$2:BL$2,'Tsalin uzuulelt'!P$3,negtgel!U647:BL647)+ SUMIF(negtgel!U$2:BL$2,'Tsalin uzuulelt'!P$4,negtgel!U647:BL647)+ SUMIF(negtgel!U$2:BL$2,'Tsalin uzuulelt'!P$5,negtgel!U647:BL647)</f>
      </c>
      <c r="N647">
        <f>IF(ISNUMBER(U647*1)=CF647,0,K647-H647-G647)</f>
      </c>
      <c r="O647">
        <f>IF(ISNUMBER(U647*1)=CF647,0,L647)</f>
      </c>
      <c r="P647">
        <f>IF(ISNUMBER(U647*1)=CF647,0,M647)</f>
      </c>
      <c r="Q647">
        <f>IF(N647&gt;2400000,N647,0)</f>
      </c>
      <c r="R647">
        <f>IF(L647/Q647*100&lt;3,2,10)</f>
      </c>
      <c r="S647">
        <f>IF(CH647=0,0,IF(B647&gt;9,10,IF(B647&gt;8,B647,IF(B647&gt;7.7,7.8,IF(B647&gt;3,B647,IF(B647&gt;1.5,2))))))</f>
      </c>
      <c r="T647">
        <f>IF(Q647=0,S647,R647)</f>
      </c>
      <c r="U647" t="n">
        <v>59.0</v>
      </c>
      <c r="V647" t="s">
        <v>3879</v>
      </c>
      <c r="W647" t="s">
        <v>3790</v>
      </c>
      <c r="X647" t="n">
        <v>698795.0</v>
      </c>
      <c r="Y647" t="n">
        <v>698795.0</v>
      </c>
      <c r="Z647" t="n">
        <v>34940.0</v>
      </c>
      <c r="AA647" t="n">
        <v>104819.0</v>
      </c>
      <c r="AB647" t="n">
        <v>0.0</v>
      </c>
      <c r="AC647" t="n">
        <v>0.0</v>
      </c>
      <c r="AD647" t="n">
        <v>0.0</v>
      </c>
      <c r="AE647" t="n">
        <v>0.0</v>
      </c>
      <c r="AF647" t="n">
        <v>66000.0</v>
      </c>
      <c r="AG647" t="n">
        <v>0.0</v>
      </c>
      <c r="AH647" t="n">
        <v>0.0</v>
      </c>
      <c r="AI647" t="n">
        <v>0.0</v>
      </c>
      <c r="AJ647" t="n">
        <v>0.0</v>
      </c>
      <c r="AK647" t="n">
        <v>0.0</v>
      </c>
      <c r="AL647" t="n">
        <v>0.0</v>
      </c>
      <c r="AM647" t="n">
        <v>0.0</v>
      </c>
      <c r="AN647" t="n">
        <v>0.0</v>
      </c>
      <c r="AO647" t="n">
        <v>904554.0</v>
      </c>
      <c r="AP647" t="n">
        <v>90455.0</v>
      </c>
      <c r="AQ647" t="n">
        <v>75069.9</v>
      </c>
      <c r="CH647">
        <f>IFERROR(U647*1,0)</f>
      </c>
    </row>
    <row r="648">
      <c r="A648" t="n">
        <v>10.0</v>
      </c>
      <c r="B648">
        <f>IF((K648-G648-H648&gt;2400000),10,(L648/(K648-G648-H648)*100))</f>
      </c>
      <c r="C648">
        <f>IF(N648&gt;2400000,240000,(N648*S648)/100)</f>
      </c>
      <c r="D648">
        <f>IF(S648=0,0,IF((N648-I648)&gt;2400000,((((((N648-I648-J648)-240000))*0.1+(I648+J648)*0.1)))-7000,((((((N648-I648-J648)-(N648-I648-J648)*S648/100)))*0.1+(I648+J648)*0.1)-7000)))</f>
      </c>
      <c r="E648">
        <f>C648-O648</f>
      </c>
      <c r="F648">
        <f>D648-P648</f>
      </c>
      <c r="G648">
        <f>SUMIF(negtgel!U$2:BL$2,'Tsalin uzuulelt'!B$1,negtgel!U648:BL648) + SUMIF(negtgel!U$2:BL$2,'Tsalin uzuulelt'!B$2,negtgel!U648:BL648)+SUMIF(negtgel!U$2:BL$2,'Tsalin uzuulelt'!B$3,negtgel!U648:BL648)+SUMIF(negtgel!U$2:BL$2,'Tsalin uzuulelt'!B$4,negtgel!U648:BL648)+SUMIF(negtgel!U$2:BL$2,'Tsalin uzuulelt'!B$5,negtgel!U648:BL648)</f>
      </c>
      <c r="H648">
        <f>SUMIF(negtgel!U$2:BL$2,'Tsalin uzuulelt'!F$1,negtgel!U648:BL648) + SUMIF(negtgel!U$2:BL$2,'Tsalin uzuulelt'!F$2,negtgel!U648:BL648)+SUMIF(negtgel!U$2:BL$2,'Tsalin uzuulelt'!F$3,negtgel!U648:BL648)+SUMIF(negtgel!U$2:BL$2,'Tsalin uzuulelt'!F$4,negtgel!U648:BL648)+SUMIF(negtgel!U$2:BL$2,'Tsalin uzuulelt'!F$5,negtgel!U648:BL648)</f>
      </c>
      <c r="I648">
        <f>SUMIF(negtgel!U$2:BL$2,'Tsalin uzuulelt'!H$1,negtgel!U648:BL648) + SUMIF(negtgel!U$2:BL$2,'Tsalin uzuulelt'!H$2,negtgel!U648:BL648)+SUMIF(negtgel!U$2:BL$2,'Tsalin uzuulelt'!H$3,negtgel!U648:BL648)+SUMIF(negtgel!U$2:BL$2,'Tsalin uzuulelt'!H$4,negtgel!U648:BL648)+SUMIF(negtgel!U$2:BL$2,'Tsalin uzuulelt'!H$5,negtgel!U648:BL648)</f>
      </c>
      <c r="J648">
        <f>SUMIF(negtgel!U$2:BL$2,'Tsalin uzuulelt'!J$1,negtgel!U648:BL648) + SUMIF(negtgel!U$2:BL$2,'Tsalin uzuulelt'!J$2,negtgel!U648:BL648)+SUMIF(negtgel!U$2:BL$2,'Tsalin uzuulelt'!J$3,negtgel!U648:BL648)+SUMIF(negtgel!U$2:BL$2,'Tsalin uzuulelt'!J$4,negtgel!U648:BL648)+SUMIF(negtgel!U$2:BL$2,'Tsalin uzuulelt'!J$5,negtgel!U648:BL648)</f>
      </c>
      <c r="K648">
        <f>SUMIF(negtgel!U$2:BL$2,'Tsalin uzuulelt'!L$1,negtgel!U648:BL648) + SUMIF(negtgel!U$2:BL$2,'Tsalin uzuulelt'!L$2,negtgel!U648:BL648)+SUMIF(negtgel!U$2:BL$2,'Tsalin uzuulelt'!L$3,negtgel!U648:BL648)+SUMIF(negtgel!U$2:BL$2,'Tsalin uzuulelt'!L$4,negtgel!U648:BL648)+SUMIF(negtgel!U$2:BL$2,'Tsalin uzuulelt'!L$5,negtgel!U648:BL648)</f>
      </c>
      <c r="L648">
        <f>SUMIF(negtgel!U$2:BL$2,'Tsalin uzuulelt'!N$1,negtgel!U648:BL648) + SUMIF(negtgel!U$2:BL$2,'Tsalin uzuulelt'!N$2,negtgel!U648:BL648)+SUMIF(negtgel!U$2:BL$2,'Tsalin uzuulelt'!N$3,negtgel!U648:BL648)+SUMIF(negtgel!U$2:BL$2,'Tsalin uzuulelt'!N$4,negtgel!U648:BL648)+SUMIF(negtgel!U$2:BL$2,'Tsalin uzuulelt'!N$5,negtgel!U648:BL648)</f>
      </c>
      <c r="M648">
        <f>SUMIF(negtgel!U$2:BL$2,'Tsalin uzuulelt'!P$1,negtgel!U648:BL648) + SUMIF(negtgel!U$2:BL$2,'Tsalin uzuulelt'!P$2,negtgel!U648:BL648)+ SUMIF(negtgel!U$2:BL$2,'Tsalin uzuulelt'!P$3,negtgel!U648:BL648)+ SUMIF(negtgel!U$2:BL$2,'Tsalin uzuulelt'!P$4,negtgel!U648:BL648)+ SUMIF(negtgel!U$2:BL$2,'Tsalin uzuulelt'!P$5,negtgel!U648:BL648)</f>
      </c>
      <c r="N648">
        <f>IF(ISNUMBER(U648*1)=CF648,0,K648-H648-G648)</f>
      </c>
      <c r="O648">
        <f>IF(ISNUMBER(U648*1)=CF648,0,L648)</f>
      </c>
      <c r="P648">
        <f>IF(ISNUMBER(U648*1)=CF648,0,M648)</f>
      </c>
      <c r="Q648">
        <f>IF(N648&gt;2400000,N648,0)</f>
      </c>
      <c r="R648">
        <f>IF(L648/Q648*100&lt;3,2,10)</f>
      </c>
      <c r="S648">
        <f>IF(CH648=0,0,IF(B648&gt;9,10,IF(B648&gt;8,B648,IF(B648&gt;7.7,7.8,IF(B648&gt;3,B648,IF(B648&gt;1.5,2))))))</f>
      </c>
      <c r="T648">
        <f>IF(Q648=0,S648,R648)</f>
      </c>
      <c r="U648" t="n">
        <v>66.0</v>
      </c>
      <c r="V648" t="s">
        <v>3816</v>
      </c>
      <c r="W648" t="s">
        <v>3790</v>
      </c>
      <c r="X648" t="n">
        <v>547759.0</v>
      </c>
      <c r="Y648" t="n">
        <v>547759.0</v>
      </c>
      <c r="Z648" t="n">
        <v>0.0</v>
      </c>
      <c r="AA648" t="n">
        <v>0.0</v>
      </c>
      <c r="AB648" t="n">
        <v>0.0</v>
      </c>
      <c r="AC648" t="n">
        <v>0.0</v>
      </c>
      <c r="AD648" t="n">
        <v>219104.0</v>
      </c>
      <c r="AE648" t="n">
        <v>0.0</v>
      </c>
      <c r="AF648" t="n">
        <v>66000.0</v>
      </c>
      <c r="AG648" t="n">
        <v>0.0</v>
      </c>
      <c r="AH648" t="n">
        <v>0.0</v>
      </c>
      <c r="AI648" t="n">
        <v>0.0</v>
      </c>
      <c r="AJ648" t="n">
        <v>0.0</v>
      </c>
      <c r="AK648" t="n">
        <v>0.0</v>
      </c>
      <c r="AL648" t="n">
        <v>0.0</v>
      </c>
      <c r="AM648" t="n">
        <v>0.0</v>
      </c>
      <c r="AN648" t="n">
        <v>0.0</v>
      </c>
      <c r="AO648" t="n">
        <v>832863.0</v>
      </c>
      <c r="AP648" t="n">
        <v>83286.0</v>
      </c>
      <c r="AQ648" t="n">
        <v>68617.7</v>
      </c>
      <c r="CH648">
        <f>IFERROR(U648*1,0)</f>
      </c>
    </row>
    <row r="649">
      <c r="A649" t="n">
        <v>10.0</v>
      </c>
      <c r="B649">
        <f>IF((K649-G649-H649&gt;2400000),10,(L649/(K649-G649-H649)*100))</f>
      </c>
      <c r="C649">
        <f>IF(N649&gt;2400000,240000,(N649*S649)/100)</f>
      </c>
      <c r="D649">
        <f>IF(S649=0,0,IF((N649-I649)&gt;2400000,((((((N649-I649-J649)-240000))*0.1+(I649+J649)*0.1)))-7000,((((((N649-I649-J649)-(N649-I649-J649)*S649/100)))*0.1+(I649+J649)*0.1)-7000)))</f>
      </c>
      <c r="E649">
        <f>C649-O649</f>
      </c>
      <c r="F649">
        <f>D649-P649</f>
      </c>
      <c r="G649">
        <f>SUMIF(negtgel!U$2:BL$2,'Tsalin uzuulelt'!B$1,negtgel!U649:BL649) + SUMIF(negtgel!U$2:BL$2,'Tsalin uzuulelt'!B$2,negtgel!U649:BL649)+SUMIF(negtgel!U$2:BL$2,'Tsalin uzuulelt'!B$3,negtgel!U649:BL649)+SUMIF(negtgel!U$2:BL$2,'Tsalin uzuulelt'!B$4,negtgel!U649:BL649)+SUMIF(negtgel!U$2:BL$2,'Tsalin uzuulelt'!B$5,negtgel!U649:BL649)</f>
      </c>
      <c r="H649">
        <f>SUMIF(negtgel!U$2:BL$2,'Tsalin uzuulelt'!F$1,negtgel!U649:BL649) + SUMIF(negtgel!U$2:BL$2,'Tsalin uzuulelt'!F$2,negtgel!U649:BL649)+SUMIF(negtgel!U$2:BL$2,'Tsalin uzuulelt'!F$3,negtgel!U649:BL649)+SUMIF(negtgel!U$2:BL$2,'Tsalin uzuulelt'!F$4,negtgel!U649:BL649)+SUMIF(negtgel!U$2:BL$2,'Tsalin uzuulelt'!F$5,negtgel!U649:BL649)</f>
      </c>
      <c r="I649">
        <f>SUMIF(negtgel!U$2:BL$2,'Tsalin uzuulelt'!H$1,negtgel!U649:BL649) + SUMIF(negtgel!U$2:BL$2,'Tsalin uzuulelt'!H$2,negtgel!U649:BL649)+SUMIF(negtgel!U$2:BL$2,'Tsalin uzuulelt'!H$3,negtgel!U649:BL649)+SUMIF(negtgel!U$2:BL$2,'Tsalin uzuulelt'!H$4,negtgel!U649:BL649)+SUMIF(negtgel!U$2:BL$2,'Tsalin uzuulelt'!H$5,negtgel!U649:BL649)</f>
      </c>
      <c r="J649">
        <f>SUMIF(negtgel!U$2:BL$2,'Tsalin uzuulelt'!J$1,negtgel!U649:BL649) + SUMIF(negtgel!U$2:BL$2,'Tsalin uzuulelt'!J$2,negtgel!U649:BL649)+SUMIF(negtgel!U$2:BL$2,'Tsalin uzuulelt'!J$3,negtgel!U649:BL649)+SUMIF(negtgel!U$2:BL$2,'Tsalin uzuulelt'!J$4,negtgel!U649:BL649)+SUMIF(negtgel!U$2:BL$2,'Tsalin uzuulelt'!J$5,negtgel!U649:BL649)</f>
      </c>
      <c r="K649">
        <f>SUMIF(negtgel!U$2:BL$2,'Tsalin uzuulelt'!L$1,negtgel!U649:BL649) + SUMIF(negtgel!U$2:BL$2,'Tsalin uzuulelt'!L$2,negtgel!U649:BL649)+SUMIF(negtgel!U$2:BL$2,'Tsalin uzuulelt'!L$3,negtgel!U649:BL649)+SUMIF(negtgel!U$2:BL$2,'Tsalin uzuulelt'!L$4,negtgel!U649:BL649)+SUMIF(negtgel!U$2:BL$2,'Tsalin uzuulelt'!L$5,negtgel!U649:BL649)</f>
      </c>
      <c r="L649">
        <f>SUMIF(negtgel!U$2:BL$2,'Tsalin uzuulelt'!N$1,negtgel!U649:BL649) + SUMIF(negtgel!U$2:BL$2,'Tsalin uzuulelt'!N$2,negtgel!U649:BL649)+SUMIF(negtgel!U$2:BL$2,'Tsalin uzuulelt'!N$3,negtgel!U649:BL649)+SUMIF(negtgel!U$2:BL$2,'Tsalin uzuulelt'!N$4,negtgel!U649:BL649)+SUMIF(negtgel!U$2:BL$2,'Tsalin uzuulelt'!N$5,negtgel!U649:BL649)</f>
      </c>
      <c r="M649">
        <f>SUMIF(negtgel!U$2:BL$2,'Tsalin uzuulelt'!P$1,negtgel!U649:BL649) + SUMIF(negtgel!U$2:BL$2,'Tsalin uzuulelt'!P$2,negtgel!U649:BL649)+ SUMIF(negtgel!U$2:BL$2,'Tsalin uzuulelt'!P$3,negtgel!U649:BL649)+ SUMIF(negtgel!U$2:BL$2,'Tsalin uzuulelt'!P$4,negtgel!U649:BL649)+ SUMIF(negtgel!U$2:BL$2,'Tsalin uzuulelt'!P$5,negtgel!U649:BL649)</f>
      </c>
      <c r="N649">
        <f>IF(ISNUMBER(U649*1)=CF649,0,K649-H649-G649)</f>
      </c>
      <c r="O649">
        <f>IF(ISNUMBER(U649*1)=CF649,0,L649)</f>
      </c>
      <c r="P649">
        <f>IF(ISNUMBER(U649*1)=CF649,0,M649)</f>
      </c>
      <c r="Q649">
        <f>IF(N649&gt;2400000,N649,0)</f>
      </c>
      <c r="R649">
        <f>IF(L649/Q649*100&lt;3,2,10)</f>
      </c>
      <c r="S649">
        <f>IF(CH649=0,0,IF(B649&gt;9,10,IF(B649&gt;8,B649,IF(B649&gt;7.7,7.8,IF(B649&gt;3,B649,IF(B649&gt;1.5,2))))))</f>
      </c>
      <c r="T649">
        <f>IF(Q649=0,S649,R649)</f>
      </c>
      <c r="U649" t="n">
        <v>67.0</v>
      </c>
      <c r="V649" t="s">
        <v>3817</v>
      </c>
      <c r="W649" t="s">
        <v>3790</v>
      </c>
      <c r="X649" t="n">
        <v>677436.0</v>
      </c>
      <c r="Y649" t="n">
        <v>677436.0</v>
      </c>
      <c r="Z649" t="n">
        <v>135487.0</v>
      </c>
      <c r="AA649" t="n">
        <v>135487.0</v>
      </c>
      <c r="AB649" t="n">
        <v>0.0</v>
      </c>
      <c r="AC649" t="n">
        <v>0.0</v>
      </c>
      <c r="AD649" t="n">
        <v>0.0</v>
      </c>
      <c r="AE649" t="n">
        <v>0.0</v>
      </c>
      <c r="AF649" t="n">
        <v>66000.0</v>
      </c>
      <c r="AG649" t="n">
        <v>0.0</v>
      </c>
      <c r="AH649" t="n">
        <v>0.0</v>
      </c>
      <c r="AI649" t="n">
        <v>0.0</v>
      </c>
      <c r="AJ649" t="n">
        <v>0.0</v>
      </c>
      <c r="AK649" t="n">
        <v>0.0</v>
      </c>
      <c r="AL649" t="n">
        <v>0.0</v>
      </c>
      <c r="AM649" t="n">
        <v>0.0</v>
      </c>
      <c r="AN649" t="n">
        <v>0.0</v>
      </c>
      <c r="AO649" t="n">
        <v>1014410.0</v>
      </c>
      <c r="AP649" t="n">
        <v>101441.0</v>
      </c>
      <c r="AQ649" t="n">
        <v>84956.9</v>
      </c>
      <c r="CH649">
        <f>IFERROR(U649*1,0)</f>
      </c>
    </row>
    <row r="650">
      <c r="A650" t="n">
        <v>10.0</v>
      </c>
      <c r="B650">
        <f>IF((K650-G650-H650&gt;2400000),10,(L650/(K650-G650-H650)*100))</f>
      </c>
      <c r="C650">
        <f>IF(N650&gt;2400000,240000,(N650*S650)/100)</f>
      </c>
      <c r="D650">
        <f>IF(S650=0,0,IF((N650-I650)&gt;2400000,((((((N650-I650-J650)-240000))*0.1+(I650+J650)*0.1)))-7000,((((((N650-I650-J650)-(N650-I650-J650)*S650/100)))*0.1+(I650+J650)*0.1)-7000)))</f>
      </c>
      <c r="E650">
        <f>C650-O650</f>
      </c>
      <c r="F650">
        <f>D650-P650</f>
      </c>
      <c r="G650">
        <f>SUMIF(negtgel!U$2:BL$2,'Tsalin uzuulelt'!B$1,negtgel!U650:BL650) + SUMIF(negtgel!U$2:BL$2,'Tsalin uzuulelt'!B$2,negtgel!U650:BL650)+SUMIF(negtgel!U$2:BL$2,'Tsalin uzuulelt'!B$3,negtgel!U650:BL650)+SUMIF(negtgel!U$2:BL$2,'Tsalin uzuulelt'!B$4,negtgel!U650:BL650)+SUMIF(negtgel!U$2:BL$2,'Tsalin uzuulelt'!B$5,negtgel!U650:BL650)</f>
      </c>
      <c r="H650">
        <f>SUMIF(negtgel!U$2:BL$2,'Tsalin uzuulelt'!F$1,negtgel!U650:BL650) + SUMIF(negtgel!U$2:BL$2,'Tsalin uzuulelt'!F$2,negtgel!U650:BL650)+SUMIF(negtgel!U$2:BL$2,'Tsalin uzuulelt'!F$3,negtgel!U650:BL650)+SUMIF(negtgel!U$2:BL$2,'Tsalin uzuulelt'!F$4,negtgel!U650:BL650)+SUMIF(negtgel!U$2:BL$2,'Tsalin uzuulelt'!F$5,negtgel!U650:BL650)</f>
      </c>
      <c r="I650">
        <f>SUMIF(negtgel!U$2:BL$2,'Tsalin uzuulelt'!H$1,negtgel!U650:BL650) + SUMIF(negtgel!U$2:BL$2,'Tsalin uzuulelt'!H$2,negtgel!U650:BL650)+SUMIF(negtgel!U$2:BL$2,'Tsalin uzuulelt'!H$3,negtgel!U650:BL650)+SUMIF(negtgel!U$2:BL$2,'Tsalin uzuulelt'!H$4,negtgel!U650:BL650)+SUMIF(negtgel!U$2:BL$2,'Tsalin uzuulelt'!H$5,negtgel!U650:BL650)</f>
      </c>
      <c r="J650">
        <f>SUMIF(negtgel!U$2:BL$2,'Tsalin uzuulelt'!J$1,negtgel!U650:BL650) + SUMIF(negtgel!U$2:BL$2,'Tsalin uzuulelt'!J$2,negtgel!U650:BL650)+SUMIF(negtgel!U$2:BL$2,'Tsalin uzuulelt'!J$3,negtgel!U650:BL650)+SUMIF(negtgel!U$2:BL$2,'Tsalin uzuulelt'!J$4,negtgel!U650:BL650)+SUMIF(negtgel!U$2:BL$2,'Tsalin uzuulelt'!J$5,negtgel!U650:BL650)</f>
      </c>
      <c r="K650">
        <f>SUMIF(negtgel!U$2:BL$2,'Tsalin uzuulelt'!L$1,negtgel!U650:BL650) + SUMIF(negtgel!U$2:BL$2,'Tsalin uzuulelt'!L$2,negtgel!U650:BL650)+SUMIF(negtgel!U$2:BL$2,'Tsalin uzuulelt'!L$3,negtgel!U650:BL650)+SUMIF(negtgel!U$2:BL$2,'Tsalin uzuulelt'!L$4,negtgel!U650:BL650)+SUMIF(negtgel!U$2:BL$2,'Tsalin uzuulelt'!L$5,negtgel!U650:BL650)</f>
      </c>
      <c r="L650">
        <f>SUMIF(negtgel!U$2:BL$2,'Tsalin uzuulelt'!N$1,negtgel!U650:BL650) + SUMIF(negtgel!U$2:BL$2,'Tsalin uzuulelt'!N$2,negtgel!U650:BL650)+SUMIF(negtgel!U$2:BL$2,'Tsalin uzuulelt'!N$3,negtgel!U650:BL650)+SUMIF(negtgel!U$2:BL$2,'Tsalin uzuulelt'!N$4,negtgel!U650:BL650)+SUMIF(negtgel!U$2:BL$2,'Tsalin uzuulelt'!N$5,negtgel!U650:BL650)</f>
      </c>
      <c r="M650">
        <f>SUMIF(negtgel!U$2:BL$2,'Tsalin uzuulelt'!P$1,negtgel!U650:BL650) + SUMIF(negtgel!U$2:BL$2,'Tsalin uzuulelt'!P$2,negtgel!U650:BL650)+ SUMIF(negtgel!U$2:BL$2,'Tsalin uzuulelt'!P$3,negtgel!U650:BL650)+ SUMIF(negtgel!U$2:BL$2,'Tsalin uzuulelt'!P$4,negtgel!U650:BL650)+ SUMIF(negtgel!U$2:BL$2,'Tsalin uzuulelt'!P$5,negtgel!U650:BL650)</f>
      </c>
      <c r="N650">
        <f>IF(ISNUMBER(U650*1)=CF650,0,K650-H650-G650)</f>
      </c>
      <c r="O650">
        <f>IF(ISNUMBER(U650*1)=CF650,0,L650)</f>
      </c>
      <c r="P650">
        <f>IF(ISNUMBER(U650*1)=CF650,0,M650)</f>
      </c>
      <c r="Q650">
        <f>IF(N650&gt;2400000,N650,0)</f>
      </c>
      <c r="R650">
        <f>IF(L650/Q650*100&lt;3,2,10)</f>
      </c>
      <c r="S650">
        <f>IF(CH650=0,0,IF(B650&gt;9,10,IF(B650&gt;8,B650,IF(B650&gt;7.7,7.8,IF(B650&gt;3,B650,IF(B650&gt;1.5,2))))))</f>
      </c>
      <c r="T650">
        <f>IF(Q650=0,S650,R650)</f>
      </c>
      <c r="U650" t="n">
        <v>68.0</v>
      </c>
      <c r="V650" t="s">
        <v>3818</v>
      </c>
      <c r="W650" t="s">
        <v>3785</v>
      </c>
      <c r="X650" t="n">
        <v>795935.0</v>
      </c>
      <c r="Y650" t="n">
        <v>795935.0</v>
      </c>
      <c r="Z650" t="n">
        <v>159187.0</v>
      </c>
      <c r="AA650" t="n">
        <v>143268.0</v>
      </c>
      <c r="AB650" t="n">
        <v>0.0</v>
      </c>
      <c r="AC650" t="n">
        <v>0.0</v>
      </c>
      <c r="AD650" t="n">
        <v>0.0</v>
      </c>
      <c r="AE650" t="n">
        <v>0.0</v>
      </c>
      <c r="AF650" t="n">
        <v>66000.0</v>
      </c>
      <c r="AG650" t="n">
        <v>0.0</v>
      </c>
      <c r="AH650" t="n">
        <v>0.0</v>
      </c>
      <c r="AI650" t="n">
        <v>0.0</v>
      </c>
      <c r="AJ650" t="n">
        <v>0.0</v>
      </c>
      <c r="AK650" t="n">
        <v>0.0</v>
      </c>
      <c r="AL650" t="n">
        <v>0.0</v>
      </c>
      <c r="AM650" t="n">
        <v>0.0</v>
      </c>
      <c r="AN650" t="n">
        <v>0.0</v>
      </c>
      <c r="AO650" t="n">
        <v>1164390.0</v>
      </c>
      <c r="AP650" t="n">
        <v>116439.0</v>
      </c>
      <c r="AQ650" t="n">
        <v>98455.1</v>
      </c>
      <c r="CH650">
        <f>IFERROR(U650*1,0)</f>
      </c>
    </row>
    <row r="651">
      <c r="A651" t="n">
        <v>10.0</v>
      </c>
      <c r="B651">
        <f>IF((K651-G651-H651&gt;2400000),10,(L651/(K651-G651-H651)*100))</f>
      </c>
      <c r="C651">
        <f>IF(N651&gt;2400000,240000,(N651*S651)/100)</f>
      </c>
      <c r="D651">
        <f>IF(S651=0,0,IF((N651-I651)&gt;2400000,((((((N651-I651-J651)-240000))*0.1+(I651+J651)*0.1)))-7000,((((((N651-I651-J651)-(N651-I651-J651)*S651/100)))*0.1+(I651+J651)*0.1)-7000)))</f>
      </c>
      <c r="E651">
        <f>C651-O651</f>
      </c>
      <c r="F651">
        <f>D651-P651</f>
      </c>
      <c r="G651">
        <f>SUMIF(negtgel!U$2:BL$2,'Tsalin uzuulelt'!B$1,negtgel!U651:BL651) + SUMIF(negtgel!U$2:BL$2,'Tsalin uzuulelt'!B$2,negtgel!U651:BL651)+SUMIF(negtgel!U$2:BL$2,'Tsalin uzuulelt'!B$3,negtgel!U651:BL651)+SUMIF(negtgel!U$2:BL$2,'Tsalin uzuulelt'!B$4,negtgel!U651:BL651)+SUMIF(negtgel!U$2:BL$2,'Tsalin uzuulelt'!B$5,negtgel!U651:BL651)</f>
      </c>
      <c r="H651">
        <f>SUMIF(negtgel!U$2:BL$2,'Tsalin uzuulelt'!F$1,negtgel!U651:BL651) + SUMIF(negtgel!U$2:BL$2,'Tsalin uzuulelt'!F$2,negtgel!U651:BL651)+SUMIF(negtgel!U$2:BL$2,'Tsalin uzuulelt'!F$3,negtgel!U651:BL651)+SUMIF(negtgel!U$2:BL$2,'Tsalin uzuulelt'!F$4,negtgel!U651:BL651)+SUMIF(negtgel!U$2:BL$2,'Tsalin uzuulelt'!F$5,negtgel!U651:BL651)</f>
      </c>
      <c r="I651">
        <f>SUMIF(negtgel!U$2:BL$2,'Tsalin uzuulelt'!H$1,negtgel!U651:BL651) + SUMIF(negtgel!U$2:BL$2,'Tsalin uzuulelt'!H$2,negtgel!U651:BL651)+SUMIF(negtgel!U$2:BL$2,'Tsalin uzuulelt'!H$3,negtgel!U651:BL651)+SUMIF(negtgel!U$2:BL$2,'Tsalin uzuulelt'!H$4,negtgel!U651:BL651)+SUMIF(negtgel!U$2:BL$2,'Tsalin uzuulelt'!H$5,negtgel!U651:BL651)</f>
      </c>
      <c r="J651">
        <f>SUMIF(negtgel!U$2:BL$2,'Tsalin uzuulelt'!J$1,negtgel!U651:BL651) + SUMIF(negtgel!U$2:BL$2,'Tsalin uzuulelt'!J$2,negtgel!U651:BL651)+SUMIF(negtgel!U$2:BL$2,'Tsalin uzuulelt'!J$3,negtgel!U651:BL651)+SUMIF(negtgel!U$2:BL$2,'Tsalin uzuulelt'!J$4,negtgel!U651:BL651)+SUMIF(negtgel!U$2:BL$2,'Tsalin uzuulelt'!J$5,negtgel!U651:BL651)</f>
      </c>
      <c r="K651">
        <f>SUMIF(negtgel!U$2:BL$2,'Tsalin uzuulelt'!L$1,negtgel!U651:BL651) + SUMIF(negtgel!U$2:BL$2,'Tsalin uzuulelt'!L$2,negtgel!U651:BL651)+SUMIF(negtgel!U$2:BL$2,'Tsalin uzuulelt'!L$3,negtgel!U651:BL651)+SUMIF(negtgel!U$2:BL$2,'Tsalin uzuulelt'!L$4,negtgel!U651:BL651)+SUMIF(negtgel!U$2:BL$2,'Tsalin uzuulelt'!L$5,negtgel!U651:BL651)</f>
      </c>
      <c r="L651">
        <f>SUMIF(negtgel!U$2:BL$2,'Tsalin uzuulelt'!N$1,negtgel!U651:BL651) + SUMIF(negtgel!U$2:BL$2,'Tsalin uzuulelt'!N$2,negtgel!U651:BL651)+SUMIF(negtgel!U$2:BL$2,'Tsalin uzuulelt'!N$3,negtgel!U651:BL651)+SUMIF(negtgel!U$2:BL$2,'Tsalin uzuulelt'!N$4,negtgel!U651:BL651)+SUMIF(negtgel!U$2:BL$2,'Tsalin uzuulelt'!N$5,negtgel!U651:BL651)</f>
      </c>
      <c r="M651">
        <f>SUMIF(negtgel!U$2:BL$2,'Tsalin uzuulelt'!P$1,negtgel!U651:BL651) + SUMIF(negtgel!U$2:BL$2,'Tsalin uzuulelt'!P$2,negtgel!U651:BL651)+ SUMIF(negtgel!U$2:BL$2,'Tsalin uzuulelt'!P$3,negtgel!U651:BL651)+ SUMIF(negtgel!U$2:BL$2,'Tsalin uzuulelt'!P$4,negtgel!U651:BL651)+ SUMIF(negtgel!U$2:BL$2,'Tsalin uzuulelt'!P$5,negtgel!U651:BL651)</f>
      </c>
      <c r="N651">
        <f>IF(ISNUMBER(U651*1)=CF651,0,K651-H651-G651)</f>
      </c>
      <c r="O651">
        <f>IF(ISNUMBER(U651*1)=CF651,0,L651)</f>
      </c>
      <c r="P651">
        <f>IF(ISNUMBER(U651*1)=CF651,0,M651)</f>
      </c>
      <c r="Q651">
        <f>IF(N651&gt;2400000,N651,0)</f>
      </c>
      <c r="R651">
        <f>IF(L651/Q651*100&lt;3,2,10)</f>
      </c>
      <c r="S651">
        <f>IF(CH651=0,0,IF(B651&gt;9,10,IF(B651&gt;8,B651,IF(B651&gt;7.7,7.8,IF(B651&gt;3,B651,IF(B651&gt;1.5,2))))))</f>
      </c>
      <c r="T651">
        <f>IF(Q651=0,S651,R651)</f>
      </c>
      <c r="U651" t="n">
        <v>69.0</v>
      </c>
      <c r="V651" t="s">
        <v>3819</v>
      </c>
      <c r="W651" t="s">
        <v>3820</v>
      </c>
      <c r="X651" t="n">
        <v>698795.0</v>
      </c>
      <c r="Y651" t="n">
        <v>698795.0</v>
      </c>
      <c r="Z651" t="n">
        <v>104819.0</v>
      </c>
      <c r="AA651" t="n">
        <v>125783.0</v>
      </c>
      <c r="AB651" t="n">
        <v>0.0</v>
      </c>
      <c r="AC651" t="n">
        <v>0.0</v>
      </c>
      <c r="AD651" t="n">
        <v>0.0</v>
      </c>
      <c r="AE651" t="n">
        <v>0.0</v>
      </c>
      <c r="AF651" t="n">
        <v>66000.0</v>
      </c>
      <c r="AG651" t="n">
        <v>0.0</v>
      </c>
      <c r="AH651" t="n">
        <v>0.0</v>
      </c>
      <c r="AI651" t="n">
        <v>0.0</v>
      </c>
      <c r="AJ651" t="n">
        <v>0.0</v>
      </c>
      <c r="AK651" t="n">
        <v>0.0</v>
      </c>
      <c r="AL651" t="n">
        <v>0.0</v>
      </c>
      <c r="AM651" t="n">
        <v>0.0</v>
      </c>
      <c r="AN651" t="n">
        <v>0.0</v>
      </c>
      <c r="AO651" t="n">
        <v>995397.0</v>
      </c>
      <c r="AP651" t="n">
        <v>99540.0</v>
      </c>
      <c r="AQ651" t="n">
        <v>83245.7</v>
      </c>
      <c r="CH651">
        <f>IFERROR(U651*1,0)</f>
      </c>
    </row>
    <row r="652">
      <c r="A652" t="n">
        <v>10.0</v>
      </c>
      <c r="B652">
        <f>IF((K652-G652-H652&gt;2400000),10,(L652/(K652-G652-H652)*100))</f>
      </c>
      <c r="C652">
        <f>IF(N652&gt;2400000,240000,(N652*S652)/100)</f>
      </c>
      <c r="D652">
        <f>IF(S652=0,0,IF((N652-I652)&gt;2400000,((((((N652-I652-J652)-240000))*0.1+(I652+J652)*0.1)))-7000,((((((N652-I652-J652)-(N652-I652-J652)*S652/100)))*0.1+(I652+J652)*0.1)-7000)))</f>
      </c>
      <c r="E652">
        <f>C652-O652</f>
      </c>
      <c r="F652">
        <f>D652-P652</f>
      </c>
      <c r="G652">
        <f>SUMIF(negtgel!U$2:BL$2,'Tsalin uzuulelt'!B$1,negtgel!U652:BL652) + SUMIF(negtgel!U$2:BL$2,'Tsalin uzuulelt'!B$2,negtgel!U652:BL652)+SUMIF(negtgel!U$2:BL$2,'Tsalin uzuulelt'!B$3,negtgel!U652:BL652)+SUMIF(negtgel!U$2:BL$2,'Tsalin uzuulelt'!B$4,negtgel!U652:BL652)+SUMIF(negtgel!U$2:BL$2,'Tsalin uzuulelt'!B$5,negtgel!U652:BL652)</f>
      </c>
      <c r="H652">
        <f>SUMIF(negtgel!U$2:BL$2,'Tsalin uzuulelt'!F$1,negtgel!U652:BL652) + SUMIF(negtgel!U$2:BL$2,'Tsalin uzuulelt'!F$2,negtgel!U652:BL652)+SUMIF(negtgel!U$2:BL$2,'Tsalin uzuulelt'!F$3,negtgel!U652:BL652)+SUMIF(negtgel!U$2:BL$2,'Tsalin uzuulelt'!F$4,negtgel!U652:BL652)+SUMIF(negtgel!U$2:BL$2,'Tsalin uzuulelt'!F$5,negtgel!U652:BL652)</f>
      </c>
      <c r="I652">
        <f>SUMIF(negtgel!U$2:BL$2,'Tsalin uzuulelt'!H$1,negtgel!U652:BL652) + SUMIF(negtgel!U$2:BL$2,'Tsalin uzuulelt'!H$2,negtgel!U652:BL652)+SUMIF(negtgel!U$2:BL$2,'Tsalin uzuulelt'!H$3,negtgel!U652:BL652)+SUMIF(negtgel!U$2:BL$2,'Tsalin uzuulelt'!H$4,negtgel!U652:BL652)+SUMIF(negtgel!U$2:BL$2,'Tsalin uzuulelt'!H$5,negtgel!U652:BL652)</f>
      </c>
      <c r="J652">
        <f>SUMIF(negtgel!U$2:BL$2,'Tsalin uzuulelt'!J$1,negtgel!U652:BL652) + SUMIF(negtgel!U$2:BL$2,'Tsalin uzuulelt'!J$2,negtgel!U652:BL652)+SUMIF(negtgel!U$2:BL$2,'Tsalin uzuulelt'!J$3,negtgel!U652:BL652)+SUMIF(negtgel!U$2:BL$2,'Tsalin uzuulelt'!J$4,negtgel!U652:BL652)+SUMIF(negtgel!U$2:BL$2,'Tsalin uzuulelt'!J$5,negtgel!U652:BL652)</f>
      </c>
      <c r="K652">
        <f>SUMIF(negtgel!U$2:BL$2,'Tsalin uzuulelt'!L$1,negtgel!U652:BL652) + SUMIF(negtgel!U$2:BL$2,'Tsalin uzuulelt'!L$2,negtgel!U652:BL652)+SUMIF(negtgel!U$2:BL$2,'Tsalin uzuulelt'!L$3,negtgel!U652:BL652)+SUMIF(negtgel!U$2:BL$2,'Tsalin uzuulelt'!L$4,negtgel!U652:BL652)+SUMIF(negtgel!U$2:BL$2,'Tsalin uzuulelt'!L$5,negtgel!U652:BL652)</f>
      </c>
      <c r="L652">
        <f>SUMIF(negtgel!U$2:BL$2,'Tsalin uzuulelt'!N$1,negtgel!U652:BL652) + SUMIF(negtgel!U$2:BL$2,'Tsalin uzuulelt'!N$2,negtgel!U652:BL652)+SUMIF(negtgel!U$2:BL$2,'Tsalin uzuulelt'!N$3,negtgel!U652:BL652)+SUMIF(negtgel!U$2:BL$2,'Tsalin uzuulelt'!N$4,negtgel!U652:BL652)+SUMIF(negtgel!U$2:BL$2,'Tsalin uzuulelt'!N$5,negtgel!U652:BL652)</f>
      </c>
      <c r="M652">
        <f>SUMIF(negtgel!U$2:BL$2,'Tsalin uzuulelt'!P$1,negtgel!U652:BL652) + SUMIF(negtgel!U$2:BL$2,'Tsalin uzuulelt'!P$2,negtgel!U652:BL652)+ SUMIF(negtgel!U$2:BL$2,'Tsalin uzuulelt'!P$3,negtgel!U652:BL652)+ SUMIF(negtgel!U$2:BL$2,'Tsalin uzuulelt'!P$4,negtgel!U652:BL652)+ SUMIF(negtgel!U$2:BL$2,'Tsalin uzuulelt'!P$5,negtgel!U652:BL652)</f>
      </c>
      <c r="N652">
        <f>IF(ISNUMBER(U652*1)=CF652,0,K652-H652-G652)</f>
      </c>
      <c r="O652">
        <f>IF(ISNUMBER(U652*1)=CF652,0,L652)</f>
      </c>
      <c r="P652">
        <f>IF(ISNUMBER(U652*1)=CF652,0,M652)</f>
      </c>
      <c r="Q652">
        <f>IF(N652&gt;2400000,N652,0)</f>
      </c>
      <c r="R652">
        <f>IF(L652/Q652*100&lt;3,2,10)</f>
      </c>
      <c r="S652">
        <f>IF(CH652=0,0,IF(B652&gt;9,10,IF(B652&gt;8,B652,IF(B652&gt;7.7,7.8,IF(B652&gt;3,B652,IF(B652&gt;1.5,2))))))</f>
      </c>
      <c r="T652">
        <f>IF(Q652=0,S652,R652)</f>
      </c>
      <c r="U652" t="n">
        <v>70.0</v>
      </c>
      <c r="V652" t="s">
        <v>3821</v>
      </c>
      <c r="W652" t="s">
        <v>3790</v>
      </c>
      <c r="X652" t="n">
        <v>547759.0</v>
      </c>
      <c r="Y652" t="n">
        <v>547759.0</v>
      </c>
      <c r="Z652" t="n">
        <v>0.0</v>
      </c>
      <c r="AA652" t="n">
        <v>0.0</v>
      </c>
      <c r="AB652" t="n">
        <v>0.0</v>
      </c>
      <c r="AC652" t="n">
        <v>0.0</v>
      </c>
      <c r="AD652" t="n">
        <v>0.0</v>
      </c>
      <c r="AE652" t="n">
        <v>0.0</v>
      </c>
      <c r="AF652" t="n">
        <v>66000.0</v>
      </c>
      <c r="AG652" t="n">
        <v>0.0</v>
      </c>
      <c r="AH652" t="n">
        <v>0.0</v>
      </c>
      <c r="AI652" t="n">
        <v>0.0</v>
      </c>
      <c r="AJ652" t="n">
        <v>0.0</v>
      </c>
      <c r="AK652" t="n">
        <v>0.0</v>
      </c>
      <c r="AL652" t="n">
        <v>0.0</v>
      </c>
      <c r="AM652" t="n">
        <v>0.0</v>
      </c>
      <c r="AN652" t="n">
        <v>0.0</v>
      </c>
      <c r="AO652" t="n">
        <v>613759.0</v>
      </c>
      <c r="AP652" t="n">
        <v>61376.0</v>
      </c>
      <c r="AQ652" t="n">
        <v>48898.3</v>
      </c>
      <c r="CH652">
        <f>IFERROR(U652*1,0)</f>
      </c>
    </row>
    <row r="653">
      <c r="A653" t="n">
        <v>10.0</v>
      </c>
      <c r="B653">
        <f>IF((K653-G653-H653&gt;2400000),10,(L653/(K653-G653-H653)*100))</f>
      </c>
      <c r="C653">
        <f>IF(N653&gt;2400000,240000,(N653*S653)/100)</f>
      </c>
      <c r="D653">
        <f>IF(S653=0,0,IF((N653-I653)&gt;2400000,((((((N653-I653-J653)-240000))*0.1+(I653+J653)*0.1)))-7000,((((((N653-I653-J653)-(N653-I653-J653)*S653/100)))*0.1+(I653+J653)*0.1)-7000)))</f>
      </c>
      <c r="E653">
        <f>C653-O653</f>
      </c>
      <c r="F653">
        <f>D653-P653</f>
      </c>
      <c r="G653">
        <f>SUMIF(negtgel!U$2:BL$2,'Tsalin uzuulelt'!B$1,negtgel!U653:BL653) + SUMIF(negtgel!U$2:BL$2,'Tsalin uzuulelt'!B$2,negtgel!U653:BL653)+SUMIF(negtgel!U$2:BL$2,'Tsalin uzuulelt'!B$3,negtgel!U653:BL653)+SUMIF(negtgel!U$2:BL$2,'Tsalin uzuulelt'!B$4,negtgel!U653:BL653)+SUMIF(negtgel!U$2:BL$2,'Tsalin uzuulelt'!B$5,negtgel!U653:BL653)</f>
      </c>
      <c r="H653">
        <f>SUMIF(negtgel!U$2:BL$2,'Tsalin uzuulelt'!F$1,negtgel!U653:BL653) + SUMIF(negtgel!U$2:BL$2,'Tsalin uzuulelt'!F$2,negtgel!U653:BL653)+SUMIF(negtgel!U$2:BL$2,'Tsalin uzuulelt'!F$3,negtgel!U653:BL653)+SUMIF(negtgel!U$2:BL$2,'Tsalin uzuulelt'!F$4,negtgel!U653:BL653)+SUMIF(negtgel!U$2:BL$2,'Tsalin uzuulelt'!F$5,negtgel!U653:BL653)</f>
      </c>
      <c r="I653">
        <f>SUMIF(negtgel!U$2:BL$2,'Tsalin uzuulelt'!H$1,negtgel!U653:BL653) + SUMIF(negtgel!U$2:BL$2,'Tsalin uzuulelt'!H$2,negtgel!U653:BL653)+SUMIF(negtgel!U$2:BL$2,'Tsalin uzuulelt'!H$3,negtgel!U653:BL653)+SUMIF(negtgel!U$2:BL$2,'Tsalin uzuulelt'!H$4,negtgel!U653:BL653)+SUMIF(negtgel!U$2:BL$2,'Tsalin uzuulelt'!H$5,negtgel!U653:BL653)</f>
      </c>
      <c r="J653">
        <f>SUMIF(negtgel!U$2:BL$2,'Tsalin uzuulelt'!J$1,negtgel!U653:BL653) + SUMIF(negtgel!U$2:BL$2,'Tsalin uzuulelt'!J$2,negtgel!U653:BL653)+SUMIF(negtgel!U$2:BL$2,'Tsalin uzuulelt'!J$3,negtgel!U653:BL653)+SUMIF(negtgel!U$2:BL$2,'Tsalin uzuulelt'!J$4,negtgel!U653:BL653)+SUMIF(negtgel!U$2:BL$2,'Tsalin uzuulelt'!J$5,negtgel!U653:BL653)</f>
      </c>
      <c r="K653">
        <f>SUMIF(negtgel!U$2:BL$2,'Tsalin uzuulelt'!L$1,negtgel!U653:BL653) + SUMIF(negtgel!U$2:BL$2,'Tsalin uzuulelt'!L$2,negtgel!U653:BL653)+SUMIF(negtgel!U$2:BL$2,'Tsalin uzuulelt'!L$3,negtgel!U653:BL653)+SUMIF(negtgel!U$2:BL$2,'Tsalin uzuulelt'!L$4,negtgel!U653:BL653)+SUMIF(negtgel!U$2:BL$2,'Tsalin uzuulelt'!L$5,negtgel!U653:BL653)</f>
      </c>
      <c r="L653">
        <f>SUMIF(negtgel!U$2:BL$2,'Tsalin uzuulelt'!N$1,negtgel!U653:BL653) + SUMIF(negtgel!U$2:BL$2,'Tsalin uzuulelt'!N$2,negtgel!U653:BL653)+SUMIF(negtgel!U$2:BL$2,'Tsalin uzuulelt'!N$3,negtgel!U653:BL653)+SUMIF(negtgel!U$2:BL$2,'Tsalin uzuulelt'!N$4,negtgel!U653:BL653)+SUMIF(negtgel!U$2:BL$2,'Tsalin uzuulelt'!N$5,negtgel!U653:BL653)</f>
      </c>
      <c r="M653">
        <f>SUMIF(negtgel!U$2:BL$2,'Tsalin uzuulelt'!P$1,negtgel!U653:BL653) + SUMIF(negtgel!U$2:BL$2,'Tsalin uzuulelt'!P$2,negtgel!U653:BL653)+ SUMIF(negtgel!U$2:BL$2,'Tsalin uzuulelt'!P$3,negtgel!U653:BL653)+ SUMIF(negtgel!U$2:BL$2,'Tsalin uzuulelt'!P$4,negtgel!U653:BL653)+ SUMIF(negtgel!U$2:BL$2,'Tsalin uzuulelt'!P$5,negtgel!U653:BL653)</f>
      </c>
      <c r="N653">
        <f>IF(ISNUMBER(U653*1)=CF653,0,K653-H653-G653)</f>
      </c>
      <c r="O653">
        <f>IF(ISNUMBER(U653*1)=CF653,0,L653)</f>
      </c>
      <c r="P653">
        <f>IF(ISNUMBER(U653*1)=CF653,0,M653)</f>
      </c>
      <c r="Q653">
        <f>IF(N653&gt;2400000,N653,0)</f>
      </c>
      <c r="R653">
        <f>IF(L653/Q653*100&lt;3,2,10)</f>
      </c>
      <c r="S653">
        <f>IF(CH653=0,0,IF(B653&gt;9,10,IF(B653&gt;8,B653,IF(B653&gt;7.7,7.8,IF(B653&gt;3,B653,IF(B653&gt;1.5,2))))))</f>
      </c>
      <c r="T653">
        <f>IF(Q653=0,S653,R653)</f>
      </c>
      <c r="U653" t="n">
        <v>71.0</v>
      </c>
      <c r="V653" t="s">
        <v>3824</v>
      </c>
      <c r="W653" t="s">
        <v>3790</v>
      </c>
      <c r="X653" t="n">
        <v>677436.0</v>
      </c>
      <c r="Y653" t="n">
        <v>677436.0</v>
      </c>
      <c r="Z653" t="n">
        <v>135487.0</v>
      </c>
      <c r="AA653" t="n">
        <v>135487.0</v>
      </c>
      <c r="AB653" t="n">
        <v>0.0</v>
      </c>
      <c r="AC653" t="n">
        <v>101615.0</v>
      </c>
      <c r="AD653" t="n">
        <v>0.0</v>
      </c>
      <c r="AE653" t="n">
        <v>0.0</v>
      </c>
      <c r="AF653" t="n">
        <v>66000.0</v>
      </c>
      <c r="AG653" t="n">
        <v>0.0</v>
      </c>
      <c r="AH653" t="n">
        <v>0.0</v>
      </c>
      <c r="AI653" t="n">
        <v>0.0</v>
      </c>
      <c r="AJ653" t="n">
        <v>0.0</v>
      </c>
      <c r="AK653" t="n">
        <v>0.0</v>
      </c>
      <c r="AL653" t="n">
        <v>0.0</v>
      </c>
      <c r="AM653" t="n">
        <v>0.0</v>
      </c>
      <c r="AN653" t="n">
        <v>0.0</v>
      </c>
      <c r="AO653" t="n">
        <v>1116025.0</v>
      </c>
      <c r="AP653" t="n">
        <v>111602.0</v>
      </c>
      <c r="AQ653" t="n">
        <v>94102.2</v>
      </c>
      <c r="CH653">
        <f>IFERROR(U653*1,0)</f>
      </c>
    </row>
    <row r="654">
      <c r="A654" t="n">
        <v>10.0</v>
      </c>
      <c r="B654">
        <f>IF((K654-G654-H654&gt;2400000),10,(L654/(K654-G654-H654)*100))</f>
      </c>
      <c r="C654">
        <f>IF(N654&gt;2400000,240000,(N654*S654)/100)</f>
      </c>
      <c r="D654">
        <f>IF(S654=0,0,IF((N654-I654)&gt;2400000,((((((N654-I654-J654)-240000))*0.1+(I654+J654)*0.1)))-7000,((((((N654-I654-J654)-(N654-I654-J654)*S654/100)))*0.1+(I654+J654)*0.1)-7000)))</f>
      </c>
      <c r="E654">
        <f>C654-O654</f>
      </c>
      <c r="F654">
        <f>D654-P654</f>
      </c>
      <c r="G654">
        <f>SUMIF(negtgel!U$2:BL$2,'Tsalin uzuulelt'!B$1,negtgel!U654:BL654) + SUMIF(negtgel!U$2:BL$2,'Tsalin uzuulelt'!B$2,negtgel!U654:BL654)+SUMIF(negtgel!U$2:BL$2,'Tsalin uzuulelt'!B$3,negtgel!U654:BL654)+SUMIF(negtgel!U$2:BL$2,'Tsalin uzuulelt'!B$4,negtgel!U654:BL654)+SUMIF(negtgel!U$2:BL$2,'Tsalin uzuulelt'!B$5,negtgel!U654:BL654)</f>
      </c>
      <c r="H654">
        <f>SUMIF(negtgel!U$2:BL$2,'Tsalin uzuulelt'!F$1,negtgel!U654:BL654) + SUMIF(negtgel!U$2:BL$2,'Tsalin uzuulelt'!F$2,negtgel!U654:BL654)+SUMIF(negtgel!U$2:BL$2,'Tsalin uzuulelt'!F$3,negtgel!U654:BL654)+SUMIF(negtgel!U$2:BL$2,'Tsalin uzuulelt'!F$4,negtgel!U654:BL654)+SUMIF(negtgel!U$2:BL$2,'Tsalin uzuulelt'!F$5,negtgel!U654:BL654)</f>
      </c>
      <c r="I654">
        <f>SUMIF(negtgel!U$2:BL$2,'Tsalin uzuulelt'!H$1,negtgel!U654:BL654) + SUMIF(negtgel!U$2:BL$2,'Tsalin uzuulelt'!H$2,negtgel!U654:BL654)+SUMIF(negtgel!U$2:BL$2,'Tsalin uzuulelt'!H$3,negtgel!U654:BL654)+SUMIF(negtgel!U$2:BL$2,'Tsalin uzuulelt'!H$4,negtgel!U654:BL654)+SUMIF(negtgel!U$2:BL$2,'Tsalin uzuulelt'!H$5,negtgel!U654:BL654)</f>
      </c>
      <c r="J654">
        <f>SUMIF(negtgel!U$2:BL$2,'Tsalin uzuulelt'!J$1,negtgel!U654:BL654) + SUMIF(negtgel!U$2:BL$2,'Tsalin uzuulelt'!J$2,negtgel!U654:BL654)+SUMIF(negtgel!U$2:BL$2,'Tsalin uzuulelt'!J$3,negtgel!U654:BL654)+SUMIF(negtgel!U$2:BL$2,'Tsalin uzuulelt'!J$4,negtgel!U654:BL654)+SUMIF(negtgel!U$2:BL$2,'Tsalin uzuulelt'!J$5,negtgel!U654:BL654)</f>
      </c>
      <c r="K654">
        <f>SUMIF(negtgel!U$2:BL$2,'Tsalin uzuulelt'!L$1,negtgel!U654:BL654) + SUMIF(negtgel!U$2:BL$2,'Tsalin uzuulelt'!L$2,negtgel!U654:BL654)+SUMIF(negtgel!U$2:BL$2,'Tsalin uzuulelt'!L$3,negtgel!U654:BL654)+SUMIF(negtgel!U$2:BL$2,'Tsalin uzuulelt'!L$4,negtgel!U654:BL654)+SUMIF(negtgel!U$2:BL$2,'Tsalin uzuulelt'!L$5,negtgel!U654:BL654)</f>
      </c>
      <c r="L654">
        <f>SUMIF(negtgel!U$2:BL$2,'Tsalin uzuulelt'!N$1,negtgel!U654:BL654) + SUMIF(negtgel!U$2:BL$2,'Tsalin uzuulelt'!N$2,negtgel!U654:BL654)+SUMIF(negtgel!U$2:BL$2,'Tsalin uzuulelt'!N$3,negtgel!U654:BL654)+SUMIF(negtgel!U$2:BL$2,'Tsalin uzuulelt'!N$4,negtgel!U654:BL654)+SUMIF(negtgel!U$2:BL$2,'Tsalin uzuulelt'!N$5,negtgel!U654:BL654)</f>
      </c>
      <c r="M654">
        <f>SUMIF(negtgel!U$2:BL$2,'Tsalin uzuulelt'!P$1,negtgel!U654:BL654) + SUMIF(negtgel!U$2:BL$2,'Tsalin uzuulelt'!P$2,negtgel!U654:BL654)+ SUMIF(negtgel!U$2:BL$2,'Tsalin uzuulelt'!P$3,negtgel!U654:BL654)+ SUMIF(negtgel!U$2:BL$2,'Tsalin uzuulelt'!P$4,negtgel!U654:BL654)+ SUMIF(negtgel!U$2:BL$2,'Tsalin uzuulelt'!P$5,negtgel!U654:BL654)</f>
      </c>
      <c r="N654">
        <f>IF(ISNUMBER(U654*1)=CF654,0,K654-H654-G654)</f>
      </c>
      <c r="O654">
        <f>IF(ISNUMBER(U654*1)=CF654,0,L654)</f>
      </c>
      <c r="P654">
        <f>IF(ISNUMBER(U654*1)=CF654,0,M654)</f>
      </c>
      <c r="Q654">
        <f>IF(N654&gt;2400000,N654,0)</f>
      </c>
      <c r="R654">
        <f>IF(L654/Q654*100&lt;3,2,10)</f>
      </c>
      <c r="S654">
        <f>IF(CH654=0,0,IF(B654&gt;9,10,IF(B654&gt;8,B654,IF(B654&gt;7.7,7.8,IF(B654&gt;3,B654,IF(B654&gt;1.5,2))))))</f>
      </c>
      <c r="T654">
        <f>IF(Q654=0,S654,R654)</f>
      </c>
      <c r="U654" t="n">
        <v>72.0</v>
      </c>
      <c r="V654" t="s">
        <v>3878</v>
      </c>
      <c r="W654" t="s">
        <v>3790</v>
      </c>
      <c r="X654" t="n">
        <v>645556.0</v>
      </c>
      <c r="Y654" t="n">
        <v>645556.0</v>
      </c>
      <c r="Z654" t="n">
        <v>129111.0</v>
      </c>
      <c r="AA654" t="n">
        <v>129111.0</v>
      </c>
      <c r="AB654" t="n">
        <v>0.0</v>
      </c>
      <c r="AC654" t="n">
        <v>96833.0</v>
      </c>
      <c r="AD654" t="n">
        <v>0.0</v>
      </c>
      <c r="AE654" t="n">
        <v>0.0</v>
      </c>
      <c r="AF654" t="n">
        <v>66000.0</v>
      </c>
      <c r="AG654" t="n">
        <v>0.0</v>
      </c>
      <c r="AH654" t="n">
        <v>0.0</v>
      </c>
      <c r="AI654" t="n">
        <v>0.0</v>
      </c>
      <c r="AJ654" t="n">
        <v>0.0</v>
      </c>
      <c r="AK654" t="n">
        <v>0.0</v>
      </c>
      <c r="AL654" t="n">
        <v>98183.0</v>
      </c>
      <c r="AM654" t="n">
        <v>0.0</v>
      </c>
      <c r="AN654" t="n">
        <v>0.0</v>
      </c>
      <c r="AO654" t="n">
        <v>1164794.0</v>
      </c>
      <c r="AP654" t="n">
        <v>106661.0</v>
      </c>
      <c r="AQ654" t="n">
        <v>89655.0</v>
      </c>
      <c r="CH654">
        <f>IFERROR(U654*1,0)</f>
      </c>
    </row>
    <row r="655">
      <c r="A655" t="n">
        <v>10.0</v>
      </c>
      <c r="B655">
        <f>IF((K655-G655-H655&gt;2400000),10,(L655/(K655-G655-H655)*100))</f>
      </c>
      <c r="C655">
        <f>IF(N655&gt;2400000,240000,(N655*S655)/100)</f>
      </c>
      <c r="D655">
        <f>IF(S655=0,0,IF((N655-I655)&gt;2400000,((((((N655-I655-J655)-240000))*0.1+(I655+J655)*0.1)))-7000,((((((N655-I655-J655)-(N655-I655-J655)*S655/100)))*0.1+(I655+J655)*0.1)-7000)))</f>
      </c>
      <c r="E655">
        <f>C655-O655</f>
      </c>
      <c r="F655">
        <f>D655-P655</f>
      </c>
      <c r="G655">
        <f>SUMIF(negtgel!U$2:BL$2,'Tsalin uzuulelt'!B$1,negtgel!U655:BL655) + SUMIF(negtgel!U$2:BL$2,'Tsalin uzuulelt'!B$2,negtgel!U655:BL655)+SUMIF(negtgel!U$2:BL$2,'Tsalin uzuulelt'!B$3,negtgel!U655:BL655)+SUMIF(negtgel!U$2:BL$2,'Tsalin uzuulelt'!B$4,negtgel!U655:BL655)+SUMIF(negtgel!U$2:BL$2,'Tsalin uzuulelt'!B$5,negtgel!U655:BL655)</f>
      </c>
      <c r="H655">
        <f>SUMIF(negtgel!U$2:BL$2,'Tsalin uzuulelt'!F$1,negtgel!U655:BL655) + SUMIF(negtgel!U$2:BL$2,'Tsalin uzuulelt'!F$2,negtgel!U655:BL655)+SUMIF(negtgel!U$2:BL$2,'Tsalin uzuulelt'!F$3,negtgel!U655:BL655)+SUMIF(negtgel!U$2:BL$2,'Tsalin uzuulelt'!F$4,negtgel!U655:BL655)+SUMIF(negtgel!U$2:BL$2,'Tsalin uzuulelt'!F$5,negtgel!U655:BL655)</f>
      </c>
      <c r="I655">
        <f>SUMIF(negtgel!U$2:BL$2,'Tsalin uzuulelt'!H$1,negtgel!U655:BL655) + SUMIF(negtgel!U$2:BL$2,'Tsalin uzuulelt'!H$2,negtgel!U655:BL655)+SUMIF(negtgel!U$2:BL$2,'Tsalin uzuulelt'!H$3,negtgel!U655:BL655)+SUMIF(negtgel!U$2:BL$2,'Tsalin uzuulelt'!H$4,negtgel!U655:BL655)+SUMIF(negtgel!U$2:BL$2,'Tsalin uzuulelt'!H$5,negtgel!U655:BL655)</f>
      </c>
      <c r="J655">
        <f>SUMIF(negtgel!U$2:BL$2,'Tsalin uzuulelt'!J$1,negtgel!U655:BL655) + SUMIF(negtgel!U$2:BL$2,'Tsalin uzuulelt'!J$2,negtgel!U655:BL655)+SUMIF(negtgel!U$2:BL$2,'Tsalin uzuulelt'!J$3,negtgel!U655:BL655)+SUMIF(negtgel!U$2:BL$2,'Tsalin uzuulelt'!J$4,negtgel!U655:BL655)+SUMIF(negtgel!U$2:BL$2,'Tsalin uzuulelt'!J$5,negtgel!U655:BL655)</f>
      </c>
      <c r="K655">
        <f>SUMIF(negtgel!U$2:BL$2,'Tsalin uzuulelt'!L$1,negtgel!U655:BL655) + SUMIF(negtgel!U$2:BL$2,'Tsalin uzuulelt'!L$2,negtgel!U655:BL655)+SUMIF(negtgel!U$2:BL$2,'Tsalin uzuulelt'!L$3,negtgel!U655:BL655)+SUMIF(negtgel!U$2:BL$2,'Tsalin uzuulelt'!L$4,negtgel!U655:BL655)+SUMIF(negtgel!U$2:BL$2,'Tsalin uzuulelt'!L$5,negtgel!U655:BL655)</f>
      </c>
      <c r="L655">
        <f>SUMIF(negtgel!U$2:BL$2,'Tsalin uzuulelt'!N$1,negtgel!U655:BL655) + SUMIF(negtgel!U$2:BL$2,'Tsalin uzuulelt'!N$2,negtgel!U655:BL655)+SUMIF(negtgel!U$2:BL$2,'Tsalin uzuulelt'!N$3,negtgel!U655:BL655)+SUMIF(negtgel!U$2:BL$2,'Tsalin uzuulelt'!N$4,negtgel!U655:BL655)+SUMIF(negtgel!U$2:BL$2,'Tsalin uzuulelt'!N$5,negtgel!U655:BL655)</f>
      </c>
      <c r="M655">
        <f>SUMIF(negtgel!U$2:BL$2,'Tsalin uzuulelt'!P$1,negtgel!U655:BL655) + SUMIF(negtgel!U$2:BL$2,'Tsalin uzuulelt'!P$2,negtgel!U655:BL655)+ SUMIF(negtgel!U$2:BL$2,'Tsalin uzuulelt'!P$3,negtgel!U655:BL655)+ SUMIF(negtgel!U$2:BL$2,'Tsalin uzuulelt'!P$4,negtgel!U655:BL655)+ SUMIF(negtgel!U$2:BL$2,'Tsalin uzuulelt'!P$5,negtgel!U655:BL655)</f>
      </c>
      <c r="N655">
        <f>IF(ISNUMBER(U655*1)=CF655,0,K655-H655-G655)</f>
      </c>
      <c r="O655">
        <f>IF(ISNUMBER(U655*1)=CF655,0,L655)</f>
      </c>
      <c r="P655">
        <f>IF(ISNUMBER(U655*1)=CF655,0,M655)</f>
      </c>
      <c r="Q655">
        <f>IF(N655&gt;2400000,N655,0)</f>
      </c>
      <c r="R655">
        <f>IF(L655/Q655*100&lt;3,2,10)</f>
      </c>
      <c r="S655">
        <f>IF(CH655=0,0,IF(B655&gt;9,10,IF(B655&gt;8,B655,IF(B655&gt;7.7,7.8,IF(B655&gt;3,B655,IF(B655&gt;1.5,2))))))</f>
      </c>
      <c r="T655">
        <f>IF(Q655=0,S655,R655)</f>
      </c>
      <c r="U655" t="s">
        <v>3787</v>
      </c>
      <c r="V655"/>
      <c r="W655"/>
      <c r="X655" t="n">
        <v>4590676.0</v>
      </c>
      <c r="Y655" t="n">
        <v>4590676.0</v>
      </c>
      <c r="Z655" t="n">
        <v>664091.0</v>
      </c>
      <c r="AA655" t="n">
        <v>669136.0</v>
      </c>
      <c r="AB655" t="n">
        <v>0.0</v>
      </c>
      <c r="AC655" t="n">
        <v>198448.0</v>
      </c>
      <c r="AD655" t="n">
        <v>219104.0</v>
      </c>
      <c r="AE655" t="n">
        <v>0.0</v>
      </c>
      <c r="AF655" t="n">
        <v>462000.0</v>
      </c>
      <c r="AG655" t="n">
        <v>0.0</v>
      </c>
      <c r="AH655" t="n">
        <v>0.0</v>
      </c>
      <c r="AI655" t="n">
        <v>0.0</v>
      </c>
      <c r="AJ655" t="n">
        <v>0.0</v>
      </c>
      <c r="AK655" t="n">
        <v>0.0</v>
      </c>
      <c r="AL655" t="n">
        <v>98183.0</v>
      </c>
      <c r="AM655" t="n">
        <v>0.0</v>
      </c>
      <c r="AN655" t="n">
        <v>0.0</v>
      </c>
      <c r="AO655" t="n">
        <v>6901638.0</v>
      </c>
      <c r="AP655" t="n">
        <v>680345.0</v>
      </c>
      <c r="AQ655" t="n">
        <v>567930.9</v>
      </c>
      <c r="CH655">
        <f>IFERROR(U655*1,0)</f>
      </c>
    </row>
    <row r="656">
      <c r="A656" t="n">
        <v>10.0</v>
      </c>
      <c r="B656">
        <f>IF((K656-G656-H656&gt;2400000),10,(L656/(K656-G656-H656)*100))</f>
      </c>
      <c r="C656">
        <f>IF(N656&gt;2400000,240000,(N656*S656)/100)</f>
      </c>
      <c r="D656">
        <f>IF(S656=0,0,IF((N656-I656)&gt;2400000,((((((N656-I656-J656)-240000))*0.1+(I656+J656)*0.1)))-7000,((((((N656-I656-J656)-(N656-I656-J656)*S656/100)))*0.1+(I656+J656)*0.1)-7000)))</f>
      </c>
      <c r="E656">
        <f>C656-O656</f>
      </c>
      <c r="F656">
        <f>D656-P656</f>
      </c>
      <c r="G656">
        <f>SUMIF(negtgel!U$2:BL$2,'Tsalin uzuulelt'!B$1,negtgel!U656:BL656) + SUMIF(negtgel!U$2:BL$2,'Tsalin uzuulelt'!B$2,negtgel!U656:BL656)+SUMIF(negtgel!U$2:BL$2,'Tsalin uzuulelt'!B$3,negtgel!U656:BL656)+SUMIF(negtgel!U$2:BL$2,'Tsalin uzuulelt'!B$4,negtgel!U656:BL656)+SUMIF(negtgel!U$2:BL$2,'Tsalin uzuulelt'!B$5,negtgel!U656:BL656)</f>
      </c>
      <c r="H656">
        <f>SUMIF(negtgel!U$2:BL$2,'Tsalin uzuulelt'!F$1,negtgel!U656:BL656) + SUMIF(negtgel!U$2:BL$2,'Tsalin uzuulelt'!F$2,negtgel!U656:BL656)+SUMIF(negtgel!U$2:BL$2,'Tsalin uzuulelt'!F$3,negtgel!U656:BL656)+SUMIF(negtgel!U$2:BL$2,'Tsalin uzuulelt'!F$4,negtgel!U656:BL656)+SUMIF(negtgel!U$2:BL$2,'Tsalin uzuulelt'!F$5,negtgel!U656:BL656)</f>
      </c>
      <c r="I656">
        <f>SUMIF(negtgel!U$2:BL$2,'Tsalin uzuulelt'!H$1,negtgel!U656:BL656) + SUMIF(negtgel!U$2:BL$2,'Tsalin uzuulelt'!H$2,negtgel!U656:BL656)+SUMIF(negtgel!U$2:BL$2,'Tsalin uzuulelt'!H$3,negtgel!U656:BL656)+SUMIF(negtgel!U$2:BL$2,'Tsalin uzuulelt'!H$4,negtgel!U656:BL656)+SUMIF(negtgel!U$2:BL$2,'Tsalin uzuulelt'!H$5,negtgel!U656:BL656)</f>
      </c>
      <c r="J656">
        <f>SUMIF(negtgel!U$2:BL$2,'Tsalin uzuulelt'!J$1,negtgel!U656:BL656) + SUMIF(negtgel!U$2:BL$2,'Tsalin uzuulelt'!J$2,negtgel!U656:BL656)+SUMIF(negtgel!U$2:BL$2,'Tsalin uzuulelt'!J$3,negtgel!U656:BL656)+SUMIF(negtgel!U$2:BL$2,'Tsalin uzuulelt'!J$4,negtgel!U656:BL656)+SUMIF(negtgel!U$2:BL$2,'Tsalin uzuulelt'!J$5,negtgel!U656:BL656)</f>
      </c>
      <c r="K656">
        <f>SUMIF(negtgel!U$2:BL$2,'Tsalin uzuulelt'!L$1,negtgel!U656:BL656) + SUMIF(negtgel!U$2:BL$2,'Tsalin uzuulelt'!L$2,negtgel!U656:BL656)+SUMIF(negtgel!U$2:BL$2,'Tsalin uzuulelt'!L$3,negtgel!U656:BL656)+SUMIF(negtgel!U$2:BL$2,'Tsalin uzuulelt'!L$4,negtgel!U656:BL656)+SUMIF(negtgel!U$2:BL$2,'Tsalin uzuulelt'!L$5,negtgel!U656:BL656)</f>
      </c>
      <c r="L656">
        <f>SUMIF(negtgel!U$2:BL$2,'Tsalin uzuulelt'!N$1,negtgel!U656:BL656) + SUMIF(negtgel!U$2:BL$2,'Tsalin uzuulelt'!N$2,negtgel!U656:BL656)+SUMIF(negtgel!U$2:BL$2,'Tsalin uzuulelt'!N$3,negtgel!U656:BL656)+SUMIF(negtgel!U$2:BL$2,'Tsalin uzuulelt'!N$4,negtgel!U656:BL656)+SUMIF(negtgel!U$2:BL$2,'Tsalin uzuulelt'!N$5,negtgel!U656:BL656)</f>
      </c>
      <c r="M656">
        <f>SUMIF(negtgel!U$2:BL$2,'Tsalin uzuulelt'!P$1,negtgel!U656:BL656) + SUMIF(negtgel!U$2:BL$2,'Tsalin uzuulelt'!P$2,negtgel!U656:BL656)+ SUMIF(negtgel!U$2:BL$2,'Tsalin uzuulelt'!P$3,negtgel!U656:BL656)+ SUMIF(negtgel!U$2:BL$2,'Tsalin uzuulelt'!P$4,negtgel!U656:BL656)+ SUMIF(negtgel!U$2:BL$2,'Tsalin uzuulelt'!P$5,negtgel!U656:BL656)</f>
      </c>
      <c r="N656">
        <f>IF(ISNUMBER(U656*1)=CF656,0,K656-H656-G656)</f>
      </c>
      <c r="O656">
        <f>IF(ISNUMBER(U656*1)=CF656,0,L656)</f>
      </c>
      <c r="P656">
        <f>IF(ISNUMBER(U656*1)=CF656,0,M656)</f>
      </c>
      <c r="Q656">
        <f>IF(N656&gt;2400000,N656,0)</f>
      </c>
      <c r="R656">
        <f>IF(L656/Q656*100&lt;3,2,10)</f>
      </c>
      <c r="S656">
        <f>IF(CH656=0,0,IF(B656&gt;9,10,IF(B656&gt;8,B656,IF(B656&gt;7.7,7.8,IF(B656&gt;3,B656,IF(B656&gt;1.5,2))))))</f>
      </c>
      <c r="T656">
        <f>IF(Q656=0,S656,R656)</f>
      </c>
      <c r="U656" t="s">
        <v>3825</v>
      </c>
      <c r="V656"/>
      <c r="W656"/>
      <c r="X656"/>
      <c r="Y656"/>
      <c r="Z656"/>
      <c r="AA656"/>
      <c r="AB656"/>
      <c r="AC656"/>
      <c r="AD656"/>
      <c r="AE656"/>
      <c r="AF656"/>
      <c r="AG656"/>
      <c r="AH656"/>
      <c r="AI656"/>
      <c r="AJ656"/>
      <c r="AK656"/>
      <c r="AL656"/>
      <c r="AM656"/>
      <c r="AN656"/>
      <c r="AO656"/>
      <c r="AP656"/>
      <c r="AQ656"/>
      <c r="CH656">
        <f>IFERROR(U656*1,0)</f>
      </c>
    </row>
    <row r="657">
      <c r="A657" t="n">
        <v>10.0</v>
      </c>
      <c r="B657">
        <f>IF((K657-G657-H657&gt;2400000),10,(L657/(K657-G657-H657)*100))</f>
      </c>
      <c r="C657">
        <f>IF(N657&gt;2400000,240000,(N657*S657)/100)</f>
      </c>
      <c r="D657">
        <f>IF(S657=0,0,IF((N657-I657)&gt;2400000,((((((N657-I657-J657)-240000))*0.1+(I657+J657)*0.1)))-7000,((((((N657-I657-J657)-(N657-I657-J657)*S657/100)))*0.1+(I657+J657)*0.1)-7000)))</f>
      </c>
      <c r="E657">
        <f>C657-O657</f>
      </c>
      <c r="F657">
        <f>D657-P657</f>
      </c>
      <c r="G657">
        <f>SUMIF(negtgel!U$2:BL$2,'Tsalin uzuulelt'!B$1,negtgel!U657:BL657) + SUMIF(negtgel!U$2:BL$2,'Tsalin uzuulelt'!B$2,negtgel!U657:BL657)+SUMIF(negtgel!U$2:BL$2,'Tsalin uzuulelt'!B$3,negtgel!U657:BL657)+SUMIF(negtgel!U$2:BL$2,'Tsalin uzuulelt'!B$4,negtgel!U657:BL657)+SUMIF(negtgel!U$2:BL$2,'Tsalin uzuulelt'!B$5,negtgel!U657:BL657)</f>
      </c>
      <c r="H657">
        <f>SUMIF(negtgel!U$2:BL$2,'Tsalin uzuulelt'!F$1,negtgel!U657:BL657) + SUMIF(negtgel!U$2:BL$2,'Tsalin uzuulelt'!F$2,negtgel!U657:BL657)+SUMIF(negtgel!U$2:BL$2,'Tsalin uzuulelt'!F$3,negtgel!U657:BL657)+SUMIF(negtgel!U$2:BL$2,'Tsalin uzuulelt'!F$4,negtgel!U657:BL657)+SUMIF(negtgel!U$2:BL$2,'Tsalin uzuulelt'!F$5,negtgel!U657:BL657)</f>
      </c>
      <c r="I657">
        <f>SUMIF(negtgel!U$2:BL$2,'Tsalin uzuulelt'!H$1,negtgel!U657:BL657) + SUMIF(negtgel!U$2:BL$2,'Tsalin uzuulelt'!H$2,negtgel!U657:BL657)+SUMIF(negtgel!U$2:BL$2,'Tsalin uzuulelt'!H$3,negtgel!U657:BL657)+SUMIF(negtgel!U$2:BL$2,'Tsalin uzuulelt'!H$4,negtgel!U657:BL657)+SUMIF(negtgel!U$2:BL$2,'Tsalin uzuulelt'!H$5,negtgel!U657:BL657)</f>
      </c>
      <c r="J657">
        <f>SUMIF(negtgel!U$2:BL$2,'Tsalin uzuulelt'!J$1,negtgel!U657:BL657) + SUMIF(negtgel!U$2:BL$2,'Tsalin uzuulelt'!J$2,negtgel!U657:BL657)+SUMIF(negtgel!U$2:BL$2,'Tsalin uzuulelt'!J$3,negtgel!U657:BL657)+SUMIF(negtgel!U$2:BL$2,'Tsalin uzuulelt'!J$4,negtgel!U657:BL657)+SUMIF(negtgel!U$2:BL$2,'Tsalin uzuulelt'!J$5,negtgel!U657:BL657)</f>
      </c>
      <c r="K657">
        <f>SUMIF(negtgel!U$2:BL$2,'Tsalin uzuulelt'!L$1,negtgel!U657:BL657) + SUMIF(negtgel!U$2:BL$2,'Tsalin uzuulelt'!L$2,negtgel!U657:BL657)+SUMIF(negtgel!U$2:BL$2,'Tsalin uzuulelt'!L$3,negtgel!U657:BL657)+SUMIF(negtgel!U$2:BL$2,'Tsalin uzuulelt'!L$4,negtgel!U657:BL657)+SUMIF(negtgel!U$2:BL$2,'Tsalin uzuulelt'!L$5,negtgel!U657:BL657)</f>
      </c>
      <c r="L657">
        <f>SUMIF(negtgel!U$2:BL$2,'Tsalin uzuulelt'!N$1,negtgel!U657:BL657) + SUMIF(negtgel!U$2:BL$2,'Tsalin uzuulelt'!N$2,negtgel!U657:BL657)+SUMIF(negtgel!U$2:BL$2,'Tsalin uzuulelt'!N$3,negtgel!U657:BL657)+SUMIF(negtgel!U$2:BL$2,'Tsalin uzuulelt'!N$4,negtgel!U657:BL657)+SUMIF(negtgel!U$2:BL$2,'Tsalin uzuulelt'!N$5,negtgel!U657:BL657)</f>
      </c>
      <c r="M657">
        <f>SUMIF(negtgel!U$2:BL$2,'Tsalin uzuulelt'!P$1,negtgel!U657:BL657) + SUMIF(negtgel!U$2:BL$2,'Tsalin uzuulelt'!P$2,negtgel!U657:BL657)+ SUMIF(negtgel!U$2:BL$2,'Tsalin uzuulelt'!P$3,negtgel!U657:BL657)+ SUMIF(negtgel!U$2:BL$2,'Tsalin uzuulelt'!P$4,negtgel!U657:BL657)+ SUMIF(negtgel!U$2:BL$2,'Tsalin uzuulelt'!P$5,negtgel!U657:BL657)</f>
      </c>
      <c r="N657">
        <f>IF(ISNUMBER(U657*1)=CF657,0,K657-H657-G657)</f>
      </c>
      <c r="O657">
        <f>IF(ISNUMBER(U657*1)=CF657,0,L657)</f>
      </c>
      <c r="P657">
        <f>IF(ISNUMBER(U657*1)=CF657,0,M657)</f>
      </c>
      <c r="Q657">
        <f>IF(N657&gt;2400000,N657,0)</f>
      </c>
      <c r="R657">
        <f>IF(L657/Q657*100&lt;3,2,10)</f>
      </c>
      <c r="S657">
        <f>IF(CH657=0,0,IF(B657&gt;9,10,IF(B657&gt;8,B657,IF(B657&gt;7.7,7.8,IF(B657&gt;3,B657,IF(B657&gt;1.5,2))))))</f>
      </c>
      <c r="T657">
        <f>IF(Q657=0,S657,R657)</f>
      </c>
      <c r="U657" t="n">
        <v>73.0</v>
      </c>
      <c r="V657" t="s">
        <v>3827</v>
      </c>
      <c r="W657" t="s">
        <v>3790</v>
      </c>
      <c r="X657" t="n">
        <v>580710.0</v>
      </c>
      <c r="Y657" t="n">
        <v>580710.0</v>
      </c>
      <c r="Z657" t="n">
        <v>0.0</v>
      </c>
      <c r="AA657" t="n">
        <v>0.0</v>
      </c>
      <c r="AB657" t="n">
        <v>0.0</v>
      </c>
      <c r="AC657" t="n">
        <v>0.0</v>
      </c>
      <c r="AD657" t="n">
        <v>0.0</v>
      </c>
      <c r="AE657" t="n">
        <v>0.0</v>
      </c>
      <c r="AF657" t="n">
        <v>66000.0</v>
      </c>
      <c r="AG657" t="n">
        <v>0.0</v>
      </c>
      <c r="AH657" t="n">
        <v>0.0</v>
      </c>
      <c r="AI657" t="n">
        <v>0.0</v>
      </c>
      <c r="AJ657" t="n">
        <v>0.0</v>
      </c>
      <c r="AK657" t="n">
        <v>0.0</v>
      </c>
      <c r="AL657" t="n">
        <v>0.0</v>
      </c>
      <c r="AM657" t="n">
        <v>0.0</v>
      </c>
      <c r="AN657" t="n">
        <v>0.0</v>
      </c>
      <c r="AO657" t="n">
        <v>646710.0</v>
      </c>
      <c r="AP657" t="n">
        <v>64671.0</v>
      </c>
      <c r="AQ657" t="n">
        <v>51863.9</v>
      </c>
      <c r="CH657">
        <f>IFERROR(U657*1,0)</f>
      </c>
    </row>
    <row r="658">
      <c r="A658" t="n">
        <v>10.0</v>
      </c>
      <c r="B658">
        <f>IF((K658-G658-H658&gt;2400000),10,(L658/(K658-G658-H658)*100))</f>
      </c>
      <c r="C658">
        <f>IF(N658&gt;2400000,240000,(N658*S658)/100)</f>
      </c>
      <c r="D658">
        <f>IF(S658=0,0,IF((N658-I658)&gt;2400000,((((((N658-I658-J658)-240000))*0.1+(I658+J658)*0.1)))-7000,((((((N658-I658-J658)-(N658-I658-J658)*S658/100)))*0.1+(I658+J658)*0.1)-7000)))</f>
      </c>
      <c r="E658">
        <f>C658-O658</f>
      </c>
      <c r="F658">
        <f>D658-P658</f>
      </c>
      <c r="G658">
        <f>SUMIF(negtgel!U$2:BL$2,'Tsalin uzuulelt'!B$1,negtgel!U658:BL658) + SUMIF(negtgel!U$2:BL$2,'Tsalin uzuulelt'!B$2,negtgel!U658:BL658)+SUMIF(negtgel!U$2:BL$2,'Tsalin uzuulelt'!B$3,negtgel!U658:BL658)+SUMIF(negtgel!U$2:BL$2,'Tsalin uzuulelt'!B$4,negtgel!U658:BL658)+SUMIF(negtgel!U$2:BL$2,'Tsalin uzuulelt'!B$5,negtgel!U658:BL658)</f>
      </c>
      <c r="H658">
        <f>SUMIF(negtgel!U$2:BL$2,'Tsalin uzuulelt'!F$1,negtgel!U658:BL658) + SUMIF(negtgel!U$2:BL$2,'Tsalin uzuulelt'!F$2,negtgel!U658:BL658)+SUMIF(negtgel!U$2:BL$2,'Tsalin uzuulelt'!F$3,negtgel!U658:BL658)+SUMIF(negtgel!U$2:BL$2,'Tsalin uzuulelt'!F$4,negtgel!U658:BL658)+SUMIF(negtgel!U$2:BL$2,'Tsalin uzuulelt'!F$5,negtgel!U658:BL658)</f>
      </c>
      <c r="I658">
        <f>SUMIF(negtgel!U$2:BL$2,'Tsalin uzuulelt'!H$1,negtgel!U658:BL658) + SUMIF(negtgel!U$2:BL$2,'Tsalin uzuulelt'!H$2,negtgel!U658:BL658)+SUMIF(negtgel!U$2:BL$2,'Tsalin uzuulelt'!H$3,negtgel!U658:BL658)+SUMIF(negtgel!U$2:BL$2,'Tsalin uzuulelt'!H$4,negtgel!U658:BL658)+SUMIF(negtgel!U$2:BL$2,'Tsalin uzuulelt'!H$5,negtgel!U658:BL658)</f>
      </c>
      <c r="J658">
        <f>SUMIF(negtgel!U$2:BL$2,'Tsalin uzuulelt'!J$1,negtgel!U658:BL658) + SUMIF(negtgel!U$2:BL$2,'Tsalin uzuulelt'!J$2,negtgel!U658:BL658)+SUMIF(negtgel!U$2:BL$2,'Tsalin uzuulelt'!J$3,negtgel!U658:BL658)+SUMIF(negtgel!U$2:BL$2,'Tsalin uzuulelt'!J$4,negtgel!U658:BL658)+SUMIF(negtgel!U$2:BL$2,'Tsalin uzuulelt'!J$5,negtgel!U658:BL658)</f>
      </c>
      <c r="K658">
        <f>SUMIF(negtgel!U$2:BL$2,'Tsalin uzuulelt'!L$1,negtgel!U658:BL658) + SUMIF(negtgel!U$2:BL$2,'Tsalin uzuulelt'!L$2,negtgel!U658:BL658)+SUMIF(negtgel!U$2:BL$2,'Tsalin uzuulelt'!L$3,negtgel!U658:BL658)+SUMIF(negtgel!U$2:BL$2,'Tsalin uzuulelt'!L$4,negtgel!U658:BL658)+SUMIF(negtgel!U$2:BL$2,'Tsalin uzuulelt'!L$5,negtgel!U658:BL658)</f>
      </c>
      <c r="L658">
        <f>SUMIF(negtgel!U$2:BL$2,'Tsalin uzuulelt'!N$1,negtgel!U658:BL658) + SUMIF(negtgel!U$2:BL$2,'Tsalin uzuulelt'!N$2,negtgel!U658:BL658)+SUMIF(negtgel!U$2:BL$2,'Tsalin uzuulelt'!N$3,negtgel!U658:BL658)+SUMIF(negtgel!U$2:BL$2,'Tsalin uzuulelt'!N$4,negtgel!U658:BL658)+SUMIF(negtgel!U$2:BL$2,'Tsalin uzuulelt'!N$5,negtgel!U658:BL658)</f>
      </c>
      <c r="M658">
        <f>SUMIF(negtgel!U$2:BL$2,'Tsalin uzuulelt'!P$1,negtgel!U658:BL658) + SUMIF(negtgel!U$2:BL$2,'Tsalin uzuulelt'!P$2,negtgel!U658:BL658)+ SUMIF(negtgel!U$2:BL$2,'Tsalin uzuulelt'!P$3,negtgel!U658:BL658)+ SUMIF(negtgel!U$2:BL$2,'Tsalin uzuulelt'!P$4,negtgel!U658:BL658)+ SUMIF(negtgel!U$2:BL$2,'Tsalin uzuulelt'!P$5,negtgel!U658:BL658)</f>
      </c>
      <c r="N658">
        <f>IF(ISNUMBER(U658*1)=CF658,0,K658-H658-G658)</f>
      </c>
      <c r="O658">
        <f>IF(ISNUMBER(U658*1)=CF658,0,L658)</f>
      </c>
      <c r="P658">
        <f>IF(ISNUMBER(U658*1)=CF658,0,M658)</f>
      </c>
      <c r="Q658">
        <f>IF(N658&gt;2400000,N658,0)</f>
      </c>
      <c r="R658">
        <f>IF(L658/Q658*100&lt;3,2,10)</f>
      </c>
      <c r="S658">
        <f>IF(CH658=0,0,IF(B658&gt;9,10,IF(B658&gt;8,B658,IF(B658&gt;7.7,7.8,IF(B658&gt;3,B658,IF(B658&gt;1.5,2))))))</f>
      </c>
      <c r="T658">
        <f>IF(Q658=0,S658,R658)</f>
      </c>
      <c r="U658" t="n">
        <v>74.0</v>
      </c>
      <c r="V658" t="s">
        <v>3828</v>
      </c>
      <c r="W658" t="s">
        <v>3792</v>
      </c>
      <c r="X658" t="n">
        <v>500784.0</v>
      </c>
      <c r="Y658" t="n">
        <v>0.0</v>
      </c>
      <c r="Z658" t="n">
        <v>0.0</v>
      </c>
      <c r="AA658" t="n">
        <v>0.0</v>
      </c>
      <c r="AB658" t="n">
        <v>0.0</v>
      </c>
      <c r="AC658" t="n">
        <v>0.0</v>
      </c>
      <c r="AD658" t="n">
        <v>0.0</v>
      </c>
      <c r="AE658" t="n">
        <v>0.0</v>
      </c>
      <c r="AF658" t="n">
        <v>0.0</v>
      </c>
      <c r="AG658" t="n">
        <v>0.0</v>
      </c>
      <c r="AH658" t="n">
        <v>0.0</v>
      </c>
      <c r="AI658" t="n">
        <v>0.0</v>
      </c>
      <c r="AJ658" t="n">
        <v>0.0</v>
      </c>
      <c r="AK658" t="n">
        <v>0.0</v>
      </c>
      <c r="AL658" t="n">
        <v>0.0</v>
      </c>
      <c r="AM658" t="n">
        <v>0.0</v>
      </c>
      <c r="AN658" t="n">
        <v>0.0</v>
      </c>
      <c r="AO658" t="n">
        <v>0.0</v>
      </c>
      <c r="AP658" t="n">
        <v>0.0</v>
      </c>
      <c r="AQ658" t="n">
        <v>0.0</v>
      </c>
      <c r="CH658">
        <f>IFERROR(U658*1,0)</f>
      </c>
    </row>
    <row r="659">
      <c r="A659" t="n">
        <v>10.0</v>
      </c>
      <c r="B659">
        <f>IF((K659-G659-H659&gt;2400000),10,(L659/(K659-G659-H659)*100))</f>
      </c>
      <c r="C659">
        <f>IF(N659&gt;2400000,240000,(N659*S659)/100)</f>
      </c>
      <c r="D659">
        <f>IF(S659=0,0,IF((N659-I659)&gt;2400000,((((((N659-I659-J659)-240000))*0.1+(I659+J659)*0.1)))-7000,((((((N659-I659-J659)-(N659-I659-J659)*S659/100)))*0.1+(I659+J659)*0.1)-7000)))</f>
      </c>
      <c r="E659">
        <f>C659-O659</f>
      </c>
      <c r="F659">
        <f>D659-P659</f>
      </c>
      <c r="G659">
        <f>SUMIF(negtgel!U$2:BL$2,'Tsalin uzuulelt'!B$1,negtgel!U659:BL659) + SUMIF(negtgel!U$2:BL$2,'Tsalin uzuulelt'!B$2,negtgel!U659:BL659)+SUMIF(negtgel!U$2:BL$2,'Tsalin uzuulelt'!B$3,negtgel!U659:BL659)+SUMIF(negtgel!U$2:BL$2,'Tsalin uzuulelt'!B$4,negtgel!U659:BL659)+SUMIF(negtgel!U$2:BL$2,'Tsalin uzuulelt'!B$5,negtgel!U659:BL659)</f>
      </c>
      <c r="H659">
        <f>SUMIF(negtgel!U$2:BL$2,'Tsalin uzuulelt'!F$1,negtgel!U659:BL659) + SUMIF(negtgel!U$2:BL$2,'Tsalin uzuulelt'!F$2,negtgel!U659:BL659)+SUMIF(negtgel!U$2:BL$2,'Tsalin uzuulelt'!F$3,negtgel!U659:BL659)+SUMIF(negtgel!U$2:BL$2,'Tsalin uzuulelt'!F$4,negtgel!U659:BL659)+SUMIF(negtgel!U$2:BL$2,'Tsalin uzuulelt'!F$5,negtgel!U659:BL659)</f>
      </c>
      <c r="I659">
        <f>SUMIF(negtgel!U$2:BL$2,'Tsalin uzuulelt'!H$1,negtgel!U659:BL659) + SUMIF(negtgel!U$2:BL$2,'Tsalin uzuulelt'!H$2,negtgel!U659:BL659)+SUMIF(negtgel!U$2:BL$2,'Tsalin uzuulelt'!H$3,negtgel!U659:BL659)+SUMIF(negtgel!U$2:BL$2,'Tsalin uzuulelt'!H$4,negtgel!U659:BL659)+SUMIF(negtgel!U$2:BL$2,'Tsalin uzuulelt'!H$5,negtgel!U659:BL659)</f>
      </c>
      <c r="J659">
        <f>SUMIF(negtgel!U$2:BL$2,'Tsalin uzuulelt'!J$1,negtgel!U659:BL659) + SUMIF(negtgel!U$2:BL$2,'Tsalin uzuulelt'!J$2,negtgel!U659:BL659)+SUMIF(negtgel!U$2:BL$2,'Tsalin uzuulelt'!J$3,negtgel!U659:BL659)+SUMIF(negtgel!U$2:BL$2,'Tsalin uzuulelt'!J$4,negtgel!U659:BL659)+SUMIF(negtgel!U$2:BL$2,'Tsalin uzuulelt'!J$5,negtgel!U659:BL659)</f>
      </c>
      <c r="K659">
        <f>SUMIF(negtgel!U$2:BL$2,'Tsalin uzuulelt'!L$1,negtgel!U659:BL659) + SUMIF(negtgel!U$2:BL$2,'Tsalin uzuulelt'!L$2,negtgel!U659:BL659)+SUMIF(negtgel!U$2:BL$2,'Tsalin uzuulelt'!L$3,negtgel!U659:BL659)+SUMIF(negtgel!U$2:BL$2,'Tsalin uzuulelt'!L$4,negtgel!U659:BL659)+SUMIF(negtgel!U$2:BL$2,'Tsalin uzuulelt'!L$5,negtgel!U659:BL659)</f>
      </c>
      <c r="L659">
        <f>SUMIF(negtgel!U$2:BL$2,'Tsalin uzuulelt'!N$1,negtgel!U659:BL659) + SUMIF(negtgel!U$2:BL$2,'Tsalin uzuulelt'!N$2,negtgel!U659:BL659)+SUMIF(negtgel!U$2:BL$2,'Tsalin uzuulelt'!N$3,negtgel!U659:BL659)+SUMIF(negtgel!U$2:BL$2,'Tsalin uzuulelt'!N$4,negtgel!U659:BL659)+SUMIF(negtgel!U$2:BL$2,'Tsalin uzuulelt'!N$5,negtgel!U659:BL659)</f>
      </c>
      <c r="M659">
        <f>SUMIF(negtgel!U$2:BL$2,'Tsalin uzuulelt'!P$1,negtgel!U659:BL659) + SUMIF(negtgel!U$2:BL$2,'Tsalin uzuulelt'!P$2,negtgel!U659:BL659)+ SUMIF(negtgel!U$2:BL$2,'Tsalin uzuulelt'!P$3,negtgel!U659:BL659)+ SUMIF(negtgel!U$2:BL$2,'Tsalin uzuulelt'!P$4,negtgel!U659:BL659)+ SUMIF(negtgel!U$2:BL$2,'Tsalin uzuulelt'!P$5,negtgel!U659:BL659)</f>
      </c>
      <c r="N659">
        <f>IF(ISNUMBER(U659*1)=CF659,0,K659-H659-G659)</f>
      </c>
      <c r="O659">
        <f>IF(ISNUMBER(U659*1)=CF659,0,L659)</f>
      </c>
      <c r="P659">
        <f>IF(ISNUMBER(U659*1)=CF659,0,M659)</f>
      </c>
      <c r="Q659">
        <f>IF(N659&gt;2400000,N659,0)</f>
      </c>
      <c r="R659">
        <f>IF(L659/Q659*100&lt;3,2,10)</f>
      </c>
      <c r="S659">
        <f>IF(CH659=0,0,IF(B659&gt;9,10,IF(B659&gt;8,B659,IF(B659&gt;7.7,7.8,IF(B659&gt;3,B659,IF(B659&gt;1.5,2))))))</f>
      </c>
      <c r="T659">
        <f>IF(Q659=0,S659,R659)</f>
      </c>
      <c r="U659" t="n">
        <v>75.0</v>
      </c>
      <c r="V659" t="s">
        <v>3829</v>
      </c>
      <c r="W659" t="s">
        <v>3792</v>
      </c>
      <c r="X659" t="n">
        <v>496912.0</v>
      </c>
      <c r="Y659" t="n">
        <v>496912.0</v>
      </c>
      <c r="Z659" t="n">
        <v>0.0</v>
      </c>
      <c r="AA659" t="n">
        <v>0.0</v>
      </c>
      <c r="AB659" t="n">
        <v>49691.0</v>
      </c>
      <c r="AC659" t="n">
        <v>0.0</v>
      </c>
      <c r="AD659" t="n">
        <v>0.0</v>
      </c>
      <c r="AE659" t="n">
        <v>0.0</v>
      </c>
      <c r="AF659" t="n">
        <v>66000.0</v>
      </c>
      <c r="AG659" t="n">
        <v>0.0</v>
      </c>
      <c r="AH659" t="n">
        <v>0.0</v>
      </c>
      <c r="AI659" t="n">
        <v>0.0</v>
      </c>
      <c r="AJ659" t="n">
        <v>0.0</v>
      </c>
      <c r="AK659" t="n">
        <v>0.0</v>
      </c>
      <c r="AL659" t="n">
        <v>0.0</v>
      </c>
      <c r="AM659" t="n">
        <v>0.0</v>
      </c>
      <c r="AN659" t="n">
        <v>0.0</v>
      </c>
      <c r="AO659" t="n">
        <v>612603.0</v>
      </c>
      <c r="AP659" t="n">
        <v>61260.0</v>
      </c>
      <c r="AQ659" t="n">
        <v>48794.3</v>
      </c>
      <c r="CH659">
        <f>IFERROR(U659*1,0)</f>
      </c>
    </row>
    <row r="660">
      <c r="A660" t="n">
        <v>10.0</v>
      </c>
      <c r="B660">
        <f>IF((K660-G660-H660&gt;2400000),10,(L660/(K660-G660-H660)*100))</f>
      </c>
      <c r="C660">
        <f>IF(N660&gt;2400000,240000,(N660*S660)/100)</f>
      </c>
      <c r="D660">
        <f>IF(S660=0,0,IF((N660-I660)&gt;2400000,((((((N660-I660-J660)-240000))*0.1+(I660+J660)*0.1)))-7000,((((((N660-I660-J660)-(N660-I660-J660)*S660/100)))*0.1+(I660+J660)*0.1)-7000)))</f>
      </c>
      <c r="E660">
        <f>C660-O660</f>
      </c>
      <c r="F660">
        <f>D660-P660</f>
      </c>
      <c r="G660">
        <f>SUMIF(negtgel!U$2:BL$2,'Tsalin uzuulelt'!B$1,negtgel!U660:BL660) + SUMIF(negtgel!U$2:BL$2,'Tsalin uzuulelt'!B$2,negtgel!U660:BL660)+SUMIF(negtgel!U$2:BL$2,'Tsalin uzuulelt'!B$3,negtgel!U660:BL660)+SUMIF(negtgel!U$2:BL$2,'Tsalin uzuulelt'!B$4,negtgel!U660:BL660)+SUMIF(negtgel!U$2:BL$2,'Tsalin uzuulelt'!B$5,negtgel!U660:BL660)</f>
      </c>
      <c r="H660">
        <f>SUMIF(negtgel!U$2:BL$2,'Tsalin uzuulelt'!F$1,negtgel!U660:BL660) + SUMIF(negtgel!U$2:BL$2,'Tsalin uzuulelt'!F$2,negtgel!U660:BL660)+SUMIF(negtgel!U$2:BL$2,'Tsalin uzuulelt'!F$3,negtgel!U660:BL660)+SUMIF(negtgel!U$2:BL$2,'Tsalin uzuulelt'!F$4,negtgel!U660:BL660)+SUMIF(negtgel!U$2:BL$2,'Tsalin uzuulelt'!F$5,negtgel!U660:BL660)</f>
      </c>
      <c r="I660">
        <f>SUMIF(negtgel!U$2:BL$2,'Tsalin uzuulelt'!H$1,negtgel!U660:BL660) + SUMIF(negtgel!U$2:BL$2,'Tsalin uzuulelt'!H$2,negtgel!U660:BL660)+SUMIF(negtgel!U$2:BL$2,'Tsalin uzuulelt'!H$3,negtgel!U660:BL660)+SUMIF(negtgel!U$2:BL$2,'Tsalin uzuulelt'!H$4,negtgel!U660:BL660)+SUMIF(negtgel!U$2:BL$2,'Tsalin uzuulelt'!H$5,negtgel!U660:BL660)</f>
      </c>
      <c r="J660">
        <f>SUMIF(negtgel!U$2:BL$2,'Tsalin uzuulelt'!J$1,negtgel!U660:BL660) + SUMIF(negtgel!U$2:BL$2,'Tsalin uzuulelt'!J$2,negtgel!U660:BL660)+SUMIF(negtgel!U$2:BL$2,'Tsalin uzuulelt'!J$3,negtgel!U660:BL660)+SUMIF(negtgel!U$2:BL$2,'Tsalin uzuulelt'!J$4,negtgel!U660:BL660)+SUMIF(negtgel!U$2:BL$2,'Tsalin uzuulelt'!J$5,negtgel!U660:BL660)</f>
      </c>
      <c r="K660">
        <f>SUMIF(negtgel!U$2:BL$2,'Tsalin uzuulelt'!L$1,negtgel!U660:BL660) + SUMIF(negtgel!U$2:BL$2,'Tsalin uzuulelt'!L$2,negtgel!U660:BL660)+SUMIF(negtgel!U$2:BL$2,'Tsalin uzuulelt'!L$3,negtgel!U660:BL660)+SUMIF(negtgel!U$2:BL$2,'Tsalin uzuulelt'!L$4,negtgel!U660:BL660)+SUMIF(negtgel!U$2:BL$2,'Tsalin uzuulelt'!L$5,negtgel!U660:BL660)</f>
      </c>
      <c r="L660">
        <f>SUMIF(negtgel!U$2:BL$2,'Tsalin uzuulelt'!N$1,negtgel!U660:BL660) + SUMIF(negtgel!U$2:BL$2,'Tsalin uzuulelt'!N$2,negtgel!U660:BL660)+SUMIF(negtgel!U$2:BL$2,'Tsalin uzuulelt'!N$3,negtgel!U660:BL660)+SUMIF(negtgel!U$2:BL$2,'Tsalin uzuulelt'!N$4,negtgel!U660:BL660)+SUMIF(negtgel!U$2:BL$2,'Tsalin uzuulelt'!N$5,negtgel!U660:BL660)</f>
      </c>
      <c r="M660">
        <f>SUMIF(negtgel!U$2:BL$2,'Tsalin uzuulelt'!P$1,negtgel!U660:BL660) + SUMIF(negtgel!U$2:BL$2,'Tsalin uzuulelt'!P$2,negtgel!U660:BL660)+ SUMIF(negtgel!U$2:BL$2,'Tsalin uzuulelt'!P$3,negtgel!U660:BL660)+ SUMIF(negtgel!U$2:BL$2,'Tsalin uzuulelt'!P$4,negtgel!U660:BL660)+ SUMIF(negtgel!U$2:BL$2,'Tsalin uzuulelt'!P$5,negtgel!U660:BL660)</f>
      </c>
      <c r="N660">
        <f>IF(ISNUMBER(U660*1)=CF660,0,K660-H660-G660)</f>
      </c>
      <c r="O660">
        <f>IF(ISNUMBER(U660*1)=CF660,0,L660)</f>
      </c>
      <c r="P660">
        <f>IF(ISNUMBER(U660*1)=CF660,0,M660)</f>
      </c>
      <c r="Q660">
        <f>IF(N660&gt;2400000,N660,0)</f>
      </c>
      <c r="R660">
        <f>IF(L660/Q660*100&lt;3,2,10)</f>
      </c>
      <c r="S660">
        <f>IF(CH660=0,0,IF(B660&gt;9,10,IF(B660&gt;8,B660,IF(B660&gt;7.7,7.8,IF(B660&gt;3,B660,IF(B660&gt;1.5,2))))))</f>
      </c>
      <c r="T660">
        <f>IF(Q660=0,S660,R660)</f>
      </c>
      <c r="U660" t="n">
        <v>76.0</v>
      </c>
      <c r="V660" t="s">
        <v>3831</v>
      </c>
      <c r="W660" t="s">
        <v>3820</v>
      </c>
      <c r="X660" t="n">
        <v>663720.0</v>
      </c>
      <c r="Y660" t="n">
        <v>663720.0</v>
      </c>
      <c r="Z660" t="n">
        <v>66372.0</v>
      </c>
      <c r="AA660" t="n">
        <v>112832.0</v>
      </c>
      <c r="AB660" t="n">
        <v>0.0</v>
      </c>
      <c r="AC660" t="n">
        <v>0.0</v>
      </c>
      <c r="AD660" t="n">
        <v>0.0</v>
      </c>
      <c r="AE660" t="n">
        <v>0.0</v>
      </c>
      <c r="AF660" t="n">
        <v>66000.0</v>
      </c>
      <c r="AG660" t="n">
        <v>0.0</v>
      </c>
      <c r="AH660" t="n">
        <v>0.0</v>
      </c>
      <c r="AI660" t="n">
        <v>0.0</v>
      </c>
      <c r="AJ660" t="n">
        <v>0.0</v>
      </c>
      <c r="AK660" t="n">
        <v>0.0</v>
      </c>
      <c r="AL660" t="n">
        <v>0.0</v>
      </c>
      <c r="AM660" t="n">
        <v>0.0</v>
      </c>
      <c r="AN660" t="n">
        <v>0.0</v>
      </c>
      <c r="AO660" t="n">
        <v>908924.0</v>
      </c>
      <c r="AP660" t="n">
        <v>90892.0</v>
      </c>
      <c r="AQ660" t="n">
        <v>75463.2</v>
      </c>
      <c r="CH660">
        <f>IFERROR(U660*1,0)</f>
      </c>
    </row>
    <row r="661">
      <c r="A661" t="n">
        <v>10.0</v>
      </c>
      <c r="B661">
        <f>IF((K661-G661-H661&gt;2400000),10,(L661/(K661-G661-H661)*100))</f>
      </c>
      <c r="C661">
        <f>IF(N661&gt;2400000,240000,(N661*S661)/100)</f>
      </c>
      <c r="D661">
        <f>IF(S661=0,0,IF((N661-I661)&gt;2400000,((((((N661-I661-J661)-240000))*0.1+(I661+J661)*0.1)))-7000,((((((N661-I661-J661)-(N661-I661-J661)*S661/100)))*0.1+(I661+J661)*0.1)-7000)))</f>
      </c>
      <c r="E661">
        <f>C661-O661</f>
      </c>
      <c r="F661">
        <f>D661-P661</f>
      </c>
      <c r="G661">
        <f>SUMIF(negtgel!U$2:BL$2,'Tsalin uzuulelt'!B$1,negtgel!U661:BL661) + SUMIF(negtgel!U$2:BL$2,'Tsalin uzuulelt'!B$2,negtgel!U661:BL661)+SUMIF(negtgel!U$2:BL$2,'Tsalin uzuulelt'!B$3,negtgel!U661:BL661)+SUMIF(negtgel!U$2:BL$2,'Tsalin uzuulelt'!B$4,negtgel!U661:BL661)+SUMIF(negtgel!U$2:BL$2,'Tsalin uzuulelt'!B$5,negtgel!U661:BL661)</f>
      </c>
      <c r="H661">
        <f>SUMIF(negtgel!U$2:BL$2,'Tsalin uzuulelt'!F$1,negtgel!U661:BL661) + SUMIF(negtgel!U$2:BL$2,'Tsalin uzuulelt'!F$2,negtgel!U661:BL661)+SUMIF(negtgel!U$2:BL$2,'Tsalin uzuulelt'!F$3,negtgel!U661:BL661)+SUMIF(negtgel!U$2:BL$2,'Tsalin uzuulelt'!F$4,negtgel!U661:BL661)+SUMIF(negtgel!U$2:BL$2,'Tsalin uzuulelt'!F$5,negtgel!U661:BL661)</f>
      </c>
      <c r="I661">
        <f>SUMIF(negtgel!U$2:BL$2,'Tsalin uzuulelt'!H$1,negtgel!U661:BL661) + SUMIF(negtgel!U$2:BL$2,'Tsalin uzuulelt'!H$2,negtgel!U661:BL661)+SUMIF(negtgel!U$2:BL$2,'Tsalin uzuulelt'!H$3,negtgel!U661:BL661)+SUMIF(negtgel!U$2:BL$2,'Tsalin uzuulelt'!H$4,negtgel!U661:BL661)+SUMIF(negtgel!U$2:BL$2,'Tsalin uzuulelt'!H$5,negtgel!U661:BL661)</f>
      </c>
      <c r="J661">
        <f>SUMIF(negtgel!U$2:BL$2,'Tsalin uzuulelt'!J$1,negtgel!U661:BL661) + SUMIF(negtgel!U$2:BL$2,'Tsalin uzuulelt'!J$2,negtgel!U661:BL661)+SUMIF(negtgel!U$2:BL$2,'Tsalin uzuulelt'!J$3,negtgel!U661:BL661)+SUMIF(negtgel!U$2:BL$2,'Tsalin uzuulelt'!J$4,negtgel!U661:BL661)+SUMIF(negtgel!U$2:BL$2,'Tsalin uzuulelt'!J$5,negtgel!U661:BL661)</f>
      </c>
      <c r="K661">
        <f>SUMIF(negtgel!U$2:BL$2,'Tsalin uzuulelt'!L$1,negtgel!U661:BL661) + SUMIF(negtgel!U$2:BL$2,'Tsalin uzuulelt'!L$2,negtgel!U661:BL661)+SUMIF(negtgel!U$2:BL$2,'Tsalin uzuulelt'!L$3,negtgel!U661:BL661)+SUMIF(negtgel!U$2:BL$2,'Tsalin uzuulelt'!L$4,negtgel!U661:BL661)+SUMIF(negtgel!U$2:BL$2,'Tsalin uzuulelt'!L$5,negtgel!U661:BL661)</f>
      </c>
      <c r="L661">
        <f>SUMIF(negtgel!U$2:BL$2,'Tsalin uzuulelt'!N$1,negtgel!U661:BL661) + SUMIF(negtgel!U$2:BL$2,'Tsalin uzuulelt'!N$2,negtgel!U661:BL661)+SUMIF(negtgel!U$2:BL$2,'Tsalin uzuulelt'!N$3,negtgel!U661:BL661)+SUMIF(negtgel!U$2:BL$2,'Tsalin uzuulelt'!N$4,negtgel!U661:BL661)+SUMIF(negtgel!U$2:BL$2,'Tsalin uzuulelt'!N$5,negtgel!U661:BL661)</f>
      </c>
      <c r="M661">
        <f>SUMIF(negtgel!U$2:BL$2,'Tsalin uzuulelt'!P$1,negtgel!U661:BL661) + SUMIF(negtgel!U$2:BL$2,'Tsalin uzuulelt'!P$2,negtgel!U661:BL661)+ SUMIF(negtgel!U$2:BL$2,'Tsalin uzuulelt'!P$3,negtgel!U661:BL661)+ SUMIF(negtgel!U$2:BL$2,'Tsalin uzuulelt'!P$4,negtgel!U661:BL661)+ SUMIF(negtgel!U$2:BL$2,'Tsalin uzuulelt'!P$5,negtgel!U661:BL661)</f>
      </c>
      <c r="N661">
        <f>IF(ISNUMBER(U661*1)=CF661,0,K661-H661-G661)</f>
      </c>
      <c r="O661">
        <f>IF(ISNUMBER(U661*1)=CF661,0,L661)</f>
      </c>
      <c r="P661">
        <f>IF(ISNUMBER(U661*1)=CF661,0,M661)</f>
      </c>
      <c r="Q661">
        <f>IF(N661&gt;2400000,N661,0)</f>
      </c>
      <c r="R661">
        <f>IF(L661/Q661*100&lt;3,2,10)</f>
      </c>
      <c r="S661">
        <f>IF(CH661=0,0,IF(B661&gt;9,10,IF(B661&gt;8,B661,IF(B661&gt;7.7,7.8,IF(B661&gt;3,B661,IF(B661&gt;1.5,2))))))</f>
      </c>
      <c r="T661">
        <f>IF(Q661=0,S661,R661)</f>
      </c>
      <c r="U661" t="n">
        <v>77.0</v>
      </c>
      <c r="V661" t="s">
        <v>3868</v>
      </c>
      <c r="W661" t="s">
        <v>3790</v>
      </c>
      <c r="X661" t="n">
        <v>645556.0</v>
      </c>
      <c r="Y661" t="n">
        <v>645556.0</v>
      </c>
      <c r="Z661" t="n">
        <v>109745.0</v>
      </c>
      <c r="AA661" t="n">
        <v>96833.0</v>
      </c>
      <c r="AB661" t="n">
        <v>0.0</v>
      </c>
      <c r="AC661" t="n">
        <v>0.0</v>
      </c>
      <c r="AD661" t="n">
        <v>0.0</v>
      </c>
      <c r="AE661" t="n">
        <v>0.0</v>
      </c>
      <c r="AF661" t="n">
        <v>66000.0</v>
      </c>
      <c r="AG661" t="n">
        <v>0.0</v>
      </c>
      <c r="AH661" t="n">
        <v>0.0</v>
      </c>
      <c r="AI661" t="n">
        <v>0.0</v>
      </c>
      <c r="AJ661" t="n">
        <v>0.0</v>
      </c>
      <c r="AK661" t="n">
        <v>0.0</v>
      </c>
      <c r="AL661" t="n">
        <v>0.0</v>
      </c>
      <c r="AM661" t="n">
        <v>0.0</v>
      </c>
      <c r="AN661" t="n">
        <v>0.0</v>
      </c>
      <c r="AO661" t="n">
        <v>918134.0</v>
      </c>
      <c r="AP661" t="n">
        <v>91813.0</v>
      </c>
      <c r="AQ661" t="n">
        <v>76292.1</v>
      </c>
      <c r="CH661">
        <f>IFERROR(U661*1,0)</f>
      </c>
    </row>
    <row r="662">
      <c r="A662" t="n">
        <v>10.0</v>
      </c>
      <c r="B662">
        <f>IF((K662-G662-H662&gt;2400000),10,(L662/(K662-G662-H662)*100))</f>
      </c>
      <c r="C662">
        <f>IF(N662&gt;2400000,240000,(N662*S662)/100)</f>
      </c>
      <c r="D662">
        <f>IF(S662=0,0,IF((N662-I662)&gt;2400000,((((((N662-I662-J662)-240000))*0.1+(I662+J662)*0.1)))-7000,((((((N662-I662-J662)-(N662-I662-J662)*S662/100)))*0.1+(I662+J662)*0.1)-7000)))</f>
      </c>
      <c r="E662">
        <f>C662-O662</f>
      </c>
      <c r="F662">
        <f>D662-P662</f>
      </c>
      <c r="G662">
        <f>SUMIF(negtgel!U$2:BL$2,'Tsalin uzuulelt'!B$1,negtgel!U662:BL662) + SUMIF(negtgel!U$2:BL$2,'Tsalin uzuulelt'!B$2,negtgel!U662:BL662)+SUMIF(negtgel!U$2:BL$2,'Tsalin uzuulelt'!B$3,negtgel!U662:BL662)+SUMIF(negtgel!U$2:BL$2,'Tsalin uzuulelt'!B$4,negtgel!U662:BL662)+SUMIF(negtgel!U$2:BL$2,'Tsalin uzuulelt'!B$5,negtgel!U662:BL662)</f>
      </c>
      <c r="H662">
        <f>SUMIF(negtgel!U$2:BL$2,'Tsalin uzuulelt'!F$1,negtgel!U662:BL662) + SUMIF(negtgel!U$2:BL$2,'Tsalin uzuulelt'!F$2,negtgel!U662:BL662)+SUMIF(negtgel!U$2:BL$2,'Tsalin uzuulelt'!F$3,negtgel!U662:BL662)+SUMIF(negtgel!U$2:BL$2,'Tsalin uzuulelt'!F$4,negtgel!U662:BL662)+SUMIF(negtgel!U$2:BL$2,'Tsalin uzuulelt'!F$5,negtgel!U662:BL662)</f>
      </c>
      <c r="I662">
        <f>SUMIF(negtgel!U$2:BL$2,'Tsalin uzuulelt'!H$1,negtgel!U662:BL662) + SUMIF(negtgel!U$2:BL$2,'Tsalin uzuulelt'!H$2,negtgel!U662:BL662)+SUMIF(negtgel!U$2:BL$2,'Tsalin uzuulelt'!H$3,negtgel!U662:BL662)+SUMIF(negtgel!U$2:BL$2,'Tsalin uzuulelt'!H$4,negtgel!U662:BL662)+SUMIF(negtgel!U$2:BL$2,'Tsalin uzuulelt'!H$5,negtgel!U662:BL662)</f>
      </c>
      <c r="J662">
        <f>SUMIF(negtgel!U$2:BL$2,'Tsalin uzuulelt'!J$1,negtgel!U662:BL662) + SUMIF(negtgel!U$2:BL$2,'Tsalin uzuulelt'!J$2,negtgel!U662:BL662)+SUMIF(negtgel!U$2:BL$2,'Tsalin uzuulelt'!J$3,negtgel!U662:BL662)+SUMIF(negtgel!U$2:BL$2,'Tsalin uzuulelt'!J$4,negtgel!U662:BL662)+SUMIF(negtgel!U$2:BL$2,'Tsalin uzuulelt'!J$5,negtgel!U662:BL662)</f>
      </c>
      <c r="K662">
        <f>SUMIF(negtgel!U$2:BL$2,'Tsalin uzuulelt'!L$1,negtgel!U662:BL662) + SUMIF(negtgel!U$2:BL$2,'Tsalin uzuulelt'!L$2,negtgel!U662:BL662)+SUMIF(negtgel!U$2:BL$2,'Tsalin uzuulelt'!L$3,negtgel!U662:BL662)+SUMIF(negtgel!U$2:BL$2,'Tsalin uzuulelt'!L$4,negtgel!U662:BL662)+SUMIF(negtgel!U$2:BL$2,'Tsalin uzuulelt'!L$5,negtgel!U662:BL662)</f>
      </c>
      <c r="L662">
        <f>SUMIF(negtgel!U$2:BL$2,'Tsalin uzuulelt'!N$1,negtgel!U662:BL662) + SUMIF(negtgel!U$2:BL$2,'Tsalin uzuulelt'!N$2,negtgel!U662:BL662)+SUMIF(negtgel!U$2:BL$2,'Tsalin uzuulelt'!N$3,negtgel!U662:BL662)+SUMIF(negtgel!U$2:BL$2,'Tsalin uzuulelt'!N$4,negtgel!U662:BL662)+SUMIF(negtgel!U$2:BL$2,'Tsalin uzuulelt'!N$5,negtgel!U662:BL662)</f>
      </c>
      <c r="M662">
        <f>SUMIF(negtgel!U$2:BL$2,'Tsalin uzuulelt'!P$1,negtgel!U662:BL662) + SUMIF(negtgel!U$2:BL$2,'Tsalin uzuulelt'!P$2,negtgel!U662:BL662)+ SUMIF(negtgel!U$2:BL$2,'Tsalin uzuulelt'!P$3,negtgel!U662:BL662)+ SUMIF(negtgel!U$2:BL$2,'Tsalin uzuulelt'!P$4,negtgel!U662:BL662)+ SUMIF(negtgel!U$2:BL$2,'Tsalin uzuulelt'!P$5,negtgel!U662:BL662)</f>
      </c>
      <c r="N662">
        <f>IF(ISNUMBER(U662*1)=CF662,0,K662-H662-G662)</f>
      </c>
      <c r="O662">
        <f>IF(ISNUMBER(U662*1)=CF662,0,L662)</f>
      </c>
      <c r="P662">
        <f>IF(ISNUMBER(U662*1)=CF662,0,M662)</f>
      </c>
      <c r="Q662">
        <f>IF(N662&gt;2400000,N662,0)</f>
      </c>
      <c r="R662">
        <f>IF(L662/Q662*100&lt;3,2,10)</f>
      </c>
      <c r="S662">
        <f>IF(CH662=0,0,IF(B662&gt;9,10,IF(B662&gt;8,B662,IF(B662&gt;7.7,7.8,IF(B662&gt;3,B662,IF(B662&gt;1.5,2))))))</f>
      </c>
      <c r="T662">
        <f>IF(Q662=0,S662,R662)</f>
      </c>
      <c r="U662" t="n">
        <v>78.0</v>
      </c>
      <c r="V662" t="s">
        <v>3833</v>
      </c>
      <c r="W662" t="s">
        <v>3790</v>
      </c>
      <c r="X662" t="n">
        <v>645556.0</v>
      </c>
      <c r="Y662" t="n">
        <v>645556.0</v>
      </c>
      <c r="Z662" t="n">
        <v>96833.0</v>
      </c>
      <c r="AA662" t="n">
        <v>109745.0</v>
      </c>
      <c r="AB662" t="n">
        <v>0.0</v>
      </c>
      <c r="AC662" t="n">
        <v>0.0</v>
      </c>
      <c r="AD662" t="n">
        <v>0.0</v>
      </c>
      <c r="AE662" t="n">
        <v>0.0</v>
      </c>
      <c r="AF662" t="n">
        <v>66000.0</v>
      </c>
      <c r="AG662" t="n">
        <v>0.0</v>
      </c>
      <c r="AH662" t="n">
        <v>0.0</v>
      </c>
      <c r="AI662" t="n">
        <v>0.0</v>
      </c>
      <c r="AJ662" t="n">
        <v>0.0</v>
      </c>
      <c r="AK662" t="n">
        <v>0.0</v>
      </c>
      <c r="AL662" t="n">
        <v>0.0</v>
      </c>
      <c r="AM662" t="n">
        <v>0.0</v>
      </c>
      <c r="AN662" t="n">
        <v>0.0</v>
      </c>
      <c r="AO662" t="n">
        <v>918134.0</v>
      </c>
      <c r="AP662" t="n">
        <v>91813.0</v>
      </c>
      <c r="AQ662" t="n">
        <v>76292.1</v>
      </c>
      <c r="CH662">
        <f>IFERROR(U662*1,0)</f>
      </c>
    </row>
    <row r="663">
      <c r="A663" t="n">
        <v>10.0</v>
      </c>
      <c r="B663">
        <f>IF((K663-G663-H663&gt;2400000),10,(L663/(K663-G663-H663)*100))</f>
      </c>
      <c r="C663">
        <f>IF(N663&gt;2400000,240000,(N663*S663)/100)</f>
      </c>
      <c r="D663">
        <f>IF(S663=0,0,IF((N663-I663)&gt;2400000,((((((N663-I663-J663)-240000))*0.1+(I663+J663)*0.1)))-7000,((((((N663-I663-J663)-(N663-I663-J663)*S663/100)))*0.1+(I663+J663)*0.1)-7000)))</f>
      </c>
      <c r="E663">
        <f>C663-O663</f>
      </c>
      <c r="F663">
        <f>D663-P663</f>
      </c>
      <c r="G663">
        <f>SUMIF(negtgel!U$2:BL$2,'Tsalin uzuulelt'!B$1,negtgel!U663:BL663) + SUMIF(negtgel!U$2:BL$2,'Tsalin uzuulelt'!B$2,negtgel!U663:BL663)+SUMIF(negtgel!U$2:BL$2,'Tsalin uzuulelt'!B$3,negtgel!U663:BL663)+SUMIF(negtgel!U$2:BL$2,'Tsalin uzuulelt'!B$4,negtgel!U663:BL663)+SUMIF(negtgel!U$2:BL$2,'Tsalin uzuulelt'!B$5,negtgel!U663:BL663)</f>
      </c>
      <c r="H663">
        <f>SUMIF(negtgel!U$2:BL$2,'Tsalin uzuulelt'!F$1,negtgel!U663:BL663) + SUMIF(negtgel!U$2:BL$2,'Tsalin uzuulelt'!F$2,negtgel!U663:BL663)+SUMIF(negtgel!U$2:BL$2,'Tsalin uzuulelt'!F$3,negtgel!U663:BL663)+SUMIF(negtgel!U$2:BL$2,'Tsalin uzuulelt'!F$4,negtgel!U663:BL663)+SUMIF(negtgel!U$2:BL$2,'Tsalin uzuulelt'!F$5,negtgel!U663:BL663)</f>
      </c>
      <c r="I663">
        <f>SUMIF(negtgel!U$2:BL$2,'Tsalin uzuulelt'!H$1,negtgel!U663:BL663) + SUMIF(negtgel!U$2:BL$2,'Tsalin uzuulelt'!H$2,negtgel!U663:BL663)+SUMIF(negtgel!U$2:BL$2,'Tsalin uzuulelt'!H$3,negtgel!U663:BL663)+SUMIF(negtgel!U$2:BL$2,'Tsalin uzuulelt'!H$4,negtgel!U663:BL663)+SUMIF(negtgel!U$2:BL$2,'Tsalin uzuulelt'!H$5,negtgel!U663:BL663)</f>
      </c>
      <c r="J663">
        <f>SUMIF(negtgel!U$2:BL$2,'Tsalin uzuulelt'!J$1,negtgel!U663:BL663) + SUMIF(negtgel!U$2:BL$2,'Tsalin uzuulelt'!J$2,negtgel!U663:BL663)+SUMIF(negtgel!U$2:BL$2,'Tsalin uzuulelt'!J$3,negtgel!U663:BL663)+SUMIF(negtgel!U$2:BL$2,'Tsalin uzuulelt'!J$4,negtgel!U663:BL663)+SUMIF(negtgel!U$2:BL$2,'Tsalin uzuulelt'!J$5,negtgel!U663:BL663)</f>
      </c>
      <c r="K663">
        <f>SUMIF(negtgel!U$2:BL$2,'Tsalin uzuulelt'!L$1,negtgel!U663:BL663) + SUMIF(negtgel!U$2:BL$2,'Tsalin uzuulelt'!L$2,negtgel!U663:BL663)+SUMIF(negtgel!U$2:BL$2,'Tsalin uzuulelt'!L$3,negtgel!U663:BL663)+SUMIF(negtgel!U$2:BL$2,'Tsalin uzuulelt'!L$4,negtgel!U663:BL663)+SUMIF(negtgel!U$2:BL$2,'Tsalin uzuulelt'!L$5,negtgel!U663:BL663)</f>
      </c>
      <c r="L663">
        <f>SUMIF(negtgel!U$2:BL$2,'Tsalin uzuulelt'!N$1,negtgel!U663:BL663) + SUMIF(negtgel!U$2:BL$2,'Tsalin uzuulelt'!N$2,negtgel!U663:BL663)+SUMIF(negtgel!U$2:BL$2,'Tsalin uzuulelt'!N$3,negtgel!U663:BL663)+SUMIF(negtgel!U$2:BL$2,'Tsalin uzuulelt'!N$4,negtgel!U663:BL663)+SUMIF(negtgel!U$2:BL$2,'Tsalin uzuulelt'!N$5,negtgel!U663:BL663)</f>
      </c>
      <c r="M663">
        <f>SUMIF(negtgel!U$2:BL$2,'Tsalin uzuulelt'!P$1,negtgel!U663:BL663) + SUMIF(negtgel!U$2:BL$2,'Tsalin uzuulelt'!P$2,negtgel!U663:BL663)+ SUMIF(negtgel!U$2:BL$2,'Tsalin uzuulelt'!P$3,negtgel!U663:BL663)+ SUMIF(negtgel!U$2:BL$2,'Tsalin uzuulelt'!P$4,negtgel!U663:BL663)+ SUMIF(negtgel!U$2:BL$2,'Tsalin uzuulelt'!P$5,negtgel!U663:BL663)</f>
      </c>
      <c r="N663">
        <f>IF(ISNUMBER(U663*1)=CF663,0,K663-H663-G663)</f>
      </c>
      <c r="O663">
        <f>IF(ISNUMBER(U663*1)=CF663,0,L663)</f>
      </c>
      <c r="P663">
        <f>IF(ISNUMBER(U663*1)=CF663,0,M663)</f>
      </c>
      <c r="Q663">
        <f>IF(N663&gt;2400000,N663,0)</f>
      </c>
      <c r="R663">
        <f>IF(L663/Q663*100&lt;3,2,10)</f>
      </c>
      <c r="S663">
        <f>IF(CH663=0,0,IF(B663&gt;9,10,IF(B663&gt;8,B663,IF(B663&gt;7.7,7.8,IF(B663&gt;3,B663,IF(B663&gt;1.5,2))))))</f>
      </c>
      <c r="T663">
        <f>IF(Q663=0,S663,R663)</f>
      </c>
      <c r="U663" t="n">
        <v>79.0</v>
      </c>
      <c r="V663" t="s">
        <v>3835</v>
      </c>
      <c r="W663" t="s">
        <v>3790</v>
      </c>
      <c r="X663" t="n">
        <v>613669.0</v>
      </c>
      <c r="Y663" t="n">
        <v>390517.0</v>
      </c>
      <c r="Z663" t="n">
        <v>19526.0</v>
      </c>
      <c r="AA663" t="n">
        <v>0.0</v>
      </c>
      <c r="AB663" t="n">
        <v>0.0</v>
      </c>
      <c r="AC663" t="n">
        <v>0.0</v>
      </c>
      <c r="AD663" t="n">
        <v>0.0</v>
      </c>
      <c r="AE663" t="n">
        <v>0.0</v>
      </c>
      <c r="AF663" t="n">
        <v>42000.0</v>
      </c>
      <c r="AG663" t="n">
        <v>0.0</v>
      </c>
      <c r="AH663" t="n">
        <v>0.0</v>
      </c>
      <c r="AI663" t="n">
        <v>0.0</v>
      </c>
      <c r="AJ663" t="n">
        <v>0.0</v>
      </c>
      <c r="AK663" t="n">
        <v>0.0</v>
      </c>
      <c r="AL663" t="n">
        <v>0.0</v>
      </c>
      <c r="AM663" t="n">
        <v>0.0</v>
      </c>
      <c r="AN663" t="n">
        <v>0.0</v>
      </c>
      <c r="AO663" t="n">
        <v>452043.0</v>
      </c>
      <c r="AP663" t="n">
        <v>45204.0</v>
      </c>
      <c r="AQ663" t="n">
        <v>34103.9</v>
      </c>
      <c r="CH663">
        <f>IFERROR(U663*1,0)</f>
      </c>
    </row>
    <row r="664">
      <c r="A664" t="n">
        <v>10.0</v>
      </c>
      <c r="B664">
        <f>IF((K664-G664-H664&gt;2400000),10,(L664/(K664-G664-H664)*100))</f>
      </c>
      <c r="C664">
        <f>IF(N664&gt;2400000,240000,(N664*S664)/100)</f>
      </c>
      <c r="D664">
        <f>IF(S664=0,0,IF((N664-I664)&gt;2400000,((((((N664-I664-J664)-240000))*0.1+(I664+J664)*0.1)))-7000,((((((N664-I664-J664)-(N664-I664-J664)*S664/100)))*0.1+(I664+J664)*0.1)-7000)))</f>
      </c>
      <c r="E664">
        <f>C664-O664</f>
      </c>
      <c r="F664">
        <f>D664-P664</f>
      </c>
      <c r="G664">
        <f>SUMIF(negtgel!U$2:BL$2,'Tsalin uzuulelt'!B$1,negtgel!U664:BL664) + SUMIF(negtgel!U$2:BL$2,'Tsalin uzuulelt'!B$2,negtgel!U664:BL664)+SUMIF(negtgel!U$2:BL$2,'Tsalin uzuulelt'!B$3,negtgel!U664:BL664)+SUMIF(negtgel!U$2:BL$2,'Tsalin uzuulelt'!B$4,negtgel!U664:BL664)+SUMIF(negtgel!U$2:BL$2,'Tsalin uzuulelt'!B$5,negtgel!U664:BL664)</f>
      </c>
      <c r="H664">
        <f>SUMIF(negtgel!U$2:BL$2,'Tsalin uzuulelt'!F$1,negtgel!U664:BL664) + SUMIF(negtgel!U$2:BL$2,'Tsalin uzuulelt'!F$2,negtgel!U664:BL664)+SUMIF(negtgel!U$2:BL$2,'Tsalin uzuulelt'!F$3,negtgel!U664:BL664)+SUMIF(negtgel!U$2:BL$2,'Tsalin uzuulelt'!F$4,negtgel!U664:BL664)+SUMIF(negtgel!U$2:BL$2,'Tsalin uzuulelt'!F$5,negtgel!U664:BL664)</f>
      </c>
      <c r="I664">
        <f>SUMIF(negtgel!U$2:BL$2,'Tsalin uzuulelt'!H$1,negtgel!U664:BL664) + SUMIF(negtgel!U$2:BL$2,'Tsalin uzuulelt'!H$2,negtgel!U664:BL664)+SUMIF(negtgel!U$2:BL$2,'Tsalin uzuulelt'!H$3,negtgel!U664:BL664)+SUMIF(negtgel!U$2:BL$2,'Tsalin uzuulelt'!H$4,negtgel!U664:BL664)+SUMIF(negtgel!U$2:BL$2,'Tsalin uzuulelt'!H$5,negtgel!U664:BL664)</f>
      </c>
      <c r="J664">
        <f>SUMIF(negtgel!U$2:BL$2,'Tsalin uzuulelt'!J$1,negtgel!U664:BL664) + SUMIF(negtgel!U$2:BL$2,'Tsalin uzuulelt'!J$2,negtgel!U664:BL664)+SUMIF(negtgel!U$2:BL$2,'Tsalin uzuulelt'!J$3,negtgel!U664:BL664)+SUMIF(negtgel!U$2:BL$2,'Tsalin uzuulelt'!J$4,negtgel!U664:BL664)+SUMIF(negtgel!U$2:BL$2,'Tsalin uzuulelt'!J$5,negtgel!U664:BL664)</f>
      </c>
      <c r="K664">
        <f>SUMIF(negtgel!U$2:BL$2,'Tsalin uzuulelt'!L$1,negtgel!U664:BL664) + SUMIF(negtgel!U$2:BL$2,'Tsalin uzuulelt'!L$2,negtgel!U664:BL664)+SUMIF(negtgel!U$2:BL$2,'Tsalin uzuulelt'!L$3,negtgel!U664:BL664)+SUMIF(negtgel!U$2:BL$2,'Tsalin uzuulelt'!L$4,negtgel!U664:BL664)+SUMIF(negtgel!U$2:BL$2,'Tsalin uzuulelt'!L$5,negtgel!U664:BL664)</f>
      </c>
      <c r="L664">
        <f>SUMIF(negtgel!U$2:BL$2,'Tsalin uzuulelt'!N$1,negtgel!U664:BL664) + SUMIF(negtgel!U$2:BL$2,'Tsalin uzuulelt'!N$2,negtgel!U664:BL664)+SUMIF(negtgel!U$2:BL$2,'Tsalin uzuulelt'!N$3,negtgel!U664:BL664)+SUMIF(negtgel!U$2:BL$2,'Tsalin uzuulelt'!N$4,negtgel!U664:BL664)+SUMIF(negtgel!U$2:BL$2,'Tsalin uzuulelt'!N$5,negtgel!U664:BL664)</f>
      </c>
      <c r="M664">
        <f>SUMIF(negtgel!U$2:BL$2,'Tsalin uzuulelt'!P$1,negtgel!U664:BL664) + SUMIF(negtgel!U$2:BL$2,'Tsalin uzuulelt'!P$2,negtgel!U664:BL664)+ SUMIF(negtgel!U$2:BL$2,'Tsalin uzuulelt'!P$3,negtgel!U664:BL664)+ SUMIF(negtgel!U$2:BL$2,'Tsalin uzuulelt'!P$4,negtgel!U664:BL664)+ SUMIF(negtgel!U$2:BL$2,'Tsalin uzuulelt'!P$5,negtgel!U664:BL664)</f>
      </c>
      <c r="N664">
        <f>IF(ISNUMBER(U664*1)=CF664,0,K664-H664-G664)</f>
      </c>
      <c r="O664">
        <f>IF(ISNUMBER(U664*1)=CF664,0,L664)</f>
      </c>
      <c r="P664">
        <f>IF(ISNUMBER(U664*1)=CF664,0,M664)</f>
      </c>
      <c r="Q664">
        <f>IF(N664&gt;2400000,N664,0)</f>
      </c>
      <c r="R664">
        <f>IF(L664/Q664*100&lt;3,2,10)</f>
      </c>
      <c r="S664">
        <f>IF(CH664=0,0,IF(B664&gt;9,10,IF(B664&gt;8,B664,IF(B664&gt;7.7,7.8,IF(B664&gt;3,B664,IF(B664&gt;1.5,2))))))</f>
      </c>
      <c r="T664">
        <f>IF(Q664=0,S664,R664)</f>
      </c>
      <c r="U664" t="s">
        <v>3787</v>
      </c>
      <c r="V664"/>
      <c r="W664"/>
      <c r="X664" t="n">
        <v>4146907.0</v>
      </c>
      <c r="Y664" t="n">
        <v>3422971.0</v>
      </c>
      <c r="Z664" t="n">
        <v>292476.0</v>
      </c>
      <c r="AA664" t="n">
        <v>319410.0</v>
      </c>
      <c r="AB664" t="n">
        <v>49691.0</v>
      </c>
      <c r="AC664" t="n">
        <v>0.0</v>
      </c>
      <c r="AD664" t="n">
        <v>0.0</v>
      </c>
      <c r="AE664" t="n">
        <v>0.0</v>
      </c>
      <c r="AF664" t="n">
        <v>372000.0</v>
      </c>
      <c r="AG664" t="n">
        <v>0.0</v>
      </c>
      <c r="AH664" t="n">
        <v>0.0</v>
      </c>
      <c r="AI664" t="n">
        <v>0.0</v>
      </c>
      <c r="AJ664" t="n">
        <v>0.0</v>
      </c>
      <c r="AK664" t="n">
        <v>0.0</v>
      </c>
      <c r="AL664" t="n">
        <v>0.0</v>
      </c>
      <c r="AM664" t="n">
        <v>0.0</v>
      </c>
      <c r="AN664" t="n">
        <v>0.0</v>
      </c>
      <c r="AO664" t="n">
        <v>4456548.0</v>
      </c>
      <c r="AP664" t="n">
        <v>445653.0</v>
      </c>
      <c r="AQ664" t="n">
        <v>362809.5</v>
      </c>
      <c r="CH664">
        <f>IFERROR(U664*1,0)</f>
      </c>
    </row>
    <row r="665">
      <c r="A665" t="n">
        <v>10.0</v>
      </c>
      <c r="B665">
        <f>IF((K665-G665-H665&gt;2400000),10,(L665/(K665-G665-H665)*100))</f>
      </c>
      <c r="C665">
        <f>IF(N665&gt;2400000,240000,(N665*S665)/100)</f>
      </c>
      <c r="D665">
        <f>IF(S665=0,0,IF((N665-I665)&gt;2400000,((((((N665-I665-J665)-240000))*0.1+(I665+J665)*0.1)))-7000,((((((N665-I665-J665)-(N665-I665-J665)*S665/100)))*0.1+(I665+J665)*0.1)-7000)))</f>
      </c>
      <c r="E665">
        <f>C665-O665</f>
      </c>
      <c r="F665">
        <f>D665-P665</f>
      </c>
      <c r="G665">
        <f>SUMIF(negtgel!U$2:BL$2,'Tsalin uzuulelt'!B$1,negtgel!U665:BL665) + SUMIF(negtgel!U$2:BL$2,'Tsalin uzuulelt'!B$2,negtgel!U665:BL665)+SUMIF(negtgel!U$2:BL$2,'Tsalin uzuulelt'!B$3,negtgel!U665:BL665)+SUMIF(negtgel!U$2:BL$2,'Tsalin uzuulelt'!B$4,negtgel!U665:BL665)+SUMIF(negtgel!U$2:BL$2,'Tsalin uzuulelt'!B$5,negtgel!U665:BL665)</f>
      </c>
      <c r="H665">
        <f>SUMIF(negtgel!U$2:BL$2,'Tsalin uzuulelt'!F$1,negtgel!U665:BL665) + SUMIF(negtgel!U$2:BL$2,'Tsalin uzuulelt'!F$2,negtgel!U665:BL665)+SUMIF(negtgel!U$2:BL$2,'Tsalin uzuulelt'!F$3,negtgel!U665:BL665)+SUMIF(negtgel!U$2:BL$2,'Tsalin uzuulelt'!F$4,negtgel!U665:BL665)+SUMIF(negtgel!U$2:BL$2,'Tsalin uzuulelt'!F$5,negtgel!U665:BL665)</f>
      </c>
      <c r="I665">
        <f>SUMIF(negtgel!U$2:BL$2,'Tsalin uzuulelt'!H$1,negtgel!U665:BL665) + SUMIF(negtgel!U$2:BL$2,'Tsalin uzuulelt'!H$2,negtgel!U665:BL665)+SUMIF(negtgel!U$2:BL$2,'Tsalin uzuulelt'!H$3,negtgel!U665:BL665)+SUMIF(negtgel!U$2:BL$2,'Tsalin uzuulelt'!H$4,negtgel!U665:BL665)+SUMIF(negtgel!U$2:BL$2,'Tsalin uzuulelt'!H$5,negtgel!U665:BL665)</f>
      </c>
      <c r="J665">
        <f>SUMIF(negtgel!U$2:BL$2,'Tsalin uzuulelt'!J$1,negtgel!U665:BL665) + SUMIF(negtgel!U$2:BL$2,'Tsalin uzuulelt'!J$2,negtgel!U665:BL665)+SUMIF(negtgel!U$2:BL$2,'Tsalin uzuulelt'!J$3,negtgel!U665:BL665)+SUMIF(negtgel!U$2:BL$2,'Tsalin uzuulelt'!J$4,negtgel!U665:BL665)+SUMIF(negtgel!U$2:BL$2,'Tsalin uzuulelt'!J$5,negtgel!U665:BL665)</f>
      </c>
      <c r="K665">
        <f>SUMIF(negtgel!U$2:BL$2,'Tsalin uzuulelt'!L$1,negtgel!U665:BL665) + SUMIF(negtgel!U$2:BL$2,'Tsalin uzuulelt'!L$2,negtgel!U665:BL665)+SUMIF(negtgel!U$2:BL$2,'Tsalin uzuulelt'!L$3,negtgel!U665:BL665)+SUMIF(negtgel!U$2:BL$2,'Tsalin uzuulelt'!L$4,negtgel!U665:BL665)+SUMIF(negtgel!U$2:BL$2,'Tsalin uzuulelt'!L$5,negtgel!U665:BL665)</f>
      </c>
      <c r="L665">
        <f>SUMIF(negtgel!U$2:BL$2,'Tsalin uzuulelt'!N$1,negtgel!U665:BL665) + SUMIF(negtgel!U$2:BL$2,'Tsalin uzuulelt'!N$2,negtgel!U665:BL665)+SUMIF(negtgel!U$2:BL$2,'Tsalin uzuulelt'!N$3,negtgel!U665:BL665)+SUMIF(negtgel!U$2:BL$2,'Tsalin uzuulelt'!N$4,negtgel!U665:BL665)+SUMIF(negtgel!U$2:BL$2,'Tsalin uzuulelt'!N$5,negtgel!U665:BL665)</f>
      </c>
      <c r="M665">
        <f>SUMIF(negtgel!U$2:BL$2,'Tsalin uzuulelt'!P$1,negtgel!U665:BL665) + SUMIF(negtgel!U$2:BL$2,'Tsalin uzuulelt'!P$2,negtgel!U665:BL665)+ SUMIF(negtgel!U$2:BL$2,'Tsalin uzuulelt'!P$3,negtgel!U665:BL665)+ SUMIF(negtgel!U$2:BL$2,'Tsalin uzuulelt'!P$4,negtgel!U665:BL665)+ SUMIF(negtgel!U$2:BL$2,'Tsalin uzuulelt'!P$5,negtgel!U665:BL665)</f>
      </c>
      <c r="N665">
        <f>IF(ISNUMBER(U665*1)=CF665,0,K665-H665-G665)</f>
      </c>
      <c r="O665">
        <f>IF(ISNUMBER(U665*1)=CF665,0,L665)</f>
      </c>
      <c r="P665">
        <f>IF(ISNUMBER(U665*1)=CF665,0,M665)</f>
      </c>
      <c r="Q665">
        <f>IF(N665&gt;2400000,N665,0)</f>
      </c>
      <c r="R665">
        <f>IF(L665/Q665*100&lt;3,2,10)</f>
      </c>
      <c r="S665">
        <f>IF(CH665=0,0,IF(B665&gt;9,10,IF(B665&gt;8,B665,IF(B665&gt;7.7,7.8,IF(B665&gt;3,B665,IF(B665&gt;1.5,2))))))</f>
      </c>
      <c r="T665">
        <f>IF(Q665=0,S665,R665)</f>
      </c>
      <c r="U665" t="s">
        <v>3836</v>
      </c>
      <c r="V665"/>
      <c r="W665"/>
      <c r="X665"/>
      <c r="Y665"/>
      <c r="Z665"/>
      <c r="AA665"/>
      <c r="AB665"/>
      <c r="AC665"/>
      <c r="AD665"/>
      <c r="AE665"/>
      <c r="AF665"/>
      <c r="AG665"/>
      <c r="AH665"/>
      <c r="AI665"/>
      <c r="AJ665"/>
      <c r="AK665"/>
      <c r="AL665"/>
      <c r="AM665"/>
      <c r="AN665"/>
      <c r="AO665"/>
      <c r="AP665"/>
      <c r="AQ665"/>
      <c r="CH665">
        <f>IFERROR(U665*1,0)</f>
      </c>
    </row>
    <row r="666">
      <c r="A666" t="n">
        <v>10.0</v>
      </c>
      <c r="B666">
        <f>IF((K666-G666-H666&gt;2400000),10,(L666/(K666-G666-H666)*100))</f>
      </c>
      <c r="C666">
        <f>IF(N666&gt;2400000,240000,(N666*S666)/100)</f>
      </c>
      <c r="D666">
        <f>IF(S666=0,0,IF((N666-I666)&gt;2400000,((((((N666-I666-J666)-240000))*0.1+(I666+J666)*0.1)))-7000,((((((N666-I666-J666)-(N666-I666-J666)*S666/100)))*0.1+(I666+J666)*0.1)-7000)))</f>
      </c>
      <c r="E666">
        <f>C666-O666</f>
      </c>
      <c r="F666">
        <f>D666-P666</f>
      </c>
      <c r="G666">
        <f>SUMIF(negtgel!U$2:BL$2,'Tsalin uzuulelt'!B$1,negtgel!U666:BL666) + SUMIF(negtgel!U$2:BL$2,'Tsalin uzuulelt'!B$2,negtgel!U666:BL666)+SUMIF(negtgel!U$2:BL$2,'Tsalin uzuulelt'!B$3,negtgel!U666:BL666)+SUMIF(negtgel!U$2:BL$2,'Tsalin uzuulelt'!B$4,negtgel!U666:BL666)+SUMIF(negtgel!U$2:BL$2,'Tsalin uzuulelt'!B$5,negtgel!U666:BL666)</f>
      </c>
      <c r="H666">
        <f>SUMIF(negtgel!U$2:BL$2,'Tsalin uzuulelt'!F$1,negtgel!U666:BL666) + SUMIF(negtgel!U$2:BL$2,'Tsalin uzuulelt'!F$2,negtgel!U666:BL666)+SUMIF(negtgel!U$2:BL$2,'Tsalin uzuulelt'!F$3,negtgel!U666:BL666)+SUMIF(negtgel!U$2:BL$2,'Tsalin uzuulelt'!F$4,negtgel!U666:BL666)+SUMIF(negtgel!U$2:BL$2,'Tsalin uzuulelt'!F$5,negtgel!U666:BL666)</f>
      </c>
      <c r="I666">
        <f>SUMIF(negtgel!U$2:BL$2,'Tsalin uzuulelt'!H$1,negtgel!U666:BL666) + SUMIF(negtgel!U$2:BL$2,'Tsalin uzuulelt'!H$2,negtgel!U666:BL666)+SUMIF(negtgel!U$2:BL$2,'Tsalin uzuulelt'!H$3,negtgel!U666:BL666)+SUMIF(negtgel!U$2:BL$2,'Tsalin uzuulelt'!H$4,negtgel!U666:BL666)+SUMIF(negtgel!U$2:BL$2,'Tsalin uzuulelt'!H$5,negtgel!U666:BL666)</f>
      </c>
      <c r="J666">
        <f>SUMIF(negtgel!U$2:BL$2,'Tsalin uzuulelt'!J$1,negtgel!U666:BL666) + SUMIF(negtgel!U$2:BL$2,'Tsalin uzuulelt'!J$2,negtgel!U666:BL666)+SUMIF(negtgel!U$2:BL$2,'Tsalin uzuulelt'!J$3,negtgel!U666:BL666)+SUMIF(negtgel!U$2:BL$2,'Tsalin uzuulelt'!J$4,negtgel!U666:BL666)+SUMIF(negtgel!U$2:BL$2,'Tsalin uzuulelt'!J$5,negtgel!U666:BL666)</f>
      </c>
      <c r="K666">
        <f>SUMIF(negtgel!U$2:BL$2,'Tsalin uzuulelt'!L$1,negtgel!U666:BL666) + SUMIF(negtgel!U$2:BL$2,'Tsalin uzuulelt'!L$2,negtgel!U666:BL666)+SUMIF(negtgel!U$2:BL$2,'Tsalin uzuulelt'!L$3,negtgel!U666:BL666)+SUMIF(negtgel!U$2:BL$2,'Tsalin uzuulelt'!L$4,negtgel!U666:BL666)+SUMIF(negtgel!U$2:BL$2,'Tsalin uzuulelt'!L$5,negtgel!U666:BL666)</f>
      </c>
      <c r="L666">
        <f>SUMIF(negtgel!U$2:BL$2,'Tsalin uzuulelt'!N$1,negtgel!U666:BL666) + SUMIF(negtgel!U$2:BL$2,'Tsalin uzuulelt'!N$2,negtgel!U666:BL666)+SUMIF(negtgel!U$2:BL$2,'Tsalin uzuulelt'!N$3,negtgel!U666:BL666)+SUMIF(negtgel!U$2:BL$2,'Tsalin uzuulelt'!N$4,negtgel!U666:BL666)+SUMIF(negtgel!U$2:BL$2,'Tsalin uzuulelt'!N$5,negtgel!U666:BL666)</f>
      </c>
      <c r="M666">
        <f>SUMIF(negtgel!U$2:BL$2,'Tsalin uzuulelt'!P$1,negtgel!U666:BL666) + SUMIF(negtgel!U$2:BL$2,'Tsalin uzuulelt'!P$2,negtgel!U666:BL666)+ SUMIF(negtgel!U$2:BL$2,'Tsalin uzuulelt'!P$3,negtgel!U666:BL666)+ SUMIF(negtgel!U$2:BL$2,'Tsalin uzuulelt'!P$4,negtgel!U666:BL666)+ SUMIF(negtgel!U$2:BL$2,'Tsalin uzuulelt'!P$5,negtgel!U666:BL666)</f>
      </c>
      <c r="N666">
        <f>IF(ISNUMBER(U666*1)=CF666,0,K666-H666-G666)</f>
      </c>
      <c r="O666">
        <f>IF(ISNUMBER(U666*1)=CF666,0,L666)</f>
      </c>
      <c r="P666">
        <f>IF(ISNUMBER(U666*1)=CF666,0,M666)</f>
      </c>
      <c r="Q666">
        <f>IF(N666&gt;2400000,N666,0)</f>
      </c>
      <c r="R666">
        <f>IF(L666/Q666*100&lt;3,2,10)</f>
      </c>
      <c r="S666">
        <f>IF(CH666=0,0,IF(B666&gt;9,10,IF(B666&gt;8,B666,IF(B666&gt;7.7,7.8,IF(B666&gt;3,B666,IF(B666&gt;1.5,2))))))</f>
      </c>
      <c r="T666">
        <f>IF(Q666=0,S666,R666)</f>
      </c>
      <c r="U666" t="n">
        <v>80.0</v>
      </c>
      <c r="V666" t="s">
        <v>3837</v>
      </c>
      <c r="W666" t="s">
        <v>3820</v>
      </c>
      <c r="X666" t="n">
        <v>645556.0</v>
      </c>
      <c r="Y666" t="n">
        <v>645556.0</v>
      </c>
      <c r="Z666" t="n">
        <v>96833.0</v>
      </c>
      <c r="AA666" t="n">
        <v>129111.0</v>
      </c>
      <c r="AB666" t="n">
        <v>0.0</v>
      </c>
      <c r="AC666" t="n">
        <v>0.0</v>
      </c>
      <c r="AD666" t="n">
        <v>0.0</v>
      </c>
      <c r="AE666" t="n">
        <v>0.0</v>
      </c>
      <c r="AF666" t="n">
        <v>66000.0</v>
      </c>
      <c r="AG666" t="n">
        <v>0.0</v>
      </c>
      <c r="AH666" t="n">
        <v>0.0</v>
      </c>
      <c r="AI666" t="n">
        <v>0.0</v>
      </c>
      <c r="AJ666" t="n">
        <v>0.0</v>
      </c>
      <c r="AK666" t="n">
        <v>0.0</v>
      </c>
      <c r="AL666" t="n">
        <v>0.0</v>
      </c>
      <c r="AM666" t="n">
        <v>0.0</v>
      </c>
      <c r="AN666" t="n">
        <v>0.0</v>
      </c>
      <c r="AO666" t="n">
        <v>937500.0</v>
      </c>
      <c r="AP666" t="n">
        <v>93750.0</v>
      </c>
      <c r="AQ666" t="n">
        <v>78035.0</v>
      </c>
      <c r="CH666">
        <f>IFERROR(U666*1,0)</f>
      </c>
    </row>
    <row r="667">
      <c r="A667" t="n">
        <v>10.0</v>
      </c>
      <c r="B667">
        <f>IF((K667-G667-H667&gt;2400000),10,(L667/(K667-G667-H667)*100))</f>
      </c>
      <c r="C667">
        <f>IF(N667&gt;2400000,240000,(N667*S667)/100)</f>
      </c>
      <c r="D667">
        <f>IF(S667=0,0,IF((N667-I667)&gt;2400000,((((((N667-I667-J667)-240000))*0.1+(I667+J667)*0.1)))-7000,((((((N667-I667-J667)-(N667-I667-J667)*S667/100)))*0.1+(I667+J667)*0.1)-7000)))</f>
      </c>
      <c r="E667">
        <f>C667-O667</f>
      </c>
      <c r="F667">
        <f>D667-P667</f>
      </c>
      <c r="G667">
        <f>SUMIF(negtgel!U$2:BL$2,'Tsalin uzuulelt'!B$1,negtgel!U667:BL667) + SUMIF(negtgel!U$2:BL$2,'Tsalin uzuulelt'!B$2,negtgel!U667:BL667)+SUMIF(negtgel!U$2:BL$2,'Tsalin uzuulelt'!B$3,negtgel!U667:BL667)+SUMIF(negtgel!U$2:BL$2,'Tsalin uzuulelt'!B$4,negtgel!U667:BL667)+SUMIF(negtgel!U$2:BL$2,'Tsalin uzuulelt'!B$5,negtgel!U667:BL667)</f>
      </c>
      <c r="H667">
        <f>SUMIF(negtgel!U$2:BL$2,'Tsalin uzuulelt'!F$1,negtgel!U667:BL667) + SUMIF(negtgel!U$2:BL$2,'Tsalin uzuulelt'!F$2,negtgel!U667:BL667)+SUMIF(negtgel!U$2:BL$2,'Tsalin uzuulelt'!F$3,negtgel!U667:BL667)+SUMIF(negtgel!U$2:BL$2,'Tsalin uzuulelt'!F$4,negtgel!U667:BL667)+SUMIF(negtgel!U$2:BL$2,'Tsalin uzuulelt'!F$5,negtgel!U667:BL667)</f>
      </c>
      <c r="I667">
        <f>SUMIF(negtgel!U$2:BL$2,'Tsalin uzuulelt'!H$1,negtgel!U667:BL667) + SUMIF(negtgel!U$2:BL$2,'Tsalin uzuulelt'!H$2,negtgel!U667:BL667)+SUMIF(negtgel!U$2:BL$2,'Tsalin uzuulelt'!H$3,negtgel!U667:BL667)+SUMIF(negtgel!U$2:BL$2,'Tsalin uzuulelt'!H$4,negtgel!U667:BL667)+SUMIF(negtgel!U$2:BL$2,'Tsalin uzuulelt'!H$5,negtgel!U667:BL667)</f>
      </c>
      <c r="J667">
        <f>SUMIF(negtgel!U$2:BL$2,'Tsalin uzuulelt'!J$1,negtgel!U667:BL667) + SUMIF(negtgel!U$2:BL$2,'Tsalin uzuulelt'!J$2,negtgel!U667:BL667)+SUMIF(negtgel!U$2:BL$2,'Tsalin uzuulelt'!J$3,negtgel!U667:BL667)+SUMIF(negtgel!U$2:BL$2,'Tsalin uzuulelt'!J$4,negtgel!U667:BL667)+SUMIF(negtgel!U$2:BL$2,'Tsalin uzuulelt'!J$5,negtgel!U667:BL667)</f>
      </c>
      <c r="K667">
        <f>SUMIF(negtgel!U$2:BL$2,'Tsalin uzuulelt'!L$1,negtgel!U667:BL667) + SUMIF(negtgel!U$2:BL$2,'Tsalin uzuulelt'!L$2,negtgel!U667:BL667)+SUMIF(negtgel!U$2:BL$2,'Tsalin uzuulelt'!L$3,negtgel!U667:BL667)+SUMIF(negtgel!U$2:BL$2,'Tsalin uzuulelt'!L$4,negtgel!U667:BL667)+SUMIF(negtgel!U$2:BL$2,'Tsalin uzuulelt'!L$5,negtgel!U667:BL667)</f>
      </c>
      <c r="L667">
        <f>SUMIF(negtgel!U$2:BL$2,'Tsalin uzuulelt'!N$1,negtgel!U667:BL667) + SUMIF(negtgel!U$2:BL$2,'Tsalin uzuulelt'!N$2,negtgel!U667:BL667)+SUMIF(negtgel!U$2:BL$2,'Tsalin uzuulelt'!N$3,negtgel!U667:BL667)+SUMIF(negtgel!U$2:BL$2,'Tsalin uzuulelt'!N$4,negtgel!U667:BL667)+SUMIF(negtgel!U$2:BL$2,'Tsalin uzuulelt'!N$5,negtgel!U667:BL667)</f>
      </c>
      <c r="M667">
        <f>SUMIF(negtgel!U$2:BL$2,'Tsalin uzuulelt'!P$1,negtgel!U667:BL667) + SUMIF(negtgel!U$2:BL$2,'Tsalin uzuulelt'!P$2,negtgel!U667:BL667)+ SUMIF(negtgel!U$2:BL$2,'Tsalin uzuulelt'!P$3,negtgel!U667:BL667)+ SUMIF(negtgel!U$2:BL$2,'Tsalin uzuulelt'!P$4,negtgel!U667:BL667)+ SUMIF(negtgel!U$2:BL$2,'Tsalin uzuulelt'!P$5,negtgel!U667:BL667)</f>
      </c>
      <c r="N667">
        <f>IF(ISNUMBER(U667*1)=CF667,0,K667-H667-G667)</f>
      </c>
      <c r="O667">
        <f>IF(ISNUMBER(U667*1)=CF667,0,L667)</f>
      </c>
      <c r="P667">
        <f>IF(ISNUMBER(U667*1)=CF667,0,M667)</f>
      </c>
      <c r="Q667">
        <f>IF(N667&gt;2400000,N667,0)</f>
      </c>
      <c r="R667">
        <f>IF(L667/Q667*100&lt;3,2,10)</f>
      </c>
      <c r="S667">
        <f>IF(CH667=0,0,IF(B667&gt;9,10,IF(B667&gt;8,B667,IF(B667&gt;7.7,7.8,IF(B667&gt;3,B667,IF(B667&gt;1.5,2))))))</f>
      </c>
      <c r="T667">
        <f>IF(Q667=0,S667,R667)</f>
      </c>
      <c r="U667" t="n">
        <v>81.0</v>
      </c>
      <c r="V667" t="s">
        <v>3838</v>
      </c>
      <c r="W667" t="s">
        <v>3790</v>
      </c>
      <c r="X667" t="n">
        <v>677436.0</v>
      </c>
      <c r="Y667" t="n">
        <v>585058.0</v>
      </c>
      <c r="Z667" t="n">
        <v>146264.0</v>
      </c>
      <c r="AA667" t="n">
        <v>117012.0</v>
      </c>
      <c r="AB667" t="n">
        <v>0.0</v>
      </c>
      <c r="AC667" t="n">
        <v>0.0</v>
      </c>
      <c r="AD667" t="n">
        <v>0.0</v>
      </c>
      <c r="AE667" t="n">
        <v>0.0</v>
      </c>
      <c r="AF667" t="n">
        <v>57000.0</v>
      </c>
      <c r="AG667" t="n">
        <v>0.0</v>
      </c>
      <c r="AH667" t="n">
        <v>0.0</v>
      </c>
      <c r="AI667" t="n">
        <v>0.0</v>
      </c>
      <c r="AJ667" t="n">
        <v>0.0</v>
      </c>
      <c r="AK667" t="n">
        <v>0.0</v>
      </c>
      <c r="AL667" t="n">
        <v>0.0</v>
      </c>
      <c r="AM667" t="n">
        <v>0.0</v>
      </c>
      <c r="AN667" t="n">
        <v>0.0</v>
      </c>
      <c r="AO667" t="n">
        <v>905334.0</v>
      </c>
      <c r="AP667" t="n">
        <v>90534.0</v>
      </c>
      <c r="AQ667" t="n">
        <v>75050.1</v>
      </c>
      <c r="CH667">
        <f>IFERROR(U667*1,0)</f>
      </c>
    </row>
    <row r="668">
      <c r="A668" t="n">
        <v>10.0</v>
      </c>
      <c r="B668">
        <f>IF((K668-G668-H668&gt;2400000),10,(L668/(K668-G668-H668)*100))</f>
      </c>
      <c r="C668">
        <f>IF(N668&gt;2400000,240000,(N668*S668)/100)</f>
      </c>
      <c r="D668">
        <f>IF(S668=0,0,IF((N668-I668)&gt;2400000,((((((N668-I668-J668)-240000))*0.1+(I668+J668)*0.1)))-7000,((((((N668-I668-J668)-(N668-I668-J668)*S668/100)))*0.1+(I668+J668)*0.1)-7000)))</f>
      </c>
      <c r="E668">
        <f>C668-O668</f>
      </c>
      <c r="F668">
        <f>D668-P668</f>
      </c>
      <c r="G668">
        <f>SUMIF(negtgel!U$2:BL$2,'Tsalin uzuulelt'!B$1,negtgel!U668:BL668) + SUMIF(negtgel!U$2:BL$2,'Tsalin uzuulelt'!B$2,negtgel!U668:BL668)+SUMIF(negtgel!U$2:BL$2,'Tsalin uzuulelt'!B$3,negtgel!U668:BL668)+SUMIF(negtgel!U$2:BL$2,'Tsalin uzuulelt'!B$4,negtgel!U668:BL668)+SUMIF(negtgel!U$2:BL$2,'Tsalin uzuulelt'!B$5,negtgel!U668:BL668)</f>
      </c>
      <c r="H668">
        <f>SUMIF(negtgel!U$2:BL$2,'Tsalin uzuulelt'!F$1,negtgel!U668:BL668) + SUMIF(negtgel!U$2:BL$2,'Tsalin uzuulelt'!F$2,negtgel!U668:BL668)+SUMIF(negtgel!U$2:BL$2,'Tsalin uzuulelt'!F$3,negtgel!U668:BL668)+SUMIF(negtgel!U$2:BL$2,'Tsalin uzuulelt'!F$4,negtgel!U668:BL668)+SUMIF(negtgel!U$2:BL$2,'Tsalin uzuulelt'!F$5,negtgel!U668:BL668)</f>
      </c>
      <c r="I668">
        <f>SUMIF(negtgel!U$2:BL$2,'Tsalin uzuulelt'!H$1,negtgel!U668:BL668) + SUMIF(negtgel!U$2:BL$2,'Tsalin uzuulelt'!H$2,negtgel!U668:BL668)+SUMIF(negtgel!U$2:BL$2,'Tsalin uzuulelt'!H$3,negtgel!U668:BL668)+SUMIF(negtgel!U$2:BL$2,'Tsalin uzuulelt'!H$4,negtgel!U668:BL668)+SUMIF(negtgel!U$2:BL$2,'Tsalin uzuulelt'!H$5,negtgel!U668:BL668)</f>
      </c>
      <c r="J668">
        <f>SUMIF(negtgel!U$2:BL$2,'Tsalin uzuulelt'!J$1,negtgel!U668:BL668) + SUMIF(negtgel!U$2:BL$2,'Tsalin uzuulelt'!J$2,negtgel!U668:BL668)+SUMIF(negtgel!U$2:BL$2,'Tsalin uzuulelt'!J$3,negtgel!U668:BL668)+SUMIF(negtgel!U$2:BL$2,'Tsalin uzuulelt'!J$4,negtgel!U668:BL668)+SUMIF(negtgel!U$2:BL$2,'Tsalin uzuulelt'!J$5,negtgel!U668:BL668)</f>
      </c>
      <c r="K668">
        <f>SUMIF(negtgel!U$2:BL$2,'Tsalin uzuulelt'!L$1,negtgel!U668:BL668) + SUMIF(negtgel!U$2:BL$2,'Tsalin uzuulelt'!L$2,negtgel!U668:BL668)+SUMIF(negtgel!U$2:BL$2,'Tsalin uzuulelt'!L$3,negtgel!U668:BL668)+SUMIF(negtgel!U$2:BL$2,'Tsalin uzuulelt'!L$4,negtgel!U668:BL668)+SUMIF(negtgel!U$2:BL$2,'Tsalin uzuulelt'!L$5,negtgel!U668:BL668)</f>
      </c>
      <c r="L668">
        <f>SUMIF(negtgel!U$2:BL$2,'Tsalin uzuulelt'!N$1,negtgel!U668:BL668) + SUMIF(negtgel!U$2:BL$2,'Tsalin uzuulelt'!N$2,negtgel!U668:BL668)+SUMIF(negtgel!U$2:BL$2,'Tsalin uzuulelt'!N$3,negtgel!U668:BL668)+SUMIF(negtgel!U$2:BL$2,'Tsalin uzuulelt'!N$4,negtgel!U668:BL668)+SUMIF(negtgel!U$2:BL$2,'Tsalin uzuulelt'!N$5,negtgel!U668:BL668)</f>
      </c>
      <c r="M668">
        <f>SUMIF(negtgel!U$2:BL$2,'Tsalin uzuulelt'!P$1,negtgel!U668:BL668) + SUMIF(negtgel!U$2:BL$2,'Tsalin uzuulelt'!P$2,negtgel!U668:BL668)+ SUMIF(negtgel!U$2:BL$2,'Tsalin uzuulelt'!P$3,negtgel!U668:BL668)+ SUMIF(negtgel!U$2:BL$2,'Tsalin uzuulelt'!P$4,negtgel!U668:BL668)+ SUMIF(negtgel!U$2:BL$2,'Tsalin uzuulelt'!P$5,negtgel!U668:BL668)</f>
      </c>
      <c r="N668">
        <f>IF(ISNUMBER(U668*1)=CF668,0,K668-H668-G668)</f>
      </c>
      <c r="O668">
        <f>IF(ISNUMBER(U668*1)=CF668,0,L668)</f>
      </c>
      <c r="P668">
        <f>IF(ISNUMBER(U668*1)=CF668,0,M668)</f>
      </c>
      <c r="Q668">
        <f>IF(N668&gt;2400000,N668,0)</f>
      </c>
      <c r="R668">
        <f>IF(L668/Q668*100&lt;3,2,10)</f>
      </c>
      <c r="S668">
        <f>IF(CH668=0,0,IF(B668&gt;9,10,IF(B668&gt;8,B668,IF(B668&gt;7.7,7.8,IF(B668&gt;3,B668,IF(B668&gt;1.5,2))))))</f>
      </c>
      <c r="T668">
        <f>IF(Q668=0,S668,R668)</f>
      </c>
      <c r="U668" t="n">
        <v>82.0</v>
      </c>
      <c r="V668" t="s">
        <v>3839</v>
      </c>
      <c r="W668" t="s">
        <v>3790</v>
      </c>
      <c r="X668" t="n">
        <v>677436.0</v>
      </c>
      <c r="Y668" t="n">
        <v>677436.0</v>
      </c>
      <c r="Z668" t="n">
        <v>135487.0</v>
      </c>
      <c r="AA668" t="n">
        <v>149036.0</v>
      </c>
      <c r="AB668" t="n">
        <v>0.0</v>
      </c>
      <c r="AC668" t="n">
        <v>0.0</v>
      </c>
      <c r="AD668" t="n">
        <v>0.0</v>
      </c>
      <c r="AE668" t="n">
        <v>0.0</v>
      </c>
      <c r="AF668" t="n">
        <v>66000.0</v>
      </c>
      <c r="AG668" t="n">
        <v>0.0</v>
      </c>
      <c r="AH668" t="n">
        <v>0.0</v>
      </c>
      <c r="AI668" t="n">
        <v>0.0</v>
      </c>
      <c r="AJ668" t="n">
        <v>0.0</v>
      </c>
      <c r="AK668" t="n">
        <v>0.0</v>
      </c>
      <c r="AL668" t="n">
        <v>0.0</v>
      </c>
      <c r="AM668" t="n">
        <v>0.0</v>
      </c>
      <c r="AN668" t="n">
        <v>0.0</v>
      </c>
      <c r="AO668" t="n">
        <v>1027959.0</v>
      </c>
      <c r="AP668" t="n">
        <v>102796.0</v>
      </c>
      <c r="AQ668" t="n">
        <v>86176.3</v>
      </c>
      <c r="CH668">
        <f>IFERROR(U668*1,0)</f>
      </c>
    </row>
    <row r="669">
      <c r="A669" t="n">
        <v>10.0</v>
      </c>
      <c r="B669">
        <f>IF((K669-G669-H669&gt;2400000),10,(L669/(K669-G669-H669)*100))</f>
      </c>
      <c r="C669">
        <f>IF(N669&gt;2400000,240000,(N669*S669)/100)</f>
      </c>
      <c r="D669">
        <f>IF(S669=0,0,IF((N669-I669)&gt;2400000,((((((N669-I669-J669)-240000))*0.1+(I669+J669)*0.1)))-7000,((((((N669-I669-J669)-(N669-I669-J669)*S669/100)))*0.1+(I669+J669)*0.1)-7000)))</f>
      </c>
      <c r="E669">
        <f>C669-O669</f>
      </c>
      <c r="F669">
        <f>D669-P669</f>
      </c>
      <c r="G669">
        <f>SUMIF(negtgel!U$2:BL$2,'Tsalin uzuulelt'!B$1,negtgel!U669:BL669) + SUMIF(negtgel!U$2:BL$2,'Tsalin uzuulelt'!B$2,negtgel!U669:BL669)+SUMIF(negtgel!U$2:BL$2,'Tsalin uzuulelt'!B$3,negtgel!U669:BL669)+SUMIF(negtgel!U$2:BL$2,'Tsalin uzuulelt'!B$4,negtgel!U669:BL669)+SUMIF(negtgel!U$2:BL$2,'Tsalin uzuulelt'!B$5,negtgel!U669:BL669)</f>
      </c>
      <c r="H669">
        <f>SUMIF(negtgel!U$2:BL$2,'Tsalin uzuulelt'!F$1,negtgel!U669:BL669) + SUMIF(negtgel!U$2:BL$2,'Tsalin uzuulelt'!F$2,negtgel!U669:BL669)+SUMIF(negtgel!U$2:BL$2,'Tsalin uzuulelt'!F$3,negtgel!U669:BL669)+SUMIF(negtgel!U$2:BL$2,'Tsalin uzuulelt'!F$4,negtgel!U669:BL669)+SUMIF(negtgel!U$2:BL$2,'Tsalin uzuulelt'!F$5,negtgel!U669:BL669)</f>
      </c>
      <c r="I669">
        <f>SUMIF(negtgel!U$2:BL$2,'Tsalin uzuulelt'!H$1,negtgel!U669:BL669) + SUMIF(negtgel!U$2:BL$2,'Tsalin uzuulelt'!H$2,negtgel!U669:BL669)+SUMIF(negtgel!U$2:BL$2,'Tsalin uzuulelt'!H$3,negtgel!U669:BL669)+SUMIF(negtgel!U$2:BL$2,'Tsalin uzuulelt'!H$4,negtgel!U669:BL669)+SUMIF(negtgel!U$2:BL$2,'Tsalin uzuulelt'!H$5,negtgel!U669:BL669)</f>
      </c>
      <c r="J669">
        <f>SUMIF(negtgel!U$2:BL$2,'Tsalin uzuulelt'!J$1,negtgel!U669:BL669) + SUMIF(negtgel!U$2:BL$2,'Tsalin uzuulelt'!J$2,negtgel!U669:BL669)+SUMIF(negtgel!U$2:BL$2,'Tsalin uzuulelt'!J$3,negtgel!U669:BL669)+SUMIF(negtgel!U$2:BL$2,'Tsalin uzuulelt'!J$4,negtgel!U669:BL669)+SUMIF(negtgel!U$2:BL$2,'Tsalin uzuulelt'!J$5,negtgel!U669:BL669)</f>
      </c>
      <c r="K669">
        <f>SUMIF(negtgel!U$2:BL$2,'Tsalin uzuulelt'!L$1,negtgel!U669:BL669) + SUMIF(negtgel!U$2:BL$2,'Tsalin uzuulelt'!L$2,negtgel!U669:BL669)+SUMIF(negtgel!U$2:BL$2,'Tsalin uzuulelt'!L$3,negtgel!U669:BL669)+SUMIF(negtgel!U$2:BL$2,'Tsalin uzuulelt'!L$4,negtgel!U669:BL669)+SUMIF(negtgel!U$2:BL$2,'Tsalin uzuulelt'!L$5,negtgel!U669:BL669)</f>
      </c>
      <c r="L669">
        <f>SUMIF(negtgel!U$2:BL$2,'Tsalin uzuulelt'!N$1,negtgel!U669:BL669) + SUMIF(negtgel!U$2:BL$2,'Tsalin uzuulelt'!N$2,negtgel!U669:BL669)+SUMIF(negtgel!U$2:BL$2,'Tsalin uzuulelt'!N$3,negtgel!U669:BL669)+SUMIF(negtgel!U$2:BL$2,'Tsalin uzuulelt'!N$4,negtgel!U669:BL669)+SUMIF(negtgel!U$2:BL$2,'Tsalin uzuulelt'!N$5,negtgel!U669:BL669)</f>
      </c>
      <c r="M669">
        <f>SUMIF(negtgel!U$2:BL$2,'Tsalin uzuulelt'!P$1,negtgel!U669:BL669) + SUMIF(negtgel!U$2:BL$2,'Tsalin uzuulelt'!P$2,negtgel!U669:BL669)+ SUMIF(negtgel!U$2:BL$2,'Tsalin uzuulelt'!P$3,negtgel!U669:BL669)+ SUMIF(negtgel!U$2:BL$2,'Tsalin uzuulelt'!P$4,negtgel!U669:BL669)+ SUMIF(negtgel!U$2:BL$2,'Tsalin uzuulelt'!P$5,negtgel!U669:BL669)</f>
      </c>
      <c r="N669">
        <f>IF(ISNUMBER(U669*1)=CF669,0,K669-H669-G669)</f>
      </c>
      <c r="O669">
        <f>IF(ISNUMBER(U669*1)=CF669,0,L669)</f>
      </c>
      <c r="P669">
        <f>IF(ISNUMBER(U669*1)=CF669,0,M669)</f>
      </c>
      <c r="Q669">
        <f>IF(N669&gt;2400000,N669,0)</f>
      </c>
      <c r="R669">
        <f>IF(L669/Q669*100&lt;3,2,10)</f>
      </c>
      <c r="S669">
        <f>IF(CH669=0,0,IF(B669&gt;9,10,IF(B669&gt;8,B669,IF(B669&gt;7.7,7.8,IF(B669&gt;3,B669,IF(B669&gt;1.5,2))))))</f>
      </c>
      <c r="T669">
        <f>IF(Q669=0,S669,R669)</f>
      </c>
      <c r="U669" t="n">
        <v>83.0</v>
      </c>
      <c r="V669" t="s">
        <v>3840</v>
      </c>
      <c r="W669" t="s">
        <v>3820</v>
      </c>
      <c r="X669" t="n">
        <v>677436.0</v>
      </c>
      <c r="Y669" t="n">
        <v>677436.0</v>
      </c>
      <c r="Z669" t="n">
        <v>135487.0</v>
      </c>
      <c r="AA669" t="n">
        <v>135487.0</v>
      </c>
      <c r="AB669" t="n">
        <v>33872.0</v>
      </c>
      <c r="AC669" t="n">
        <v>0.0</v>
      </c>
      <c r="AD669" t="n">
        <v>0.0</v>
      </c>
      <c r="AE669" t="n">
        <v>0.0</v>
      </c>
      <c r="AF669" t="n">
        <v>66000.0</v>
      </c>
      <c r="AG669" t="n">
        <v>0.0</v>
      </c>
      <c r="AH669" t="n">
        <v>0.0</v>
      </c>
      <c r="AI669" t="n">
        <v>0.0</v>
      </c>
      <c r="AJ669" t="n">
        <v>0.0</v>
      </c>
      <c r="AK669" t="n">
        <v>0.0</v>
      </c>
      <c r="AL669" t="n">
        <v>0.0</v>
      </c>
      <c r="AM669" t="n">
        <v>0.0</v>
      </c>
      <c r="AN669" t="n">
        <v>0.0</v>
      </c>
      <c r="AO669" t="n">
        <v>1048282.0</v>
      </c>
      <c r="AP669" t="n">
        <v>104829.0</v>
      </c>
      <c r="AQ669" t="n">
        <v>88005.4</v>
      </c>
      <c r="CH669">
        <f>IFERROR(U669*1,0)</f>
      </c>
    </row>
    <row r="670">
      <c r="A670" t="n">
        <v>10.0</v>
      </c>
      <c r="B670">
        <f>IF((K670-G670-H670&gt;2400000),10,(L670/(K670-G670-H670)*100))</f>
      </c>
      <c r="C670">
        <f>IF(N670&gt;2400000,240000,(N670*S670)/100)</f>
      </c>
      <c r="D670">
        <f>IF(S670=0,0,IF((N670-I670)&gt;2400000,((((((N670-I670-J670)-240000))*0.1+(I670+J670)*0.1)))-7000,((((((N670-I670-J670)-(N670-I670-J670)*S670/100)))*0.1+(I670+J670)*0.1)-7000)))</f>
      </c>
      <c r="E670">
        <f>C670-O670</f>
      </c>
      <c r="F670">
        <f>D670-P670</f>
      </c>
      <c r="G670">
        <f>SUMIF(negtgel!U$2:BL$2,'Tsalin uzuulelt'!B$1,negtgel!U670:BL670) + SUMIF(negtgel!U$2:BL$2,'Tsalin uzuulelt'!B$2,negtgel!U670:BL670)+SUMIF(negtgel!U$2:BL$2,'Tsalin uzuulelt'!B$3,negtgel!U670:BL670)+SUMIF(negtgel!U$2:BL$2,'Tsalin uzuulelt'!B$4,negtgel!U670:BL670)+SUMIF(negtgel!U$2:BL$2,'Tsalin uzuulelt'!B$5,negtgel!U670:BL670)</f>
      </c>
      <c r="H670">
        <f>SUMIF(negtgel!U$2:BL$2,'Tsalin uzuulelt'!F$1,negtgel!U670:BL670) + SUMIF(negtgel!U$2:BL$2,'Tsalin uzuulelt'!F$2,negtgel!U670:BL670)+SUMIF(negtgel!U$2:BL$2,'Tsalin uzuulelt'!F$3,negtgel!U670:BL670)+SUMIF(negtgel!U$2:BL$2,'Tsalin uzuulelt'!F$4,negtgel!U670:BL670)+SUMIF(negtgel!U$2:BL$2,'Tsalin uzuulelt'!F$5,negtgel!U670:BL670)</f>
      </c>
      <c r="I670">
        <f>SUMIF(negtgel!U$2:BL$2,'Tsalin uzuulelt'!H$1,negtgel!U670:BL670) + SUMIF(negtgel!U$2:BL$2,'Tsalin uzuulelt'!H$2,negtgel!U670:BL670)+SUMIF(negtgel!U$2:BL$2,'Tsalin uzuulelt'!H$3,negtgel!U670:BL670)+SUMIF(negtgel!U$2:BL$2,'Tsalin uzuulelt'!H$4,negtgel!U670:BL670)+SUMIF(negtgel!U$2:BL$2,'Tsalin uzuulelt'!H$5,negtgel!U670:BL670)</f>
      </c>
      <c r="J670">
        <f>SUMIF(negtgel!U$2:BL$2,'Tsalin uzuulelt'!J$1,negtgel!U670:BL670) + SUMIF(negtgel!U$2:BL$2,'Tsalin uzuulelt'!J$2,negtgel!U670:BL670)+SUMIF(negtgel!U$2:BL$2,'Tsalin uzuulelt'!J$3,negtgel!U670:BL670)+SUMIF(negtgel!U$2:BL$2,'Tsalin uzuulelt'!J$4,negtgel!U670:BL670)+SUMIF(negtgel!U$2:BL$2,'Tsalin uzuulelt'!J$5,negtgel!U670:BL670)</f>
      </c>
      <c r="K670">
        <f>SUMIF(negtgel!U$2:BL$2,'Tsalin uzuulelt'!L$1,negtgel!U670:BL670) + SUMIF(negtgel!U$2:BL$2,'Tsalin uzuulelt'!L$2,negtgel!U670:BL670)+SUMIF(negtgel!U$2:BL$2,'Tsalin uzuulelt'!L$3,negtgel!U670:BL670)+SUMIF(negtgel!U$2:BL$2,'Tsalin uzuulelt'!L$4,negtgel!U670:BL670)+SUMIF(negtgel!U$2:BL$2,'Tsalin uzuulelt'!L$5,negtgel!U670:BL670)</f>
      </c>
      <c r="L670">
        <f>SUMIF(negtgel!U$2:BL$2,'Tsalin uzuulelt'!N$1,negtgel!U670:BL670) + SUMIF(negtgel!U$2:BL$2,'Tsalin uzuulelt'!N$2,negtgel!U670:BL670)+SUMIF(negtgel!U$2:BL$2,'Tsalin uzuulelt'!N$3,negtgel!U670:BL670)+SUMIF(negtgel!U$2:BL$2,'Tsalin uzuulelt'!N$4,negtgel!U670:BL670)+SUMIF(negtgel!U$2:BL$2,'Tsalin uzuulelt'!N$5,negtgel!U670:BL670)</f>
      </c>
      <c r="M670">
        <f>SUMIF(negtgel!U$2:BL$2,'Tsalin uzuulelt'!P$1,negtgel!U670:BL670) + SUMIF(negtgel!U$2:BL$2,'Tsalin uzuulelt'!P$2,negtgel!U670:BL670)+ SUMIF(negtgel!U$2:BL$2,'Tsalin uzuulelt'!P$3,negtgel!U670:BL670)+ SUMIF(negtgel!U$2:BL$2,'Tsalin uzuulelt'!P$4,negtgel!U670:BL670)+ SUMIF(negtgel!U$2:BL$2,'Tsalin uzuulelt'!P$5,negtgel!U670:BL670)</f>
      </c>
      <c r="N670">
        <f>IF(ISNUMBER(U670*1)=CF670,0,K670-H670-G670)</f>
      </c>
      <c r="O670">
        <f>IF(ISNUMBER(U670*1)=CF670,0,L670)</f>
      </c>
      <c r="P670">
        <f>IF(ISNUMBER(U670*1)=CF670,0,M670)</f>
      </c>
      <c r="Q670">
        <f>IF(N670&gt;2400000,N670,0)</f>
      </c>
      <c r="R670">
        <f>IF(L670/Q670*100&lt;3,2,10)</f>
      </c>
      <c r="S670">
        <f>IF(CH670=0,0,IF(B670&gt;9,10,IF(B670&gt;8,B670,IF(B670&gt;7.7,7.8,IF(B670&gt;3,B670,IF(B670&gt;1.5,2))))))</f>
      </c>
      <c r="T670">
        <f>IF(Q670=0,S670,R670)</f>
      </c>
      <c r="U670" t="n">
        <v>84.0</v>
      </c>
      <c r="V670" t="s">
        <v>3841</v>
      </c>
      <c r="W670" t="s">
        <v>3790</v>
      </c>
      <c r="X670" t="n">
        <v>613669.0</v>
      </c>
      <c r="Y670" t="n">
        <v>613669.0</v>
      </c>
      <c r="Z670" t="n">
        <v>30683.0</v>
      </c>
      <c r="AA670" t="n">
        <v>110460.0</v>
      </c>
      <c r="AB670" t="n">
        <v>0.0</v>
      </c>
      <c r="AC670" t="n">
        <v>0.0</v>
      </c>
      <c r="AD670" t="n">
        <v>0.0</v>
      </c>
      <c r="AE670" t="n">
        <v>0.0</v>
      </c>
      <c r="AF670" t="n">
        <v>66000.0</v>
      </c>
      <c r="AG670" t="n">
        <v>0.0</v>
      </c>
      <c r="AH670" t="n">
        <v>0.0</v>
      </c>
      <c r="AI670" t="n">
        <v>0.0</v>
      </c>
      <c r="AJ670" t="n">
        <v>0.0</v>
      </c>
      <c r="AK670" t="n">
        <v>0.0</v>
      </c>
      <c r="AL670" t="n">
        <v>0.0</v>
      </c>
      <c r="AM670" t="n">
        <v>0.0</v>
      </c>
      <c r="AN670" t="n">
        <v>0.0</v>
      </c>
      <c r="AO670" t="n">
        <v>820812.0</v>
      </c>
      <c r="AP670" t="n">
        <v>82081.0</v>
      </c>
      <c r="AQ670" t="n">
        <v>67533.1</v>
      </c>
      <c r="CH670">
        <f>IFERROR(U670*1,0)</f>
      </c>
    </row>
    <row r="671">
      <c r="A671" t="n">
        <v>10.0</v>
      </c>
      <c r="B671">
        <f>IF((K671-G671-H671&gt;2400000),10,(L671/(K671-G671-H671)*100))</f>
      </c>
      <c r="C671">
        <f>IF(N671&gt;2400000,240000,(N671*S671)/100)</f>
      </c>
      <c r="D671">
        <f>IF(S671=0,0,IF((N671-I671)&gt;2400000,((((((N671-I671-J671)-240000))*0.1+(I671+J671)*0.1)))-7000,((((((N671-I671-J671)-(N671-I671-J671)*S671/100)))*0.1+(I671+J671)*0.1)-7000)))</f>
      </c>
      <c r="E671">
        <f>C671-O671</f>
      </c>
      <c r="F671">
        <f>D671-P671</f>
      </c>
      <c r="G671">
        <f>SUMIF(negtgel!U$2:BL$2,'Tsalin uzuulelt'!B$1,negtgel!U671:BL671) + SUMIF(negtgel!U$2:BL$2,'Tsalin uzuulelt'!B$2,negtgel!U671:BL671)+SUMIF(negtgel!U$2:BL$2,'Tsalin uzuulelt'!B$3,negtgel!U671:BL671)+SUMIF(negtgel!U$2:BL$2,'Tsalin uzuulelt'!B$4,negtgel!U671:BL671)+SUMIF(negtgel!U$2:BL$2,'Tsalin uzuulelt'!B$5,negtgel!U671:BL671)</f>
      </c>
      <c r="H671">
        <f>SUMIF(negtgel!U$2:BL$2,'Tsalin uzuulelt'!F$1,negtgel!U671:BL671) + SUMIF(negtgel!U$2:BL$2,'Tsalin uzuulelt'!F$2,negtgel!U671:BL671)+SUMIF(negtgel!U$2:BL$2,'Tsalin uzuulelt'!F$3,negtgel!U671:BL671)+SUMIF(negtgel!U$2:BL$2,'Tsalin uzuulelt'!F$4,negtgel!U671:BL671)+SUMIF(negtgel!U$2:BL$2,'Tsalin uzuulelt'!F$5,negtgel!U671:BL671)</f>
      </c>
      <c r="I671">
        <f>SUMIF(negtgel!U$2:BL$2,'Tsalin uzuulelt'!H$1,negtgel!U671:BL671) + SUMIF(negtgel!U$2:BL$2,'Tsalin uzuulelt'!H$2,negtgel!U671:BL671)+SUMIF(negtgel!U$2:BL$2,'Tsalin uzuulelt'!H$3,negtgel!U671:BL671)+SUMIF(negtgel!U$2:BL$2,'Tsalin uzuulelt'!H$4,negtgel!U671:BL671)+SUMIF(negtgel!U$2:BL$2,'Tsalin uzuulelt'!H$5,negtgel!U671:BL671)</f>
      </c>
      <c r="J671">
        <f>SUMIF(negtgel!U$2:BL$2,'Tsalin uzuulelt'!J$1,negtgel!U671:BL671) + SUMIF(negtgel!U$2:BL$2,'Tsalin uzuulelt'!J$2,negtgel!U671:BL671)+SUMIF(negtgel!U$2:BL$2,'Tsalin uzuulelt'!J$3,negtgel!U671:BL671)+SUMIF(negtgel!U$2:BL$2,'Tsalin uzuulelt'!J$4,negtgel!U671:BL671)+SUMIF(negtgel!U$2:BL$2,'Tsalin uzuulelt'!J$5,negtgel!U671:BL671)</f>
      </c>
      <c r="K671">
        <f>SUMIF(negtgel!U$2:BL$2,'Tsalin uzuulelt'!L$1,negtgel!U671:BL671) + SUMIF(negtgel!U$2:BL$2,'Tsalin uzuulelt'!L$2,negtgel!U671:BL671)+SUMIF(negtgel!U$2:BL$2,'Tsalin uzuulelt'!L$3,negtgel!U671:BL671)+SUMIF(negtgel!U$2:BL$2,'Tsalin uzuulelt'!L$4,negtgel!U671:BL671)+SUMIF(negtgel!U$2:BL$2,'Tsalin uzuulelt'!L$5,negtgel!U671:BL671)</f>
      </c>
      <c r="L671">
        <f>SUMIF(negtgel!U$2:BL$2,'Tsalin uzuulelt'!N$1,negtgel!U671:BL671) + SUMIF(negtgel!U$2:BL$2,'Tsalin uzuulelt'!N$2,negtgel!U671:BL671)+SUMIF(negtgel!U$2:BL$2,'Tsalin uzuulelt'!N$3,negtgel!U671:BL671)+SUMIF(negtgel!U$2:BL$2,'Tsalin uzuulelt'!N$4,negtgel!U671:BL671)+SUMIF(negtgel!U$2:BL$2,'Tsalin uzuulelt'!N$5,negtgel!U671:BL671)</f>
      </c>
      <c r="M671">
        <f>SUMIF(negtgel!U$2:BL$2,'Tsalin uzuulelt'!P$1,negtgel!U671:BL671) + SUMIF(negtgel!U$2:BL$2,'Tsalin uzuulelt'!P$2,negtgel!U671:BL671)+ SUMIF(negtgel!U$2:BL$2,'Tsalin uzuulelt'!P$3,negtgel!U671:BL671)+ SUMIF(negtgel!U$2:BL$2,'Tsalin uzuulelt'!P$4,negtgel!U671:BL671)+ SUMIF(negtgel!U$2:BL$2,'Tsalin uzuulelt'!P$5,negtgel!U671:BL671)</f>
      </c>
      <c r="N671">
        <f>IF(ISNUMBER(U671*1)=CF671,0,K671-H671-G671)</f>
      </c>
      <c r="O671">
        <f>IF(ISNUMBER(U671*1)=CF671,0,L671)</f>
      </c>
      <c r="P671">
        <f>IF(ISNUMBER(U671*1)=CF671,0,M671)</f>
      </c>
      <c r="Q671">
        <f>IF(N671&gt;2400000,N671,0)</f>
      </c>
      <c r="R671">
        <f>IF(L671/Q671*100&lt;3,2,10)</f>
      </c>
      <c r="S671">
        <f>IF(CH671=0,0,IF(B671&gt;9,10,IF(B671&gt;8,B671,IF(B671&gt;7.7,7.8,IF(B671&gt;3,B671,IF(B671&gt;1.5,2))))))</f>
      </c>
      <c r="T671">
        <f>IF(Q671=0,S671,R671)</f>
      </c>
      <c r="U671" t="n">
        <v>85.0</v>
      </c>
      <c r="V671" t="s">
        <v>3842</v>
      </c>
      <c r="W671" t="s">
        <v>3790</v>
      </c>
      <c r="X671" t="n">
        <v>645556.0</v>
      </c>
      <c r="Y671" t="n">
        <v>645556.0</v>
      </c>
      <c r="Z671" t="n">
        <v>109745.0</v>
      </c>
      <c r="AA671" t="n">
        <v>116200.0</v>
      </c>
      <c r="AB671" t="n">
        <v>0.0</v>
      </c>
      <c r="AC671" t="n">
        <v>0.0</v>
      </c>
      <c r="AD671" t="n">
        <v>0.0</v>
      </c>
      <c r="AE671" t="n">
        <v>0.0</v>
      </c>
      <c r="AF671" t="n">
        <v>66000.0</v>
      </c>
      <c r="AG671" t="n">
        <v>0.0</v>
      </c>
      <c r="AH671" t="n">
        <v>0.0</v>
      </c>
      <c r="AI671" t="n">
        <v>0.0</v>
      </c>
      <c r="AJ671" t="n">
        <v>0.0</v>
      </c>
      <c r="AK671" t="n">
        <v>0.0</v>
      </c>
      <c r="AL671" t="n">
        <v>0.0</v>
      </c>
      <c r="AM671" t="n">
        <v>0.0</v>
      </c>
      <c r="AN671" t="n">
        <v>0.0</v>
      </c>
      <c r="AO671" t="n">
        <v>937501.0</v>
      </c>
      <c r="AP671" t="n">
        <v>93750.0</v>
      </c>
      <c r="AQ671" t="n">
        <v>78035.1</v>
      </c>
      <c r="CH671">
        <f>IFERROR(U671*1,0)</f>
      </c>
    </row>
    <row r="672">
      <c r="A672" t="n">
        <v>10.0</v>
      </c>
      <c r="B672">
        <f>IF((K672-G672-H672&gt;2400000),10,(L672/(K672-G672-H672)*100))</f>
      </c>
      <c r="C672">
        <f>IF(N672&gt;2400000,240000,(N672*S672)/100)</f>
      </c>
      <c r="D672">
        <f>IF(S672=0,0,IF((N672-I672)&gt;2400000,((((((N672-I672-J672)-240000))*0.1+(I672+J672)*0.1)))-7000,((((((N672-I672-J672)-(N672-I672-J672)*S672/100)))*0.1+(I672+J672)*0.1)-7000)))</f>
      </c>
      <c r="E672">
        <f>C672-O672</f>
      </c>
      <c r="F672">
        <f>D672-P672</f>
      </c>
      <c r="G672">
        <f>SUMIF(negtgel!U$2:BL$2,'Tsalin uzuulelt'!B$1,negtgel!U672:BL672) + SUMIF(negtgel!U$2:BL$2,'Tsalin uzuulelt'!B$2,negtgel!U672:BL672)+SUMIF(negtgel!U$2:BL$2,'Tsalin uzuulelt'!B$3,negtgel!U672:BL672)+SUMIF(negtgel!U$2:BL$2,'Tsalin uzuulelt'!B$4,negtgel!U672:BL672)+SUMIF(negtgel!U$2:BL$2,'Tsalin uzuulelt'!B$5,negtgel!U672:BL672)</f>
      </c>
      <c r="H672">
        <f>SUMIF(negtgel!U$2:BL$2,'Tsalin uzuulelt'!F$1,negtgel!U672:BL672) + SUMIF(negtgel!U$2:BL$2,'Tsalin uzuulelt'!F$2,negtgel!U672:BL672)+SUMIF(negtgel!U$2:BL$2,'Tsalin uzuulelt'!F$3,negtgel!U672:BL672)+SUMIF(negtgel!U$2:BL$2,'Tsalin uzuulelt'!F$4,negtgel!U672:BL672)+SUMIF(negtgel!U$2:BL$2,'Tsalin uzuulelt'!F$5,negtgel!U672:BL672)</f>
      </c>
      <c r="I672">
        <f>SUMIF(negtgel!U$2:BL$2,'Tsalin uzuulelt'!H$1,negtgel!U672:BL672) + SUMIF(negtgel!U$2:BL$2,'Tsalin uzuulelt'!H$2,negtgel!U672:BL672)+SUMIF(negtgel!U$2:BL$2,'Tsalin uzuulelt'!H$3,negtgel!U672:BL672)+SUMIF(negtgel!U$2:BL$2,'Tsalin uzuulelt'!H$4,negtgel!U672:BL672)+SUMIF(negtgel!U$2:BL$2,'Tsalin uzuulelt'!H$5,negtgel!U672:BL672)</f>
      </c>
      <c r="J672">
        <f>SUMIF(negtgel!U$2:BL$2,'Tsalin uzuulelt'!J$1,negtgel!U672:BL672) + SUMIF(negtgel!U$2:BL$2,'Tsalin uzuulelt'!J$2,negtgel!U672:BL672)+SUMIF(negtgel!U$2:BL$2,'Tsalin uzuulelt'!J$3,negtgel!U672:BL672)+SUMIF(negtgel!U$2:BL$2,'Tsalin uzuulelt'!J$4,negtgel!U672:BL672)+SUMIF(negtgel!U$2:BL$2,'Tsalin uzuulelt'!J$5,negtgel!U672:BL672)</f>
      </c>
      <c r="K672">
        <f>SUMIF(negtgel!U$2:BL$2,'Tsalin uzuulelt'!L$1,negtgel!U672:BL672) + SUMIF(negtgel!U$2:BL$2,'Tsalin uzuulelt'!L$2,negtgel!U672:BL672)+SUMIF(negtgel!U$2:BL$2,'Tsalin uzuulelt'!L$3,negtgel!U672:BL672)+SUMIF(negtgel!U$2:BL$2,'Tsalin uzuulelt'!L$4,negtgel!U672:BL672)+SUMIF(negtgel!U$2:BL$2,'Tsalin uzuulelt'!L$5,negtgel!U672:BL672)</f>
      </c>
      <c r="L672">
        <f>SUMIF(negtgel!U$2:BL$2,'Tsalin uzuulelt'!N$1,negtgel!U672:BL672) + SUMIF(negtgel!U$2:BL$2,'Tsalin uzuulelt'!N$2,negtgel!U672:BL672)+SUMIF(negtgel!U$2:BL$2,'Tsalin uzuulelt'!N$3,negtgel!U672:BL672)+SUMIF(negtgel!U$2:BL$2,'Tsalin uzuulelt'!N$4,negtgel!U672:BL672)+SUMIF(negtgel!U$2:BL$2,'Tsalin uzuulelt'!N$5,negtgel!U672:BL672)</f>
      </c>
      <c r="M672">
        <f>SUMIF(negtgel!U$2:BL$2,'Tsalin uzuulelt'!P$1,negtgel!U672:BL672) + SUMIF(negtgel!U$2:BL$2,'Tsalin uzuulelt'!P$2,negtgel!U672:BL672)+ SUMIF(negtgel!U$2:BL$2,'Tsalin uzuulelt'!P$3,negtgel!U672:BL672)+ SUMIF(negtgel!U$2:BL$2,'Tsalin uzuulelt'!P$4,negtgel!U672:BL672)+ SUMIF(negtgel!U$2:BL$2,'Tsalin uzuulelt'!P$5,negtgel!U672:BL672)</f>
      </c>
      <c r="N672">
        <f>IF(ISNUMBER(U672*1)=CF672,0,K672-H672-G672)</f>
      </c>
      <c r="O672">
        <f>IF(ISNUMBER(U672*1)=CF672,0,L672)</f>
      </c>
      <c r="P672">
        <f>IF(ISNUMBER(U672*1)=CF672,0,M672)</f>
      </c>
      <c r="Q672">
        <f>IF(N672&gt;2400000,N672,0)</f>
      </c>
      <c r="R672">
        <f>IF(L672/Q672*100&lt;3,2,10)</f>
      </c>
      <c r="S672">
        <f>IF(CH672=0,0,IF(B672&gt;9,10,IF(B672&gt;8,B672,IF(B672&gt;7.7,7.8,IF(B672&gt;3,B672,IF(B672&gt;1.5,2))))))</f>
      </c>
      <c r="T672">
        <f>IF(Q672=0,S672,R672)</f>
      </c>
      <c r="U672" t="n">
        <v>86.0</v>
      </c>
      <c r="V672" t="s">
        <v>3843</v>
      </c>
      <c r="W672" t="s">
        <v>3820</v>
      </c>
      <c r="X672" t="n">
        <v>698795.0</v>
      </c>
      <c r="Y672" t="n">
        <v>698795.0</v>
      </c>
      <c r="Z672" t="n">
        <v>139759.0</v>
      </c>
      <c r="AA672" t="n">
        <v>139759.0</v>
      </c>
      <c r="AB672" t="n">
        <v>0.0</v>
      </c>
      <c r="AC672" t="n">
        <v>0.0</v>
      </c>
      <c r="AD672" t="n">
        <v>0.0</v>
      </c>
      <c r="AE672" t="n">
        <v>0.0</v>
      </c>
      <c r="AF672" t="n">
        <v>66000.0</v>
      </c>
      <c r="AG672" t="n">
        <v>0.0</v>
      </c>
      <c r="AH672" t="n">
        <v>0.0</v>
      </c>
      <c r="AI672" t="n">
        <v>0.0</v>
      </c>
      <c r="AJ672" t="n">
        <v>0.0</v>
      </c>
      <c r="AK672" t="n">
        <v>0.0</v>
      </c>
      <c r="AL672" t="n">
        <v>0.0</v>
      </c>
      <c r="AM672" t="n">
        <v>0.0</v>
      </c>
      <c r="AN672" t="n">
        <v>0.0</v>
      </c>
      <c r="AO672" t="n">
        <v>1044313.0</v>
      </c>
      <c r="AP672" t="n">
        <v>104432.0</v>
      </c>
      <c r="AQ672" t="n">
        <v>87648.2</v>
      </c>
      <c r="CH672">
        <f>IFERROR(U672*1,0)</f>
      </c>
    </row>
    <row r="673">
      <c r="A673" t="n">
        <v>10.0</v>
      </c>
      <c r="B673">
        <f>IF((K673-G673-H673&gt;2400000),10,(L673/(K673-G673-H673)*100))</f>
      </c>
      <c r="C673">
        <f>IF(N673&gt;2400000,240000,(N673*S673)/100)</f>
      </c>
      <c r="D673">
        <f>IF(S673=0,0,IF((N673-I673)&gt;2400000,((((((N673-I673-J673)-240000))*0.1+(I673+J673)*0.1)))-7000,((((((N673-I673-J673)-(N673-I673-J673)*S673/100)))*0.1+(I673+J673)*0.1)-7000)))</f>
      </c>
      <c r="E673">
        <f>C673-O673</f>
      </c>
      <c r="F673">
        <f>D673-P673</f>
      </c>
      <c r="G673">
        <f>SUMIF(negtgel!U$2:BL$2,'Tsalin uzuulelt'!B$1,negtgel!U673:BL673) + SUMIF(negtgel!U$2:BL$2,'Tsalin uzuulelt'!B$2,negtgel!U673:BL673)+SUMIF(negtgel!U$2:BL$2,'Tsalin uzuulelt'!B$3,negtgel!U673:BL673)+SUMIF(negtgel!U$2:BL$2,'Tsalin uzuulelt'!B$4,negtgel!U673:BL673)+SUMIF(negtgel!U$2:BL$2,'Tsalin uzuulelt'!B$5,negtgel!U673:BL673)</f>
      </c>
      <c r="H673">
        <f>SUMIF(negtgel!U$2:BL$2,'Tsalin uzuulelt'!F$1,negtgel!U673:BL673) + SUMIF(negtgel!U$2:BL$2,'Tsalin uzuulelt'!F$2,negtgel!U673:BL673)+SUMIF(negtgel!U$2:BL$2,'Tsalin uzuulelt'!F$3,negtgel!U673:BL673)+SUMIF(negtgel!U$2:BL$2,'Tsalin uzuulelt'!F$4,negtgel!U673:BL673)+SUMIF(negtgel!U$2:BL$2,'Tsalin uzuulelt'!F$5,negtgel!U673:BL673)</f>
      </c>
      <c r="I673">
        <f>SUMIF(negtgel!U$2:BL$2,'Tsalin uzuulelt'!H$1,negtgel!U673:BL673) + SUMIF(negtgel!U$2:BL$2,'Tsalin uzuulelt'!H$2,negtgel!U673:BL673)+SUMIF(negtgel!U$2:BL$2,'Tsalin uzuulelt'!H$3,negtgel!U673:BL673)+SUMIF(negtgel!U$2:BL$2,'Tsalin uzuulelt'!H$4,negtgel!U673:BL673)+SUMIF(negtgel!U$2:BL$2,'Tsalin uzuulelt'!H$5,negtgel!U673:BL673)</f>
      </c>
      <c r="J673">
        <f>SUMIF(negtgel!U$2:BL$2,'Tsalin uzuulelt'!J$1,negtgel!U673:BL673) + SUMIF(negtgel!U$2:BL$2,'Tsalin uzuulelt'!J$2,negtgel!U673:BL673)+SUMIF(negtgel!U$2:BL$2,'Tsalin uzuulelt'!J$3,negtgel!U673:BL673)+SUMIF(negtgel!U$2:BL$2,'Tsalin uzuulelt'!J$4,negtgel!U673:BL673)+SUMIF(negtgel!U$2:BL$2,'Tsalin uzuulelt'!J$5,negtgel!U673:BL673)</f>
      </c>
      <c r="K673">
        <f>SUMIF(negtgel!U$2:BL$2,'Tsalin uzuulelt'!L$1,negtgel!U673:BL673) + SUMIF(negtgel!U$2:BL$2,'Tsalin uzuulelt'!L$2,negtgel!U673:BL673)+SUMIF(negtgel!U$2:BL$2,'Tsalin uzuulelt'!L$3,negtgel!U673:BL673)+SUMIF(negtgel!U$2:BL$2,'Tsalin uzuulelt'!L$4,negtgel!U673:BL673)+SUMIF(negtgel!U$2:BL$2,'Tsalin uzuulelt'!L$5,negtgel!U673:BL673)</f>
      </c>
      <c r="L673">
        <f>SUMIF(negtgel!U$2:BL$2,'Tsalin uzuulelt'!N$1,negtgel!U673:BL673) + SUMIF(negtgel!U$2:BL$2,'Tsalin uzuulelt'!N$2,negtgel!U673:BL673)+SUMIF(negtgel!U$2:BL$2,'Tsalin uzuulelt'!N$3,negtgel!U673:BL673)+SUMIF(negtgel!U$2:BL$2,'Tsalin uzuulelt'!N$4,negtgel!U673:BL673)+SUMIF(negtgel!U$2:BL$2,'Tsalin uzuulelt'!N$5,negtgel!U673:BL673)</f>
      </c>
      <c r="M673">
        <f>SUMIF(negtgel!U$2:BL$2,'Tsalin uzuulelt'!P$1,negtgel!U673:BL673) + SUMIF(negtgel!U$2:BL$2,'Tsalin uzuulelt'!P$2,negtgel!U673:BL673)+ SUMIF(negtgel!U$2:BL$2,'Tsalin uzuulelt'!P$3,negtgel!U673:BL673)+ SUMIF(negtgel!U$2:BL$2,'Tsalin uzuulelt'!P$4,negtgel!U673:BL673)+ SUMIF(negtgel!U$2:BL$2,'Tsalin uzuulelt'!P$5,negtgel!U673:BL673)</f>
      </c>
      <c r="N673">
        <f>IF(ISNUMBER(U673*1)=CF673,0,K673-H673-G673)</f>
      </c>
      <c r="O673">
        <f>IF(ISNUMBER(U673*1)=CF673,0,L673)</f>
      </c>
      <c r="P673">
        <f>IF(ISNUMBER(U673*1)=CF673,0,M673)</f>
      </c>
      <c r="Q673">
        <f>IF(N673&gt;2400000,N673,0)</f>
      </c>
      <c r="R673">
        <f>IF(L673/Q673*100&lt;3,2,10)</f>
      </c>
      <c r="S673">
        <f>IF(CH673=0,0,IF(B673&gt;9,10,IF(B673&gt;8,B673,IF(B673&gt;7.7,7.8,IF(B673&gt;3,B673,IF(B673&gt;1.5,2))))))</f>
      </c>
      <c r="T673">
        <f>IF(Q673=0,S673,R673)</f>
      </c>
      <c r="U673" t="n">
        <v>87.0</v>
      </c>
      <c r="V673" t="s">
        <v>3853</v>
      </c>
      <c r="W673" t="s">
        <v>3790</v>
      </c>
      <c r="X673" t="n">
        <v>613669.0</v>
      </c>
      <c r="Y673" t="n">
        <v>613669.0</v>
      </c>
      <c r="Z673" t="n">
        <v>30683.0</v>
      </c>
      <c r="AA673" t="n">
        <v>92050.0</v>
      </c>
      <c r="AB673" t="n">
        <v>0.0</v>
      </c>
      <c r="AC673" t="n">
        <v>0.0</v>
      </c>
      <c r="AD673" t="n">
        <v>0.0</v>
      </c>
      <c r="AE673" t="n">
        <v>0.0</v>
      </c>
      <c r="AF673" t="n">
        <v>66000.0</v>
      </c>
      <c r="AG673" t="n">
        <v>0.0</v>
      </c>
      <c r="AH673" t="n">
        <v>0.0</v>
      </c>
      <c r="AI673" t="n">
        <v>0.0</v>
      </c>
      <c r="AJ673" t="n">
        <v>0.0</v>
      </c>
      <c r="AK673" t="n">
        <v>0.0</v>
      </c>
      <c r="AL673" t="n">
        <v>0.0</v>
      </c>
      <c r="AM673" t="n">
        <v>0.0</v>
      </c>
      <c r="AN673" t="n">
        <v>0.0</v>
      </c>
      <c r="AO673" t="n">
        <v>802402.0</v>
      </c>
      <c r="AP673" t="n">
        <v>80240.0</v>
      </c>
      <c r="AQ673" t="n">
        <v>65876.2</v>
      </c>
      <c r="CH673">
        <f>IFERROR(U673*1,0)</f>
      </c>
    </row>
    <row r="674">
      <c r="A674" t="n">
        <v>10.0</v>
      </c>
      <c r="B674">
        <f>IF((K674-G674-H674&gt;2400000),10,(L674/(K674-G674-H674)*100))</f>
      </c>
      <c r="C674">
        <f>IF(N674&gt;2400000,240000,(N674*S674)/100)</f>
      </c>
      <c r="D674">
        <f>IF(S674=0,0,IF((N674-I674)&gt;2400000,((((((N674-I674-J674)-240000))*0.1+(I674+J674)*0.1)))-7000,((((((N674-I674-J674)-(N674-I674-J674)*S674/100)))*0.1+(I674+J674)*0.1)-7000)))</f>
      </c>
      <c r="E674">
        <f>C674-O674</f>
      </c>
      <c r="F674">
        <f>D674-P674</f>
      </c>
      <c r="G674">
        <f>SUMIF(negtgel!U$2:BL$2,'Tsalin uzuulelt'!B$1,negtgel!U674:BL674) + SUMIF(negtgel!U$2:BL$2,'Tsalin uzuulelt'!B$2,negtgel!U674:BL674)+SUMIF(negtgel!U$2:BL$2,'Tsalin uzuulelt'!B$3,negtgel!U674:BL674)+SUMIF(negtgel!U$2:BL$2,'Tsalin uzuulelt'!B$4,negtgel!U674:BL674)+SUMIF(negtgel!U$2:BL$2,'Tsalin uzuulelt'!B$5,negtgel!U674:BL674)</f>
      </c>
      <c r="H674">
        <f>SUMIF(negtgel!U$2:BL$2,'Tsalin uzuulelt'!F$1,negtgel!U674:BL674) + SUMIF(negtgel!U$2:BL$2,'Tsalin uzuulelt'!F$2,negtgel!U674:BL674)+SUMIF(negtgel!U$2:BL$2,'Tsalin uzuulelt'!F$3,negtgel!U674:BL674)+SUMIF(negtgel!U$2:BL$2,'Tsalin uzuulelt'!F$4,negtgel!U674:BL674)+SUMIF(negtgel!U$2:BL$2,'Tsalin uzuulelt'!F$5,negtgel!U674:BL674)</f>
      </c>
      <c r="I674">
        <f>SUMIF(negtgel!U$2:BL$2,'Tsalin uzuulelt'!H$1,negtgel!U674:BL674) + SUMIF(negtgel!U$2:BL$2,'Tsalin uzuulelt'!H$2,negtgel!U674:BL674)+SUMIF(negtgel!U$2:BL$2,'Tsalin uzuulelt'!H$3,negtgel!U674:BL674)+SUMIF(negtgel!U$2:BL$2,'Tsalin uzuulelt'!H$4,negtgel!U674:BL674)+SUMIF(negtgel!U$2:BL$2,'Tsalin uzuulelt'!H$5,negtgel!U674:BL674)</f>
      </c>
      <c r="J674">
        <f>SUMIF(negtgel!U$2:BL$2,'Tsalin uzuulelt'!J$1,negtgel!U674:BL674) + SUMIF(negtgel!U$2:BL$2,'Tsalin uzuulelt'!J$2,negtgel!U674:BL674)+SUMIF(negtgel!U$2:BL$2,'Tsalin uzuulelt'!J$3,negtgel!U674:BL674)+SUMIF(negtgel!U$2:BL$2,'Tsalin uzuulelt'!J$4,negtgel!U674:BL674)+SUMIF(negtgel!U$2:BL$2,'Tsalin uzuulelt'!J$5,negtgel!U674:BL674)</f>
      </c>
      <c r="K674">
        <f>SUMIF(negtgel!U$2:BL$2,'Tsalin uzuulelt'!L$1,negtgel!U674:BL674) + SUMIF(negtgel!U$2:BL$2,'Tsalin uzuulelt'!L$2,negtgel!U674:BL674)+SUMIF(negtgel!U$2:BL$2,'Tsalin uzuulelt'!L$3,negtgel!U674:BL674)+SUMIF(negtgel!U$2:BL$2,'Tsalin uzuulelt'!L$4,negtgel!U674:BL674)+SUMIF(negtgel!U$2:BL$2,'Tsalin uzuulelt'!L$5,negtgel!U674:BL674)</f>
      </c>
      <c r="L674">
        <f>SUMIF(negtgel!U$2:BL$2,'Tsalin uzuulelt'!N$1,negtgel!U674:BL674) + SUMIF(negtgel!U$2:BL$2,'Tsalin uzuulelt'!N$2,negtgel!U674:BL674)+SUMIF(negtgel!U$2:BL$2,'Tsalin uzuulelt'!N$3,negtgel!U674:BL674)+SUMIF(negtgel!U$2:BL$2,'Tsalin uzuulelt'!N$4,negtgel!U674:BL674)+SUMIF(negtgel!U$2:BL$2,'Tsalin uzuulelt'!N$5,negtgel!U674:BL674)</f>
      </c>
      <c r="M674">
        <f>SUMIF(negtgel!U$2:BL$2,'Tsalin uzuulelt'!P$1,negtgel!U674:BL674) + SUMIF(negtgel!U$2:BL$2,'Tsalin uzuulelt'!P$2,negtgel!U674:BL674)+ SUMIF(negtgel!U$2:BL$2,'Tsalin uzuulelt'!P$3,negtgel!U674:BL674)+ SUMIF(negtgel!U$2:BL$2,'Tsalin uzuulelt'!P$4,negtgel!U674:BL674)+ SUMIF(negtgel!U$2:BL$2,'Tsalin uzuulelt'!P$5,negtgel!U674:BL674)</f>
      </c>
      <c r="N674">
        <f>IF(ISNUMBER(U674*1)=CF674,0,K674-H674-G674)</f>
      </c>
      <c r="O674">
        <f>IF(ISNUMBER(U674*1)=CF674,0,L674)</f>
      </c>
      <c r="P674">
        <f>IF(ISNUMBER(U674*1)=CF674,0,M674)</f>
      </c>
      <c r="Q674">
        <f>IF(N674&gt;2400000,N674,0)</f>
      </c>
      <c r="R674">
        <f>IF(L674/Q674*100&lt;3,2,10)</f>
      </c>
      <c r="S674">
        <f>IF(CH674=0,0,IF(B674&gt;9,10,IF(B674&gt;8,B674,IF(B674&gt;7.7,7.8,IF(B674&gt;3,B674,IF(B674&gt;1.5,2))))))</f>
      </c>
      <c r="T674">
        <f>IF(Q674=0,S674,R674)</f>
      </c>
      <c r="U674" t="n">
        <v>88.0</v>
      </c>
      <c r="V674" t="s">
        <v>3854</v>
      </c>
      <c r="W674" t="s">
        <v>3785</v>
      </c>
      <c r="X674" t="n">
        <v>795935.0</v>
      </c>
      <c r="Y674" t="n">
        <v>795935.0</v>
      </c>
      <c r="Z674" t="n">
        <v>159187.0</v>
      </c>
      <c r="AA674" t="n">
        <v>175106.0</v>
      </c>
      <c r="AB674" t="n">
        <v>0.0</v>
      </c>
      <c r="AC674" t="n">
        <v>0.0</v>
      </c>
      <c r="AD674" t="n">
        <v>0.0</v>
      </c>
      <c r="AE674" t="n">
        <v>0.0</v>
      </c>
      <c r="AF674" t="n">
        <v>66000.0</v>
      </c>
      <c r="AG674" t="n">
        <v>0.0</v>
      </c>
      <c r="AH674" t="n">
        <v>0.0</v>
      </c>
      <c r="AI674" t="n">
        <v>0.0</v>
      </c>
      <c r="AJ674" t="n">
        <v>0.0</v>
      </c>
      <c r="AK674" t="n">
        <v>0.0</v>
      </c>
      <c r="AL674" t="n">
        <v>0.0</v>
      </c>
      <c r="AM674" t="n">
        <v>0.0</v>
      </c>
      <c r="AN674" t="n">
        <v>0.0</v>
      </c>
      <c r="AO674" t="n">
        <v>1196228.0</v>
      </c>
      <c r="AP674" t="n">
        <v>119623.0</v>
      </c>
      <c r="AQ674" t="n">
        <v>101320.5</v>
      </c>
      <c r="CH674">
        <f>IFERROR(U674*1,0)</f>
      </c>
    </row>
    <row r="675">
      <c r="A675" t="n">
        <v>10.0</v>
      </c>
      <c r="B675">
        <f>IF((K675-G675-H675&gt;2400000),10,(L675/(K675-G675-H675)*100))</f>
      </c>
      <c r="C675">
        <f>IF(N675&gt;2400000,240000,(N675*S675)/100)</f>
      </c>
      <c r="D675">
        <f>IF(S675=0,0,IF((N675-I675)&gt;2400000,((((((N675-I675-J675)-240000))*0.1+(I675+J675)*0.1)))-7000,((((((N675-I675-J675)-(N675-I675-J675)*S675/100)))*0.1+(I675+J675)*0.1)-7000)))</f>
      </c>
      <c r="E675">
        <f>C675-O675</f>
      </c>
      <c r="F675">
        <f>D675-P675</f>
      </c>
      <c r="G675">
        <f>SUMIF(negtgel!U$2:BL$2,'Tsalin uzuulelt'!B$1,negtgel!U675:BL675) + SUMIF(negtgel!U$2:BL$2,'Tsalin uzuulelt'!B$2,negtgel!U675:BL675)+SUMIF(negtgel!U$2:BL$2,'Tsalin uzuulelt'!B$3,negtgel!U675:BL675)+SUMIF(negtgel!U$2:BL$2,'Tsalin uzuulelt'!B$4,negtgel!U675:BL675)+SUMIF(negtgel!U$2:BL$2,'Tsalin uzuulelt'!B$5,negtgel!U675:BL675)</f>
      </c>
      <c r="H675">
        <f>SUMIF(negtgel!U$2:BL$2,'Tsalin uzuulelt'!F$1,negtgel!U675:BL675) + SUMIF(negtgel!U$2:BL$2,'Tsalin uzuulelt'!F$2,negtgel!U675:BL675)+SUMIF(negtgel!U$2:BL$2,'Tsalin uzuulelt'!F$3,negtgel!U675:BL675)+SUMIF(negtgel!U$2:BL$2,'Tsalin uzuulelt'!F$4,negtgel!U675:BL675)+SUMIF(negtgel!U$2:BL$2,'Tsalin uzuulelt'!F$5,negtgel!U675:BL675)</f>
      </c>
      <c r="I675">
        <f>SUMIF(negtgel!U$2:BL$2,'Tsalin uzuulelt'!H$1,negtgel!U675:BL675) + SUMIF(negtgel!U$2:BL$2,'Tsalin uzuulelt'!H$2,negtgel!U675:BL675)+SUMIF(negtgel!U$2:BL$2,'Tsalin uzuulelt'!H$3,negtgel!U675:BL675)+SUMIF(negtgel!U$2:BL$2,'Tsalin uzuulelt'!H$4,negtgel!U675:BL675)+SUMIF(negtgel!U$2:BL$2,'Tsalin uzuulelt'!H$5,negtgel!U675:BL675)</f>
      </c>
      <c r="J675">
        <f>SUMIF(negtgel!U$2:BL$2,'Tsalin uzuulelt'!J$1,negtgel!U675:BL675) + SUMIF(negtgel!U$2:BL$2,'Tsalin uzuulelt'!J$2,negtgel!U675:BL675)+SUMIF(negtgel!U$2:BL$2,'Tsalin uzuulelt'!J$3,negtgel!U675:BL675)+SUMIF(negtgel!U$2:BL$2,'Tsalin uzuulelt'!J$4,negtgel!U675:BL675)+SUMIF(negtgel!U$2:BL$2,'Tsalin uzuulelt'!J$5,negtgel!U675:BL675)</f>
      </c>
      <c r="K675">
        <f>SUMIF(negtgel!U$2:BL$2,'Tsalin uzuulelt'!L$1,negtgel!U675:BL675) + SUMIF(negtgel!U$2:BL$2,'Tsalin uzuulelt'!L$2,negtgel!U675:BL675)+SUMIF(negtgel!U$2:BL$2,'Tsalin uzuulelt'!L$3,negtgel!U675:BL675)+SUMIF(negtgel!U$2:BL$2,'Tsalin uzuulelt'!L$4,negtgel!U675:BL675)+SUMIF(negtgel!U$2:BL$2,'Tsalin uzuulelt'!L$5,negtgel!U675:BL675)</f>
      </c>
      <c r="L675">
        <f>SUMIF(negtgel!U$2:BL$2,'Tsalin uzuulelt'!N$1,negtgel!U675:BL675) + SUMIF(negtgel!U$2:BL$2,'Tsalin uzuulelt'!N$2,negtgel!U675:BL675)+SUMIF(negtgel!U$2:BL$2,'Tsalin uzuulelt'!N$3,negtgel!U675:BL675)+SUMIF(negtgel!U$2:BL$2,'Tsalin uzuulelt'!N$4,negtgel!U675:BL675)+SUMIF(negtgel!U$2:BL$2,'Tsalin uzuulelt'!N$5,negtgel!U675:BL675)</f>
      </c>
      <c r="M675">
        <f>SUMIF(negtgel!U$2:BL$2,'Tsalin uzuulelt'!P$1,negtgel!U675:BL675) + SUMIF(negtgel!U$2:BL$2,'Tsalin uzuulelt'!P$2,negtgel!U675:BL675)+ SUMIF(negtgel!U$2:BL$2,'Tsalin uzuulelt'!P$3,negtgel!U675:BL675)+ SUMIF(negtgel!U$2:BL$2,'Tsalin uzuulelt'!P$4,negtgel!U675:BL675)+ SUMIF(negtgel!U$2:BL$2,'Tsalin uzuulelt'!P$5,negtgel!U675:BL675)</f>
      </c>
      <c r="N675">
        <f>IF(ISNUMBER(U675*1)=CF675,0,K675-H675-G675)</f>
      </c>
      <c r="O675">
        <f>IF(ISNUMBER(U675*1)=CF675,0,L675)</f>
      </c>
      <c r="P675">
        <f>IF(ISNUMBER(U675*1)=CF675,0,M675)</f>
      </c>
      <c r="Q675">
        <f>IF(N675&gt;2400000,N675,0)</f>
      </c>
      <c r="R675">
        <f>IF(L675/Q675*100&lt;3,2,10)</f>
      </c>
      <c r="S675">
        <f>IF(CH675=0,0,IF(B675&gt;9,10,IF(B675&gt;8,B675,IF(B675&gt;7.7,7.8,IF(B675&gt;3,B675,IF(B675&gt;1.5,2))))))</f>
      </c>
      <c r="T675">
        <f>IF(Q675=0,S675,R675)</f>
      </c>
      <c r="U675" t="n">
        <v>89.0</v>
      </c>
      <c r="V675" t="s">
        <v>3856</v>
      </c>
      <c r="W675" t="s">
        <v>3820</v>
      </c>
      <c r="X675" t="n">
        <v>613669.0</v>
      </c>
      <c r="Y675" t="n">
        <v>613669.0</v>
      </c>
      <c r="Z675" t="n">
        <v>61367.0</v>
      </c>
      <c r="AA675" t="n">
        <v>110460.0</v>
      </c>
      <c r="AB675" t="n">
        <v>0.0</v>
      </c>
      <c r="AC675" t="n">
        <v>0.0</v>
      </c>
      <c r="AD675" t="n">
        <v>0.0</v>
      </c>
      <c r="AE675" t="n">
        <v>0.0</v>
      </c>
      <c r="AF675" t="n">
        <v>66000.0</v>
      </c>
      <c r="AG675" t="n">
        <v>0.0</v>
      </c>
      <c r="AH675" t="n">
        <v>0.0</v>
      </c>
      <c r="AI675" t="n">
        <v>0.0</v>
      </c>
      <c r="AJ675" t="n">
        <v>0.0</v>
      </c>
      <c r="AK675" t="n">
        <v>0.0</v>
      </c>
      <c r="AL675" t="n">
        <v>0.0</v>
      </c>
      <c r="AM675" t="n">
        <v>0.0</v>
      </c>
      <c r="AN675" t="n">
        <v>0.0</v>
      </c>
      <c r="AO675" t="n">
        <v>851496.0</v>
      </c>
      <c r="AP675" t="n">
        <v>85150.0</v>
      </c>
      <c r="AQ675" t="n">
        <v>70294.6</v>
      </c>
      <c r="CH675">
        <f>IFERROR(U675*1,0)</f>
      </c>
    </row>
    <row r="676">
      <c r="A676" t="n">
        <v>10.0</v>
      </c>
      <c r="B676">
        <f>IF((K676-G676-H676&gt;2400000),10,(L676/(K676-G676-H676)*100))</f>
      </c>
      <c r="C676">
        <f>IF(N676&gt;2400000,240000,(N676*S676)/100)</f>
      </c>
      <c r="D676">
        <f>IF(S676=0,0,IF((N676-I676)&gt;2400000,((((((N676-I676-J676)-240000))*0.1+(I676+J676)*0.1)))-7000,((((((N676-I676-J676)-(N676-I676-J676)*S676/100)))*0.1+(I676+J676)*0.1)-7000)))</f>
      </c>
      <c r="E676">
        <f>C676-O676</f>
      </c>
      <c r="F676">
        <f>D676-P676</f>
      </c>
      <c r="G676">
        <f>SUMIF(negtgel!U$2:BL$2,'Tsalin uzuulelt'!B$1,negtgel!U676:BL676) + SUMIF(negtgel!U$2:BL$2,'Tsalin uzuulelt'!B$2,negtgel!U676:BL676)+SUMIF(negtgel!U$2:BL$2,'Tsalin uzuulelt'!B$3,negtgel!U676:BL676)+SUMIF(negtgel!U$2:BL$2,'Tsalin uzuulelt'!B$4,negtgel!U676:BL676)+SUMIF(negtgel!U$2:BL$2,'Tsalin uzuulelt'!B$5,negtgel!U676:BL676)</f>
      </c>
      <c r="H676">
        <f>SUMIF(negtgel!U$2:BL$2,'Tsalin uzuulelt'!F$1,negtgel!U676:BL676) + SUMIF(negtgel!U$2:BL$2,'Tsalin uzuulelt'!F$2,negtgel!U676:BL676)+SUMIF(negtgel!U$2:BL$2,'Tsalin uzuulelt'!F$3,negtgel!U676:BL676)+SUMIF(negtgel!U$2:BL$2,'Tsalin uzuulelt'!F$4,negtgel!U676:BL676)+SUMIF(negtgel!U$2:BL$2,'Tsalin uzuulelt'!F$5,negtgel!U676:BL676)</f>
      </c>
      <c r="I676">
        <f>SUMIF(negtgel!U$2:BL$2,'Tsalin uzuulelt'!H$1,negtgel!U676:BL676) + SUMIF(negtgel!U$2:BL$2,'Tsalin uzuulelt'!H$2,negtgel!U676:BL676)+SUMIF(negtgel!U$2:BL$2,'Tsalin uzuulelt'!H$3,negtgel!U676:BL676)+SUMIF(negtgel!U$2:BL$2,'Tsalin uzuulelt'!H$4,negtgel!U676:BL676)+SUMIF(negtgel!U$2:BL$2,'Tsalin uzuulelt'!H$5,negtgel!U676:BL676)</f>
      </c>
      <c r="J676">
        <f>SUMIF(negtgel!U$2:BL$2,'Tsalin uzuulelt'!J$1,negtgel!U676:BL676) + SUMIF(negtgel!U$2:BL$2,'Tsalin uzuulelt'!J$2,negtgel!U676:BL676)+SUMIF(negtgel!U$2:BL$2,'Tsalin uzuulelt'!J$3,negtgel!U676:BL676)+SUMIF(negtgel!U$2:BL$2,'Tsalin uzuulelt'!J$4,negtgel!U676:BL676)+SUMIF(negtgel!U$2:BL$2,'Tsalin uzuulelt'!J$5,negtgel!U676:BL676)</f>
      </c>
      <c r="K676">
        <f>SUMIF(negtgel!U$2:BL$2,'Tsalin uzuulelt'!L$1,negtgel!U676:BL676) + SUMIF(negtgel!U$2:BL$2,'Tsalin uzuulelt'!L$2,negtgel!U676:BL676)+SUMIF(negtgel!U$2:BL$2,'Tsalin uzuulelt'!L$3,negtgel!U676:BL676)+SUMIF(negtgel!U$2:BL$2,'Tsalin uzuulelt'!L$4,negtgel!U676:BL676)+SUMIF(negtgel!U$2:BL$2,'Tsalin uzuulelt'!L$5,negtgel!U676:BL676)</f>
      </c>
      <c r="L676">
        <f>SUMIF(negtgel!U$2:BL$2,'Tsalin uzuulelt'!N$1,negtgel!U676:BL676) + SUMIF(negtgel!U$2:BL$2,'Tsalin uzuulelt'!N$2,negtgel!U676:BL676)+SUMIF(negtgel!U$2:BL$2,'Tsalin uzuulelt'!N$3,negtgel!U676:BL676)+SUMIF(negtgel!U$2:BL$2,'Tsalin uzuulelt'!N$4,negtgel!U676:BL676)+SUMIF(negtgel!U$2:BL$2,'Tsalin uzuulelt'!N$5,negtgel!U676:BL676)</f>
      </c>
      <c r="M676">
        <f>SUMIF(negtgel!U$2:BL$2,'Tsalin uzuulelt'!P$1,negtgel!U676:BL676) + SUMIF(negtgel!U$2:BL$2,'Tsalin uzuulelt'!P$2,negtgel!U676:BL676)+ SUMIF(negtgel!U$2:BL$2,'Tsalin uzuulelt'!P$3,negtgel!U676:BL676)+ SUMIF(negtgel!U$2:BL$2,'Tsalin uzuulelt'!P$4,negtgel!U676:BL676)+ SUMIF(negtgel!U$2:BL$2,'Tsalin uzuulelt'!P$5,negtgel!U676:BL676)</f>
      </c>
      <c r="N676">
        <f>IF(ISNUMBER(U676*1)=CF676,0,K676-H676-G676)</f>
      </c>
      <c r="O676">
        <f>IF(ISNUMBER(U676*1)=CF676,0,L676)</f>
      </c>
      <c r="P676">
        <f>IF(ISNUMBER(U676*1)=CF676,0,M676)</f>
      </c>
      <c r="Q676">
        <f>IF(N676&gt;2400000,N676,0)</f>
      </c>
      <c r="R676">
        <f>IF(L676/Q676*100&lt;3,2,10)</f>
      </c>
      <c r="S676">
        <f>IF(CH676=0,0,IF(B676&gt;9,10,IF(B676&gt;8,B676,IF(B676&gt;7.7,7.8,IF(B676&gt;3,B676,IF(B676&gt;1.5,2))))))</f>
      </c>
      <c r="T676">
        <f>IF(Q676=0,S676,R676)</f>
      </c>
      <c r="U676" t="n">
        <v>90.0</v>
      </c>
      <c r="V676" t="s">
        <v>3857</v>
      </c>
      <c r="W676" t="s">
        <v>3790</v>
      </c>
      <c r="X676" t="n">
        <v>613669.0</v>
      </c>
      <c r="Y676" t="n">
        <v>613669.0</v>
      </c>
      <c r="Z676" t="n">
        <v>61367.0</v>
      </c>
      <c r="AA676" t="n">
        <v>104324.0</v>
      </c>
      <c r="AB676" t="n">
        <v>0.0</v>
      </c>
      <c r="AC676" t="n">
        <v>0.0</v>
      </c>
      <c r="AD676" t="n">
        <v>0.0</v>
      </c>
      <c r="AE676" t="n">
        <v>0.0</v>
      </c>
      <c r="AF676" t="n">
        <v>66000.0</v>
      </c>
      <c r="AG676" t="n">
        <v>0.0</v>
      </c>
      <c r="AH676" t="n">
        <v>0.0</v>
      </c>
      <c r="AI676" t="n">
        <v>0.0</v>
      </c>
      <c r="AJ676" t="n">
        <v>0.0</v>
      </c>
      <c r="AK676" t="n">
        <v>0.0</v>
      </c>
      <c r="AL676" t="n">
        <v>0.0</v>
      </c>
      <c r="AM676" t="n">
        <v>0.0</v>
      </c>
      <c r="AN676" t="n">
        <v>0.0</v>
      </c>
      <c r="AO676" t="n">
        <v>845360.0</v>
      </c>
      <c r="AP676" t="n">
        <v>84536.0</v>
      </c>
      <c r="AQ676" t="n">
        <v>69742.4</v>
      </c>
      <c r="CH676">
        <f>IFERROR(U676*1,0)</f>
      </c>
    </row>
    <row r="677">
      <c r="A677" t="n">
        <v>10.0</v>
      </c>
      <c r="B677">
        <f>IF((K677-G677-H677&gt;2400000),10,(L677/(K677-G677-H677)*100))</f>
      </c>
      <c r="C677">
        <f>IF(N677&gt;2400000,240000,(N677*S677)/100)</f>
      </c>
      <c r="D677">
        <f>IF(S677=0,0,IF((N677-I677)&gt;2400000,((((((N677-I677-J677)-240000))*0.1+(I677+J677)*0.1)))-7000,((((((N677-I677-J677)-(N677-I677-J677)*S677/100)))*0.1+(I677+J677)*0.1)-7000)))</f>
      </c>
      <c r="E677">
        <f>C677-O677</f>
      </c>
      <c r="F677">
        <f>D677-P677</f>
      </c>
      <c r="G677">
        <f>SUMIF(negtgel!U$2:BL$2,'Tsalin uzuulelt'!B$1,negtgel!U677:BL677) + SUMIF(negtgel!U$2:BL$2,'Tsalin uzuulelt'!B$2,negtgel!U677:BL677)+SUMIF(negtgel!U$2:BL$2,'Tsalin uzuulelt'!B$3,negtgel!U677:BL677)+SUMIF(negtgel!U$2:BL$2,'Tsalin uzuulelt'!B$4,negtgel!U677:BL677)+SUMIF(negtgel!U$2:BL$2,'Tsalin uzuulelt'!B$5,negtgel!U677:BL677)</f>
      </c>
      <c r="H677">
        <f>SUMIF(negtgel!U$2:BL$2,'Tsalin uzuulelt'!F$1,negtgel!U677:BL677) + SUMIF(negtgel!U$2:BL$2,'Tsalin uzuulelt'!F$2,negtgel!U677:BL677)+SUMIF(negtgel!U$2:BL$2,'Tsalin uzuulelt'!F$3,negtgel!U677:BL677)+SUMIF(negtgel!U$2:BL$2,'Tsalin uzuulelt'!F$4,negtgel!U677:BL677)+SUMIF(negtgel!U$2:BL$2,'Tsalin uzuulelt'!F$5,negtgel!U677:BL677)</f>
      </c>
      <c r="I677">
        <f>SUMIF(negtgel!U$2:BL$2,'Tsalin uzuulelt'!H$1,negtgel!U677:BL677) + SUMIF(negtgel!U$2:BL$2,'Tsalin uzuulelt'!H$2,negtgel!U677:BL677)+SUMIF(negtgel!U$2:BL$2,'Tsalin uzuulelt'!H$3,negtgel!U677:BL677)+SUMIF(negtgel!U$2:BL$2,'Tsalin uzuulelt'!H$4,negtgel!U677:BL677)+SUMIF(negtgel!U$2:BL$2,'Tsalin uzuulelt'!H$5,negtgel!U677:BL677)</f>
      </c>
      <c r="J677">
        <f>SUMIF(negtgel!U$2:BL$2,'Tsalin uzuulelt'!J$1,negtgel!U677:BL677) + SUMIF(negtgel!U$2:BL$2,'Tsalin uzuulelt'!J$2,negtgel!U677:BL677)+SUMIF(negtgel!U$2:BL$2,'Tsalin uzuulelt'!J$3,negtgel!U677:BL677)+SUMIF(negtgel!U$2:BL$2,'Tsalin uzuulelt'!J$4,negtgel!U677:BL677)+SUMIF(negtgel!U$2:BL$2,'Tsalin uzuulelt'!J$5,negtgel!U677:BL677)</f>
      </c>
      <c r="K677">
        <f>SUMIF(negtgel!U$2:BL$2,'Tsalin uzuulelt'!L$1,negtgel!U677:BL677) + SUMIF(negtgel!U$2:BL$2,'Tsalin uzuulelt'!L$2,negtgel!U677:BL677)+SUMIF(negtgel!U$2:BL$2,'Tsalin uzuulelt'!L$3,negtgel!U677:BL677)+SUMIF(negtgel!U$2:BL$2,'Tsalin uzuulelt'!L$4,negtgel!U677:BL677)+SUMIF(negtgel!U$2:BL$2,'Tsalin uzuulelt'!L$5,negtgel!U677:BL677)</f>
      </c>
      <c r="L677">
        <f>SUMIF(negtgel!U$2:BL$2,'Tsalin uzuulelt'!N$1,negtgel!U677:BL677) + SUMIF(negtgel!U$2:BL$2,'Tsalin uzuulelt'!N$2,negtgel!U677:BL677)+SUMIF(negtgel!U$2:BL$2,'Tsalin uzuulelt'!N$3,negtgel!U677:BL677)+SUMIF(negtgel!U$2:BL$2,'Tsalin uzuulelt'!N$4,negtgel!U677:BL677)+SUMIF(negtgel!U$2:BL$2,'Tsalin uzuulelt'!N$5,negtgel!U677:BL677)</f>
      </c>
      <c r="M677">
        <f>SUMIF(negtgel!U$2:BL$2,'Tsalin uzuulelt'!P$1,negtgel!U677:BL677) + SUMIF(negtgel!U$2:BL$2,'Tsalin uzuulelt'!P$2,negtgel!U677:BL677)+ SUMIF(negtgel!U$2:BL$2,'Tsalin uzuulelt'!P$3,negtgel!U677:BL677)+ SUMIF(negtgel!U$2:BL$2,'Tsalin uzuulelt'!P$4,negtgel!U677:BL677)+ SUMIF(negtgel!U$2:BL$2,'Tsalin uzuulelt'!P$5,negtgel!U677:BL677)</f>
      </c>
      <c r="N677">
        <f>IF(ISNUMBER(U677*1)=CF677,0,K677-H677-G677)</f>
      </c>
      <c r="O677">
        <f>IF(ISNUMBER(U677*1)=CF677,0,L677)</f>
      </c>
      <c r="P677">
        <f>IF(ISNUMBER(U677*1)=CF677,0,M677)</f>
      </c>
      <c r="Q677">
        <f>IF(N677&gt;2400000,N677,0)</f>
      </c>
      <c r="R677">
        <f>IF(L677/Q677*100&lt;3,2,10)</f>
      </c>
      <c r="S677">
        <f>IF(CH677=0,0,IF(B677&gt;9,10,IF(B677&gt;8,B677,IF(B677&gt;7.7,7.8,IF(B677&gt;3,B677,IF(B677&gt;1.5,2))))))</f>
      </c>
      <c r="T677">
        <f>IF(Q677=0,S677,R677)</f>
      </c>
      <c r="U677" t="s">
        <v>3787</v>
      </c>
      <c r="V677"/>
      <c r="W677"/>
      <c r="X677" t="n">
        <v>7272826.0</v>
      </c>
      <c r="Y677" t="n">
        <v>7180448.0</v>
      </c>
      <c r="Z677" t="n">
        <v>1106862.0</v>
      </c>
      <c r="AA677" t="n">
        <v>1379005.0</v>
      </c>
      <c r="AB677" t="n">
        <v>33872.0</v>
      </c>
      <c r="AC677" t="n">
        <v>0.0</v>
      </c>
      <c r="AD677" t="n">
        <v>0.0</v>
      </c>
      <c r="AE677" t="n">
        <v>0.0</v>
      </c>
      <c r="AF677" t="n">
        <v>717000.0</v>
      </c>
      <c r="AG677" t="n">
        <v>0.0</v>
      </c>
      <c r="AH677" t="n">
        <v>0.0</v>
      </c>
      <c r="AI677" t="n">
        <v>0.0</v>
      </c>
      <c r="AJ677" t="n">
        <v>0.0</v>
      </c>
      <c r="AK677" t="n">
        <v>0.0</v>
      </c>
      <c r="AL677" t="n">
        <v>0.0</v>
      </c>
      <c r="AM677" t="n">
        <v>0.0</v>
      </c>
      <c r="AN677" t="n">
        <v>0.0</v>
      </c>
      <c r="AO677" t="n">
        <v>1.0417187E7</v>
      </c>
      <c r="AP677" t="n">
        <v>1041721.0</v>
      </c>
      <c r="AQ677" t="n">
        <v>867716.9</v>
      </c>
      <c r="CH677">
        <f>IFERROR(U677*1,0)</f>
      </c>
    </row>
    <row r="678">
      <c r="A678" t="n">
        <v>10.0</v>
      </c>
      <c r="B678">
        <f>IF((K678-G678-H678&gt;2400000),10,(L678/(K678-G678-H678)*100))</f>
      </c>
      <c r="C678">
        <f>IF(N678&gt;2400000,240000,(N678*S678)/100)</f>
      </c>
      <c r="D678">
        <f>IF(S678=0,0,IF((N678-I678)&gt;2400000,((((((N678-I678-J678)-240000))*0.1+(I678+J678)*0.1)))-7000,((((((N678-I678-J678)-(N678-I678-J678)*S678/100)))*0.1+(I678+J678)*0.1)-7000)))</f>
      </c>
      <c r="E678">
        <f>C678-O678</f>
      </c>
      <c r="F678">
        <f>D678-P678</f>
      </c>
      <c r="G678">
        <f>SUMIF(negtgel!U$2:BL$2,'Tsalin uzuulelt'!B$1,negtgel!U678:BL678) + SUMIF(negtgel!U$2:BL$2,'Tsalin uzuulelt'!B$2,negtgel!U678:BL678)+SUMIF(negtgel!U$2:BL$2,'Tsalin uzuulelt'!B$3,negtgel!U678:BL678)+SUMIF(negtgel!U$2:BL$2,'Tsalin uzuulelt'!B$4,negtgel!U678:BL678)+SUMIF(negtgel!U$2:BL$2,'Tsalin uzuulelt'!B$5,negtgel!U678:BL678)</f>
      </c>
      <c r="H678">
        <f>SUMIF(negtgel!U$2:BL$2,'Tsalin uzuulelt'!F$1,negtgel!U678:BL678) + SUMIF(negtgel!U$2:BL$2,'Tsalin uzuulelt'!F$2,negtgel!U678:BL678)+SUMIF(negtgel!U$2:BL$2,'Tsalin uzuulelt'!F$3,negtgel!U678:BL678)+SUMIF(negtgel!U$2:BL$2,'Tsalin uzuulelt'!F$4,negtgel!U678:BL678)+SUMIF(negtgel!U$2:BL$2,'Tsalin uzuulelt'!F$5,negtgel!U678:BL678)</f>
      </c>
      <c r="I678">
        <f>SUMIF(negtgel!U$2:BL$2,'Tsalin uzuulelt'!H$1,negtgel!U678:BL678) + SUMIF(negtgel!U$2:BL$2,'Tsalin uzuulelt'!H$2,negtgel!U678:BL678)+SUMIF(negtgel!U$2:BL$2,'Tsalin uzuulelt'!H$3,negtgel!U678:BL678)+SUMIF(negtgel!U$2:BL$2,'Tsalin uzuulelt'!H$4,negtgel!U678:BL678)+SUMIF(negtgel!U$2:BL$2,'Tsalin uzuulelt'!H$5,negtgel!U678:BL678)</f>
      </c>
      <c r="J678">
        <f>SUMIF(negtgel!U$2:BL$2,'Tsalin uzuulelt'!J$1,negtgel!U678:BL678) + SUMIF(negtgel!U$2:BL$2,'Tsalin uzuulelt'!J$2,negtgel!U678:BL678)+SUMIF(negtgel!U$2:BL$2,'Tsalin uzuulelt'!J$3,negtgel!U678:BL678)+SUMIF(negtgel!U$2:BL$2,'Tsalin uzuulelt'!J$4,negtgel!U678:BL678)+SUMIF(negtgel!U$2:BL$2,'Tsalin uzuulelt'!J$5,negtgel!U678:BL678)</f>
      </c>
      <c r="K678">
        <f>SUMIF(negtgel!U$2:BL$2,'Tsalin uzuulelt'!L$1,negtgel!U678:BL678) + SUMIF(negtgel!U$2:BL$2,'Tsalin uzuulelt'!L$2,negtgel!U678:BL678)+SUMIF(negtgel!U$2:BL$2,'Tsalin uzuulelt'!L$3,negtgel!U678:BL678)+SUMIF(negtgel!U$2:BL$2,'Tsalin uzuulelt'!L$4,negtgel!U678:BL678)+SUMIF(negtgel!U$2:BL$2,'Tsalin uzuulelt'!L$5,negtgel!U678:BL678)</f>
      </c>
      <c r="L678">
        <f>SUMIF(negtgel!U$2:BL$2,'Tsalin uzuulelt'!N$1,negtgel!U678:BL678) + SUMIF(negtgel!U$2:BL$2,'Tsalin uzuulelt'!N$2,negtgel!U678:BL678)+SUMIF(negtgel!U$2:BL$2,'Tsalin uzuulelt'!N$3,negtgel!U678:BL678)+SUMIF(negtgel!U$2:BL$2,'Tsalin uzuulelt'!N$4,negtgel!U678:BL678)+SUMIF(negtgel!U$2:BL$2,'Tsalin uzuulelt'!N$5,negtgel!U678:BL678)</f>
      </c>
      <c r="M678">
        <f>SUMIF(negtgel!U$2:BL$2,'Tsalin uzuulelt'!P$1,negtgel!U678:BL678) + SUMIF(negtgel!U$2:BL$2,'Tsalin uzuulelt'!P$2,negtgel!U678:BL678)+ SUMIF(negtgel!U$2:BL$2,'Tsalin uzuulelt'!P$3,negtgel!U678:BL678)+ SUMIF(negtgel!U$2:BL$2,'Tsalin uzuulelt'!P$4,negtgel!U678:BL678)+ SUMIF(negtgel!U$2:BL$2,'Tsalin uzuulelt'!P$5,negtgel!U678:BL678)</f>
      </c>
      <c r="N678">
        <f>IF(ISNUMBER(U678*1)=CF678,0,K678-H678-G678)</f>
      </c>
      <c r="O678">
        <f>IF(ISNUMBER(U678*1)=CF678,0,L678)</f>
      </c>
      <c r="P678">
        <f>IF(ISNUMBER(U678*1)=CF678,0,M678)</f>
      </c>
      <c r="Q678">
        <f>IF(N678&gt;2400000,N678,0)</f>
      </c>
      <c r="R678">
        <f>IF(L678/Q678*100&lt;3,2,10)</f>
      </c>
      <c r="S678">
        <f>IF(CH678=0,0,IF(B678&gt;9,10,IF(B678&gt;8,B678,IF(B678&gt;7.7,7.8,IF(B678&gt;3,B678,IF(B678&gt;1.5,2))))))</f>
      </c>
      <c r="T678">
        <f>IF(Q678=0,S678,R678)</f>
      </c>
      <c r="U678" t="s">
        <v>3858</v>
      </c>
      <c r="V678"/>
      <c r="W678"/>
      <c r="X678"/>
      <c r="Y678"/>
      <c r="Z678"/>
      <c r="AA678"/>
      <c r="AB678"/>
      <c r="AC678"/>
      <c r="AD678"/>
      <c r="AE678"/>
      <c r="AF678"/>
      <c r="AG678"/>
      <c r="AH678"/>
      <c r="AI678"/>
      <c r="AJ678"/>
      <c r="AK678"/>
      <c r="AL678"/>
      <c r="AM678"/>
      <c r="AN678"/>
      <c r="AO678"/>
      <c r="AP678"/>
      <c r="AQ678"/>
      <c r="CH678">
        <f>IFERROR(U678*1,0)</f>
      </c>
    </row>
    <row r="679">
      <c r="A679" t="n">
        <v>10.0</v>
      </c>
      <c r="B679">
        <f>IF((K679-G679-H679&gt;2400000),10,(L679/(K679-G679-H679)*100))</f>
      </c>
      <c r="C679">
        <f>IF(N679&gt;2400000,240000,(N679*S679)/100)</f>
      </c>
      <c r="D679">
        <f>IF(S679=0,0,IF((N679-I679)&gt;2400000,((((((N679-I679-J679)-240000))*0.1+(I679+J679)*0.1)))-7000,((((((N679-I679-J679)-(N679-I679-J679)*S679/100)))*0.1+(I679+J679)*0.1)-7000)))</f>
      </c>
      <c r="E679">
        <f>C679-O679</f>
      </c>
      <c r="F679">
        <f>D679-P679</f>
      </c>
      <c r="G679">
        <f>SUMIF(negtgel!U$2:BL$2,'Tsalin uzuulelt'!B$1,negtgel!U679:BL679) + SUMIF(negtgel!U$2:BL$2,'Tsalin uzuulelt'!B$2,negtgel!U679:BL679)+SUMIF(negtgel!U$2:BL$2,'Tsalin uzuulelt'!B$3,negtgel!U679:BL679)+SUMIF(negtgel!U$2:BL$2,'Tsalin uzuulelt'!B$4,negtgel!U679:BL679)+SUMIF(negtgel!U$2:BL$2,'Tsalin uzuulelt'!B$5,negtgel!U679:BL679)</f>
      </c>
      <c r="H679">
        <f>SUMIF(negtgel!U$2:BL$2,'Tsalin uzuulelt'!F$1,negtgel!U679:BL679) + SUMIF(negtgel!U$2:BL$2,'Tsalin uzuulelt'!F$2,negtgel!U679:BL679)+SUMIF(negtgel!U$2:BL$2,'Tsalin uzuulelt'!F$3,negtgel!U679:BL679)+SUMIF(negtgel!U$2:BL$2,'Tsalin uzuulelt'!F$4,negtgel!U679:BL679)+SUMIF(negtgel!U$2:BL$2,'Tsalin uzuulelt'!F$5,negtgel!U679:BL679)</f>
      </c>
      <c r="I679">
        <f>SUMIF(negtgel!U$2:BL$2,'Tsalin uzuulelt'!H$1,negtgel!U679:BL679) + SUMIF(negtgel!U$2:BL$2,'Tsalin uzuulelt'!H$2,negtgel!U679:BL679)+SUMIF(negtgel!U$2:BL$2,'Tsalin uzuulelt'!H$3,negtgel!U679:BL679)+SUMIF(negtgel!U$2:BL$2,'Tsalin uzuulelt'!H$4,negtgel!U679:BL679)+SUMIF(negtgel!U$2:BL$2,'Tsalin uzuulelt'!H$5,negtgel!U679:BL679)</f>
      </c>
      <c r="J679">
        <f>SUMIF(negtgel!U$2:BL$2,'Tsalin uzuulelt'!J$1,negtgel!U679:BL679) + SUMIF(negtgel!U$2:BL$2,'Tsalin uzuulelt'!J$2,negtgel!U679:BL679)+SUMIF(negtgel!U$2:BL$2,'Tsalin uzuulelt'!J$3,negtgel!U679:BL679)+SUMIF(negtgel!U$2:BL$2,'Tsalin uzuulelt'!J$4,negtgel!U679:BL679)+SUMIF(negtgel!U$2:BL$2,'Tsalin uzuulelt'!J$5,negtgel!U679:BL679)</f>
      </c>
      <c r="K679">
        <f>SUMIF(negtgel!U$2:BL$2,'Tsalin uzuulelt'!L$1,negtgel!U679:BL679) + SUMIF(negtgel!U$2:BL$2,'Tsalin uzuulelt'!L$2,negtgel!U679:BL679)+SUMIF(negtgel!U$2:BL$2,'Tsalin uzuulelt'!L$3,negtgel!U679:BL679)+SUMIF(negtgel!U$2:BL$2,'Tsalin uzuulelt'!L$4,negtgel!U679:BL679)+SUMIF(negtgel!U$2:BL$2,'Tsalin uzuulelt'!L$5,negtgel!U679:BL679)</f>
      </c>
      <c r="L679">
        <f>SUMIF(negtgel!U$2:BL$2,'Tsalin uzuulelt'!N$1,negtgel!U679:BL679) + SUMIF(negtgel!U$2:BL$2,'Tsalin uzuulelt'!N$2,negtgel!U679:BL679)+SUMIF(negtgel!U$2:BL$2,'Tsalin uzuulelt'!N$3,negtgel!U679:BL679)+SUMIF(negtgel!U$2:BL$2,'Tsalin uzuulelt'!N$4,negtgel!U679:BL679)+SUMIF(negtgel!U$2:BL$2,'Tsalin uzuulelt'!N$5,negtgel!U679:BL679)</f>
      </c>
      <c r="M679">
        <f>SUMIF(negtgel!U$2:BL$2,'Tsalin uzuulelt'!P$1,negtgel!U679:BL679) + SUMIF(negtgel!U$2:BL$2,'Tsalin uzuulelt'!P$2,negtgel!U679:BL679)+ SUMIF(negtgel!U$2:BL$2,'Tsalin uzuulelt'!P$3,negtgel!U679:BL679)+ SUMIF(negtgel!U$2:BL$2,'Tsalin uzuulelt'!P$4,negtgel!U679:BL679)+ SUMIF(negtgel!U$2:BL$2,'Tsalin uzuulelt'!P$5,negtgel!U679:BL679)</f>
      </c>
      <c r="N679">
        <f>IF(ISNUMBER(U679*1)=CF679,0,K679-H679-G679)</f>
      </c>
      <c r="O679">
        <f>IF(ISNUMBER(U679*1)=CF679,0,L679)</f>
      </c>
      <c r="P679">
        <f>IF(ISNUMBER(U679*1)=CF679,0,M679)</f>
      </c>
      <c r="Q679">
        <f>IF(N679&gt;2400000,N679,0)</f>
      </c>
      <c r="R679">
        <f>IF(L679/Q679*100&lt;3,2,10)</f>
      </c>
      <c r="S679">
        <f>IF(CH679=0,0,IF(B679&gt;9,10,IF(B679&gt;8,B679,IF(B679&gt;7.7,7.8,IF(B679&gt;3,B679,IF(B679&gt;1.5,2))))))</f>
      </c>
      <c r="T679">
        <f>IF(Q679=0,S679,R679)</f>
      </c>
      <c r="U679" t="n">
        <v>91.0</v>
      </c>
      <c r="V679" t="s">
        <v>3859</v>
      </c>
      <c r="W679" t="s">
        <v>3790</v>
      </c>
      <c r="X679" t="n">
        <v>580710.0</v>
      </c>
      <c r="Y679" t="n">
        <v>0.0</v>
      </c>
      <c r="Z679" t="n">
        <v>0.0</v>
      </c>
      <c r="AA679" t="n">
        <v>0.0</v>
      </c>
      <c r="AB679" t="n">
        <v>0.0</v>
      </c>
      <c r="AC679" t="n">
        <v>0.0</v>
      </c>
      <c r="AD679" t="n">
        <v>0.0</v>
      </c>
      <c r="AE679" t="n">
        <v>0.0</v>
      </c>
      <c r="AF679" t="n">
        <v>0.0</v>
      </c>
      <c r="AG679" t="n">
        <v>0.0</v>
      </c>
      <c r="AH679" t="n">
        <v>0.0</v>
      </c>
      <c r="AI679" t="n">
        <v>0.0</v>
      </c>
      <c r="AJ679" t="n">
        <v>0.0</v>
      </c>
      <c r="AK679" t="n">
        <v>0.0</v>
      </c>
      <c r="AL679" t="n">
        <v>0.0</v>
      </c>
      <c r="AM679" t="n">
        <v>0.0</v>
      </c>
      <c r="AN679" t="n">
        <v>0.0</v>
      </c>
      <c r="AO679" t="n">
        <v>0.0</v>
      </c>
      <c r="AP679" t="n">
        <v>0.0</v>
      </c>
      <c r="AQ679" t="n">
        <v>0.0</v>
      </c>
      <c r="CH679">
        <f>IFERROR(U679*1,0)</f>
      </c>
    </row>
    <row r="680">
      <c r="A680" t="n">
        <v>10.0</v>
      </c>
      <c r="B680">
        <f>IF((K680-G680-H680&gt;2400000),10,(L680/(K680-G680-H680)*100))</f>
      </c>
      <c r="C680">
        <f>IF(N680&gt;2400000,240000,(N680*S680)/100)</f>
      </c>
      <c r="D680">
        <f>IF(S680=0,0,IF((N680-I680)&gt;2400000,((((((N680-I680-J680)-240000))*0.1+(I680+J680)*0.1)))-7000,((((((N680-I680-J680)-(N680-I680-J680)*S680/100)))*0.1+(I680+J680)*0.1)-7000)))</f>
      </c>
      <c r="E680">
        <f>C680-O680</f>
      </c>
      <c r="F680">
        <f>D680-P680</f>
      </c>
      <c r="G680">
        <f>SUMIF(negtgel!U$2:BL$2,'Tsalin uzuulelt'!B$1,negtgel!U680:BL680) + SUMIF(negtgel!U$2:BL$2,'Tsalin uzuulelt'!B$2,negtgel!U680:BL680)+SUMIF(negtgel!U$2:BL$2,'Tsalin uzuulelt'!B$3,negtgel!U680:BL680)+SUMIF(negtgel!U$2:BL$2,'Tsalin uzuulelt'!B$4,negtgel!U680:BL680)+SUMIF(negtgel!U$2:BL$2,'Tsalin uzuulelt'!B$5,negtgel!U680:BL680)</f>
      </c>
      <c r="H680">
        <f>SUMIF(negtgel!U$2:BL$2,'Tsalin uzuulelt'!F$1,negtgel!U680:BL680) + SUMIF(negtgel!U$2:BL$2,'Tsalin uzuulelt'!F$2,negtgel!U680:BL680)+SUMIF(negtgel!U$2:BL$2,'Tsalin uzuulelt'!F$3,negtgel!U680:BL680)+SUMIF(negtgel!U$2:BL$2,'Tsalin uzuulelt'!F$4,negtgel!U680:BL680)+SUMIF(negtgel!U$2:BL$2,'Tsalin uzuulelt'!F$5,negtgel!U680:BL680)</f>
      </c>
      <c r="I680">
        <f>SUMIF(negtgel!U$2:BL$2,'Tsalin uzuulelt'!H$1,negtgel!U680:BL680) + SUMIF(negtgel!U$2:BL$2,'Tsalin uzuulelt'!H$2,negtgel!U680:BL680)+SUMIF(negtgel!U$2:BL$2,'Tsalin uzuulelt'!H$3,negtgel!U680:BL680)+SUMIF(negtgel!U$2:BL$2,'Tsalin uzuulelt'!H$4,negtgel!U680:BL680)+SUMIF(negtgel!U$2:BL$2,'Tsalin uzuulelt'!H$5,negtgel!U680:BL680)</f>
      </c>
      <c r="J680">
        <f>SUMIF(negtgel!U$2:BL$2,'Tsalin uzuulelt'!J$1,negtgel!U680:BL680) + SUMIF(negtgel!U$2:BL$2,'Tsalin uzuulelt'!J$2,negtgel!U680:BL680)+SUMIF(negtgel!U$2:BL$2,'Tsalin uzuulelt'!J$3,negtgel!U680:BL680)+SUMIF(negtgel!U$2:BL$2,'Tsalin uzuulelt'!J$4,negtgel!U680:BL680)+SUMIF(negtgel!U$2:BL$2,'Tsalin uzuulelt'!J$5,negtgel!U680:BL680)</f>
      </c>
      <c r="K680">
        <f>SUMIF(negtgel!U$2:BL$2,'Tsalin uzuulelt'!L$1,negtgel!U680:BL680) + SUMIF(negtgel!U$2:BL$2,'Tsalin uzuulelt'!L$2,negtgel!U680:BL680)+SUMIF(negtgel!U$2:BL$2,'Tsalin uzuulelt'!L$3,negtgel!U680:BL680)+SUMIF(negtgel!U$2:BL$2,'Tsalin uzuulelt'!L$4,negtgel!U680:BL680)+SUMIF(negtgel!U$2:BL$2,'Tsalin uzuulelt'!L$5,negtgel!U680:BL680)</f>
      </c>
      <c r="L680">
        <f>SUMIF(negtgel!U$2:BL$2,'Tsalin uzuulelt'!N$1,negtgel!U680:BL680) + SUMIF(negtgel!U$2:BL$2,'Tsalin uzuulelt'!N$2,negtgel!U680:BL680)+SUMIF(negtgel!U$2:BL$2,'Tsalin uzuulelt'!N$3,negtgel!U680:BL680)+SUMIF(negtgel!U$2:BL$2,'Tsalin uzuulelt'!N$4,negtgel!U680:BL680)+SUMIF(negtgel!U$2:BL$2,'Tsalin uzuulelt'!N$5,negtgel!U680:BL680)</f>
      </c>
      <c r="M680">
        <f>SUMIF(negtgel!U$2:BL$2,'Tsalin uzuulelt'!P$1,negtgel!U680:BL680) + SUMIF(negtgel!U$2:BL$2,'Tsalin uzuulelt'!P$2,negtgel!U680:BL680)+ SUMIF(negtgel!U$2:BL$2,'Tsalin uzuulelt'!P$3,negtgel!U680:BL680)+ SUMIF(negtgel!U$2:BL$2,'Tsalin uzuulelt'!P$4,negtgel!U680:BL680)+ SUMIF(negtgel!U$2:BL$2,'Tsalin uzuulelt'!P$5,negtgel!U680:BL680)</f>
      </c>
      <c r="N680">
        <f>IF(ISNUMBER(U680*1)=CF680,0,K680-H680-G680)</f>
      </c>
      <c r="O680">
        <f>IF(ISNUMBER(U680*1)=CF680,0,L680)</f>
      </c>
      <c r="P680">
        <f>IF(ISNUMBER(U680*1)=CF680,0,M680)</f>
      </c>
      <c r="Q680">
        <f>IF(N680&gt;2400000,N680,0)</f>
      </c>
      <c r="R680">
        <f>IF(L680/Q680*100&lt;3,2,10)</f>
      </c>
      <c r="S680">
        <f>IF(CH680=0,0,IF(B680&gt;9,10,IF(B680&gt;8,B680,IF(B680&gt;7.7,7.8,IF(B680&gt;3,B680,IF(B680&gt;1.5,2))))))</f>
      </c>
      <c r="T680">
        <f>IF(Q680=0,S680,R680)</f>
      </c>
      <c r="U680" t="n">
        <v>92.0</v>
      </c>
      <c r="V680" t="s">
        <v>3873</v>
      </c>
      <c r="W680" t="s">
        <v>3792</v>
      </c>
      <c r="X680" t="n">
        <v>496912.0</v>
      </c>
      <c r="Y680" t="n">
        <v>0.0</v>
      </c>
      <c r="Z680" t="n">
        <v>0.0</v>
      </c>
      <c r="AA680" t="n">
        <v>0.0</v>
      </c>
      <c r="AB680" t="n">
        <v>0.0</v>
      </c>
      <c r="AC680" t="n">
        <v>0.0</v>
      </c>
      <c r="AD680" t="n">
        <v>0.0</v>
      </c>
      <c r="AE680" t="n">
        <v>0.0</v>
      </c>
      <c r="AF680" t="n">
        <v>0.0</v>
      </c>
      <c r="AG680" t="n">
        <v>0.0</v>
      </c>
      <c r="AH680" t="n">
        <v>0.0</v>
      </c>
      <c r="AI680" t="n">
        <v>0.0</v>
      </c>
      <c r="AJ680" t="n">
        <v>0.0</v>
      </c>
      <c r="AK680" t="n">
        <v>0.0</v>
      </c>
      <c r="AL680" t="n">
        <v>0.0</v>
      </c>
      <c r="AM680" t="n">
        <v>0.0</v>
      </c>
      <c r="AN680" t="n">
        <v>0.0</v>
      </c>
      <c r="AO680" t="n">
        <v>0.0</v>
      </c>
      <c r="AP680" t="n">
        <v>0.0</v>
      </c>
      <c r="AQ680" t="n">
        <v>0.0</v>
      </c>
      <c r="CH680">
        <f>IFERROR(U680*1,0)</f>
      </c>
    </row>
    <row r="681">
      <c r="A681" t="n">
        <v>10.0</v>
      </c>
      <c r="B681">
        <f>IF((K681-G681-H681&gt;2400000),10,(L681/(K681-G681-H681)*100))</f>
      </c>
      <c r="C681">
        <f>IF(N681&gt;2400000,240000,(N681*S681)/100)</f>
      </c>
      <c r="D681">
        <f>IF(S681=0,0,IF((N681-I681)&gt;2400000,((((((N681-I681-J681)-240000))*0.1+(I681+J681)*0.1)))-7000,((((((N681-I681-J681)-(N681-I681-J681)*S681/100)))*0.1+(I681+J681)*0.1)-7000)))</f>
      </c>
      <c r="E681">
        <f>C681-O681</f>
      </c>
      <c r="F681">
        <f>D681-P681</f>
      </c>
      <c r="G681">
        <f>SUMIF(negtgel!U$2:BL$2,'Tsalin uzuulelt'!B$1,negtgel!U681:BL681) + SUMIF(negtgel!U$2:BL$2,'Tsalin uzuulelt'!B$2,negtgel!U681:BL681)+SUMIF(negtgel!U$2:BL$2,'Tsalin uzuulelt'!B$3,negtgel!U681:BL681)+SUMIF(negtgel!U$2:BL$2,'Tsalin uzuulelt'!B$4,negtgel!U681:BL681)+SUMIF(negtgel!U$2:BL$2,'Tsalin uzuulelt'!B$5,negtgel!U681:BL681)</f>
      </c>
      <c r="H681">
        <f>SUMIF(negtgel!U$2:BL$2,'Tsalin uzuulelt'!F$1,negtgel!U681:BL681) + SUMIF(negtgel!U$2:BL$2,'Tsalin uzuulelt'!F$2,negtgel!U681:BL681)+SUMIF(negtgel!U$2:BL$2,'Tsalin uzuulelt'!F$3,negtgel!U681:BL681)+SUMIF(negtgel!U$2:BL$2,'Tsalin uzuulelt'!F$4,negtgel!U681:BL681)+SUMIF(negtgel!U$2:BL$2,'Tsalin uzuulelt'!F$5,negtgel!U681:BL681)</f>
      </c>
      <c r="I681">
        <f>SUMIF(negtgel!U$2:BL$2,'Tsalin uzuulelt'!H$1,negtgel!U681:BL681) + SUMIF(negtgel!U$2:BL$2,'Tsalin uzuulelt'!H$2,negtgel!U681:BL681)+SUMIF(negtgel!U$2:BL$2,'Tsalin uzuulelt'!H$3,negtgel!U681:BL681)+SUMIF(negtgel!U$2:BL$2,'Tsalin uzuulelt'!H$4,negtgel!U681:BL681)+SUMIF(negtgel!U$2:BL$2,'Tsalin uzuulelt'!H$5,negtgel!U681:BL681)</f>
      </c>
      <c r="J681">
        <f>SUMIF(negtgel!U$2:BL$2,'Tsalin uzuulelt'!J$1,negtgel!U681:BL681) + SUMIF(negtgel!U$2:BL$2,'Tsalin uzuulelt'!J$2,negtgel!U681:BL681)+SUMIF(negtgel!U$2:BL$2,'Tsalin uzuulelt'!J$3,negtgel!U681:BL681)+SUMIF(negtgel!U$2:BL$2,'Tsalin uzuulelt'!J$4,negtgel!U681:BL681)+SUMIF(negtgel!U$2:BL$2,'Tsalin uzuulelt'!J$5,negtgel!U681:BL681)</f>
      </c>
      <c r="K681">
        <f>SUMIF(negtgel!U$2:BL$2,'Tsalin uzuulelt'!L$1,negtgel!U681:BL681) + SUMIF(negtgel!U$2:BL$2,'Tsalin uzuulelt'!L$2,negtgel!U681:BL681)+SUMIF(negtgel!U$2:BL$2,'Tsalin uzuulelt'!L$3,negtgel!U681:BL681)+SUMIF(negtgel!U$2:BL$2,'Tsalin uzuulelt'!L$4,negtgel!U681:BL681)+SUMIF(negtgel!U$2:BL$2,'Tsalin uzuulelt'!L$5,negtgel!U681:BL681)</f>
      </c>
      <c r="L681">
        <f>SUMIF(negtgel!U$2:BL$2,'Tsalin uzuulelt'!N$1,negtgel!U681:BL681) + SUMIF(negtgel!U$2:BL$2,'Tsalin uzuulelt'!N$2,negtgel!U681:BL681)+SUMIF(negtgel!U$2:BL$2,'Tsalin uzuulelt'!N$3,negtgel!U681:BL681)+SUMIF(negtgel!U$2:BL$2,'Tsalin uzuulelt'!N$4,negtgel!U681:BL681)+SUMIF(negtgel!U$2:BL$2,'Tsalin uzuulelt'!N$5,negtgel!U681:BL681)</f>
      </c>
      <c r="M681">
        <f>SUMIF(negtgel!U$2:BL$2,'Tsalin uzuulelt'!P$1,negtgel!U681:BL681) + SUMIF(negtgel!U$2:BL$2,'Tsalin uzuulelt'!P$2,negtgel!U681:BL681)+ SUMIF(negtgel!U$2:BL$2,'Tsalin uzuulelt'!P$3,negtgel!U681:BL681)+ SUMIF(negtgel!U$2:BL$2,'Tsalin uzuulelt'!P$4,negtgel!U681:BL681)+ SUMIF(negtgel!U$2:BL$2,'Tsalin uzuulelt'!P$5,negtgel!U681:BL681)</f>
      </c>
      <c r="N681">
        <f>IF(ISNUMBER(U681*1)=CF681,0,K681-H681-G681)</f>
      </c>
      <c r="O681">
        <f>IF(ISNUMBER(U681*1)=CF681,0,L681)</f>
      </c>
      <c r="P681">
        <f>IF(ISNUMBER(U681*1)=CF681,0,M681)</f>
      </c>
      <c r="Q681">
        <f>IF(N681&gt;2400000,N681,0)</f>
      </c>
      <c r="R681">
        <f>IF(L681/Q681*100&lt;3,2,10)</f>
      </c>
      <c r="S681">
        <f>IF(CH681=0,0,IF(B681&gt;9,10,IF(B681&gt;8,B681,IF(B681&gt;7.7,7.8,IF(B681&gt;3,B681,IF(B681&gt;1.5,2))))))</f>
      </c>
      <c r="T681">
        <f>IF(Q681=0,S681,R681)</f>
      </c>
      <c r="U681" t="n">
        <v>93.0</v>
      </c>
      <c r="V681" t="s">
        <v>3874</v>
      </c>
      <c r="W681" t="s">
        <v>3790</v>
      </c>
      <c r="X681" t="n">
        <v>677436.0</v>
      </c>
      <c r="Y681" t="n">
        <v>0.0</v>
      </c>
      <c r="Z681" t="n">
        <v>0.0</v>
      </c>
      <c r="AA681" t="n">
        <v>0.0</v>
      </c>
      <c r="AB681" t="n">
        <v>0.0</v>
      </c>
      <c r="AC681" t="n">
        <v>0.0</v>
      </c>
      <c r="AD681" t="n">
        <v>0.0</v>
      </c>
      <c r="AE681" t="n">
        <v>0.0</v>
      </c>
      <c r="AF681" t="n">
        <v>0.0</v>
      </c>
      <c r="AG681" t="n">
        <v>0.0</v>
      </c>
      <c r="AH681" t="n">
        <v>0.0</v>
      </c>
      <c r="AI681" t="n">
        <v>0.0</v>
      </c>
      <c r="AJ681" t="n">
        <v>0.0</v>
      </c>
      <c r="AK681" t="n">
        <v>0.0</v>
      </c>
      <c r="AL681" t="n">
        <v>0.0</v>
      </c>
      <c r="AM681" t="n">
        <v>0.0</v>
      </c>
      <c r="AN681" t="n">
        <v>0.0</v>
      </c>
      <c r="AO681" t="n">
        <v>0.0</v>
      </c>
      <c r="AP681" t="n">
        <v>0.0</v>
      </c>
      <c r="AQ681" t="n">
        <v>0.0</v>
      </c>
      <c r="CH681">
        <f>IFERROR(U681*1,0)</f>
      </c>
    </row>
    <row r="682">
      <c r="A682" t="n">
        <v>10.0</v>
      </c>
      <c r="B682">
        <f>IF((K682-G682-H682&gt;2400000),10,(L682/(K682-G682-H682)*100))</f>
      </c>
      <c r="C682">
        <f>IF(N682&gt;2400000,240000,(N682*S682)/100)</f>
      </c>
      <c r="D682">
        <f>IF(S682=0,0,IF((N682-I682)&gt;2400000,((((((N682-I682-J682)-240000))*0.1+(I682+J682)*0.1)))-7000,((((((N682-I682-J682)-(N682-I682-J682)*S682/100)))*0.1+(I682+J682)*0.1)-7000)))</f>
      </c>
      <c r="E682">
        <f>C682-O682</f>
      </c>
      <c r="F682">
        <f>D682-P682</f>
      </c>
      <c r="G682">
        <f>SUMIF(negtgel!U$2:BL$2,'Tsalin uzuulelt'!B$1,negtgel!U682:BL682) + SUMIF(negtgel!U$2:BL$2,'Tsalin uzuulelt'!B$2,negtgel!U682:BL682)+SUMIF(negtgel!U$2:BL$2,'Tsalin uzuulelt'!B$3,negtgel!U682:BL682)+SUMIF(negtgel!U$2:BL$2,'Tsalin uzuulelt'!B$4,negtgel!U682:BL682)+SUMIF(negtgel!U$2:BL$2,'Tsalin uzuulelt'!B$5,negtgel!U682:BL682)</f>
      </c>
      <c r="H682">
        <f>SUMIF(negtgel!U$2:BL$2,'Tsalin uzuulelt'!F$1,negtgel!U682:BL682) + SUMIF(negtgel!U$2:BL$2,'Tsalin uzuulelt'!F$2,negtgel!U682:BL682)+SUMIF(negtgel!U$2:BL$2,'Tsalin uzuulelt'!F$3,negtgel!U682:BL682)+SUMIF(negtgel!U$2:BL$2,'Tsalin uzuulelt'!F$4,negtgel!U682:BL682)+SUMIF(negtgel!U$2:BL$2,'Tsalin uzuulelt'!F$5,negtgel!U682:BL682)</f>
      </c>
      <c r="I682">
        <f>SUMIF(negtgel!U$2:BL$2,'Tsalin uzuulelt'!H$1,negtgel!U682:BL682) + SUMIF(negtgel!U$2:BL$2,'Tsalin uzuulelt'!H$2,negtgel!U682:BL682)+SUMIF(negtgel!U$2:BL$2,'Tsalin uzuulelt'!H$3,negtgel!U682:BL682)+SUMIF(negtgel!U$2:BL$2,'Tsalin uzuulelt'!H$4,negtgel!U682:BL682)+SUMIF(negtgel!U$2:BL$2,'Tsalin uzuulelt'!H$5,negtgel!U682:BL682)</f>
      </c>
      <c r="J682">
        <f>SUMIF(negtgel!U$2:BL$2,'Tsalin uzuulelt'!J$1,negtgel!U682:BL682) + SUMIF(negtgel!U$2:BL$2,'Tsalin uzuulelt'!J$2,negtgel!U682:BL682)+SUMIF(negtgel!U$2:BL$2,'Tsalin uzuulelt'!J$3,negtgel!U682:BL682)+SUMIF(negtgel!U$2:BL$2,'Tsalin uzuulelt'!J$4,negtgel!U682:BL682)+SUMIF(negtgel!U$2:BL$2,'Tsalin uzuulelt'!J$5,negtgel!U682:BL682)</f>
      </c>
      <c r="K682">
        <f>SUMIF(negtgel!U$2:BL$2,'Tsalin uzuulelt'!L$1,negtgel!U682:BL682) + SUMIF(negtgel!U$2:BL$2,'Tsalin uzuulelt'!L$2,negtgel!U682:BL682)+SUMIF(negtgel!U$2:BL$2,'Tsalin uzuulelt'!L$3,negtgel!U682:BL682)+SUMIF(negtgel!U$2:BL$2,'Tsalin uzuulelt'!L$4,negtgel!U682:BL682)+SUMIF(negtgel!U$2:BL$2,'Tsalin uzuulelt'!L$5,negtgel!U682:BL682)</f>
      </c>
      <c r="L682">
        <f>SUMIF(negtgel!U$2:BL$2,'Tsalin uzuulelt'!N$1,negtgel!U682:BL682) + SUMIF(negtgel!U$2:BL$2,'Tsalin uzuulelt'!N$2,negtgel!U682:BL682)+SUMIF(negtgel!U$2:BL$2,'Tsalin uzuulelt'!N$3,negtgel!U682:BL682)+SUMIF(negtgel!U$2:BL$2,'Tsalin uzuulelt'!N$4,negtgel!U682:BL682)+SUMIF(negtgel!U$2:BL$2,'Tsalin uzuulelt'!N$5,negtgel!U682:BL682)</f>
      </c>
      <c r="M682">
        <f>SUMIF(negtgel!U$2:BL$2,'Tsalin uzuulelt'!P$1,negtgel!U682:BL682) + SUMIF(negtgel!U$2:BL$2,'Tsalin uzuulelt'!P$2,negtgel!U682:BL682)+ SUMIF(negtgel!U$2:BL$2,'Tsalin uzuulelt'!P$3,negtgel!U682:BL682)+ SUMIF(negtgel!U$2:BL$2,'Tsalin uzuulelt'!P$4,negtgel!U682:BL682)+ SUMIF(negtgel!U$2:BL$2,'Tsalin uzuulelt'!P$5,negtgel!U682:BL682)</f>
      </c>
      <c r="N682">
        <f>IF(ISNUMBER(U682*1)=CF682,0,K682-H682-G682)</f>
      </c>
      <c r="O682">
        <f>IF(ISNUMBER(U682*1)=CF682,0,L682)</f>
      </c>
      <c r="P682">
        <f>IF(ISNUMBER(U682*1)=CF682,0,M682)</f>
      </c>
      <c r="Q682">
        <f>IF(N682&gt;2400000,N682,0)</f>
      </c>
      <c r="R682">
        <f>IF(L682/Q682*100&lt;3,2,10)</f>
      </c>
      <c r="S682">
        <f>IF(CH682=0,0,IF(B682&gt;9,10,IF(B682&gt;8,B682,IF(B682&gt;7.7,7.8,IF(B682&gt;3,B682,IF(B682&gt;1.5,2))))))</f>
      </c>
      <c r="T682">
        <f>IF(Q682=0,S682,R682)</f>
      </c>
      <c r="U682" t="n">
        <v>94.0</v>
      </c>
      <c r="V682" t="s">
        <v>3875</v>
      </c>
      <c r="W682" t="s">
        <v>3790</v>
      </c>
      <c r="X682" t="n">
        <v>580710.0</v>
      </c>
      <c r="Y682" t="n">
        <v>0.0</v>
      </c>
      <c r="Z682" t="n">
        <v>0.0</v>
      </c>
      <c r="AA682" t="n">
        <v>0.0</v>
      </c>
      <c r="AB682" t="n">
        <v>0.0</v>
      </c>
      <c r="AC682" t="n">
        <v>0.0</v>
      </c>
      <c r="AD682" t="n">
        <v>0.0</v>
      </c>
      <c r="AE682" t="n">
        <v>0.0</v>
      </c>
      <c r="AF682" t="n">
        <v>0.0</v>
      </c>
      <c r="AG682" t="n">
        <v>0.0</v>
      </c>
      <c r="AH682" t="n">
        <v>0.0</v>
      </c>
      <c r="AI682" t="n">
        <v>0.0</v>
      </c>
      <c r="AJ682" t="n">
        <v>0.0</v>
      </c>
      <c r="AK682" t="n">
        <v>0.0</v>
      </c>
      <c r="AL682" t="n">
        <v>0.0</v>
      </c>
      <c r="AM682" t="n">
        <v>0.0</v>
      </c>
      <c r="AN682" t="n">
        <v>0.0</v>
      </c>
      <c r="AO682" t="n">
        <v>0.0</v>
      </c>
      <c r="AP682" t="n">
        <v>0.0</v>
      </c>
      <c r="AQ682" t="n">
        <v>0.0</v>
      </c>
      <c r="CH682">
        <f>IFERROR(U682*1,0)</f>
      </c>
    </row>
    <row r="683">
      <c r="A683" t="n">
        <v>10.0</v>
      </c>
      <c r="B683">
        <f>IF((K683-G683-H683&gt;2400000),10,(L683/(K683-G683-H683)*100))</f>
      </c>
      <c r="C683">
        <f>IF(N683&gt;2400000,240000,(N683*S683)/100)</f>
      </c>
      <c r="D683">
        <f>IF(S683=0,0,IF((N683-I683)&gt;2400000,((((((N683-I683-J683)-240000))*0.1+(I683+J683)*0.1)))-7000,((((((N683-I683-J683)-(N683-I683-J683)*S683/100)))*0.1+(I683+J683)*0.1)-7000)))</f>
      </c>
      <c r="E683">
        <f>C683-O683</f>
      </c>
      <c r="F683">
        <f>D683-P683</f>
      </c>
      <c r="G683">
        <f>SUMIF(negtgel!U$2:BL$2,'Tsalin uzuulelt'!B$1,negtgel!U683:BL683) + SUMIF(negtgel!U$2:BL$2,'Tsalin uzuulelt'!B$2,negtgel!U683:BL683)+SUMIF(negtgel!U$2:BL$2,'Tsalin uzuulelt'!B$3,negtgel!U683:BL683)+SUMIF(negtgel!U$2:BL$2,'Tsalin uzuulelt'!B$4,negtgel!U683:BL683)+SUMIF(negtgel!U$2:BL$2,'Tsalin uzuulelt'!B$5,negtgel!U683:BL683)</f>
      </c>
      <c r="H683">
        <f>SUMIF(negtgel!U$2:BL$2,'Tsalin uzuulelt'!F$1,negtgel!U683:BL683) + SUMIF(negtgel!U$2:BL$2,'Tsalin uzuulelt'!F$2,negtgel!U683:BL683)+SUMIF(negtgel!U$2:BL$2,'Tsalin uzuulelt'!F$3,negtgel!U683:BL683)+SUMIF(negtgel!U$2:BL$2,'Tsalin uzuulelt'!F$4,negtgel!U683:BL683)+SUMIF(negtgel!U$2:BL$2,'Tsalin uzuulelt'!F$5,negtgel!U683:BL683)</f>
      </c>
      <c r="I683">
        <f>SUMIF(negtgel!U$2:BL$2,'Tsalin uzuulelt'!H$1,negtgel!U683:BL683) + SUMIF(negtgel!U$2:BL$2,'Tsalin uzuulelt'!H$2,negtgel!U683:BL683)+SUMIF(negtgel!U$2:BL$2,'Tsalin uzuulelt'!H$3,negtgel!U683:BL683)+SUMIF(negtgel!U$2:BL$2,'Tsalin uzuulelt'!H$4,negtgel!U683:BL683)+SUMIF(negtgel!U$2:BL$2,'Tsalin uzuulelt'!H$5,negtgel!U683:BL683)</f>
      </c>
      <c r="J683">
        <f>SUMIF(negtgel!U$2:BL$2,'Tsalin uzuulelt'!J$1,negtgel!U683:BL683) + SUMIF(negtgel!U$2:BL$2,'Tsalin uzuulelt'!J$2,negtgel!U683:BL683)+SUMIF(negtgel!U$2:BL$2,'Tsalin uzuulelt'!J$3,negtgel!U683:BL683)+SUMIF(negtgel!U$2:BL$2,'Tsalin uzuulelt'!J$4,negtgel!U683:BL683)+SUMIF(negtgel!U$2:BL$2,'Tsalin uzuulelt'!J$5,negtgel!U683:BL683)</f>
      </c>
      <c r="K683">
        <f>SUMIF(negtgel!U$2:BL$2,'Tsalin uzuulelt'!L$1,negtgel!U683:BL683) + SUMIF(negtgel!U$2:BL$2,'Tsalin uzuulelt'!L$2,negtgel!U683:BL683)+SUMIF(negtgel!U$2:BL$2,'Tsalin uzuulelt'!L$3,negtgel!U683:BL683)+SUMIF(negtgel!U$2:BL$2,'Tsalin uzuulelt'!L$4,negtgel!U683:BL683)+SUMIF(negtgel!U$2:BL$2,'Tsalin uzuulelt'!L$5,negtgel!U683:BL683)</f>
      </c>
      <c r="L683">
        <f>SUMIF(negtgel!U$2:BL$2,'Tsalin uzuulelt'!N$1,negtgel!U683:BL683) + SUMIF(negtgel!U$2:BL$2,'Tsalin uzuulelt'!N$2,negtgel!U683:BL683)+SUMIF(negtgel!U$2:BL$2,'Tsalin uzuulelt'!N$3,negtgel!U683:BL683)+SUMIF(negtgel!U$2:BL$2,'Tsalin uzuulelt'!N$4,negtgel!U683:BL683)+SUMIF(negtgel!U$2:BL$2,'Tsalin uzuulelt'!N$5,negtgel!U683:BL683)</f>
      </c>
      <c r="M683">
        <f>SUMIF(negtgel!U$2:BL$2,'Tsalin uzuulelt'!P$1,negtgel!U683:BL683) + SUMIF(negtgel!U$2:BL$2,'Tsalin uzuulelt'!P$2,negtgel!U683:BL683)+ SUMIF(negtgel!U$2:BL$2,'Tsalin uzuulelt'!P$3,negtgel!U683:BL683)+ SUMIF(negtgel!U$2:BL$2,'Tsalin uzuulelt'!P$4,negtgel!U683:BL683)+ SUMIF(negtgel!U$2:BL$2,'Tsalin uzuulelt'!P$5,negtgel!U683:BL683)</f>
      </c>
      <c r="N683">
        <f>IF(ISNUMBER(U683*1)=CF683,0,K683-H683-G683)</f>
      </c>
      <c r="O683">
        <f>IF(ISNUMBER(U683*1)=CF683,0,L683)</f>
      </c>
      <c r="P683">
        <f>IF(ISNUMBER(U683*1)=CF683,0,M683)</f>
      </c>
      <c r="Q683">
        <f>IF(N683&gt;2400000,N683,0)</f>
      </c>
      <c r="R683">
        <f>IF(L683/Q683*100&lt;3,2,10)</f>
      </c>
      <c r="S683">
        <f>IF(CH683=0,0,IF(B683&gt;9,10,IF(B683&gt;8,B683,IF(B683&gt;7.7,7.8,IF(B683&gt;3,B683,IF(B683&gt;1.5,2))))))</f>
      </c>
      <c r="T683">
        <f>IF(Q683=0,S683,R683)</f>
      </c>
      <c r="U683" t="n">
        <v>95.0</v>
      </c>
      <c r="V683" t="s">
        <v>3876</v>
      </c>
      <c r="W683" t="s">
        <v>3790</v>
      </c>
      <c r="X683" t="n">
        <v>613669.0</v>
      </c>
      <c r="Y683" t="n">
        <v>0.0</v>
      </c>
      <c r="Z683" t="n">
        <v>0.0</v>
      </c>
      <c r="AA683" t="n">
        <v>0.0</v>
      </c>
      <c r="AB683" t="n">
        <v>0.0</v>
      </c>
      <c r="AC683" t="n">
        <v>0.0</v>
      </c>
      <c r="AD683" t="n">
        <v>0.0</v>
      </c>
      <c r="AE683" t="n">
        <v>0.0</v>
      </c>
      <c r="AF683" t="n">
        <v>0.0</v>
      </c>
      <c r="AG683" t="n">
        <v>0.0</v>
      </c>
      <c r="AH683" t="n">
        <v>0.0</v>
      </c>
      <c r="AI683" t="n">
        <v>0.0</v>
      </c>
      <c r="AJ683" t="n">
        <v>0.0</v>
      </c>
      <c r="AK683" t="n">
        <v>0.0</v>
      </c>
      <c r="AL683" t="n">
        <v>0.0</v>
      </c>
      <c r="AM683" t="n">
        <v>0.0</v>
      </c>
      <c r="AN683" t="n">
        <v>0.0</v>
      </c>
      <c r="AO683" t="n">
        <v>0.0</v>
      </c>
      <c r="AP683" t="n">
        <v>0.0</v>
      </c>
      <c r="AQ683" t="n">
        <v>0.0</v>
      </c>
      <c r="CH683">
        <f>IFERROR(U683*1,0)</f>
      </c>
    </row>
    <row r="684">
      <c r="A684" t="n">
        <v>10.0</v>
      </c>
      <c r="B684">
        <f>IF((K684-G684-H684&gt;2400000),10,(L684/(K684-G684-H684)*100))</f>
      </c>
      <c r="C684">
        <f>IF(N684&gt;2400000,240000,(N684*S684)/100)</f>
      </c>
      <c r="D684">
        <f>IF(S684=0,0,IF((N684-I684)&gt;2400000,((((((N684-I684-J684)-240000))*0.1+(I684+J684)*0.1)))-7000,((((((N684-I684-J684)-(N684-I684-J684)*S684/100)))*0.1+(I684+J684)*0.1)-7000)))</f>
      </c>
      <c r="E684">
        <f>C684-O684</f>
      </c>
      <c r="F684">
        <f>D684-P684</f>
      </c>
      <c r="G684">
        <f>SUMIF(negtgel!U$2:BL$2,'Tsalin uzuulelt'!B$1,negtgel!U684:BL684) + SUMIF(negtgel!U$2:BL$2,'Tsalin uzuulelt'!B$2,negtgel!U684:BL684)+SUMIF(negtgel!U$2:BL$2,'Tsalin uzuulelt'!B$3,negtgel!U684:BL684)+SUMIF(negtgel!U$2:BL$2,'Tsalin uzuulelt'!B$4,negtgel!U684:BL684)+SUMIF(negtgel!U$2:BL$2,'Tsalin uzuulelt'!B$5,negtgel!U684:BL684)</f>
      </c>
      <c r="H684">
        <f>SUMIF(negtgel!U$2:BL$2,'Tsalin uzuulelt'!F$1,negtgel!U684:BL684) + SUMIF(negtgel!U$2:BL$2,'Tsalin uzuulelt'!F$2,negtgel!U684:BL684)+SUMIF(negtgel!U$2:BL$2,'Tsalin uzuulelt'!F$3,negtgel!U684:BL684)+SUMIF(negtgel!U$2:BL$2,'Tsalin uzuulelt'!F$4,negtgel!U684:BL684)+SUMIF(negtgel!U$2:BL$2,'Tsalin uzuulelt'!F$5,negtgel!U684:BL684)</f>
      </c>
      <c r="I684">
        <f>SUMIF(negtgel!U$2:BL$2,'Tsalin uzuulelt'!H$1,negtgel!U684:BL684) + SUMIF(negtgel!U$2:BL$2,'Tsalin uzuulelt'!H$2,negtgel!U684:BL684)+SUMIF(negtgel!U$2:BL$2,'Tsalin uzuulelt'!H$3,negtgel!U684:BL684)+SUMIF(negtgel!U$2:BL$2,'Tsalin uzuulelt'!H$4,negtgel!U684:BL684)+SUMIF(negtgel!U$2:BL$2,'Tsalin uzuulelt'!H$5,negtgel!U684:BL684)</f>
      </c>
      <c r="J684">
        <f>SUMIF(negtgel!U$2:BL$2,'Tsalin uzuulelt'!J$1,negtgel!U684:BL684) + SUMIF(negtgel!U$2:BL$2,'Tsalin uzuulelt'!J$2,negtgel!U684:BL684)+SUMIF(negtgel!U$2:BL$2,'Tsalin uzuulelt'!J$3,negtgel!U684:BL684)+SUMIF(negtgel!U$2:BL$2,'Tsalin uzuulelt'!J$4,negtgel!U684:BL684)+SUMIF(negtgel!U$2:BL$2,'Tsalin uzuulelt'!J$5,negtgel!U684:BL684)</f>
      </c>
      <c r="K684">
        <f>SUMIF(negtgel!U$2:BL$2,'Tsalin uzuulelt'!L$1,negtgel!U684:BL684) + SUMIF(negtgel!U$2:BL$2,'Tsalin uzuulelt'!L$2,negtgel!U684:BL684)+SUMIF(negtgel!U$2:BL$2,'Tsalin uzuulelt'!L$3,negtgel!U684:BL684)+SUMIF(negtgel!U$2:BL$2,'Tsalin uzuulelt'!L$4,negtgel!U684:BL684)+SUMIF(negtgel!U$2:BL$2,'Tsalin uzuulelt'!L$5,negtgel!U684:BL684)</f>
      </c>
      <c r="L684">
        <f>SUMIF(negtgel!U$2:BL$2,'Tsalin uzuulelt'!N$1,negtgel!U684:BL684) + SUMIF(negtgel!U$2:BL$2,'Tsalin uzuulelt'!N$2,negtgel!U684:BL684)+SUMIF(negtgel!U$2:BL$2,'Tsalin uzuulelt'!N$3,negtgel!U684:BL684)+SUMIF(negtgel!U$2:BL$2,'Tsalin uzuulelt'!N$4,negtgel!U684:BL684)+SUMIF(negtgel!U$2:BL$2,'Tsalin uzuulelt'!N$5,negtgel!U684:BL684)</f>
      </c>
      <c r="M684">
        <f>SUMIF(negtgel!U$2:BL$2,'Tsalin uzuulelt'!P$1,negtgel!U684:BL684) + SUMIF(negtgel!U$2:BL$2,'Tsalin uzuulelt'!P$2,negtgel!U684:BL684)+ SUMIF(negtgel!U$2:BL$2,'Tsalin uzuulelt'!P$3,negtgel!U684:BL684)+ SUMIF(negtgel!U$2:BL$2,'Tsalin uzuulelt'!P$4,negtgel!U684:BL684)+ SUMIF(negtgel!U$2:BL$2,'Tsalin uzuulelt'!P$5,negtgel!U684:BL684)</f>
      </c>
      <c r="N684">
        <f>IF(ISNUMBER(U684*1)=CF684,0,K684-H684-G684)</f>
      </c>
      <c r="O684">
        <f>IF(ISNUMBER(U684*1)=CF684,0,L684)</f>
      </c>
      <c r="P684">
        <f>IF(ISNUMBER(U684*1)=CF684,0,M684)</f>
      </c>
      <c r="Q684">
        <f>IF(N684&gt;2400000,N684,0)</f>
      </c>
      <c r="R684">
        <f>IF(L684/Q684*100&lt;3,2,10)</f>
      </c>
      <c r="S684">
        <f>IF(CH684=0,0,IF(B684&gt;9,10,IF(B684&gt;8,B684,IF(B684&gt;7.7,7.8,IF(B684&gt;3,B684,IF(B684&gt;1.5,2))))))</f>
      </c>
      <c r="T684">
        <f>IF(Q684=0,S684,R684)</f>
      </c>
      <c r="U684" t="n">
        <v>96.0</v>
      </c>
      <c r="V684" t="s">
        <v>3880</v>
      </c>
      <c r="W684" t="s">
        <v>3785</v>
      </c>
      <c r="X684" t="n">
        <v>718776.0</v>
      </c>
      <c r="Y684" t="n">
        <v>0.0</v>
      </c>
      <c r="Z684" t="n">
        <v>0.0</v>
      </c>
      <c r="AA684" t="n">
        <v>0.0</v>
      </c>
      <c r="AB684" t="n">
        <v>0.0</v>
      </c>
      <c r="AC684" t="n">
        <v>0.0</v>
      </c>
      <c r="AD684" t="n">
        <v>0.0</v>
      </c>
      <c r="AE684" t="n">
        <v>0.0</v>
      </c>
      <c r="AF684" t="n">
        <v>0.0</v>
      </c>
      <c r="AG684" t="n">
        <v>0.0</v>
      </c>
      <c r="AH684" t="n">
        <v>0.0</v>
      </c>
      <c r="AI684" t="n">
        <v>0.0</v>
      </c>
      <c r="AJ684" t="n">
        <v>0.0</v>
      </c>
      <c r="AK684" t="n">
        <v>0.0</v>
      </c>
      <c r="AL684" t="n">
        <v>0.0</v>
      </c>
      <c r="AM684" t="n">
        <v>0.0</v>
      </c>
      <c r="AN684" t="n">
        <v>0.0</v>
      </c>
      <c r="AO684" t="n">
        <v>0.0</v>
      </c>
      <c r="AP684" t="n">
        <v>0.0</v>
      </c>
      <c r="AQ684" t="n">
        <v>0.0</v>
      </c>
      <c r="CH684">
        <f>IFERROR(U684*1,0)</f>
      </c>
    </row>
    <row r="685">
      <c r="A685" t="n">
        <v>10.0</v>
      </c>
      <c r="B685">
        <f>IF((K685-G685-H685&gt;2400000),10,(L685/(K685-G685-H685)*100))</f>
      </c>
      <c r="C685">
        <f>IF(N685&gt;2400000,240000,(N685*S685)/100)</f>
      </c>
      <c r="D685">
        <f>IF(S685=0,0,IF((N685-I685)&gt;2400000,((((((N685-I685-J685)-240000))*0.1+(I685+J685)*0.1)))-7000,((((((N685-I685-J685)-(N685-I685-J685)*S685/100)))*0.1+(I685+J685)*0.1)-7000)))</f>
      </c>
      <c r="E685">
        <f>C685-O685</f>
      </c>
      <c r="F685">
        <f>D685-P685</f>
      </c>
      <c r="G685">
        <f>SUMIF(negtgel!U$2:BL$2,'Tsalin uzuulelt'!B$1,negtgel!U685:BL685) + SUMIF(negtgel!U$2:BL$2,'Tsalin uzuulelt'!B$2,negtgel!U685:BL685)+SUMIF(negtgel!U$2:BL$2,'Tsalin uzuulelt'!B$3,negtgel!U685:BL685)+SUMIF(negtgel!U$2:BL$2,'Tsalin uzuulelt'!B$4,negtgel!U685:BL685)+SUMIF(negtgel!U$2:BL$2,'Tsalin uzuulelt'!B$5,negtgel!U685:BL685)</f>
      </c>
      <c r="H685">
        <f>SUMIF(negtgel!U$2:BL$2,'Tsalin uzuulelt'!F$1,negtgel!U685:BL685) + SUMIF(negtgel!U$2:BL$2,'Tsalin uzuulelt'!F$2,negtgel!U685:BL685)+SUMIF(negtgel!U$2:BL$2,'Tsalin uzuulelt'!F$3,negtgel!U685:BL685)+SUMIF(negtgel!U$2:BL$2,'Tsalin uzuulelt'!F$4,negtgel!U685:BL685)+SUMIF(negtgel!U$2:BL$2,'Tsalin uzuulelt'!F$5,negtgel!U685:BL685)</f>
      </c>
      <c r="I685">
        <f>SUMIF(negtgel!U$2:BL$2,'Tsalin uzuulelt'!H$1,negtgel!U685:BL685) + SUMIF(negtgel!U$2:BL$2,'Tsalin uzuulelt'!H$2,negtgel!U685:BL685)+SUMIF(negtgel!U$2:BL$2,'Tsalin uzuulelt'!H$3,negtgel!U685:BL685)+SUMIF(negtgel!U$2:BL$2,'Tsalin uzuulelt'!H$4,negtgel!U685:BL685)+SUMIF(negtgel!U$2:BL$2,'Tsalin uzuulelt'!H$5,negtgel!U685:BL685)</f>
      </c>
      <c r="J685">
        <f>SUMIF(negtgel!U$2:BL$2,'Tsalin uzuulelt'!J$1,negtgel!U685:BL685) + SUMIF(negtgel!U$2:BL$2,'Tsalin uzuulelt'!J$2,negtgel!U685:BL685)+SUMIF(negtgel!U$2:BL$2,'Tsalin uzuulelt'!J$3,negtgel!U685:BL685)+SUMIF(negtgel!U$2:BL$2,'Tsalin uzuulelt'!J$4,negtgel!U685:BL685)+SUMIF(negtgel!U$2:BL$2,'Tsalin uzuulelt'!J$5,negtgel!U685:BL685)</f>
      </c>
      <c r="K685">
        <f>SUMIF(negtgel!U$2:BL$2,'Tsalin uzuulelt'!L$1,negtgel!U685:BL685) + SUMIF(negtgel!U$2:BL$2,'Tsalin uzuulelt'!L$2,negtgel!U685:BL685)+SUMIF(negtgel!U$2:BL$2,'Tsalin uzuulelt'!L$3,negtgel!U685:BL685)+SUMIF(negtgel!U$2:BL$2,'Tsalin uzuulelt'!L$4,negtgel!U685:BL685)+SUMIF(negtgel!U$2:BL$2,'Tsalin uzuulelt'!L$5,negtgel!U685:BL685)</f>
      </c>
      <c r="L685">
        <f>SUMIF(negtgel!U$2:BL$2,'Tsalin uzuulelt'!N$1,negtgel!U685:BL685) + SUMIF(negtgel!U$2:BL$2,'Tsalin uzuulelt'!N$2,negtgel!U685:BL685)+SUMIF(negtgel!U$2:BL$2,'Tsalin uzuulelt'!N$3,negtgel!U685:BL685)+SUMIF(negtgel!U$2:BL$2,'Tsalin uzuulelt'!N$4,negtgel!U685:BL685)+SUMIF(negtgel!U$2:BL$2,'Tsalin uzuulelt'!N$5,negtgel!U685:BL685)</f>
      </c>
      <c r="M685">
        <f>SUMIF(negtgel!U$2:BL$2,'Tsalin uzuulelt'!P$1,negtgel!U685:BL685) + SUMIF(negtgel!U$2:BL$2,'Tsalin uzuulelt'!P$2,negtgel!U685:BL685)+ SUMIF(negtgel!U$2:BL$2,'Tsalin uzuulelt'!P$3,negtgel!U685:BL685)+ SUMIF(negtgel!U$2:BL$2,'Tsalin uzuulelt'!P$4,negtgel!U685:BL685)+ SUMIF(negtgel!U$2:BL$2,'Tsalin uzuulelt'!P$5,negtgel!U685:BL685)</f>
      </c>
      <c r="N685">
        <f>IF(ISNUMBER(U685*1)=CF685,0,K685-H685-G685)</f>
      </c>
      <c r="O685">
        <f>IF(ISNUMBER(U685*1)=CF685,0,L685)</f>
      </c>
      <c r="P685">
        <f>IF(ISNUMBER(U685*1)=CF685,0,M685)</f>
      </c>
      <c r="Q685">
        <f>IF(N685&gt;2400000,N685,0)</f>
      </c>
      <c r="R685">
        <f>IF(L685/Q685*100&lt;3,2,10)</f>
      </c>
      <c r="S685">
        <f>IF(CH685=0,0,IF(B685&gt;9,10,IF(B685&gt;8,B685,IF(B685&gt;7.7,7.8,IF(B685&gt;3,B685,IF(B685&gt;1.5,2))))))</f>
      </c>
      <c r="T685">
        <f>IF(Q685=0,S685,R685)</f>
      </c>
      <c r="U685" t="n">
        <v>97.0</v>
      </c>
      <c r="V685" t="s">
        <v>3806</v>
      </c>
      <c r="W685" t="s">
        <v>3790</v>
      </c>
      <c r="X685" t="n">
        <v>580710.0</v>
      </c>
      <c r="Y685" t="n">
        <v>0.0</v>
      </c>
      <c r="Z685" t="n">
        <v>0.0</v>
      </c>
      <c r="AA685" t="n">
        <v>0.0</v>
      </c>
      <c r="AB685" t="n">
        <v>0.0</v>
      </c>
      <c r="AC685" t="n">
        <v>0.0</v>
      </c>
      <c r="AD685" t="n">
        <v>0.0</v>
      </c>
      <c r="AE685" t="n">
        <v>0.0</v>
      </c>
      <c r="AF685" t="n">
        <v>0.0</v>
      </c>
      <c r="AG685" t="n">
        <v>0.0</v>
      </c>
      <c r="AH685" t="n">
        <v>0.0</v>
      </c>
      <c r="AI685" t="n">
        <v>0.0</v>
      </c>
      <c r="AJ685" t="n">
        <v>0.0</v>
      </c>
      <c r="AK685" t="n">
        <v>0.0</v>
      </c>
      <c r="AL685" t="n">
        <v>0.0</v>
      </c>
      <c r="AM685" t="n">
        <v>0.0</v>
      </c>
      <c r="AN685" t="n">
        <v>0.0</v>
      </c>
      <c r="AO685" t="n">
        <v>0.0</v>
      </c>
      <c r="AP685" t="n">
        <v>0.0</v>
      </c>
      <c r="AQ685" t="n">
        <v>0.0</v>
      </c>
      <c r="CH685">
        <f>IFERROR(U685*1,0)</f>
      </c>
    </row>
    <row r="686">
      <c r="A686" t="n">
        <v>10.0</v>
      </c>
      <c r="B686">
        <f>IF((K686-G686-H686&gt;2400000),10,(L686/(K686-G686-H686)*100))</f>
      </c>
      <c r="C686">
        <f>IF(N686&gt;2400000,240000,(N686*S686)/100)</f>
      </c>
      <c r="D686">
        <f>IF(S686=0,0,IF((N686-I686)&gt;2400000,((((((N686-I686-J686)-240000))*0.1+(I686+J686)*0.1)))-7000,((((((N686-I686-J686)-(N686-I686-J686)*S686/100)))*0.1+(I686+J686)*0.1)-7000)))</f>
      </c>
      <c r="E686">
        <f>C686-O686</f>
      </c>
      <c r="F686">
        <f>D686-P686</f>
      </c>
      <c r="G686">
        <f>SUMIF(negtgel!U$2:BL$2,'Tsalin uzuulelt'!B$1,negtgel!U686:BL686) + SUMIF(negtgel!U$2:BL$2,'Tsalin uzuulelt'!B$2,negtgel!U686:BL686)+SUMIF(negtgel!U$2:BL$2,'Tsalin uzuulelt'!B$3,negtgel!U686:BL686)+SUMIF(negtgel!U$2:BL$2,'Tsalin uzuulelt'!B$4,negtgel!U686:BL686)+SUMIF(negtgel!U$2:BL$2,'Tsalin uzuulelt'!B$5,negtgel!U686:BL686)</f>
      </c>
      <c r="H686">
        <f>SUMIF(negtgel!U$2:BL$2,'Tsalin uzuulelt'!F$1,negtgel!U686:BL686) + SUMIF(negtgel!U$2:BL$2,'Tsalin uzuulelt'!F$2,negtgel!U686:BL686)+SUMIF(negtgel!U$2:BL$2,'Tsalin uzuulelt'!F$3,negtgel!U686:BL686)+SUMIF(negtgel!U$2:BL$2,'Tsalin uzuulelt'!F$4,negtgel!U686:BL686)+SUMIF(negtgel!U$2:BL$2,'Tsalin uzuulelt'!F$5,negtgel!U686:BL686)</f>
      </c>
      <c r="I686">
        <f>SUMIF(negtgel!U$2:BL$2,'Tsalin uzuulelt'!H$1,negtgel!U686:BL686) + SUMIF(negtgel!U$2:BL$2,'Tsalin uzuulelt'!H$2,negtgel!U686:BL686)+SUMIF(negtgel!U$2:BL$2,'Tsalin uzuulelt'!H$3,negtgel!U686:BL686)+SUMIF(negtgel!U$2:BL$2,'Tsalin uzuulelt'!H$4,negtgel!U686:BL686)+SUMIF(negtgel!U$2:BL$2,'Tsalin uzuulelt'!H$5,negtgel!U686:BL686)</f>
      </c>
      <c r="J686">
        <f>SUMIF(negtgel!U$2:BL$2,'Tsalin uzuulelt'!J$1,negtgel!U686:BL686) + SUMIF(negtgel!U$2:BL$2,'Tsalin uzuulelt'!J$2,negtgel!U686:BL686)+SUMIF(negtgel!U$2:BL$2,'Tsalin uzuulelt'!J$3,negtgel!U686:BL686)+SUMIF(negtgel!U$2:BL$2,'Tsalin uzuulelt'!J$4,negtgel!U686:BL686)+SUMIF(negtgel!U$2:BL$2,'Tsalin uzuulelt'!J$5,negtgel!U686:BL686)</f>
      </c>
      <c r="K686">
        <f>SUMIF(negtgel!U$2:BL$2,'Tsalin uzuulelt'!L$1,negtgel!U686:BL686) + SUMIF(negtgel!U$2:BL$2,'Tsalin uzuulelt'!L$2,negtgel!U686:BL686)+SUMIF(negtgel!U$2:BL$2,'Tsalin uzuulelt'!L$3,negtgel!U686:BL686)+SUMIF(negtgel!U$2:BL$2,'Tsalin uzuulelt'!L$4,negtgel!U686:BL686)+SUMIF(negtgel!U$2:BL$2,'Tsalin uzuulelt'!L$5,negtgel!U686:BL686)</f>
      </c>
      <c r="L686">
        <f>SUMIF(negtgel!U$2:BL$2,'Tsalin uzuulelt'!N$1,negtgel!U686:BL686) + SUMIF(negtgel!U$2:BL$2,'Tsalin uzuulelt'!N$2,negtgel!U686:BL686)+SUMIF(negtgel!U$2:BL$2,'Tsalin uzuulelt'!N$3,negtgel!U686:BL686)+SUMIF(negtgel!U$2:BL$2,'Tsalin uzuulelt'!N$4,negtgel!U686:BL686)+SUMIF(negtgel!U$2:BL$2,'Tsalin uzuulelt'!N$5,negtgel!U686:BL686)</f>
      </c>
      <c r="M686">
        <f>SUMIF(negtgel!U$2:BL$2,'Tsalin uzuulelt'!P$1,negtgel!U686:BL686) + SUMIF(negtgel!U$2:BL$2,'Tsalin uzuulelt'!P$2,negtgel!U686:BL686)+ SUMIF(negtgel!U$2:BL$2,'Tsalin uzuulelt'!P$3,negtgel!U686:BL686)+ SUMIF(negtgel!U$2:BL$2,'Tsalin uzuulelt'!P$4,negtgel!U686:BL686)+ SUMIF(negtgel!U$2:BL$2,'Tsalin uzuulelt'!P$5,negtgel!U686:BL686)</f>
      </c>
      <c r="N686">
        <f>IF(ISNUMBER(U686*1)=CF686,0,K686-H686-G686)</f>
      </c>
      <c r="O686">
        <f>IF(ISNUMBER(U686*1)=CF686,0,L686)</f>
      </c>
      <c r="P686">
        <f>IF(ISNUMBER(U686*1)=CF686,0,M686)</f>
      </c>
      <c r="Q686">
        <f>IF(N686&gt;2400000,N686,0)</f>
      </c>
      <c r="R686">
        <f>IF(L686/Q686*100&lt;3,2,10)</f>
      </c>
      <c r="S686">
        <f>IF(CH686=0,0,IF(B686&gt;9,10,IF(B686&gt;8,B686,IF(B686&gt;7.7,7.8,IF(B686&gt;3,B686,IF(B686&gt;1.5,2))))))</f>
      </c>
      <c r="T686">
        <f>IF(Q686=0,S686,R686)</f>
      </c>
      <c r="U686" t="n">
        <v>151.0</v>
      </c>
      <c r="V686" t="s">
        <v>3871</v>
      </c>
      <c r="W686" t="s">
        <v>3790</v>
      </c>
      <c r="X686" t="n">
        <v>613669.0</v>
      </c>
      <c r="Y686" t="n">
        <v>0.0</v>
      </c>
      <c r="Z686" t="n">
        <v>0.0</v>
      </c>
      <c r="AA686" t="n">
        <v>0.0</v>
      </c>
      <c r="AB686" t="n">
        <v>0.0</v>
      </c>
      <c r="AC686" t="n">
        <v>0.0</v>
      </c>
      <c r="AD686" t="n">
        <v>0.0</v>
      </c>
      <c r="AE686" t="n">
        <v>0.0</v>
      </c>
      <c r="AF686" t="n">
        <v>0.0</v>
      </c>
      <c r="AG686" t="n">
        <v>0.0</v>
      </c>
      <c r="AH686" t="n">
        <v>0.0</v>
      </c>
      <c r="AI686" t="n">
        <v>0.0</v>
      </c>
      <c r="AJ686" t="n">
        <v>0.0</v>
      </c>
      <c r="AK686" t="n">
        <v>0.0</v>
      </c>
      <c r="AL686" t="n">
        <v>0.0</v>
      </c>
      <c r="AM686" t="n">
        <v>0.0</v>
      </c>
      <c r="AN686" t="n">
        <v>0.0</v>
      </c>
      <c r="AO686" t="n">
        <v>0.0</v>
      </c>
      <c r="AP686" t="n">
        <v>0.0</v>
      </c>
      <c r="AQ686" t="n">
        <v>0.0</v>
      </c>
      <c r="CH686">
        <f>IFERROR(U686*1,0)</f>
      </c>
    </row>
    <row r="687">
      <c r="A687" t="n">
        <v>10.0</v>
      </c>
      <c r="B687">
        <f>IF((K687-G687-H687&gt;2400000),10,(L687/(K687-G687-H687)*100))</f>
      </c>
      <c r="C687">
        <f>IF(N687&gt;2400000,240000,(N687*S687)/100)</f>
      </c>
      <c r="D687">
        <f>IF(S687=0,0,IF((N687-I687)&gt;2400000,((((((N687-I687-J687)-240000))*0.1+(I687+J687)*0.1)))-7000,((((((N687-I687-J687)-(N687-I687-J687)*S687/100)))*0.1+(I687+J687)*0.1)-7000)))</f>
      </c>
      <c r="E687">
        <f>C687-O687</f>
      </c>
      <c r="F687">
        <f>D687-P687</f>
      </c>
      <c r="G687">
        <f>SUMIF(negtgel!U$2:BL$2,'Tsalin uzuulelt'!B$1,negtgel!U687:BL687) + SUMIF(negtgel!U$2:BL$2,'Tsalin uzuulelt'!B$2,negtgel!U687:BL687)+SUMIF(negtgel!U$2:BL$2,'Tsalin uzuulelt'!B$3,negtgel!U687:BL687)+SUMIF(negtgel!U$2:BL$2,'Tsalin uzuulelt'!B$4,negtgel!U687:BL687)+SUMIF(negtgel!U$2:BL$2,'Tsalin uzuulelt'!B$5,negtgel!U687:BL687)</f>
      </c>
      <c r="H687">
        <f>SUMIF(negtgel!U$2:BL$2,'Tsalin uzuulelt'!F$1,negtgel!U687:BL687) + SUMIF(negtgel!U$2:BL$2,'Tsalin uzuulelt'!F$2,negtgel!U687:BL687)+SUMIF(negtgel!U$2:BL$2,'Tsalin uzuulelt'!F$3,negtgel!U687:BL687)+SUMIF(negtgel!U$2:BL$2,'Tsalin uzuulelt'!F$4,negtgel!U687:BL687)+SUMIF(negtgel!U$2:BL$2,'Tsalin uzuulelt'!F$5,negtgel!U687:BL687)</f>
      </c>
      <c r="I687">
        <f>SUMIF(negtgel!U$2:BL$2,'Tsalin uzuulelt'!H$1,negtgel!U687:BL687) + SUMIF(negtgel!U$2:BL$2,'Tsalin uzuulelt'!H$2,negtgel!U687:BL687)+SUMIF(negtgel!U$2:BL$2,'Tsalin uzuulelt'!H$3,negtgel!U687:BL687)+SUMIF(negtgel!U$2:BL$2,'Tsalin uzuulelt'!H$4,negtgel!U687:BL687)+SUMIF(negtgel!U$2:BL$2,'Tsalin uzuulelt'!H$5,negtgel!U687:BL687)</f>
      </c>
      <c r="J687">
        <f>SUMIF(negtgel!U$2:BL$2,'Tsalin uzuulelt'!J$1,negtgel!U687:BL687) + SUMIF(negtgel!U$2:BL$2,'Tsalin uzuulelt'!J$2,negtgel!U687:BL687)+SUMIF(negtgel!U$2:BL$2,'Tsalin uzuulelt'!J$3,negtgel!U687:BL687)+SUMIF(negtgel!U$2:BL$2,'Tsalin uzuulelt'!J$4,negtgel!U687:BL687)+SUMIF(negtgel!U$2:BL$2,'Tsalin uzuulelt'!J$5,negtgel!U687:BL687)</f>
      </c>
      <c r="K687">
        <f>SUMIF(negtgel!U$2:BL$2,'Tsalin uzuulelt'!L$1,negtgel!U687:BL687) + SUMIF(negtgel!U$2:BL$2,'Tsalin uzuulelt'!L$2,negtgel!U687:BL687)+SUMIF(negtgel!U$2:BL$2,'Tsalin uzuulelt'!L$3,negtgel!U687:BL687)+SUMIF(negtgel!U$2:BL$2,'Tsalin uzuulelt'!L$4,negtgel!U687:BL687)+SUMIF(negtgel!U$2:BL$2,'Tsalin uzuulelt'!L$5,negtgel!U687:BL687)</f>
      </c>
      <c r="L687">
        <f>SUMIF(negtgel!U$2:BL$2,'Tsalin uzuulelt'!N$1,negtgel!U687:BL687) + SUMIF(negtgel!U$2:BL$2,'Tsalin uzuulelt'!N$2,negtgel!U687:BL687)+SUMIF(negtgel!U$2:BL$2,'Tsalin uzuulelt'!N$3,negtgel!U687:BL687)+SUMIF(negtgel!U$2:BL$2,'Tsalin uzuulelt'!N$4,negtgel!U687:BL687)+SUMIF(negtgel!U$2:BL$2,'Tsalin uzuulelt'!N$5,negtgel!U687:BL687)</f>
      </c>
      <c r="M687">
        <f>SUMIF(negtgel!U$2:BL$2,'Tsalin uzuulelt'!P$1,negtgel!U687:BL687) + SUMIF(negtgel!U$2:BL$2,'Tsalin uzuulelt'!P$2,negtgel!U687:BL687)+ SUMIF(negtgel!U$2:BL$2,'Tsalin uzuulelt'!P$3,negtgel!U687:BL687)+ SUMIF(negtgel!U$2:BL$2,'Tsalin uzuulelt'!P$4,negtgel!U687:BL687)+ SUMIF(negtgel!U$2:BL$2,'Tsalin uzuulelt'!P$5,negtgel!U687:BL687)</f>
      </c>
      <c r="N687">
        <f>IF(ISNUMBER(U687*1)=CF687,0,K687-H687-G687)</f>
      </c>
      <c r="O687">
        <f>IF(ISNUMBER(U687*1)=CF687,0,L687)</f>
      </c>
      <c r="P687">
        <f>IF(ISNUMBER(U687*1)=CF687,0,M687)</f>
      </c>
      <c r="Q687">
        <f>IF(N687&gt;2400000,N687,0)</f>
      </c>
      <c r="R687">
        <f>IF(L687/Q687*100&lt;3,2,10)</f>
      </c>
      <c r="S687">
        <f>IF(CH687=0,0,IF(B687&gt;9,10,IF(B687&gt;8,B687,IF(B687&gt;7.7,7.8,IF(B687&gt;3,B687,IF(B687&gt;1.5,2))))))</f>
      </c>
      <c r="T687">
        <f>IF(Q687=0,S687,R687)</f>
      </c>
      <c r="U687" t="n">
        <v>152.0</v>
      </c>
      <c r="V687" t="s">
        <v>3855</v>
      </c>
      <c r="W687" t="s">
        <v>3790</v>
      </c>
      <c r="X687" t="n">
        <v>580710.0</v>
      </c>
      <c r="Y687" t="n">
        <v>0.0</v>
      </c>
      <c r="Z687" t="n">
        <v>0.0</v>
      </c>
      <c r="AA687" t="n">
        <v>0.0</v>
      </c>
      <c r="AB687" t="n">
        <v>0.0</v>
      </c>
      <c r="AC687" t="n">
        <v>0.0</v>
      </c>
      <c r="AD687" t="n">
        <v>0.0</v>
      </c>
      <c r="AE687" t="n">
        <v>0.0</v>
      </c>
      <c r="AF687" t="n">
        <v>0.0</v>
      </c>
      <c r="AG687" t="n">
        <v>0.0</v>
      </c>
      <c r="AH687" t="n">
        <v>0.0</v>
      </c>
      <c r="AI687" t="n">
        <v>0.0</v>
      </c>
      <c r="AJ687" t="n">
        <v>0.0</v>
      </c>
      <c r="AK687" t="n">
        <v>0.0</v>
      </c>
      <c r="AL687" t="n">
        <v>0.0</v>
      </c>
      <c r="AM687" t="n">
        <v>0.0</v>
      </c>
      <c r="AN687" t="n">
        <v>0.0</v>
      </c>
      <c r="AO687" t="n">
        <v>0.0</v>
      </c>
      <c r="AP687" t="n">
        <v>0.0</v>
      </c>
      <c r="AQ687" t="n">
        <v>0.0</v>
      </c>
      <c r="CH687">
        <f>IFERROR(U687*1,0)</f>
      </c>
    </row>
    <row r="688">
      <c r="A688" t="n">
        <v>10.0</v>
      </c>
      <c r="B688">
        <f>IF((K688-G688-H688&gt;2400000),10,(L688/(K688-G688-H688)*100))</f>
      </c>
      <c r="C688">
        <f>IF(N688&gt;2400000,240000,(N688*S688)/100)</f>
      </c>
      <c r="D688">
        <f>IF(S688=0,0,IF((N688-I688)&gt;2400000,((((((N688-I688-J688)-240000))*0.1+(I688+J688)*0.1)))-7000,((((((N688-I688-J688)-(N688-I688-J688)*S688/100)))*0.1+(I688+J688)*0.1)-7000)))</f>
      </c>
      <c r="E688">
        <f>C688-O688</f>
      </c>
      <c r="F688">
        <f>D688-P688</f>
      </c>
      <c r="G688">
        <f>SUMIF(negtgel!U$2:BL$2,'Tsalin uzuulelt'!B$1,negtgel!U688:BL688) + SUMIF(negtgel!U$2:BL$2,'Tsalin uzuulelt'!B$2,negtgel!U688:BL688)+SUMIF(negtgel!U$2:BL$2,'Tsalin uzuulelt'!B$3,negtgel!U688:BL688)+SUMIF(negtgel!U$2:BL$2,'Tsalin uzuulelt'!B$4,negtgel!U688:BL688)+SUMIF(negtgel!U$2:BL$2,'Tsalin uzuulelt'!B$5,negtgel!U688:BL688)</f>
      </c>
      <c r="H688">
        <f>SUMIF(negtgel!U$2:BL$2,'Tsalin uzuulelt'!F$1,negtgel!U688:BL688) + SUMIF(negtgel!U$2:BL$2,'Tsalin uzuulelt'!F$2,negtgel!U688:BL688)+SUMIF(negtgel!U$2:BL$2,'Tsalin uzuulelt'!F$3,negtgel!U688:BL688)+SUMIF(negtgel!U$2:BL$2,'Tsalin uzuulelt'!F$4,negtgel!U688:BL688)+SUMIF(negtgel!U$2:BL$2,'Tsalin uzuulelt'!F$5,negtgel!U688:BL688)</f>
      </c>
      <c r="I688">
        <f>SUMIF(negtgel!U$2:BL$2,'Tsalin uzuulelt'!H$1,negtgel!U688:BL688) + SUMIF(negtgel!U$2:BL$2,'Tsalin uzuulelt'!H$2,negtgel!U688:BL688)+SUMIF(negtgel!U$2:BL$2,'Tsalin uzuulelt'!H$3,negtgel!U688:BL688)+SUMIF(negtgel!U$2:BL$2,'Tsalin uzuulelt'!H$4,negtgel!U688:BL688)+SUMIF(negtgel!U$2:BL$2,'Tsalin uzuulelt'!H$5,negtgel!U688:BL688)</f>
      </c>
      <c r="J688">
        <f>SUMIF(negtgel!U$2:BL$2,'Tsalin uzuulelt'!J$1,negtgel!U688:BL688) + SUMIF(negtgel!U$2:BL$2,'Tsalin uzuulelt'!J$2,negtgel!U688:BL688)+SUMIF(negtgel!U$2:BL$2,'Tsalin uzuulelt'!J$3,negtgel!U688:BL688)+SUMIF(negtgel!U$2:BL$2,'Tsalin uzuulelt'!J$4,negtgel!U688:BL688)+SUMIF(negtgel!U$2:BL$2,'Tsalin uzuulelt'!J$5,negtgel!U688:BL688)</f>
      </c>
      <c r="K688">
        <f>SUMIF(negtgel!U$2:BL$2,'Tsalin uzuulelt'!L$1,negtgel!U688:BL688) + SUMIF(negtgel!U$2:BL$2,'Tsalin uzuulelt'!L$2,negtgel!U688:BL688)+SUMIF(negtgel!U$2:BL$2,'Tsalin uzuulelt'!L$3,negtgel!U688:BL688)+SUMIF(negtgel!U$2:BL$2,'Tsalin uzuulelt'!L$4,negtgel!U688:BL688)+SUMIF(negtgel!U$2:BL$2,'Tsalin uzuulelt'!L$5,negtgel!U688:BL688)</f>
      </c>
      <c r="L688">
        <f>SUMIF(negtgel!U$2:BL$2,'Tsalin uzuulelt'!N$1,negtgel!U688:BL688) + SUMIF(negtgel!U$2:BL$2,'Tsalin uzuulelt'!N$2,negtgel!U688:BL688)+SUMIF(negtgel!U$2:BL$2,'Tsalin uzuulelt'!N$3,negtgel!U688:BL688)+SUMIF(negtgel!U$2:BL$2,'Tsalin uzuulelt'!N$4,negtgel!U688:BL688)+SUMIF(negtgel!U$2:BL$2,'Tsalin uzuulelt'!N$5,negtgel!U688:BL688)</f>
      </c>
      <c r="M688">
        <f>SUMIF(negtgel!U$2:BL$2,'Tsalin uzuulelt'!P$1,negtgel!U688:BL688) + SUMIF(negtgel!U$2:BL$2,'Tsalin uzuulelt'!P$2,negtgel!U688:BL688)+ SUMIF(negtgel!U$2:BL$2,'Tsalin uzuulelt'!P$3,negtgel!U688:BL688)+ SUMIF(negtgel!U$2:BL$2,'Tsalin uzuulelt'!P$4,negtgel!U688:BL688)+ SUMIF(negtgel!U$2:BL$2,'Tsalin uzuulelt'!P$5,negtgel!U688:BL688)</f>
      </c>
      <c r="N688">
        <f>IF(ISNUMBER(U688*1)=CF688,0,K688-H688-G688)</f>
      </c>
      <c r="O688">
        <f>IF(ISNUMBER(U688*1)=CF688,0,L688)</f>
      </c>
      <c r="P688">
        <f>IF(ISNUMBER(U688*1)=CF688,0,M688)</f>
      </c>
      <c r="Q688">
        <f>IF(N688&gt;2400000,N688,0)</f>
      </c>
      <c r="R688">
        <f>IF(L688/Q688*100&lt;3,2,10)</f>
      </c>
      <c r="S688">
        <f>IF(CH688=0,0,IF(B688&gt;9,10,IF(B688&gt;8,B688,IF(B688&gt;7.7,7.8,IF(B688&gt;3,B688,IF(B688&gt;1.5,2))))))</f>
      </c>
      <c r="T688">
        <f>IF(Q688=0,S688,R688)</f>
      </c>
      <c r="U688" t="n">
        <v>153.0</v>
      </c>
      <c r="V688" t="s">
        <v>3863</v>
      </c>
      <c r="W688" t="s">
        <v>3790</v>
      </c>
      <c r="X688" t="n">
        <v>577826.0</v>
      </c>
      <c r="Y688" t="n">
        <v>0.0</v>
      </c>
      <c r="Z688" t="n">
        <v>0.0</v>
      </c>
      <c r="AA688" t="n">
        <v>0.0</v>
      </c>
      <c r="AB688" t="n">
        <v>0.0</v>
      </c>
      <c r="AC688" t="n">
        <v>0.0</v>
      </c>
      <c r="AD688" t="n">
        <v>0.0</v>
      </c>
      <c r="AE688" t="n">
        <v>0.0</v>
      </c>
      <c r="AF688" t="n">
        <v>0.0</v>
      </c>
      <c r="AG688" t="n">
        <v>0.0</v>
      </c>
      <c r="AH688" t="n">
        <v>0.0</v>
      </c>
      <c r="AI688" t="n">
        <v>0.0</v>
      </c>
      <c r="AJ688" t="n">
        <v>0.0</v>
      </c>
      <c r="AK688" t="n">
        <v>0.0</v>
      </c>
      <c r="AL688" t="n">
        <v>0.0</v>
      </c>
      <c r="AM688" t="n">
        <v>0.0</v>
      </c>
      <c r="AN688" t="n">
        <v>0.0</v>
      </c>
      <c r="AO688" t="n">
        <v>0.0</v>
      </c>
      <c r="AP688" t="n">
        <v>0.0</v>
      </c>
      <c r="AQ688" t="n">
        <v>0.0</v>
      </c>
      <c r="CH688">
        <f>IFERROR(U688*1,0)</f>
      </c>
    </row>
    <row r="689">
      <c r="A689" t="n">
        <v>10.0</v>
      </c>
      <c r="B689">
        <f>IF((K689-G689-H689&gt;2400000),10,(L689/(K689-G689-H689)*100))</f>
      </c>
      <c r="C689">
        <f>IF(N689&gt;2400000,240000,(N689*S689)/100)</f>
      </c>
      <c r="D689">
        <f>IF(S689=0,0,IF((N689-I689)&gt;2400000,((((((N689-I689-J689)-240000))*0.1+(I689+J689)*0.1)))-7000,((((((N689-I689-J689)-(N689-I689-J689)*S689/100)))*0.1+(I689+J689)*0.1)-7000)))</f>
      </c>
      <c r="E689">
        <f>C689-O689</f>
      </c>
      <c r="F689">
        <f>D689-P689</f>
      </c>
      <c r="G689">
        <f>SUMIF(negtgel!U$2:BL$2,'Tsalin uzuulelt'!B$1,negtgel!U689:BL689) + SUMIF(negtgel!U$2:BL$2,'Tsalin uzuulelt'!B$2,negtgel!U689:BL689)+SUMIF(negtgel!U$2:BL$2,'Tsalin uzuulelt'!B$3,negtgel!U689:BL689)+SUMIF(negtgel!U$2:BL$2,'Tsalin uzuulelt'!B$4,negtgel!U689:BL689)+SUMIF(negtgel!U$2:BL$2,'Tsalin uzuulelt'!B$5,negtgel!U689:BL689)</f>
      </c>
      <c r="H689">
        <f>SUMIF(negtgel!U$2:BL$2,'Tsalin uzuulelt'!F$1,negtgel!U689:BL689) + SUMIF(negtgel!U$2:BL$2,'Tsalin uzuulelt'!F$2,negtgel!U689:BL689)+SUMIF(negtgel!U$2:BL$2,'Tsalin uzuulelt'!F$3,negtgel!U689:BL689)+SUMIF(negtgel!U$2:BL$2,'Tsalin uzuulelt'!F$4,negtgel!U689:BL689)+SUMIF(negtgel!U$2:BL$2,'Tsalin uzuulelt'!F$5,negtgel!U689:BL689)</f>
      </c>
      <c r="I689">
        <f>SUMIF(negtgel!U$2:BL$2,'Tsalin uzuulelt'!H$1,negtgel!U689:BL689) + SUMIF(negtgel!U$2:BL$2,'Tsalin uzuulelt'!H$2,negtgel!U689:BL689)+SUMIF(negtgel!U$2:BL$2,'Tsalin uzuulelt'!H$3,negtgel!U689:BL689)+SUMIF(negtgel!U$2:BL$2,'Tsalin uzuulelt'!H$4,negtgel!U689:BL689)+SUMIF(negtgel!U$2:BL$2,'Tsalin uzuulelt'!H$5,negtgel!U689:BL689)</f>
      </c>
      <c r="J689">
        <f>SUMIF(negtgel!U$2:BL$2,'Tsalin uzuulelt'!J$1,negtgel!U689:BL689) + SUMIF(negtgel!U$2:BL$2,'Tsalin uzuulelt'!J$2,negtgel!U689:BL689)+SUMIF(negtgel!U$2:BL$2,'Tsalin uzuulelt'!J$3,negtgel!U689:BL689)+SUMIF(negtgel!U$2:BL$2,'Tsalin uzuulelt'!J$4,negtgel!U689:BL689)+SUMIF(negtgel!U$2:BL$2,'Tsalin uzuulelt'!J$5,negtgel!U689:BL689)</f>
      </c>
      <c r="K689">
        <f>SUMIF(negtgel!U$2:BL$2,'Tsalin uzuulelt'!L$1,negtgel!U689:BL689) + SUMIF(negtgel!U$2:BL$2,'Tsalin uzuulelt'!L$2,negtgel!U689:BL689)+SUMIF(negtgel!U$2:BL$2,'Tsalin uzuulelt'!L$3,negtgel!U689:BL689)+SUMIF(negtgel!U$2:BL$2,'Tsalin uzuulelt'!L$4,negtgel!U689:BL689)+SUMIF(negtgel!U$2:BL$2,'Tsalin uzuulelt'!L$5,negtgel!U689:BL689)</f>
      </c>
      <c r="L689">
        <f>SUMIF(negtgel!U$2:BL$2,'Tsalin uzuulelt'!N$1,negtgel!U689:BL689) + SUMIF(negtgel!U$2:BL$2,'Tsalin uzuulelt'!N$2,negtgel!U689:BL689)+SUMIF(negtgel!U$2:BL$2,'Tsalin uzuulelt'!N$3,negtgel!U689:BL689)+SUMIF(negtgel!U$2:BL$2,'Tsalin uzuulelt'!N$4,negtgel!U689:BL689)+SUMIF(negtgel!U$2:BL$2,'Tsalin uzuulelt'!N$5,negtgel!U689:BL689)</f>
      </c>
      <c r="M689">
        <f>SUMIF(negtgel!U$2:BL$2,'Tsalin uzuulelt'!P$1,negtgel!U689:BL689) + SUMIF(negtgel!U$2:BL$2,'Tsalin uzuulelt'!P$2,negtgel!U689:BL689)+ SUMIF(negtgel!U$2:BL$2,'Tsalin uzuulelt'!P$3,negtgel!U689:BL689)+ SUMIF(negtgel!U$2:BL$2,'Tsalin uzuulelt'!P$4,negtgel!U689:BL689)+ SUMIF(negtgel!U$2:BL$2,'Tsalin uzuulelt'!P$5,negtgel!U689:BL689)</f>
      </c>
      <c r="N689">
        <f>IF(ISNUMBER(U689*1)=CF689,0,K689-H689-G689)</f>
      </c>
      <c r="O689">
        <f>IF(ISNUMBER(U689*1)=CF689,0,L689)</f>
      </c>
      <c r="P689">
        <f>IF(ISNUMBER(U689*1)=CF689,0,M689)</f>
      </c>
      <c r="Q689">
        <f>IF(N689&gt;2400000,N689,0)</f>
      </c>
      <c r="R689">
        <f>IF(L689/Q689*100&lt;3,2,10)</f>
      </c>
      <c r="S689">
        <f>IF(CH689=0,0,IF(B689&gt;9,10,IF(B689&gt;8,B689,IF(B689&gt;7.7,7.8,IF(B689&gt;3,B689,IF(B689&gt;1.5,2))))))</f>
      </c>
      <c r="T689">
        <f>IF(Q689=0,S689,R689)</f>
      </c>
      <c r="U689" t="n">
        <v>154.0</v>
      </c>
      <c r="V689" t="s">
        <v>3786</v>
      </c>
      <c r="W689" t="s">
        <v>3785</v>
      </c>
      <c r="X689" t="n">
        <v>627465.0</v>
      </c>
      <c r="Y689" t="n">
        <v>0.0</v>
      </c>
      <c r="Z689" t="n">
        <v>0.0</v>
      </c>
      <c r="AA689" t="n">
        <v>0.0</v>
      </c>
      <c r="AB689" t="n">
        <v>0.0</v>
      </c>
      <c r="AC689" t="n">
        <v>0.0</v>
      </c>
      <c r="AD689" t="n">
        <v>0.0</v>
      </c>
      <c r="AE689" t="n">
        <v>0.0</v>
      </c>
      <c r="AF689" t="n">
        <v>0.0</v>
      </c>
      <c r="AG689" t="n">
        <v>0.0</v>
      </c>
      <c r="AH689" t="n">
        <v>0.0</v>
      </c>
      <c r="AI689" t="n">
        <v>0.0</v>
      </c>
      <c r="AJ689" t="n">
        <v>0.0</v>
      </c>
      <c r="AK689" t="n">
        <v>0.0</v>
      </c>
      <c r="AL689" t="n">
        <v>0.0</v>
      </c>
      <c r="AM689" t="n">
        <v>0.0</v>
      </c>
      <c r="AN689" t="n">
        <v>0.0</v>
      </c>
      <c r="AO689" t="n">
        <v>0.0</v>
      </c>
      <c r="AP689" t="n">
        <v>0.0</v>
      </c>
      <c r="AQ689" t="n">
        <v>0.0</v>
      </c>
      <c r="CH689">
        <f>IFERROR(U689*1,0)</f>
      </c>
    </row>
    <row r="690">
      <c r="A690" t="n">
        <v>10.0</v>
      </c>
      <c r="B690">
        <f>IF((K690-G690-H690&gt;2400000),10,(L690/(K690-G690-H690)*100))</f>
      </c>
      <c r="C690">
        <f>IF(N690&gt;2400000,240000,(N690*S690)/100)</f>
      </c>
      <c r="D690">
        <f>IF(S690=0,0,IF((N690-I690)&gt;2400000,((((((N690-I690-J690)-240000))*0.1+(I690+J690)*0.1)))-7000,((((((N690-I690-J690)-(N690-I690-J690)*S690/100)))*0.1+(I690+J690)*0.1)-7000)))</f>
      </c>
      <c r="E690">
        <f>C690-O690</f>
      </c>
      <c r="F690">
        <f>D690-P690</f>
      </c>
      <c r="G690">
        <f>SUMIF(negtgel!U$2:BL$2,'Tsalin uzuulelt'!B$1,negtgel!U690:BL690) + SUMIF(negtgel!U$2:BL$2,'Tsalin uzuulelt'!B$2,negtgel!U690:BL690)+SUMIF(negtgel!U$2:BL$2,'Tsalin uzuulelt'!B$3,negtgel!U690:BL690)+SUMIF(negtgel!U$2:BL$2,'Tsalin uzuulelt'!B$4,negtgel!U690:BL690)+SUMIF(negtgel!U$2:BL$2,'Tsalin uzuulelt'!B$5,negtgel!U690:BL690)</f>
      </c>
      <c r="H690">
        <f>SUMIF(negtgel!U$2:BL$2,'Tsalin uzuulelt'!F$1,negtgel!U690:BL690) + SUMIF(negtgel!U$2:BL$2,'Tsalin uzuulelt'!F$2,negtgel!U690:BL690)+SUMIF(negtgel!U$2:BL$2,'Tsalin uzuulelt'!F$3,negtgel!U690:BL690)+SUMIF(negtgel!U$2:BL$2,'Tsalin uzuulelt'!F$4,negtgel!U690:BL690)+SUMIF(negtgel!U$2:BL$2,'Tsalin uzuulelt'!F$5,negtgel!U690:BL690)</f>
      </c>
      <c r="I690">
        <f>SUMIF(negtgel!U$2:BL$2,'Tsalin uzuulelt'!H$1,negtgel!U690:BL690) + SUMIF(negtgel!U$2:BL$2,'Tsalin uzuulelt'!H$2,negtgel!U690:BL690)+SUMIF(negtgel!U$2:BL$2,'Tsalin uzuulelt'!H$3,negtgel!U690:BL690)+SUMIF(negtgel!U$2:BL$2,'Tsalin uzuulelt'!H$4,negtgel!U690:BL690)+SUMIF(negtgel!U$2:BL$2,'Tsalin uzuulelt'!H$5,negtgel!U690:BL690)</f>
      </c>
      <c r="J690">
        <f>SUMIF(negtgel!U$2:BL$2,'Tsalin uzuulelt'!J$1,negtgel!U690:BL690) + SUMIF(negtgel!U$2:BL$2,'Tsalin uzuulelt'!J$2,negtgel!U690:BL690)+SUMIF(negtgel!U$2:BL$2,'Tsalin uzuulelt'!J$3,negtgel!U690:BL690)+SUMIF(negtgel!U$2:BL$2,'Tsalin uzuulelt'!J$4,negtgel!U690:BL690)+SUMIF(negtgel!U$2:BL$2,'Tsalin uzuulelt'!J$5,negtgel!U690:BL690)</f>
      </c>
      <c r="K690">
        <f>SUMIF(negtgel!U$2:BL$2,'Tsalin uzuulelt'!L$1,negtgel!U690:BL690) + SUMIF(negtgel!U$2:BL$2,'Tsalin uzuulelt'!L$2,negtgel!U690:BL690)+SUMIF(negtgel!U$2:BL$2,'Tsalin uzuulelt'!L$3,negtgel!U690:BL690)+SUMIF(negtgel!U$2:BL$2,'Tsalin uzuulelt'!L$4,negtgel!U690:BL690)+SUMIF(negtgel!U$2:BL$2,'Tsalin uzuulelt'!L$5,negtgel!U690:BL690)</f>
      </c>
      <c r="L690">
        <f>SUMIF(negtgel!U$2:BL$2,'Tsalin uzuulelt'!N$1,negtgel!U690:BL690) + SUMIF(negtgel!U$2:BL$2,'Tsalin uzuulelt'!N$2,negtgel!U690:BL690)+SUMIF(negtgel!U$2:BL$2,'Tsalin uzuulelt'!N$3,negtgel!U690:BL690)+SUMIF(negtgel!U$2:BL$2,'Tsalin uzuulelt'!N$4,negtgel!U690:BL690)+SUMIF(negtgel!U$2:BL$2,'Tsalin uzuulelt'!N$5,negtgel!U690:BL690)</f>
      </c>
      <c r="M690">
        <f>SUMIF(negtgel!U$2:BL$2,'Tsalin uzuulelt'!P$1,negtgel!U690:BL690) + SUMIF(negtgel!U$2:BL$2,'Tsalin uzuulelt'!P$2,negtgel!U690:BL690)+ SUMIF(negtgel!U$2:BL$2,'Tsalin uzuulelt'!P$3,negtgel!U690:BL690)+ SUMIF(negtgel!U$2:BL$2,'Tsalin uzuulelt'!P$4,negtgel!U690:BL690)+ SUMIF(negtgel!U$2:BL$2,'Tsalin uzuulelt'!P$5,negtgel!U690:BL690)</f>
      </c>
      <c r="N690">
        <f>IF(ISNUMBER(U690*1)=CF690,0,K690-H690-G690)</f>
      </c>
      <c r="O690">
        <f>IF(ISNUMBER(U690*1)=CF690,0,L690)</f>
      </c>
      <c r="P690">
        <f>IF(ISNUMBER(U690*1)=CF690,0,M690)</f>
      </c>
      <c r="Q690">
        <f>IF(N690&gt;2400000,N690,0)</f>
      </c>
      <c r="R690">
        <f>IF(L690/Q690*100&lt;3,2,10)</f>
      </c>
      <c r="S690">
        <f>IF(CH690=0,0,IF(B690&gt;9,10,IF(B690&gt;8,B690,IF(B690&gt;7.7,7.8,IF(B690&gt;3,B690,IF(B690&gt;1.5,2))))))</f>
      </c>
      <c r="T690">
        <f>IF(Q690=0,S690,R690)</f>
      </c>
      <c r="U690" t="n">
        <v>155.0</v>
      </c>
      <c r="V690" t="s">
        <v>3860</v>
      </c>
      <c r="W690" t="s">
        <v>3790</v>
      </c>
      <c r="X690" t="n">
        <v>547759.0</v>
      </c>
      <c r="Y690" t="n">
        <v>0.0</v>
      </c>
      <c r="Z690" t="n">
        <v>0.0</v>
      </c>
      <c r="AA690" t="n">
        <v>0.0</v>
      </c>
      <c r="AB690" t="n">
        <v>0.0</v>
      </c>
      <c r="AC690" t="n">
        <v>0.0</v>
      </c>
      <c r="AD690" t="n">
        <v>0.0</v>
      </c>
      <c r="AE690" t="n">
        <v>0.0</v>
      </c>
      <c r="AF690" t="n">
        <v>0.0</v>
      </c>
      <c r="AG690" t="n">
        <v>0.0</v>
      </c>
      <c r="AH690" t="n">
        <v>0.0</v>
      </c>
      <c r="AI690" t="n">
        <v>0.0</v>
      </c>
      <c r="AJ690" t="n">
        <v>0.0</v>
      </c>
      <c r="AK690" t="n">
        <v>0.0</v>
      </c>
      <c r="AL690" t="n">
        <v>0.0</v>
      </c>
      <c r="AM690" t="n">
        <v>0.0</v>
      </c>
      <c r="AN690" t="n">
        <v>0.0</v>
      </c>
      <c r="AO690" t="n">
        <v>0.0</v>
      </c>
      <c r="AP690" t="n">
        <v>0.0</v>
      </c>
      <c r="AQ690" t="n">
        <v>0.0</v>
      </c>
      <c r="CH690">
        <f>IFERROR(U690*1,0)</f>
      </c>
    </row>
    <row r="691">
      <c r="A691" t="n">
        <v>10.0</v>
      </c>
      <c r="B691">
        <f>IF((K691-G691-H691&gt;2400000),10,(L691/(K691-G691-H691)*100))</f>
      </c>
      <c r="C691">
        <f>IF(N691&gt;2400000,240000,(N691*S691)/100)</f>
      </c>
      <c r="D691">
        <f>IF(S691=0,0,IF((N691-I691)&gt;2400000,((((((N691-I691-J691)-240000))*0.1+(I691+J691)*0.1)))-7000,((((((N691-I691-J691)-(N691-I691-J691)*S691/100)))*0.1+(I691+J691)*0.1)-7000)))</f>
      </c>
      <c r="E691">
        <f>C691-O691</f>
      </c>
      <c r="F691">
        <f>D691-P691</f>
      </c>
      <c r="G691">
        <f>SUMIF(negtgel!U$2:BL$2,'Tsalin uzuulelt'!B$1,negtgel!U691:BL691) + SUMIF(negtgel!U$2:BL$2,'Tsalin uzuulelt'!B$2,negtgel!U691:BL691)+SUMIF(negtgel!U$2:BL$2,'Tsalin uzuulelt'!B$3,negtgel!U691:BL691)+SUMIF(negtgel!U$2:BL$2,'Tsalin uzuulelt'!B$4,negtgel!U691:BL691)+SUMIF(negtgel!U$2:BL$2,'Tsalin uzuulelt'!B$5,negtgel!U691:BL691)</f>
      </c>
      <c r="H691">
        <f>SUMIF(negtgel!U$2:BL$2,'Tsalin uzuulelt'!F$1,negtgel!U691:BL691) + SUMIF(negtgel!U$2:BL$2,'Tsalin uzuulelt'!F$2,negtgel!U691:BL691)+SUMIF(negtgel!U$2:BL$2,'Tsalin uzuulelt'!F$3,negtgel!U691:BL691)+SUMIF(negtgel!U$2:BL$2,'Tsalin uzuulelt'!F$4,negtgel!U691:BL691)+SUMIF(negtgel!U$2:BL$2,'Tsalin uzuulelt'!F$5,negtgel!U691:BL691)</f>
      </c>
      <c r="I691">
        <f>SUMIF(negtgel!U$2:BL$2,'Tsalin uzuulelt'!H$1,negtgel!U691:BL691) + SUMIF(negtgel!U$2:BL$2,'Tsalin uzuulelt'!H$2,negtgel!U691:BL691)+SUMIF(negtgel!U$2:BL$2,'Tsalin uzuulelt'!H$3,negtgel!U691:BL691)+SUMIF(negtgel!U$2:BL$2,'Tsalin uzuulelt'!H$4,negtgel!U691:BL691)+SUMIF(negtgel!U$2:BL$2,'Tsalin uzuulelt'!H$5,negtgel!U691:BL691)</f>
      </c>
      <c r="J691">
        <f>SUMIF(negtgel!U$2:BL$2,'Tsalin uzuulelt'!J$1,negtgel!U691:BL691) + SUMIF(negtgel!U$2:BL$2,'Tsalin uzuulelt'!J$2,negtgel!U691:BL691)+SUMIF(negtgel!U$2:BL$2,'Tsalin uzuulelt'!J$3,negtgel!U691:BL691)+SUMIF(negtgel!U$2:BL$2,'Tsalin uzuulelt'!J$4,negtgel!U691:BL691)+SUMIF(negtgel!U$2:BL$2,'Tsalin uzuulelt'!J$5,negtgel!U691:BL691)</f>
      </c>
      <c r="K691">
        <f>SUMIF(negtgel!U$2:BL$2,'Tsalin uzuulelt'!L$1,negtgel!U691:BL691) + SUMIF(negtgel!U$2:BL$2,'Tsalin uzuulelt'!L$2,negtgel!U691:BL691)+SUMIF(negtgel!U$2:BL$2,'Tsalin uzuulelt'!L$3,negtgel!U691:BL691)+SUMIF(negtgel!U$2:BL$2,'Tsalin uzuulelt'!L$4,negtgel!U691:BL691)+SUMIF(negtgel!U$2:BL$2,'Tsalin uzuulelt'!L$5,negtgel!U691:BL691)</f>
      </c>
      <c r="L691">
        <f>SUMIF(negtgel!U$2:BL$2,'Tsalin uzuulelt'!N$1,negtgel!U691:BL691) + SUMIF(negtgel!U$2:BL$2,'Tsalin uzuulelt'!N$2,negtgel!U691:BL691)+SUMIF(negtgel!U$2:BL$2,'Tsalin uzuulelt'!N$3,negtgel!U691:BL691)+SUMIF(negtgel!U$2:BL$2,'Tsalin uzuulelt'!N$4,negtgel!U691:BL691)+SUMIF(negtgel!U$2:BL$2,'Tsalin uzuulelt'!N$5,negtgel!U691:BL691)</f>
      </c>
      <c r="M691">
        <f>SUMIF(negtgel!U$2:BL$2,'Tsalin uzuulelt'!P$1,negtgel!U691:BL691) + SUMIF(negtgel!U$2:BL$2,'Tsalin uzuulelt'!P$2,negtgel!U691:BL691)+ SUMIF(negtgel!U$2:BL$2,'Tsalin uzuulelt'!P$3,negtgel!U691:BL691)+ SUMIF(negtgel!U$2:BL$2,'Tsalin uzuulelt'!P$4,negtgel!U691:BL691)+ SUMIF(negtgel!U$2:BL$2,'Tsalin uzuulelt'!P$5,negtgel!U691:BL691)</f>
      </c>
      <c r="N691">
        <f>IF(ISNUMBER(U691*1)=CF691,0,K691-H691-G691)</f>
      </c>
      <c r="O691">
        <f>IF(ISNUMBER(U691*1)=CF691,0,L691)</f>
      </c>
      <c r="P691">
        <f>IF(ISNUMBER(U691*1)=CF691,0,M691)</f>
      </c>
      <c r="Q691">
        <f>IF(N691&gt;2400000,N691,0)</f>
      </c>
      <c r="R691">
        <f>IF(L691/Q691*100&lt;3,2,10)</f>
      </c>
      <c r="S691">
        <f>IF(CH691=0,0,IF(B691&gt;9,10,IF(B691&gt;8,B691,IF(B691&gt;7.7,7.8,IF(B691&gt;3,B691,IF(B691&gt;1.5,2))))))</f>
      </c>
      <c r="T691">
        <f>IF(Q691=0,S691,R691)</f>
      </c>
      <c r="U691" t="n">
        <v>156.0</v>
      </c>
      <c r="V691" t="s">
        <v>3844</v>
      </c>
      <c r="W691" t="s">
        <v>3790</v>
      </c>
      <c r="X691" t="n">
        <v>677436.0</v>
      </c>
      <c r="Y691" t="n">
        <v>0.0</v>
      </c>
      <c r="Z691" t="n">
        <v>0.0</v>
      </c>
      <c r="AA691" t="n">
        <v>0.0</v>
      </c>
      <c r="AB691" t="n">
        <v>0.0</v>
      </c>
      <c r="AC691" t="n">
        <v>0.0</v>
      </c>
      <c r="AD691" t="n">
        <v>0.0</v>
      </c>
      <c r="AE691" t="n">
        <v>0.0</v>
      </c>
      <c r="AF691" t="n">
        <v>0.0</v>
      </c>
      <c r="AG691" t="n">
        <v>0.0</v>
      </c>
      <c r="AH691" t="n">
        <v>0.0</v>
      </c>
      <c r="AI691" t="n">
        <v>0.0</v>
      </c>
      <c r="AJ691" t="n">
        <v>0.0</v>
      </c>
      <c r="AK691" t="n">
        <v>0.0</v>
      </c>
      <c r="AL691" t="n">
        <v>0.0</v>
      </c>
      <c r="AM691" t="n">
        <v>0.0</v>
      </c>
      <c r="AN691" t="n">
        <v>0.0</v>
      </c>
      <c r="AO691" t="n">
        <v>0.0</v>
      </c>
      <c r="AP691" t="n">
        <v>0.0</v>
      </c>
      <c r="AQ691" t="n">
        <v>0.0</v>
      </c>
      <c r="CH691">
        <f>IFERROR(U691*1,0)</f>
      </c>
    </row>
    <row r="692">
      <c r="A692" t="n">
        <v>10.0</v>
      </c>
      <c r="B692">
        <f>IF((K692-G692-H692&gt;2400000),10,(L692/(K692-G692-H692)*100))</f>
      </c>
      <c r="C692">
        <f>IF(N692&gt;2400000,240000,(N692*S692)/100)</f>
      </c>
      <c r="D692">
        <f>IF(S692=0,0,IF((N692-I692)&gt;2400000,((((((N692-I692-J692)-240000))*0.1+(I692+J692)*0.1)))-7000,((((((N692-I692-J692)-(N692-I692-J692)*S692/100)))*0.1+(I692+J692)*0.1)-7000)))</f>
      </c>
      <c r="E692">
        <f>C692-O692</f>
      </c>
      <c r="F692">
        <f>D692-P692</f>
      </c>
      <c r="G692">
        <f>SUMIF(negtgel!U$2:BL$2,'Tsalin uzuulelt'!B$1,negtgel!U692:BL692) + SUMIF(negtgel!U$2:BL$2,'Tsalin uzuulelt'!B$2,negtgel!U692:BL692)+SUMIF(negtgel!U$2:BL$2,'Tsalin uzuulelt'!B$3,negtgel!U692:BL692)+SUMIF(negtgel!U$2:BL$2,'Tsalin uzuulelt'!B$4,negtgel!U692:BL692)+SUMIF(negtgel!U$2:BL$2,'Tsalin uzuulelt'!B$5,negtgel!U692:BL692)</f>
      </c>
      <c r="H692">
        <f>SUMIF(negtgel!U$2:BL$2,'Tsalin uzuulelt'!F$1,negtgel!U692:BL692) + SUMIF(negtgel!U$2:BL$2,'Tsalin uzuulelt'!F$2,negtgel!U692:BL692)+SUMIF(negtgel!U$2:BL$2,'Tsalin uzuulelt'!F$3,negtgel!U692:BL692)+SUMIF(negtgel!U$2:BL$2,'Tsalin uzuulelt'!F$4,negtgel!U692:BL692)+SUMIF(negtgel!U$2:BL$2,'Tsalin uzuulelt'!F$5,negtgel!U692:BL692)</f>
      </c>
      <c r="I692">
        <f>SUMIF(negtgel!U$2:BL$2,'Tsalin uzuulelt'!H$1,negtgel!U692:BL692) + SUMIF(negtgel!U$2:BL$2,'Tsalin uzuulelt'!H$2,negtgel!U692:BL692)+SUMIF(negtgel!U$2:BL$2,'Tsalin uzuulelt'!H$3,negtgel!U692:BL692)+SUMIF(negtgel!U$2:BL$2,'Tsalin uzuulelt'!H$4,negtgel!U692:BL692)+SUMIF(negtgel!U$2:BL$2,'Tsalin uzuulelt'!H$5,negtgel!U692:BL692)</f>
      </c>
      <c r="J692">
        <f>SUMIF(negtgel!U$2:BL$2,'Tsalin uzuulelt'!J$1,negtgel!U692:BL692) + SUMIF(negtgel!U$2:BL$2,'Tsalin uzuulelt'!J$2,negtgel!U692:BL692)+SUMIF(negtgel!U$2:BL$2,'Tsalin uzuulelt'!J$3,negtgel!U692:BL692)+SUMIF(negtgel!U$2:BL$2,'Tsalin uzuulelt'!J$4,negtgel!U692:BL692)+SUMIF(negtgel!U$2:BL$2,'Tsalin uzuulelt'!J$5,negtgel!U692:BL692)</f>
      </c>
      <c r="K692">
        <f>SUMIF(negtgel!U$2:BL$2,'Tsalin uzuulelt'!L$1,negtgel!U692:BL692) + SUMIF(negtgel!U$2:BL$2,'Tsalin uzuulelt'!L$2,negtgel!U692:BL692)+SUMIF(negtgel!U$2:BL$2,'Tsalin uzuulelt'!L$3,negtgel!U692:BL692)+SUMIF(negtgel!U$2:BL$2,'Tsalin uzuulelt'!L$4,negtgel!U692:BL692)+SUMIF(negtgel!U$2:BL$2,'Tsalin uzuulelt'!L$5,negtgel!U692:BL692)</f>
      </c>
      <c r="L692">
        <f>SUMIF(negtgel!U$2:BL$2,'Tsalin uzuulelt'!N$1,negtgel!U692:BL692) + SUMIF(negtgel!U$2:BL$2,'Tsalin uzuulelt'!N$2,negtgel!U692:BL692)+SUMIF(negtgel!U$2:BL$2,'Tsalin uzuulelt'!N$3,negtgel!U692:BL692)+SUMIF(negtgel!U$2:BL$2,'Tsalin uzuulelt'!N$4,negtgel!U692:BL692)+SUMIF(negtgel!U$2:BL$2,'Tsalin uzuulelt'!N$5,negtgel!U692:BL692)</f>
      </c>
      <c r="M692">
        <f>SUMIF(negtgel!U$2:BL$2,'Tsalin uzuulelt'!P$1,negtgel!U692:BL692) + SUMIF(negtgel!U$2:BL$2,'Tsalin uzuulelt'!P$2,negtgel!U692:BL692)+ SUMIF(negtgel!U$2:BL$2,'Tsalin uzuulelt'!P$3,negtgel!U692:BL692)+ SUMIF(negtgel!U$2:BL$2,'Tsalin uzuulelt'!P$4,negtgel!U692:BL692)+ SUMIF(negtgel!U$2:BL$2,'Tsalin uzuulelt'!P$5,negtgel!U692:BL692)</f>
      </c>
      <c r="N692">
        <f>IF(ISNUMBER(U692*1)=CF692,0,K692-H692-G692)</f>
      </c>
      <c r="O692">
        <f>IF(ISNUMBER(U692*1)=CF692,0,L692)</f>
      </c>
      <c r="P692">
        <f>IF(ISNUMBER(U692*1)=CF692,0,M692)</f>
      </c>
      <c r="Q692">
        <f>IF(N692&gt;2400000,N692,0)</f>
      </c>
      <c r="R692">
        <f>IF(L692/Q692*100&lt;3,2,10)</f>
      </c>
      <c r="S692">
        <f>IF(CH692=0,0,IF(B692&gt;9,10,IF(B692&gt;8,B692,IF(B692&gt;7.7,7.8,IF(B692&gt;3,B692,IF(B692&gt;1.5,2))))))</f>
      </c>
      <c r="T692">
        <f>IF(Q692=0,S692,R692)</f>
      </c>
      <c r="U692" t="n">
        <v>157.0</v>
      </c>
      <c r="V692" t="s">
        <v>3845</v>
      </c>
      <c r="W692" t="s">
        <v>3790</v>
      </c>
      <c r="X692" t="n">
        <v>677436.0</v>
      </c>
      <c r="Y692" t="n">
        <v>0.0</v>
      </c>
      <c r="Z692" t="n">
        <v>0.0</v>
      </c>
      <c r="AA692" t="n">
        <v>0.0</v>
      </c>
      <c r="AB692" t="n">
        <v>0.0</v>
      </c>
      <c r="AC692" t="n">
        <v>0.0</v>
      </c>
      <c r="AD692" t="n">
        <v>0.0</v>
      </c>
      <c r="AE692" t="n">
        <v>0.0</v>
      </c>
      <c r="AF692" t="n">
        <v>0.0</v>
      </c>
      <c r="AG692" t="n">
        <v>0.0</v>
      </c>
      <c r="AH692" t="n">
        <v>0.0</v>
      </c>
      <c r="AI692" t="n">
        <v>0.0</v>
      </c>
      <c r="AJ692" t="n">
        <v>0.0</v>
      </c>
      <c r="AK692" t="n">
        <v>0.0</v>
      </c>
      <c r="AL692" t="n">
        <v>0.0</v>
      </c>
      <c r="AM692" t="n">
        <v>0.0</v>
      </c>
      <c r="AN692" t="n">
        <v>0.0</v>
      </c>
      <c r="AO692" t="n">
        <v>0.0</v>
      </c>
      <c r="AP692" t="n">
        <v>0.0</v>
      </c>
      <c r="AQ692" t="n">
        <v>0.0</v>
      </c>
      <c r="CH692">
        <f>IFERROR(U692*1,0)</f>
      </c>
    </row>
    <row r="695">
      <c r="A695" t="n">
        <v>11.0</v>
      </c>
      <c r="B695">
        <f>IF((K695-G695-H695&gt;2400000),10,(L695/(K695-G695-H695)*100))</f>
      </c>
      <c r="C695">
        <f>IF(N695&gt;2400000,240000,(N695*S695)/100)</f>
      </c>
      <c r="D695">
        <f>IF(S695=0,0,IF((N695-I695)&gt;2400000,((((((N695-I695-J695)-240000))*0.1+(I695+J695)*0.1)))-7000,((((((N695-I695-J695)-(N695-I695-J695)*S695/100)))*0.1+(I695+J695)*0.1)-7000)))</f>
      </c>
      <c r="E695">
        <f>C695-O695</f>
      </c>
      <c r="F695">
        <f>D695-P695</f>
      </c>
      <c r="G695">
        <f>SUMIF(negtgel!U$2:BL$2,'Tsalin uzuulelt'!B$1,negtgel!U695:BL695) + SUMIF(negtgel!U$2:BL$2,'Tsalin uzuulelt'!B$2,negtgel!U695:BL695)+SUMIF(negtgel!U$2:BL$2,'Tsalin uzuulelt'!B$3,negtgel!U695:BL695)+SUMIF(negtgel!U$2:BL$2,'Tsalin uzuulelt'!B$4,negtgel!U695:BL695)+SUMIF(negtgel!U$2:BL$2,'Tsalin uzuulelt'!B$5,negtgel!U695:BL695)</f>
      </c>
      <c r="H695">
        <f>SUMIF(negtgel!U$2:BL$2,'Tsalin uzuulelt'!F$1,negtgel!U695:BL695) + SUMIF(negtgel!U$2:BL$2,'Tsalin uzuulelt'!F$2,negtgel!U695:BL695)+SUMIF(negtgel!U$2:BL$2,'Tsalin uzuulelt'!F$3,negtgel!U695:BL695)+SUMIF(negtgel!U$2:BL$2,'Tsalin uzuulelt'!F$4,negtgel!U695:BL695)+SUMIF(negtgel!U$2:BL$2,'Tsalin uzuulelt'!F$5,negtgel!U695:BL695)</f>
      </c>
      <c r="I695">
        <f>SUMIF(negtgel!U$2:BL$2,'Tsalin uzuulelt'!H$1,negtgel!U695:BL695) + SUMIF(negtgel!U$2:BL$2,'Tsalin uzuulelt'!H$2,negtgel!U695:BL695)+SUMIF(negtgel!U$2:BL$2,'Tsalin uzuulelt'!H$3,negtgel!U695:BL695)+SUMIF(negtgel!U$2:BL$2,'Tsalin uzuulelt'!H$4,negtgel!U695:BL695)+SUMIF(negtgel!U$2:BL$2,'Tsalin uzuulelt'!H$5,negtgel!U695:BL695)</f>
      </c>
      <c r="J695">
        <f>SUMIF(negtgel!U$2:BL$2,'Tsalin uzuulelt'!J$1,negtgel!U695:BL695) + SUMIF(negtgel!U$2:BL$2,'Tsalin uzuulelt'!J$2,negtgel!U695:BL695)+SUMIF(negtgel!U$2:BL$2,'Tsalin uzuulelt'!J$3,negtgel!U695:BL695)+SUMIF(negtgel!U$2:BL$2,'Tsalin uzuulelt'!J$4,negtgel!U695:BL695)+SUMIF(negtgel!U$2:BL$2,'Tsalin uzuulelt'!J$5,negtgel!U695:BL695)</f>
      </c>
      <c r="K695">
        <f>SUMIF(negtgel!U$2:BL$2,'Tsalin uzuulelt'!L$1,negtgel!U695:BL695) + SUMIF(negtgel!U$2:BL$2,'Tsalin uzuulelt'!L$2,negtgel!U695:BL695)+SUMIF(negtgel!U$2:BL$2,'Tsalin uzuulelt'!L$3,negtgel!U695:BL695)+SUMIF(negtgel!U$2:BL$2,'Tsalin uzuulelt'!L$4,negtgel!U695:BL695)+SUMIF(negtgel!U$2:BL$2,'Tsalin uzuulelt'!L$5,negtgel!U695:BL695)</f>
      </c>
      <c r="L695">
        <f>SUMIF(negtgel!U$2:BL$2,'Tsalin uzuulelt'!N$1,negtgel!U695:BL695) + SUMIF(negtgel!U$2:BL$2,'Tsalin uzuulelt'!N$2,negtgel!U695:BL695)+SUMIF(negtgel!U$2:BL$2,'Tsalin uzuulelt'!N$3,negtgel!U695:BL695)+SUMIF(negtgel!U$2:BL$2,'Tsalin uzuulelt'!N$4,negtgel!U695:BL695)+SUMIF(negtgel!U$2:BL$2,'Tsalin uzuulelt'!N$5,negtgel!U695:BL695)</f>
      </c>
      <c r="M695">
        <f>SUMIF(negtgel!U$2:BL$2,'Tsalin uzuulelt'!P$1,negtgel!U695:BL695) + SUMIF(negtgel!U$2:BL$2,'Tsalin uzuulelt'!P$2,negtgel!U695:BL695)+ SUMIF(negtgel!U$2:BL$2,'Tsalin uzuulelt'!P$3,negtgel!U695:BL695)+ SUMIF(negtgel!U$2:BL$2,'Tsalin uzuulelt'!P$4,negtgel!U695:BL695)+ SUMIF(negtgel!U$2:BL$2,'Tsalin uzuulelt'!P$5,negtgel!U695:BL695)</f>
      </c>
      <c r="N695">
        <f>IF(ISNUMBER(U695*1)=CF695,0,K695-H695-G695)</f>
      </c>
      <c r="O695">
        <f>IF(ISNUMBER(U695*1)=CF695,0,L695)</f>
      </c>
      <c r="P695">
        <f>IF(ISNUMBER(U695*1)=CF695,0,M695)</f>
      </c>
      <c r="Q695">
        <f>IF(N695&gt;2400000,N695,0)</f>
      </c>
      <c r="R695">
        <f>IF(L695/Q695*100&lt;3,2,10)</f>
      </c>
      <c r="S695">
        <f>IF(CH695=0,0,IF(B695&gt;9,10,IF(B695&gt;8,B695,IF(B695&gt;7.7,7.8,IF(B695&gt;3,B695,IF(B695&gt;1.5,2))))))</f>
      </c>
      <c r="T695">
        <f>IF(Q695=0,S695,R695)</f>
      </c>
      <c r="U695" t="s">
        <v>3781</v>
      </c>
      <c r="V695"/>
      <c r="W695"/>
      <c r="X695"/>
      <c r="Y695"/>
      <c r="Z695"/>
      <c r="AA695"/>
      <c r="AB695"/>
      <c r="AC695"/>
      <c r="AD695"/>
      <c r="AE695"/>
      <c r="AF695"/>
      <c r="AG695"/>
      <c r="AH695"/>
      <c r="AI695"/>
      <c r="AJ695"/>
      <c r="AK695"/>
      <c r="AL695"/>
      <c r="AM695"/>
      <c r="AN695"/>
      <c r="AO695"/>
      <c r="AP695"/>
      <c r="AQ695"/>
      <c r="CH695">
        <f>IFERROR(U695*1,0)</f>
      </c>
    </row>
    <row r="696">
      <c r="A696" t="n">
        <v>11.0</v>
      </c>
      <c r="B696">
        <f>IF((K696-G696-H696&gt;2400000),10,(L696/(K696-G696-H696)*100))</f>
      </c>
      <c r="C696">
        <f>IF(N696&gt;2400000,240000,(N696*S696)/100)</f>
      </c>
      <c r="D696">
        <f>IF(S696=0,0,IF((N696-I696)&gt;2400000,((((((N696-I696-J696)-240000))*0.1+(I696+J696)*0.1)))-7000,((((((N696-I696-J696)-(N696-I696-J696)*S696/100)))*0.1+(I696+J696)*0.1)-7000)))</f>
      </c>
      <c r="E696">
        <f>C696-O696</f>
      </c>
      <c r="F696">
        <f>D696-P696</f>
      </c>
      <c r="G696">
        <f>SUMIF(negtgel!U$2:BL$2,'Tsalin uzuulelt'!B$1,negtgel!U696:BL696) + SUMIF(negtgel!U$2:BL$2,'Tsalin uzuulelt'!B$2,negtgel!U696:BL696)+SUMIF(negtgel!U$2:BL$2,'Tsalin uzuulelt'!B$3,negtgel!U696:BL696)+SUMIF(negtgel!U$2:BL$2,'Tsalin uzuulelt'!B$4,negtgel!U696:BL696)+SUMIF(negtgel!U$2:BL$2,'Tsalin uzuulelt'!B$5,negtgel!U696:BL696)</f>
      </c>
      <c r="H696">
        <f>SUMIF(negtgel!U$2:BL$2,'Tsalin uzuulelt'!F$1,negtgel!U696:BL696) + SUMIF(negtgel!U$2:BL$2,'Tsalin uzuulelt'!F$2,negtgel!U696:BL696)+SUMIF(negtgel!U$2:BL$2,'Tsalin uzuulelt'!F$3,negtgel!U696:BL696)+SUMIF(negtgel!U$2:BL$2,'Tsalin uzuulelt'!F$4,negtgel!U696:BL696)+SUMIF(negtgel!U$2:BL$2,'Tsalin uzuulelt'!F$5,negtgel!U696:BL696)</f>
      </c>
      <c r="I696">
        <f>SUMIF(negtgel!U$2:BL$2,'Tsalin uzuulelt'!H$1,negtgel!U696:BL696) + SUMIF(negtgel!U$2:BL$2,'Tsalin uzuulelt'!H$2,negtgel!U696:BL696)+SUMIF(negtgel!U$2:BL$2,'Tsalin uzuulelt'!H$3,negtgel!U696:BL696)+SUMIF(negtgel!U$2:BL$2,'Tsalin uzuulelt'!H$4,negtgel!U696:BL696)+SUMIF(negtgel!U$2:BL$2,'Tsalin uzuulelt'!H$5,negtgel!U696:BL696)</f>
      </c>
      <c r="J696">
        <f>SUMIF(negtgel!U$2:BL$2,'Tsalin uzuulelt'!J$1,negtgel!U696:BL696) + SUMIF(negtgel!U$2:BL$2,'Tsalin uzuulelt'!J$2,negtgel!U696:BL696)+SUMIF(negtgel!U$2:BL$2,'Tsalin uzuulelt'!J$3,negtgel!U696:BL696)+SUMIF(negtgel!U$2:BL$2,'Tsalin uzuulelt'!J$4,negtgel!U696:BL696)+SUMIF(negtgel!U$2:BL$2,'Tsalin uzuulelt'!J$5,negtgel!U696:BL696)</f>
      </c>
      <c r="K696">
        <f>SUMIF(negtgel!U$2:BL$2,'Tsalin uzuulelt'!L$1,negtgel!U696:BL696) + SUMIF(negtgel!U$2:BL$2,'Tsalin uzuulelt'!L$2,negtgel!U696:BL696)+SUMIF(negtgel!U$2:BL$2,'Tsalin uzuulelt'!L$3,negtgel!U696:BL696)+SUMIF(negtgel!U$2:BL$2,'Tsalin uzuulelt'!L$4,negtgel!U696:BL696)+SUMIF(negtgel!U$2:BL$2,'Tsalin uzuulelt'!L$5,negtgel!U696:BL696)</f>
      </c>
      <c r="L696">
        <f>SUMIF(negtgel!U$2:BL$2,'Tsalin uzuulelt'!N$1,negtgel!U696:BL696) + SUMIF(negtgel!U$2:BL$2,'Tsalin uzuulelt'!N$2,negtgel!U696:BL696)+SUMIF(negtgel!U$2:BL$2,'Tsalin uzuulelt'!N$3,negtgel!U696:BL696)+SUMIF(negtgel!U$2:BL$2,'Tsalin uzuulelt'!N$4,negtgel!U696:BL696)+SUMIF(negtgel!U$2:BL$2,'Tsalin uzuulelt'!N$5,negtgel!U696:BL696)</f>
      </c>
      <c r="M696">
        <f>SUMIF(negtgel!U$2:BL$2,'Tsalin uzuulelt'!P$1,negtgel!U696:BL696) + SUMIF(negtgel!U$2:BL$2,'Tsalin uzuulelt'!P$2,negtgel!U696:BL696)+ SUMIF(negtgel!U$2:BL$2,'Tsalin uzuulelt'!P$3,negtgel!U696:BL696)+ SUMIF(negtgel!U$2:BL$2,'Tsalin uzuulelt'!P$4,negtgel!U696:BL696)+ SUMIF(negtgel!U$2:BL$2,'Tsalin uzuulelt'!P$5,negtgel!U696:BL696)</f>
      </c>
      <c r="N696">
        <f>IF(ISNUMBER(U696*1)=CF696,0,K696-H696-G696)</f>
      </c>
      <c r="O696">
        <f>IF(ISNUMBER(U696*1)=CF696,0,L696)</f>
      </c>
      <c r="P696">
        <f>IF(ISNUMBER(U696*1)=CF696,0,M696)</f>
      </c>
      <c r="Q696">
        <f>IF(N696&gt;2400000,N696,0)</f>
      </c>
      <c r="R696">
        <f>IF(L696/Q696*100&lt;3,2,10)</f>
      </c>
      <c r="S696">
        <f>IF(CH696=0,0,IF(B696&gt;9,10,IF(B696&gt;8,B696,IF(B696&gt;7.7,7.8,IF(B696&gt;3,B696,IF(B696&gt;1.5,2))))))</f>
      </c>
      <c r="T696">
        <f>IF(Q696=0,S696,R696)</f>
      </c>
      <c r="U696" t="n">
        <v>20.0</v>
      </c>
      <c r="V696" t="s">
        <v>3864</v>
      </c>
      <c r="W696" t="s">
        <v>3865</v>
      </c>
      <c r="X696" t="n">
        <v>371016.0</v>
      </c>
      <c r="Y696" t="n">
        <v>371016.0</v>
      </c>
      <c r="Z696" t="n">
        <v>0.0</v>
      </c>
      <c r="AA696" t="n">
        <v>0.0</v>
      </c>
      <c r="AB696" t="n">
        <v>0.0</v>
      </c>
      <c r="AC696" t="n">
        <v>0.0</v>
      </c>
      <c r="AD696" t="n">
        <v>0.0</v>
      </c>
      <c r="AE696" t="n">
        <v>0.0</v>
      </c>
      <c r="AF696" t="n">
        <v>66000.0</v>
      </c>
      <c r="AG696" t="n">
        <v>0.0</v>
      </c>
      <c r="AH696" t="n">
        <v>0.0</v>
      </c>
      <c r="AI696" t="n">
        <v>0.0</v>
      </c>
      <c r="AJ696" t="n">
        <v>0.0</v>
      </c>
      <c r="AK696" t="n">
        <v>0.0</v>
      </c>
      <c r="AL696" t="n">
        <v>0.0</v>
      </c>
      <c r="AM696" t="n">
        <v>0.0</v>
      </c>
      <c r="AN696" t="n">
        <v>0.0</v>
      </c>
      <c r="AO696" t="n">
        <v>437016.0</v>
      </c>
      <c r="AP696" t="n">
        <v>43701.0</v>
      </c>
      <c r="AQ696" t="n">
        <v>32991.4</v>
      </c>
      <c r="CH696">
        <f>IFERROR(U696*1,0)</f>
      </c>
    </row>
    <row r="697">
      <c r="A697" t="n">
        <v>11.0</v>
      </c>
      <c r="B697">
        <f>IF((K697-G697-H697&gt;2400000),10,(L697/(K697-G697-H697)*100))</f>
      </c>
      <c r="C697">
        <f>IF(N697&gt;2400000,240000,(N697*S697)/100)</f>
      </c>
      <c r="D697">
        <f>IF(S697=0,0,IF((N697-I697)&gt;2400000,((((((N697-I697-J697)-240000))*0.1+(I697+J697)*0.1)))-7000,((((((N697-I697-J697)-(N697-I697-J697)*S697/100)))*0.1+(I697+J697)*0.1)-7000)))</f>
      </c>
      <c r="E697">
        <f>C697-O697</f>
      </c>
      <c r="F697">
        <f>D697-P697</f>
      </c>
      <c r="G697">
        <f>SUMIF(negtgel!U$2:BL$2,'Tsalin uzuulelt'!B$1,negtgel!U697:BL697) + SUMIF(negtgel!U$2:BL$2,'Tsalin uzuulelt'!B$2,negtgel!U697:BL697)+SUMIF(negtgel!U$2:BL$2,'Tsalin uzuulelt'!B$3,negtgel!U697:BL697)+SUMIF(negtgel!U$2:BL$2,'Tsalin uzuulelt'!B$4,negtgel!U697:BL697)+SUMIF(negtgel!U$2:BL$2,'Tsalin uzuulelt'!B$5,negtgel!U697:BL697)</f>
      </c>
      <c r="H697">
        <f>SUMIF(negtgel!U$2:BL$2,'Tsalin uzuulelt'!F$1,negtgel!U697:BL697) + SUMIF(negtgel!U$2:BL$2,'Tsalin uzuulelt'!F$2,negtgel!U697:BL697)+SUMIF(negtgel!U$2:BL$2,'Tsalin uzuulelt'!F$3,negtgel!U697:BL697)+SUMIF(negtgel!U$2:BL$2,'Tsalin uzuulelt'!F$4,negtgel!U697:BL697)+SUMIF(negtgel!U$2:BL$2,'Tsalin uzuulelt'!F$5,negtgel!U697:BL697)</f>
      </c>
      <c r="I697">
        <f>SUMIF(negtgel!U$2:BL$2,'Tsalin uzuulelt'!H$1,negtgel!U697:BL697) + SUMIF(negtgel!U$2:BL$2,'Tsalin uzuulelt'!H$2,negtgel!U697:BL697)+SUMIF(negtgel!U$2:BL$2,'Tsalin uzuulelt'!H$3,negtgel!U697:BL697)+SUMIF(negtgel!U$2:BL$2,'Tsalin uzuulelt'!H$4,negtgel!U697:BL697)+SUMIF(negtgel!U$2:BL$2,'Tsalin uzuulelt'!H$5,negtgel!U697:BL697)</f>
      </c>
      <c r="J697">
        <f>SUMIF(negtgel!U$2:BL$2,'Tsalin uzuulelt'!J$1,negtgel!U697:BL697) + SUMIF(negtgel!U$2:BL$2,'Tsalin uzuulelt'!J$2,negtgel!U697:BL697)+SUMIF(negtgel!U$2:BL$2,'Tsalin uzuulelt'!J$3,negtgel!U697:BL697)+SUMIF(negtgel!U$2:BL$2,'Tsalin uzuulelt'!J$4,negtgel!U697:BL697)+SUMIF(negtgel!U$2:BL$2,'Tsalin uzuulelt'!J$5,negtgel!U697:BL697)</f>
      </c>
      <c r="K697">
        <f>SUMIF(negtgel!U$2:BL$2,'Tsalin uzuulelt'!L$1,negtgel!U697:BL697) + SUMIF(negtgel!U$2:BL$2,'Tsalin uzuulelt'!L$2,negtgel!U697:BL697)+SUMIF(negtgel!U$2:BL$2,'Tsalin uzuulelt'!L$3,negtgel!U697:BL697)+SUMIF(negtgel!U$2:BL$2,'Tsalin uzuulelt'!L$4,negtgel!U697:BL697)+SUMIF(negtgel!U$2:BL$2,'Tsalin uzuulelt'!L$5,negtgel!U697:BL697)</f>
      </c>
      <c r="L697">
        <f>SUMIF(negtgel!U$2:BL$2,'Tsalin uzuulelt'!N$1,negtgel!U697:BL697) + SUMIF(negtgel!U$2:BL$2,'Tsalin uzuulelt'!N$2,negtgel!U697:BL697)+SUMIF(negtgel!U$2:BL$2,'Tsalin uzuulelt'!N$3,negtgel!U697:BL697)+SUMIF(negtgel!U$2:BL$2,'Tsalin uzuulelt'!N$4,negtgel!U697:BL697)+SUMIF(negtgel!U$2:BL$2,'Tsalin uzuulelt'!N$5,negtgel!U697:BL697)</f>
      </c>
      <c r="M697">
        <f>SUMIF(negtgel!U$2:BL$2,'Tsalin uzuulelt'!P$1,negtgel!U697:BL697) + SUMIF(negtgel!U$2:BL$2,'Tsalin uzuulelt'!P$2,negtgel!U697:BL697)+ SUMIF(negtgel!U$2:BL$2,'Tsalin uzuulelt'!P$3,negtgel!U697:BL697)+ SUMIF(negtgel!U$2:BL$2,'Tsalin uzuulelt'!P$4,negtgel!U697:BL697)+ SUMIF(negtgel!U$2:BL$2,'Tsalin uzuulelt'!P$5,negtgel!U697:BL697)</f>
      </c>
      <c r="N697">
        <f>IF(ISNUMBER(U697*1)=CF697,0,K697-H697-G697)</f>
      </c>
      <c r="O697">
        <f>IF(ISNUMBER(U697*1)=CF697,0,L697)</f>
      </c>
      <c r="P697">
        <f>IF(ISNUMBER(U697*1)=CF697,0,M697)</f>
      </c>
      <c r="Q697">
        <f>IF(N697&gt;2400000,N697,0)</f>
      </c>
      <c r="R697">
        <f>IF(L697/Q697*100&lt;3,2,10)</f>
      </c>
      <c r="S697">
        <f>IF(CH697=0,0,IF(B697&gt;9,10,IF(B697&gt;8,B697,IF(B697&gt;7.7,7.8,IF(B697&gt;3,B697,IF(B697&gt;1.5,2))))))</f>
      </c>
      <c r="T697">
        <f>IF(Q697=0,S697,R697)</f>
      </c>
      <c r="U697" t="n">
        <v>21.0</v>
      </c>
      <c r="V697" t="s">
        <v>3861</v>
      </c>
      <c r="W697" t="s">
        <v>3790</v>
      </c>
      <c r="X697" t="n">
        <v>645556.0</v>
      </c>
      <c r="Y697" t="n">
        <v>645556.0</v>
      </c>
      <c r="Z697" t="n">
        <v>96833.0</v>
      </c>
      <c r="AA697" t="n">
        <v>129111.0</v>
      </c>
      <c r="AB697" t="n">
        <v>0.0</v>
      </c>
      <c r="AC697" t="n">
        <v>96833.0</v>
      </c>
      <c r="AD697" t="n">
        <v>0.0</v>
      </c>
      <c r="AE697" t="n">
        <v>0.0</v>
      </c>
      <c r="AF697" t="n">
        <v>66000.0</v>
      </c>
      <c r="AG697" t="n">
        <v>0.0</v>
      </c>
      <c r="AH697" t="n">
        <v>0.0</v>
      </c>
      <c r="AI697" t="n">
        <v>0.0</v>
      </c>
      <c r="AJ697" t="n">
        <v>0.0</v>
      </c>
      <c r="AK697" t="n">
        <v>0.0</v>
      </c>
      <c r="AL697" t="n">
        <v>0.0</v>
      </c>
      <c r="AM697" t="n">
        <v>0.0</v>
      </c>
      <c r="AN697" t="n">
        <v>0.0</v>
      </c>
      <c r="AO697" t="n">
        <v>1034333.0</v>
      </c>
      <c r="AP697" t="n">
        <v>103434.0</v>
      </c>
      <c r="AQ697" t="n">
        <v>86750.0</v>
      </c>
      <c r="CH697">
        <f>IFERROR(U697*1,0)</f>
      </c>
    </row>
    <row r="698">
      <c r="A698" t="n">
        <v>11.0</v>
      </c>
      <c r="B698">
        <f>IF((K698-G698-H698&gt;2400000),10,(L698/(K698-G698-H698)*100))</f>
      </c>
      <c r="C698">
        <f>IF(N698&gt;2400000,240000,(N698*S698)/100)</f>
      </c>
      <c r="D698">
        <f>IF(S698=0,0,IF((N698-I698)&gt;2400000,((((((N698-I698-J698)-240000))*0.1+(I698+J698)*0.1)))-7000,((((((N698-I698-J698)-(N698-I698-J698)*S698/100)))*0.1+(I698+J698)*0.1)-7000)))</f>
      </c>
      <c r="E698">
        <f>C698-O698</f>
      </c>
      <c r="F698">
        <f>D698-P698</f>
      </c>
      <c r="G698">
        <f>SUMIF(negtgel!U$2:BL$2,'Tsalin uzuulelt'!B$1,negtgel!U698:BL698) + SUMIF(negtgel!U$2:BL$2,'Tsalin uzuulelt'!B$2,negtgel!U698:BL698)+SUMIF(negtgel!U$2:BL$2,'Tsalin uzuulelt'!B$3,negtgel!U698:BL698)+SUMIF(negtgel!U$2:BL$2,'Tsalin uzuulelt'!B$4,negtgel!U698:BL698)+SUMIF(negtgel!U$2:BL$2,'Tsalin uzuulelt'!B$5,negtgel!U698:BL698)</f>
      </c>
      <c r="H698">
        <f>SUMIF(negtgel!U$2:BL$2,'Tsalin uzuulelt'!F$1,negtgel!U698:BL698) + SUMIF(negtgel!U$2:BL$2,'Tsalin uzuulelt'!F$2,negtgel!U698:BL698)+SUMIF(negtgel!U$2:BL$2,'Tsalin uzuulelt'!F$3,negtgel!U698:BL698)+SUMIF(negtgel!U$2:BL$2,'Tsalin uzuulelt'!F$4,negtgel!U698:BL698)+SUMIF(negtgel!U$2:BL$2,'Tsalin uzuulelt'!F$5,negtgel!U698:BL698)</f>
      </c>
      <c r="I698">
        <f>SUMIF(negtgel!U$2:BL$2,'Tsalin uzuulelt'!H$1,negtgel!U698:BL698) + SUMIF(negtgel!U$2:BL$2,'Tsalin uzuulelt'!H$2,negtgel!U698:BL698)+SUMIF(negtgel!U$2:BL$2,'Tsalin uzuulelt'!H$3,negtgel!U698:BL698)+SUMIF(negtgel!U$2:BL$2,'Tsalin uzuulelt'!H$4,negtgel!U698:BL698)+SUMIF(negtgel!U$2:BL$2,'Tsalin uzuulelt'!H$5,negtgel!U698:BL698)</f>
      </c>
      <c r="J698">
        <f>SUMIF(negtgel!U$2:BL$2,'Tsalin uzuulelt'!J$1,negtgel!U698:BL698) + SUMIF(negtgel!U$2:BL$2,'Tsalin uzuulelt'!J$2,negtgel!U698:BL698)+SUMIF(negtgel!U$2:BL$2,'Tsalin uzuulelt'!J$3,negtgel!U698:BL698)+SUMIF(negtgel!U$2:BL$2,'Tsalin uzuulelt'!J$4,negtgel!U698:BL698)+SUMIF(negtgel!U$2:BL$2,'Tsalin uzuulelt'!J$5,negtgel!U698:BL698)</f>
      </c>
      <c r="K698">
        <f>SUMIF(negtgel!U$2:BL$2,'Tsalin uzuulelt'!L$1,negtgel!U698:BL698) + SUMIF(negtgel!U$2:BL$2,'Tsalin uzuulelt'!L$2,negtgel!U698:BL698)+SUMIF(negtgel!U$2:BL$2,'Tsalin uzuulelt'!L$3,negtgel!U698:BL698)+SUMIF(negtgel!U$2:BL$2,'Tsalin uzuulelt'!L$4,negtgel!U698:BL698)+SUMIF(negtgel!U$2:BL$2,'Tsalin uzuulelt'!L$5,negtgel!U698:BL698)</f>
      </c>
      <c r="L698">
        <f>SUMIF(negtgel!U$2:BL$2,'Tsalin uzuulelt'!N$1,negtgel!U698:BL698) + SUMIF(negtgel!U$2:BL$2,'Tsalin uzuulelt'!N$2,negtgel!U698:BL698)+SUMIF(negtgel!U$2:BL$2,'Tsalin uzuulelt'!N$3,negtgel!U698:BL698)+SUMIF(negtgel!U$2:BL$2,'Tsalin uzuulelt'!N$4,negtgel!U698:BL698)+SUMIF(negtgel!U$2:BL$2,'Tsalin uzuulelt'!N$5,negtgel!U698:BL698)</f>
      </c>
      <c r="M698">
        <f>SUMIF(negtgel!U$2:BL$2,'Tsalin uzuulelt'!P$1,negtgel!U698:BL698) + SUMIF(negtgel!U$2:BL$2,'Tsalin uzuulelt'!P$2,negtgel!U698:BL698)+ SUMIF(negtgel!U$2:BL$2,'Tsalin uzuulelt'!P$3,negtgel!U698:BL698)+ SUMIF(negtgel!U$2:BL$2,'Tsalin uzuulelt'!P$4,negtgel!U698:BL698)+ SUMIF(negtgel!U$2:BL$2,'Tsalin uzuulelt'!P$5,negtgel!U698:BL698)</f>
      </c>
      <c r="N698">
        <f>IF(ISNUMBER(U698*1)=CF698,0,K698-H698-G698)</f>
      </c>
      <c r="O698">
        <f>IF(ISNUMBER(U698*1)=CF698,0,L698)</f>
      </c>
      <c r="P698">
        <f>IF(ISNUMBER(U698*1)=CF698,0,M698)</f>
      </c>
      <c r="Q698">
        <f>IF(N698&gt;2400000,N698,0)</f>
      </c>
      <c r="R698">
        <f>IF(L698/Q698*100&lt;3,2,10)</f>
      </c>
      <c r="S698">
        <f>IF(CH698=0,0,IF(B698&gt;9,10,IF(B698&gt;8,B698,IF(B698&gt;7.7,7.8,IF(B698&gt;3,B698,IF(B698&gt;1.5,2))))))</f>
      </c>
      <c r="T698">
        <f>IF(Q698=0,S698,R698)</f>
      </c>
      <c r="U698" t="s">
        <v>3787</v>
      </c>
      <c r="V698"/>
      <c r="W698"/>
      <c r="X698" t="n">
        <v>1.2275037E7</v>
      </c>
      <c r="Y698" t="n">
        <v>1.0090687E7</v>
      </c>
      <c r="Z698" t="n">
        <v>1122885.0</v>
      </c>
      <c r="AA698" t="n">
        <v>1273365.0</v>
      </c>
      <c r="AB698" t="n">
        <v>476504.0</v>
      </c>
      <c r="AC698" t="n">
        <v>367092.0</v>
      </c>
      <c r="AD698" t="n">
        <v>552892.0</v>
      </c>
      <c r="AE698" t="n">
        <v>0.0</v>
      </c>
      <c r="AF698" t="n">
        <v>1137000.0</v>
      </c>
      <c r="AG698" t="n">
        <v>0.0</v>
      </c>
      <c r="AH698" t="n">
        <v>0.0</v>
      </c>
      <c r="AI698" t="n">
        <v>0.0</v>
      </c>
      <c r="AJ698" t="n">
        <v>2852969.0</v>
      </c>
      <c r="AK698" t="n">
        <v>0.0</v>
      </c>
      <c r="AL698" t="n">
        <v>295777.0</v>
      </c>
      <c r="AM698" t="n">
        <v>0.0</v>
      </c>
      <c r="AN698" t="n">
        <v>0.0</v>
      </c>
      <c r="AO698" t="n">
        <v>1.8274096E7</v>
      </c>
      <c r="AP698" t="n">
        <v>1797830.0</v>
      </c>
      <c r="AQ698" t="n">
        <v>1482418.6</v>
      </c>
      <c r="CH698">
        <f>IFERROR(U698*1,0)</f>
      </c>
    </row>
    <row r="699">
      <c r="A699" t="n">
        <v>11.0</v>
      </c>
      <c r="B699">
        <f>IF((K699-G699-H699&gt;2400000),10,(L699/(K699-G699-H699)*100))</f>
      </c>
      <c r="C699">
        <f>IF(N699&gt;2400000,240000,(N699*S699)/100)</f>
      </c>
      <c r="D699">
        <f>IF(S699=0,0,IF((N699-I699)&gt;2400000,((((((N699-I699-J699)-240000))*0.1+(I699+J699)*0.1)))-7000,((((((N699-I699-J699)-(N699-I699-J699)*S699/100)))*0.1+(I699+J699)*0.1)-7000)))</f>
      </c>
      <c r="E699">
        <f>C699-O699</f>
      </c>
      <c r="F699">
        <f>D699-P699</f>
      </c>
      <c r="G699">
        <f>SUMIF(negtgel!U$2:BL$2,'Tsalin uzuulelt'!B$1,negtgel!U699:BL699) + SUMIF(negtgel!U$2:BL$2,'Tsalin uzuulelt'!B$2,negtgel!U699:BL699)+SUMIF(negtgel!U$2:BL$2,'Tsalin uzuulelt'!B$3,negtgel!U699:BL699)+SUMIF(negtgel!U$2:BL$2,'Tsalin uzuulelt'!B$4,negtgel!U699:BL699)+SUMIF(negtgel!U$2:BL$2,'Tsalin uzuulelt'!B$5,negtgel!U699:BL699)</f>
      </c>
      <c r="H699">
        <f>SUMIF(negtgel!U$2:BL$2,'Tsalin uzuulelt'!F$1,negtgel!U699:BL699) + SUMIF(negtgel!U$2:BL$2,'Tsalin uzuulelt'!F$2,negtgel!U699:BL699)+SUMIF(negtgel!U$2:BL$2,'Tsalin uzuulelt'!F$3,negtgel!U699:BL699)+SUMIF(negtgel!U$2:BL$2,'Tsalin uzuulelt'!F$4,negtgel!U699:BL699)+SUMIF(negtgel!U$2:BL$2,'Tsalin uzuulelt'!F$5,negtgel!U699:BL699)</f>
      </c>
      <c r="I699">
        <f>SUMIF(negtgel!U$2:BL$2,'Tsalin uzuulelt'!H$1,negtgel!U699:BL699) + SUMIF(negtgel!U$2:BL$2,'Tsalin uzuulelt'!H$2,negtgel!U699:BL699)+SUMIF(negtgel!U$2:BL$2,'Tsalin uzuulelt'!H$3,negtgel!U699:BL699)+SUMIF(negtgel!U$2:BL$2,'Tsalin uzuulelt'!H$4,negtgel!U699:BL699)+SUMIF(negtgel!U$2:BL$2,'Tsalin uzuulelt'!H$5,negtgel!U699:BL699)</f>
      </c>
      <c r="J699">
        <f>SUMIF(negtgel!U$2:BL$2,'Tsalin uzuulelt'!J$1,negtgel!U699:BL699) + SUMIF(negtgel!U$2:BL$2,'Tsalin uzuulelt'!J$2,negtgel!U699:BL699)+SUMIF(negtgel!U$2:BL$2,'Tsalin uzuulelt'!J$3,negtgel!U699:BL699)+SUMIF(negtgel!U$2:BL$2,'Tsalin uzuulelt'!J$4,negtgel!U699:BL699)+SUMIF(negtgel!U$2:BL$2,'Tsalin uzuulelt'!J$5,negtgel!U699:BL699)</f>
      </c>
      <c r="K699">
        <f>SUMIF(negtgel!U$2:BL$2,'Tsalin uzuulelt'!L$1,negtgel!U699:BL699) + SUMIF(negtgel!U$2:BL$2,'Tsalin uzuulelt'!L$2,negtgel!U699:BL699)+SUMIF(negtgel!U$2:BL$2,'Tsalin uzuulelt'!L$3,negtgel!U699:BL699)+SUMIF(negtgel!U$2:BL$2,'Tsalin uzuulelt'!L$4,negtgel!U699:BL699)+SUMIF(negtgel!U$2:BL$2,'Tsalin uzuulelt'!L$5,negtgel!U699:BL699)</f>
      </c>
      <c r="L699">
        <f>SUMIF(negtgel!U$2:BL$2,'Tsalin uzuulelt'!N$1,negtgel!U699:BL699) + SUMIF(negtgel!U$2:BL$2,'Tsalin uzuulelt'!N$2,negtgel!U699:BL699)+SUMIF(negtgel!U$2:BL$2,'Tsalin uzuulelt'!N$3,negtgel!U699:BL699)+SUMIF(negtgel!U$2:BL$2,'Tsalin uzuulelt'!N$4,negtgel!U699:BL699)+SUMIF(negtgel!U$2:BL$2,'Tsalin uzuulelt'!N$5,negtgel!U699:BL699)</f>
      </c>
      <c r="M699">
        <f>SUMIF(negtgel!U$2:BL$2,'Tsalin uzuulelt'!P$1,negtgel!U699:BL699) + SUMIF(negtgel!U$2:BL$2,'Tsalin uzuulelt'!P$2,negtgel!U699:BL699)+ SUMIF(negtgel!U$2:BL$2,'Tsalin uzuulelt'!P$3,negtgel!U699:BL699)+ SUMIF(negtgel!U$2:BL$2,'Tsalin uzuulelt'!P$4,negtgel!U699:BL699)+ SUMIF(negtgel!U$2:BL$2,'Tsalin uzuulelt'!P$5,negtgel!U699:BL699)</f>
      </c>
      <c r="N699">
        <f>IF(ISNUMBER(U699*1)=CF699,0,K699-H699-G699)</f>
      </c>
      <c r="O699">
        <f>IF(ISNUMBER(U699*1)=CF699,0,L699)</f>
      </c>
      <c r="P699">
        <f>IF(ISNUMBER(U699*1)=CF699,0,M699)</f>
      </c>
      <c r="Q699">
        <f>IF(N699&gt;2400000,N699,0)</f>
      </c>
      <c r="R699">
        <f>IF(L699/Q699*100&lt;3,2,10)</f>
      </c>
      <c r="S699">
        <f>IF(CH699=0,0,IF(B699&gt;9,10,IF(B699&gt;8,B699,IF(B699&gt;7.7,7.8,IF(B699&gt;3,B699,IF(B699&gt;1.5,2))))))</f>
      </c>
      <c r="T699">
        <f>IF(Q699=0,S699,R699)</f>
      </c>
      <c r="U699" t="s">
        <v>3788</v>
      </c>
      <c r="V699"/>
      <c r="W699"/>
      <c r="X699"/>
      <c r="Y699"/>
      <c r="Z699"/>
      <c r="AA699"/>
      <c r="AB699"/>
      <c r="AC699"/>
      <c r="AD699"/>
      <c r="AE699"/>
      <c r="AF699"/>
      <c r="AG699"/>
      <c r="AH699"/>
      <c r="AI699"/>
      <c r="AJ699"/>
      <c r="AK699"/>
      <c r="AL699"/>
      <c r="AM699"/>
      <c r="AN699"/>
      <c r="AO699"/>
      <c r="AP699"/>
      <c r="AQ699"/>
      <c r="CH699">
        <f>IFERROR(U699*1,0)</f>
      </c>
    </row>
    <row r="700">
      <c r="A700" t="n">
        <v>11.0</v>
      </c>
      <c r="B700">
        <f>IF((K700-G700-H700&gt;2400000),10,(L700/(K700-G700-H700)*100))</f>
      </c>
      <c r="C700">
        <f>IF(N700&gt;2400000,240000,(N700*S700)/100)</f>
      </c>
      <c r="D700">
        <f>IF(S700=0,0,IF((N700-I700)&gt;2400000,((((((N700-I700-J700)-240000))*0.1+(I700+J700)*0.1)))-7000,((((((N700-I700-J700)-(N700-I700-J700)*S700/100)))*0.1+(I700+J700)*0.1)-7000)))</f>
      </c>
      <c r="E700">
        <f>C700-O700</f>
      </c>
      <c r="F700">
        <f>D700-P700</f>
      </c>
      <c r="G700">
        <f>SUMIF(negtgel!U$2:BL$2,'Tsalin uzuulelt'!B$1,negtgel!U700:BL700) + SUMIF(negtgel!U$2:BL$2,'Tsalin uzuulelt'!B$2,negtgel!U700:BL700)+SUMIF(negtgel!U$2:BL$2,'Tsalin uzuulelt'!B$3,negtgel!U700:BL700)+SUMIF(negtgel!U$2:BL$2,'Tsalin uzuulelt'!B$4,negtgel!U700:BL700)+SUMIF(negtgel!U$2:BL$2,'Tsalin uzuulelt'!B$5,negtgel!U700:BL700)</f>
      </c>
      <c r="H700">
        <f>SUMIF(negtgel!U$2:BL$2,'Tsalin uzuulelt'!F$1,negtgel!U700:BL700) + SUMIF(negtgel!U$2:BL$2,'Tsalin uzuulelt'!F$2,negtgel!U700:BL700)+SUMIF(negtgel!U$2:BL$2,'Tsalin uzuulelt'!F$3,negtgel!U700:BL700)+SUMIF(negtgel!U$2:BL$2,'Tsalin uzuulelt'!F$4,negtgel!U700:BL700)+SUMIF(negtgel!U$2:BL$2,'Tsalin uzuulelt'!F$5,negtgel!U700:BL700)</f>
      </c>
      <c r="I700">
        <f>SUMIF(negtgel!U$2:BL$2,'Tsalin uzuulelt'!H$1,negtgel!U700:BL700) + SUMIF(negtgel!U$2:BL$2,'Tsalin uzuulelt'!H$2,negtgel!U700:BL700)+SUMIF(negtgel!U$2:BL$2,'Tsalin uzuulelt'!H$3,negtgel!U700:BL700)+SUMIF(negtgel!U$2:BL$2,'Tsalin uzuulelt'!H$4,negtgel!U700:BL700)+SUMIF(negtgel!U$2:BL$2,'Tsalin uzuulelt'!H$5,negtgel!U700:BL700)</f>
      </c>
      <c r="J700">
        <f>SUMIF(negtgel!U$2:BL$2,'Tsalin uzuulelt'!J$1,negtgel!U700:BL700) + SUMIF(negtgel!U$2:BL$2,'Tsalin uzuulelt'!J$2,negtgel!U700:BL700)+SUMIF(negtgel!U$2:BL$2,'Tsalin uzuulelt'!J$3,negtgel!U700:BL700)+SUMIF(negtgel!U$2:BL$2,'Tsalin uzuulelt'!J$4,negtgel!U700:BL700)+SUMIF(negtgel!U$2:BL$2,'Tsalin uzuulelt'!J$5,negtgel!U700:BL700)</f>
      </c>
      <c r="K700">
        <f>SUMIF(negtgel!U$2:BL$2,'Tsalin uzuulelt'!L$1,negtgel!U700:BL700) + SUMIF(negtgel!U$2:BL$2,'Tsalin uzuulelt'!L$2,negtgel!U700:BL700)+SUMIF(negtgel!U$2:BL$2,'Tsalin uzuulelt'!L$3,negtgel!U700:BL700)+SUMIF(negtgel!U$2:BL$2,'Tsalin uzuulelt'!L$4,negtgel!U700:BL700)+SUMIF(negtgel!U$2:BL$2,'Tsalin uzuulelt'!L$5,negtgel!U700:BL700)</f>
      </c>
      <c r="L700">
        <f>SUMIF(negtgel!U$2:BL$2,'Tsalin uzuulelt'!N$1,negtgel!U700:BL700) + SUMIF(negtgel!U$2:BL$2,'Tsalin uzuulelt'!N$2,negtgel!U700:BL700)+SUMIF(negtgel!U$2:BL$2,'Tsalin uzuulelt'!N$3,negtgel!U700:BL700)+SUMIF(negtgel!U$2:BL$2,'Tsalin uzuulelt'!N$4,negtgel!U700:BL700)+SUMIF(negtgel!U$2:BL$2,'Tsalin uzuulelt'!N$5,negtgel!U700:BL700)</f>
      </c>
      <c r="M700">
        <f>SUMIF(negtgel!U$2:BL$2,'Tsalin uzuulelt'!P$1,negtgel!U700:BL700) + SUMIF(negtgel!U$2:BL$2,'Tsalin uzuulelt'!P$2,negtgel!U700:BL700)+ SUMIF(negtgel!U$2:BL$2,'Tsalin uzuulelt'!P$3,negtgel!U700:BL700)+ SUMIF(negtgel!U$2:BL$2,'Tsalin uzuulelt'!P$4,negtgel!U700:BL700)+ SUMIF(negtgel!U$2:BL$2,'Tsalin uzuulelt'!P$5,negtgel!U700:BL700)</f>
      </c>
      <c r="N700">
        <f>IF(ISNUMBER(U700*1)=CF700,0,K700-H700-G700)</f>
      </c>
      <c r="O700">
        <f>IF(ISNUMBER(U700*1)=CF700,0,L700)</f>
      </c>
      <c r="P700">
        <f>IF(ISNUMBER(U700*1)=CF700,0,M700)</f>
      </c>
      <c r="Q700">
        <f>IF(N700&gt;2400000,N700,0)</f>
      </c>
      <c r="R700">
        <f>IF(L700/Q700*100&lt;3,2,10)</f>
      </c>
      <c r="S700">
        <f>IF(CH700=0,0,IF(B700&gt;9,10,IF(B700&gt;8,B700,IF(B700&gt;7.7,7.8,IF(B700&gt;3,B700,IF(B700&gt;1.5,2))))))</f>
      </c>
      <c r="T700">
        <f>IF(Q700=0,S700,R700)</f>
      </c>
      <c r="U700" t="n">
        <v>22.0</v>
      </c>
      <c r="V700" t="s">
        <v>3789</v>
      </c>
      <c r="W700" t="s">
        <v>3790</v>
      </c>
      <c r="X700" t="n">
        <v>613669.0</v>
      </c>
      <c r="Y700" t="n">
        <v>557881.0</v>
      </c>
      <c r="Z700" t="n">
        <v>55788.0</v>
      </c>
      <c r="AA700" t="n">
        <v>83682.0</v>
      </c>
      <c r="AB700" t="n">
        <v>0.0</v>
      </c>
      <c r="AC700" t="n">
        <v>0.0</v>
      </c>
      <c r="AD700" t="n">
        <v>0.0</v>
      </c>
      <c r="AE700" t="n">
        <v>0.0</v>
      </c>
      <c r="AF700" t="n">
        <v>60000.0</v>
      </c>
      <c r="AG700" t="n">
        <v>0.0</v>
      </c>
      <c r="AH700" t="n">
        <v>0.0</v>
      </c>
      <c r="AI700" t="n">
        <v>0.0</v>
      </c>
      <c r="AJ700" t="n">
        <v>0.0</v>
      </c>
      <c r="AK700" t="n">
        <v>0.0</v>
      </c>
      <c r="AL700" t="n">
        <v>0.0</v>
      </c>
      <c r="AM700" t="n">
        <v>0.0</v>
      </c>
      <c r="AN700" t="n">
        <v>0.0</v>
      </c>
      <c r="AO700" t="n">
        <v>757351.0</v>
      </c>
      <c r="AP700" t="n">
        <v>75736.0</v>
      </c>
      <c r="AQ700" t="n">
        <v>61761.6</v>
      </c>
      <c r="CH700">
        <f>IFERROR(U700*1,0)</f>
      </c>
    </row>
    <row r="701">
      <c r="A701" t="n">
        <v>11.0</v>
      </c>
      <c r="B701">
        <f>IF((K701-G701-H701&gt;2400000),10,(L701/(K701-G701-H701)*100))</f>
      </c>
      <c r="C701">
        <f>IF(N701&gt;2400000,240000,(N701*S701)/100)</f>
      </c>
      <c r="D701">
        <f>IF(S701=0,0,IF((N701-I701)&gt;2400000,((((((N701-I701-J701)-240000))*0.1+(I701+J701)*0.1)))-7000,((((((N701-I701-J701)-(N701-I701-J701)*S701/100)))*0.1+(I701+J701)*0.1)-7000)))</f>
      </c>
      <c r="E701">
        <f>C701-O701</f>
      </c>
      <c r="F701">
        <f>D701-P701</f>
      </c>
      <c r="G701">
        <f>SUMIF(negtgel!U$2:BL$2,'Tsalin uzuulelt'!B$1,negtgel!U701:BL701) + SUMIF(negtgel!U$2:BL$2,'Tsalin uzuulelt'!B$2,negtgel!U701:BL701)+SUMIF(negtgel!U$2:BL$2,'Tsalin uzuulelt'!B$3,negtgel!U701:BL701)+SUMIF(negtgel!U$2:BL$2,'Tsalin uzuulelt'!B$4,negtgel!U701:BL701)+SUMIF(negtgel!U$2:BL$2,'Tsalin uzuulelt'!B$5,negtgel!U701:BL701)</f>
      </c>
      <c r="H701">
        <f>SUMIF(negtgel!U$2:BL$2,'Tsalin uzuulelt'!F$1,negtgel!U701:BL701) + SUMIF(negtgel!U$2:BL$2,'Tsalin uzuulelt'!F$2,negtgel!U701:BL701)+SUMIF(negtgel!U$2:BL$2,'Tsalin uzuulelt'!F$3,negtgel!U701:BL701)+SUMIF(negtgel!U$2:BL$2,'Tsalin uzuulelt'!F$4,negtgel!U701:BL701)+SUMIF(negtgel!U$2:BL$2,'Tsalin uzuulelt'!F$5,negtgel!U701:BL701)</f>
      </c>
      <c r="I701">
        <f>SUMIF(negtgel!U$2:BL$2,'Tsalin uzuulelt'!H$1,negtgel!U701:BL701) + SUMIF(negtgel!U$2:BL$2,'Tsalin uzuulelt'!H$2,negtgel!U701:BL701)+SUMIF(negtgel!U$2:BL$2,'Tsalin uzuulelt'!H$3,negtgel!U701:BL701)+SUMIF(negtgel!U$2:BL$2,'Tsalin uzuulelt'!H$4,negtgel!U701:BL701)+SUMIF(negtgel!U$2:BL$2,'Tsalin uzuulelt'!H$5,negtgel!U701:BL701)</f>
      </c>
      <c r="J701">
        <f>SUMIF(negtgel!U$2:BL$2,'Tsalin uzuulelt'!J$1,negtgel!U701:BL701) + SUMIF(negtgel!U$2:BL$2,'Tsalin uzuulelt'!J$2,negtgel!U701:BL701)+SUMIF(negtgel!U$2:BL$2,'Tsalin uzuulelt'!J$3,negtgel!U701:BL701)+SUMIF(negtgel!U$2:BL$2,'Tsalin uzuulelt'!J$4,negtgel!U701:BL701)+SUMIF(negtgel!U$2:BL$2,'Tsalin uzuulelt'!J$5,negtgel!U701:BL701)</f>
      </c>
      <c r="K701">
        <f>SUMIF(negtgel!U$2:BL$2,'Tsalin uzuulelt'!L$1,negtgel!U701:BL701) + SUMIF(negtgel!U$2:BL$2,'Tsalin uzuulelt'!L$2,negtgel!U701:BL701)+SUMIF(negtgel!U$2:BL$2,'Tsalin uzuulelt'!L$3,negtgel!U701:BL701)+SUMIF(negtgel!U$2:BL$2,'Tsalin uzuulelt'!L$4,negtgel!U701:BL701)+SUMIF(negtgel!U$2:BL$2,'Tsalin uzuulelt'!L$5,negtgel!U701:BL701)</f>
      </c>
      <c r="L701">
        <f>SUMIF(negtgel!U$2:BL$2,'Tsalin uzuulelt'!N$1,negtgel!U701:BL701) + SUMIF(negtgel!U$2:BL$2,'Tsalin uzuulelt'!N$2,negtgel!U701:BL701)+SUMIF(negtgel!U$2:BL$2,'Tsalin uzuulelt'!N$3,negtgel!U701:BL701)+SUMIF(negtgel!U$2:BL$2,'Tsalin uzuulelt'!N$4,negtgel!U701:BL701)+SUMIF(negtgel!U$2:BL$2,'Tsalin uzuulelt'!N$5,negtgel!U701:BL701)</f>
      </c>
      <c r="M701">
        <f>SUMIF(negtgel!U$2:BL$2,'Tsalin uzuulelt'!P$1,negtgel!U701:BL701) + SUMIF(negtgel!U$2:BL$2,'Tsalin uzuulelt'!P$2,negtgel!U701:BL701)+ SUMIF(negtgel!U$2:BL$2,'Tsalin uzuulelt'!P$3,negtgel!U701:BL701)+ SUMIF(negtgel!U$2:BL$2,'Tsalin uzuulelt'!P$4,negtgel!U701:BL701)+ SUMIF(negtgel!U$2:BL$2,'Tsalin uzuulelt'!P$5,negtgel!U701:BL701)</f>
      </c>
      <c r="N701">
        <f>IF(ISNUMBER(U701*1)=CF701,0,K701-H701-G701)</f>
      </c>
      <c r="O701">
        <f>IF(ISNUMBER(U701*1)=CF701,0,L701)</f>
      </c>
      <c r="P701">
        <f>IF(ISNUMBER(U701*1)=CF701,0,M701)</f>
      </c>
      <c r="Q701">
        <f>IF(N701&gt;2400000,N701,0)</f>
      </c>
      <c r="R701">
        <f>IF(L701/Q701*100&lt;3,2,10)</f>
      </c>
      <c r="S701">
        <f>IF(CH701=0,0,IF(B701&gt;9,10,IF(B701&gt;8,B701,IF(B701&gt;7.7,7.8,IF(B701&gt;3,B701,IF(B701&gt;1.5,2))))))</f>
      </c>
      <c r="T701">
        <f>IF(Q701=0,S701,R701)</f>
      </c>
      <c r="U701" t="n">
        <v>23.0</v>
      </c>
      <c r="V701" t="s">
        <v>3791</v>
      </c>
      <c r="W701" t="s">
        <v>3792</v>
      </c>
      <c r="X701" t="n">
        <v>535584.0</v>
      </c>
      <c r="Y701" t="n">
        <v>535584.0</v>
      </c>
      <c r="Z701" t="n">
        <v>0.0</v>
      </c>
      <c r="AA701" t="n">
        <v>0.0</v>
      </c>
      <c r="AB701" t="n">
        <v>0.0</v>
      </c>
      <c r="AC701" t="n">
        <v>0.0</v>
      </c>
      <c r="AD701" t="n">
        <v>0.0</v>
      </c>
      <c r="AE701" t="n">
        <v>0.0</v>
      </c>
      <c r="AF701" t="n">
        <v>66000.0</v>
      </c>
      <c r="AG701" t="n">
        <v>0.0</v>
      </c>
      <c r="AH701" t="n">
        <v>0.0</v>
      </c>
      <c r="AI701" t="n">
        <v>0.0</v>
      </c>
      <c r="AJ701" t="n">
        <v>0.0</v>
      </c>
      <c r="AK701" t="n">
        <v>0.0</v>
      </c>
      <c r="AL701" t="n">
        <v>0.0</v>
      </c>
      <c r="AM701" t="n">
        <v>0.0</v>
      </c>
      <c r="AN701" t="n">
        <v>0.0</v>
      </c>
      <c r="AO701" t="n">
        <v>601584.0</v>
      </c>
      <c r="AP701" t="n">
        <v>60159.0</v>
      </c>
      <c r="AQ701" t="n">
        <v>47802.6</v>
      </c>
      <c r="CH701">
        <f>IFERROR(U701*1,0)</f>
      </c>
    </row>
    <row r="702">
      <c r="A702" t="n">
        <v>11.0</v>
      </c>
      <c r="B702">
        <f>IF((K702-G702-H702&gt;2400000),10,(L702/(K702-G702-H702)*100))</f>
      </c>
      <c r="C702">
        <f>IF(N702&gt;2400000,240000,(N702*S702)/100)</f>
      </c>
      <c r="D702">
        <f>IF(S702=0,0,IF((N702-I702)&gt;2400000,((((((N702-I702-J702)-240000))*0.1+(I702+J702)*0.1)))-7000,((((((N702-I702-J702)-(N702-I702-J702)*S702/100)))*0.1+(I702+J702)*0.1)-7000)))</f>
      </c>
      <c r="E702">
        <f>C702-O702</f>
      </c>
      <c r="F702">
        <f>D702-P702</f>
      </c>
      <c r="G702">
        <f>SUMIF(negtgel!U$2:BL$2,'Tsalin uzuulelt'!B$1,negtgel!U702:BL702) + SUMIF(negtgel!U$2:BL$2,'Tsalin uzuulelt'!B$2,negtgel!U702:BL702)+SUMIF(negtgel!U$2:BL$2,'Tsalin uzuulelt'!B$3,negtgel!U702:BL702)+SUMIF(negtgel!U$2:BL$2,'Tsalin uzuulelt'!B$4,negtgel!U702:BL702)+SUMIF(negtgel!U$2:BL$2,'Tsalin uzuulelt'!B$5,negtgel!U702:BL702)</f>
      </c>
      <c r="H702">
        <f>SUMIF(negtgel!U$2:BL$2,'Tsalin uzuulelt'!F$1,negtgel!U702:BL702) + SUMIF(negtgel!U$2:BL$2,'Tsalin uzuulelt'!F$2,negtgel!U702:BL702)+SUMIF(negtgel!U$2:BL$2,'Tsalin uzuulelt'!F$3,negtgel!U702:BL702)+SUMIF(negtgel!U$2:BL$2,'Tsalin uzuulelt'!F$4,negtgel!U702:BL702)+SUMIF(negtgel!U$2:BL$2,'Tsalin uzuulelt'!F$5,negtgel!U702:BL702)</f>
      </c>
      <c r="I702">
        <f>SUMIF(negtgel!U$2:BL$2,'Tsalin uzuulelt'!H$1,negtgel!U702:BL702) + SUMIF(negtgel!U$2:BL$2,'Tsalin uzuulelt'!H$2,negtgel!U702:BL702)+SUMIF(negtgel!U$2:BL$2,'Tsalin uzuulelt'!H$3,negtgel!U702:BL702)+SUMIF(negtgel!U$2:BL$2,'Tsalin uzuulelt'!H$4,negtgel!U702:BL702)+SUMIF(negtgel!U$2:BL$2,'Tsalin uzuulelt'!H$5,negtgel!U702:BL702)</f>
      </c>
      <c r="J702">
        <f>SUMIF(negtgel!U$2:BL$2,'Tsalin uzuulelt'!J$1,negtgel!U702:BL702) + SUMIF(negtgel!U$2:BL$2,'Tsalin uzuulelt'!J$2,negtgel!U702:BL702)+SUMIF(negtgel!U$2:BL$2,'Tsalin uzuulelt'!J$3,negtgel!U702:BL702)+SUMIF(negtgel!U$2:BL$2,'Tsalin uzuulelt'!J$4,negtgel!U702:BL702)+SUMIF(negtgel!U$2:BL$2,'Tsalin uzuulelt'!J$5,negtgel!U702:BL702)</f>
      </c>
      <c r="K702">
        <f>SUMIF(negtgel!U$2:BL$2,'Tsalin uzuulelt'!L$1,negtgel!U702:BL702) + SUMIF(negtgel!U$2:BL$2,'Tsalin uzuulelt'!L$2,negtgel!U702:BL702)+SUMIF(negtgel!U$2:BL$2,'Tsalin uzuulelt'!L$3,negtgel!U702:BL702)+SUMIF(negtgel!U$2:BL$2,'Tsalin uzuulelt'!L$4,negtgel!U702:BL702)+SUMIF(negtgel!U$2:BL$2,'Tsalin uzuulelt'!L$5,negtgel!U702:BL702)</f>
      </c>
      <c r="L702">
        <f>SUMIF(negtgel!U$2:BL$2,'Tsalin uzuulelt'!N$1,negtgel!U702:BL702) + SUMIF(negtgel!U$2:BL$2,'Tsalin uzuulelt'!N$2,negtgel!U702:BL702)+SUMIF(negtgel!U$2:BL$2,'Tsalin uzuulelt'!N$3,negtgel!U702:BL702)+SUMIF(negtgel!U$2:BL$2,'Tsalin uzuulelt'!N$4,negtgel!U702:BL702)+SUMIF(negtgel!U$2:BL$2,'Tsalin uzuulelt'!N$5,negtgel!U702:BL702)</f>
      </c>
      <c r="M702">
        <f>SUMIF(negtgel!U$2:BL$2,'Tsalin uzuulelt'!P$1,negtgel!U702:BL702) + SUMIF(negtgel!U$2:BL$2,'Tsalin uzuulelt'!P$2,negtgel!U702:BL702)+ SUMIF(negtgel!U$2:BL$2,'Tsalin uzuulelt'!P$3,negtgel!U702:BL702)+ SUMIF(negtgel!U$2:BL$2,'Tsalin uzuulelt'!P$4,negtgel!U702:BL702)+ SUMIF(negtgel!U$2:BL$2,'Tsalin uzuulelt'!P$5,negtgel!U702:BL702)</f>
      </c>
      <c r="N702">
        <f>IF(ISNUMBER(U702*1)=CF702,0,K702-H702-G702)</f>
      </c>
      <c r="O702">
        <f>IF(ISNUMBER(U702*1)=CF702,0,L702)</f>
      </c>
      <c r="P702">
        <f>IF(ISNUMBER(U702*1)=CF702,0,M702)</f>
      </c>
      <c r="Q702">
        <f>IF(N702&gt;2400000,N702,0)</f>
      </c>
      <c r="R702">
        <f>IF(L702/Q702*100&lt;3,2,10)</f>
      </c>
      <c r="S702">
        <f>IF(CH702=0,0,IF(B702&gt;9,10,IF(B702&gt;8,B702,IF(B702&gt;7.7,7.8,IF(B702&gt;3,B702,IF(B702&gt;1.5,2))))))</f>
      </c>
      <c r="T702">
        <f>IF(Q702=0,S702,R702)</f>
      </c>
      <c r="U702" t="n">
        <v>24.0</v>
      </c>
      <c r="V702" t="s">
        <v>3793</v>
      </c>
      <c r="W702" t="s">
        <v>3790</v>
      </c>
      <c r="X702" t="n">
        <v>645556.0</v>
      </c>
      <c r="Y702" t="n">
        <v>616213.0</v>
      </c>
      <c r="Z702" t="n">
        <v>92432.0</v>
      </c>
      <c r="AA702" t="n">
        <v>0.0</v>
      </c>
      <c r="AB702" t="n">
        <v>0.0</v>
      </c>
      <c r="AC702" t="n">
        <v>0.0</v>
      </c>
      <c r="AD702" t="n">
        <v>0.0</v>
      </c>
      <c r="AE702" t="n">
        <v>0.0</v>
      </c>
      <c r="AF702" t="n">
        <v>63000.0</v>
      </c>
      <c r="AG702" t="n">
        <v>0.0</v>
      </c>
      <c r="AH702" t="n">
        <v>0.0</v>
      </c>
      <c r="AI702" t="n">
        <v>0.0</v>
      </c>
      <c r="AJ702" t="n">
        <v>0.0</v>
      </c>
      <c r="AK702" t="n">
        <v>0.0</v>
      </c>
      <c r="AL702" t="n">
        <v>0.0</v>
      </c>
      <c r="AM702" t="n">
        <v>0.0</v>
      </c>
      <c r="AN702" t="n">
        <v>0.0</v>
      </c>
      <c r="AO702" t="n">
        <v>771645.0</v>
      </c>
      <c r="AP702" t="n">
        <v>77164.0</v>
      </c>
      <c r="AQ702" t="n">
        <v>63078.0</v>
      </c>
      <c r="CH702">
        <f>IFERROR(U702*1,0)</f>
      </c>
    </row>
    <row r="703">
      <c r="A703" t="n">
        <v>11.0</v>
      </c>
      <c r="B703">
        <f>IF((K703-G703-H703&gt;2400000),10,(L703/(K703-G703-H703)*100))</f>
      </c>
      <c r="C703">
        <f>IF(N703&gt;2400000,240000,(N703*S703)/100)</f>
      </c>
      <c r="D703">
        <f>IF(S703=0,0,IF((N703-I703)&gt;2400000,((((((N703-I703-J703)-240000))*0.1+(I703+J703)*0.1)))-7000,((((((N703-I703-J703)-(N703-I703-J703)*S703/100)))*0.1+(I703+J703)*0.1)-7000)))</f>
      </c>
      <c r="E703">
        <f>C703-O703</f>
      </c>
      <c r="F703">
        <f>D703-P703</f>
      </c>
      <c r="G703">
        <f>SUMIF(negtgel!U$2:BL$2,'Tsalin uzuulelt'!B$1,negtgel!U703:BL703) + SUMIF(negtgel!U$2:BL$2,'Tsalin uzuulelt'!B$2,negtgel!U703:BL703)+SUMIF(negtgel!U$2:BL$2,'Tsalin uzuulelt'!B$3,negtgel!U703:BL703)+SUMIF(negtgel!U$2:BL$2,'Tsalin uzuulelt'!B$4,negtgel!U703:BL703)+SUMIF(negtgel!U$2:BL$2,'Tsalin uzuulelt'!B$5,negtgel!U703:BL703)</f>
      </c>
      <c r="H703">
        <f>SUMIF(negtgel!U$2:BL$2,'Tsalin uzuulelt'!F$1,negtgel!U703:BL703) + SUMIF(negtgel!U$2:BL$2,'Tsalin uzuulelt'!F$2,negtgel!U703:BL703)+SUMIF(negtgel!U$2:BL$2,'Tsalin uzuulelt'!F$3,negtgel!U703:BL703)+SUMIF(negtgel!U$2:BL$2,'Tsalin uzuulelt'!F$4,negtgel!U703:BL703)+SUMIF(negtgel!U$2:BL$2,'Tsalin uzuulelt'!F$5,negtgel!U703:BL703)</f>
      </c>
      <c r="I703">
        <f>SUMIF(negtgel!U$2:BL$2,'Tsalin uzuulelt'!H$1,negtgel!U703:BL703) + SUMIF(negtgel!U$2:BL$2,'Tsalin uzuulelt'!H$2,negtgel!U703:BL703)+SUMIF(negtgel!U$2:BL$2,'Tsalin uzuulelt'!H$3,negtgel!U703:BL703)+SUMIF(negtgel!U$2:BL$2,'Tsalin uzuulelt'!H$4,negtgel!U703:BL703)+SUMIF(negtgel!U$2:BL$2,'Tsalin uzuulelt'!H$5,negtgel!U703:BL703)</f>
      </c>
      <c r="J703">
        <f>SUMIF(negtgel!U$2:BL$2,'Tsalin uzuulelt'!J$1,negtgel!U703:BL703) + SUMIF(negtgel!U$2:BL$2,'Tsalin uzuulelt'!J$2,negtgel!U703:BL703)+SUMIF(negtgel!U$2:BL$2,'Tsalin uzuulelt'!J$3,negtgel!U703:BL703)+SUMIF(negtgel!U$2:BL$2,'Tsalin uzuulelt'!J$4,negtgel!U703:BL703)+SUMIF(negtgel!U$2:BL$2,'Tsalin uzuulelt'!J$5,negtgel!U703:BL703)</f>
      </c>
      <c r="K703">
        <f>SUMIF(negtgel!U$2:BL$2,'Tsalin uzuulelt'!L$1,negtgel!U703:BL703) + SUMIF(negtgel!U$2:BL$2,'Tsalin uzuulelt'!L$2,negtgel!U703:BL703)+SUMIF(negtgel!U$2:BL$2,'Tsalin uzuulelt'!L$3,negtgel!U703:BL703)+SUMIF(negtgel!U$2:BL$2,'Tsalin uzuulelt'!L$4,negtgel!U703:BL703)+SUMIF(negtgel!U$2:BL$2,'Tsalin uzuulelt'!L$5,negtgel!U703:BL703)</f>
      </c>
      <c r="L703">
        <f>SUMIF(negtgel!U$2:BL$2,'Tsalin uzuulelt'!N$1,negtgel!U703:BL703) + SUMIF(negtgel!U$2:BL$2,'Tsalin uzuulelt'!N$2,negtgel!U703:BL703)+SUMIF(negtgel!U$2:BL$2,'Tsalin uzuulelt'!N$3,negtgel!U703:BL703)+SUMIF(negtgel!U$2:BL$2,'Tsalin uzuulelt'!N$4,negtgel!U703:BL703)+SUMIF(negtgel!U$2:BL$2,'Tsalin uzuulelt'!N$5,negtgel!U703:BL703)</f>
      </c>
      <c r="M703">
        <f>SUMIF(negtgel!U$2:BL$2,'Tsalin uzuulelt'!P$1,negtgel!U703:BL703) + SUMIF(negtgel!U$2:BL$2,'Tsalin uzuulelt'!P$2,negtgel!U703:BL703)+ SUMIF(negtgel!U$2:BL$2,'Tsalin uzuulelt'!P$3,negtgel!U703:BL703)+ SUMIF(negtgel!U$2:BL$2,'Tsalin uzuulelt'!P$4,negtgel!U703:BL703)+ SUMIF(negtgel!U$2:BL$2,'Tsalin uzuulelt'!P$5,negtgel!U703:BL703)</f>
      </c>
      <c r="N703">
        <f>IF(ISNUMBER(U703*1)=CF703,0,K703-H703-G703)</f>
      </c>
      <c r="O703">
        <f>IF(ISNUMBER(U703*1)=CF703,0,L703)</f>
      </c>
      <c r="P703">
        <f>IF(ISNUMBER(U703*1)=CF703,0,M703)</f>
      </c>
      <c r="Q703">
        <f>IF(N703&gt;2400000,N703,0)</f>
      </c>
      <c r="R703">
        <f>IF(L703/Q703*100&lt;3,2,10)</f>
      </c>
      <c r="S703">
        <f>IF(CH703=0,0,IF(B703&gt;9,10,IF(B703&gt;8,B703,IF(B703&gt;7.7,7.8,IF(B703&gt;3,B703,IF(B703&gt;1.5,2))))))</f>
      </c>
      <c r="T703">
        <f>IF(Q703=0,S703,R703)</f>
      </c>
      <c r="U703" t="n">
        <v>25.0</v>
      </c>
      <c r="V703" t="s">
        <v>3794</v>
      </c>
      <c r="W703" t="s">
        <v>3792</v>
      </c>
      <c r="X703" t="n">
        <v>496912.0</v>
      </c>
      <c r="Y703" t="n">
        <v>496912.0</v>
      </c>
      <c r="Z703" t="n">
        <v>0.0</v>
      </c>
      <c r="AA703" t="n">
        <v>0.0</v>
      </c>
      <c r="AB703" t="n">
        <v>0.0</v>
      </c>
      <c r="AC703" t="n">
        <v>0.0</v>
      </c>
      <c r="AD703" t="n">
        <v>0.0</v>
      </c>
      <c r="AE703" t="n">
        <v>0.0</v>
      </c>
      <c r="AF703" t="n">
        <v>66000.0</v>
      </c>
      <c r="AG703" t="n">
        <v>0.0</v>
      </c>
      <c r="AH703" t="n">
        <v>0.0</v>
      </c>
      <c r="AI703" t="n">
        <v>0.0</v>
      </c>
      <c r="AJ703" t="n">
        <v>0.0</v>
      </c>
      <c r="AK703" t="n">
        <v>0.0</v>
      </c>
      <c r="AL703" t="n">
        <v>0.0</v>
      </c>
      <c r="AM703" t="n">
        <v>0.0</v>
      </c>
      <c r="AN703" t="n">
        <v>0.0</v>
      </c>
      <c r="AO703" t="n">
        <v>562912.0</v>
      </c>
      <c r="AP703" t="n">
        <v>56291.0</v>
      </c>
      <c r="AQ703" t="n">
        <v>44322.1</v>
      </c>
      <c r="CH703">
        <f>IFERROR(U703*1,0)</f>
      </c>
    </row>
    <row r="704">
      <c r="A704" t="n">
        <v>11.0</v>
      </c>
      <c r="B704">
        <f>IF((K704-G704-H704&gt;2400000),10,(L704/(K704-G704-H704)*100))</f>
      </c>
      <c r="C704">
        <f>IF(N704&gt;2400000,240000,(N704*S704)/100)</f>
      </c>
      <c r="D704">
        <f>IF(S704=0,0,IF((N704-I704)&gt;2400000,((((((N704-I704-J704)-240000))*0.1+(I704+J704)*0.1)))-7000,((((((N704-I704-J704)-(N704-I704-J704)*S704/100)))*0.1+(I704+J704)*0.1)-7000)))</f>
      </c>
      <c r="E704">
        <f>C704-O704</f>
      </c>
      <c r="F704">
        <f>D704-P704</f>
      </c>
      <c r="G704">
        <f>SUMIF(negtgel!U$2:BL$2,'Tsalin uzuulelt'!B$1,negtgel!U704:BL704) + SUMIF(negtgel!U$2:BL$2,'Tsalin uzuulelt'!B$2,negtgel!U704:BL704)+SUMIF(negtgel!U$2:BL$2,'Tsalin uzuulelt'!B$3,negtgel!U704:BL704)+SUMIF(negtgel!U$2:BL$2,'Tsalin uzuulelt'!B$4,negtgel!U704:BL704)+SUMIF(negtgel!U$2:BL$2,'Tsalin uzuulelt'!B$5,negtgel!U704:BL704)</f>
      </c>
      <c r="H704">
        <f>SUMIF(negtgel!U$2:BL$2,'Tsalin uzuulelt'!F$1,negtgel!U704:BL704) + SUMIF(negtgel!U$2:BL$2,'Tsalin uzuulelt'!F$2,negtgel!U704:BL704)+SUMIF(negtgel!U$2:BL$2,'Tsalin uzuulelt'!F$3,negtgel!U704:BL704)+SUMIF(negtgel!U$2:BL$2,'Tsalin uzuulelt'!F$4,negtgel!U704:BL704)+SUMIF(negtgel!U$2:BL$2,'Tsalin uzuulelt'!F$5,negtgel!U704:BL704)</f>
      </c>
      <c r="I704">
        <f>SUMIF(negtgel!U$2:BL$2,'Tsalin uzuulelt'!H$1,negtgel!U704:BL704) + SUMIF(negtgel!U$2:BL$2,'Tsalin uzuulelt'!H$2,negtgel!U704:BL704)+SUMIF(negtgel!U$2:BL$2,'Tsalin uzuulelt'!H$3,negtgel!U704:BL704)+SUMIF(negtgel!U$2:BL$2,'Tsalin uzuulelt'!H$4,negtgel!U704:BL704)+SUMIF(negtgel!U$2:BL$2,'Tsalin uzuulelt'!H$5,negtgel!U704:BL704)</f>
      </c>
      <c r="J704">
        <f>SUMIF(negtgel!U$2:BL$2,'Tsalin uzuulelt'!J$1,negtgel!U704:BL704) + SUMIF(negtgel!U$2:BL$2,'Tsalin uzuulelt'!J$2,negtgel!U704:BL704)+SUMIF(negtgel!U$2:BL$2,'Tsalin uzuulelt'!J$3,negtgel!U704:BL704)+SUMIF(negtgel!U$2:BL$2,'Tsalin uzuulelt'!J$4,negtgel!U704:BL704)+SUMIF(negtgel!U$2:BL$2,'Tsalin uzuulelt'!J$5,negtgel!U704:BL704)</f>
      </c>
      <c r="K704">
        <f>SUMIF(negtgel!U$2:BL$2,'Tsalin uzuulelt'!L$1,negtgel!U704:BL704) + SUMIF(negtgel!U$2:BL$2,'Tsalin uzuulelt'!L$2,negtgel!U704:BL704)+SUMIF(negtgel!U$2:BL$2,'Tsalin uzuulelt'!L$3,negtgel!U704:BL704)+SUMIF(negtgel!U$2:BL$2,'Tsalin uzuulelt'!L$4,negtgel!U704:BL704)+SUMIF(negtgel!U$2:BL$2,'Tsalin uzuulelt'!L$5,negtgel!U704:BL704)</f>
      </c>
      <c r="L704">
        <f>SUMIF(negtgel!U$2:BL$2,'Tsalin uzuulelt'!N$1,negtgel!U704:BL704) + SUMIF(negtgel!U$2:BL$2,'Tsalin uzuulelt'!N$2,negtgel!U704:BL704)+SUMIF(negtgel!U$2:BL$2,'Tsalin uzuulelt'!N$3,negtgel!U704:BL704)+SUMIF(negtgel!U$2:BL$2,'Tsalin uzuulelt'!N$4,negtgel!U704:BL704)+SUMIF(negtgel!U$2:BL$2,'Tsalin uzuulelt'!N$5,negtgel!U704:BL704)</f>
      </c>
      <c r="M704">
        <f>SUMIF(negtgel!U$2:BL$2,'Tsalin uzuulelt'!P$1,negtgel!U704:BL704) + SUMIF(negtgel!U$2:BL$2,'Tsalin uzuulelt'!P$2,negtgel!U704:BL704)+ SUMIF(negtgel!U$2:BL$2,'Tsalin uzuulelt'!P$3,negtgel!U704:BL704)+ SUMIF(negtgel!U$2:BL$2,'Tsalin uzuulelt'!P$4,negtgel!U704:BL704)+ SUMIF(negtgel!U$2:BL$2,'Tsalin uzuulelt'!P$5,negtgel!U704:BL704)</f>
      </c>
      <c r="N704">
        <f>IF(ISNUMBER(U704*1)=CF704,0,K704-H704-G704)</f>
      </c>
      <c r="O704">
        <f>IF(ISNUMBER(U704*1)=CF704,0,L704)</f>
      </c>
      <c r="P704">
        <f>IF(ISNUMBER(U704*1)=CF704,0,M704)</f>
      </c>
      <c r="Q704">
        <f>IF(N704&gt;2400000,N704,0)</f>
      </c>
      <c r="R704">
        <f>IF(L704/Q704*100&lt;3,2,10)</f>
      </c>
      <c r="S704">
        <f>IF(CH704=0,0,IF(B704&gt;9,10,IF(B704&gt;8,B704,IF(B704&gt;7.7,7.8,IF(B704&gt;3,B704,IF(B704&gt;1.5,2))))))</f>
      </c>
      <c r="T704">
        <f>IF(Q704=0,S704,R704)</f>
      </c>
      <c r="U704" t="n">
        <v>26.0</v>
      </c>
      <c r="V704" t="s">
        <v>3850</v>
      </c>
      <c r="W704" t="s">
        <v>3790</v>
      </c>
      <c r="X704" t="n">
        <v>547759.0</v>
      </c>
      <c r="Y704" t="n">
        <v>522861.0</v>
      </c>
      <c r="Z704" t="n">
        <v>0.0</v>
      </c>
      <c r="AA704" t="n">
        <v>0.0</v>
      </c>
      <c r="AB704" t="n">
        <v>0.0</v>
      </c>
      <c r="AC704" t="n">
        <v>0.0</v>
      </c>
      <c r="AD704" t="n">
        <v>0.0</v>
      </c>
      <c r="AE704" t="n">
        <v>0.0</v>
      </c>
      <c r="AF704" t="n">
        <v>63000.0</v>
      </c>
      <c r="AG704" t="n">
        <v>0.0</v>
      </c>
      <c r="AH704" t="n">
        <v>0.0</v>
      </c>
      <c r="AI704" t="n">
        <v>0.0</v>
      </c>
      <c r="AJ704" t="n">
        <v>0.0</v>
      </c>
      <c r="AK704" t="n">
        <v>0.0</v>
      </c>
      <c r="AL704" t="n">
        <v>0.0</v>
      </c>
      <c r="AM704" t="n">
        <v>0.0</v>
      </c>
      <c r="AN704" t="n">
        <v>0.0</v>
      </c>
      <c r="AO704" t="n">
        <v>585861.0</v>
      </c>
      <c r="AP704" t="n">
        <v>58586.0</v>
      </c>
      <c r="AQ704" t="n">
        <v>46357.5</v>
      </c>
      <c r="CH704">
        <f>IFERROR(U704*1,0)</f>
      </c>
    </row>
    <row r="705">
      <c r="A705" t="n">
        <v>11.0</v>
      </c>
      <c r="B705">
        <f>IF((K705-G705-H705&gt;2400000),10,(L705/(K705-G705-H705)*100))</f>
      </c>
      <c r="C705">
        <f>IF(N705&gt;2400000,240000,(N705*S705)/100)</f>
      </c>
      <c r="D705">
        <f>IF(S705=0,0,IF((N705-I705)&gt;2400000,((((((N705-I705-J705)-240000))*0.1+(I705+J705)*0.1)))-7000,((((((N705-I705-J705)-(N705-I705-J705)*S705/100)))*0.1+(I705+J705)*0.1)-7000)))</f>
      </c>
      <c r="E705">
        <f>C705-O705</f>
      </c>
      <c r="F705">
        <f>D705-P705</f>
      </c>
      <c r="G705">
        <f>SUMIF(negtgel!U$2:BL$2,'Tsalin uzuulelt'!B$1,negtgel!U705:BL705) + SUMIF(negtgel!U$2:BL$2,'Tsalin uzuulelt'!B$2,negtgel!U705:BL705)+SUMIF(negtgel!U$2:BL$2,'Tsalin uzuulelt'!B$3,negtgel!U705:BL705)+SUMIF(negtgel!U$2:BL$2,'Tsalin uzuulelt'!B$4,negtgel!U705:BL705)+SUMIF(negtgel!U$2:BL$2,'Tsalin uzuulelt'!B$5,negtgel!U705:BL705)</f>
      </c>
      <c r="H705">
        <f>SUMIF(negtgel!U$2:BL$2,'Tsalin uzuulelt'!F$1,negtgel!U705:BL705) + SUMIF(negtgel!U$2:BL$2,'Tsalin uzuulelt'!F$2,negtgel!U705:BL705)+SUMIF(negtgel!U$2:BL$2,'Tsalin uzuulelt'!F$3,negtgel!U705:BL705)+SUMIF(negtgel!U$2:BL$2,'Tsalin uzuulelt'!F$4,negtgel!U705:BL705)+SUMIF(negtgel!U$2:BL$2,'Tsalin uzuulelt'!F$5,negtgel!U705:BL705)</f>
      </c>
      <c r="I705">
        <f>SUMIF(negtgel!U$2:BL$2,'Tsalin uzuulelt'!H$1,negtgel!U705:BL705) + SUMIF(negtgel!U$2:BL$2,'Tsalin uzuulelt'!H$2,negtgel!U705:BL705)+SUMIF(negtgel!U$2:BL$2,'Tsalin uzuulelt'!H$3,negtgel!U705:BL705)+SUMIF(negtgel!U$2:BL$2,'Tsalin uzuulelt'!H$4,negtgel!U705:BL705)+SUMIF(negtgel!U$2:BL$2,'Tsalin uzuulelt'!H$5,negtgel!U705:BL705)</f>
      </c>
      <c r="J705">
        <f>SUMIF(negtgel!U$2:BL$2,'Tsalin uzuulelt'!J$1,negtgel!U705:BL705) + SUMIF(negtgel!U$2:BL$2,'Tsalin uzuulelt'!J$2,negtgel!U705:BL705)+SUMIF(negtgel!U$2:BL$2,'Tsalin uzuulelt'!J$3,negtgel!U705:BL705)+SUMIF(negtgel!U$2:BL$2,'Tsalin uzuulelt'!J$4,negtgel!U705:BL705)+SUMIF(negtgel!U$2:BL$2,'Tsalin uzuulelt'!J$5,negtgel!U705:BL705)</f>
      </c>
      <c r="K705">
        <f>SUMIF(negtgel!U$2:BL$2,'Tsalin uzuulelt'!L$1,negtgel!U705:BL705) + SUMIF(negtgel!U$2:BL$2,'Tsalin uzuulelt'!L$2,negtgel!U705:BL705)+SUMIF(negtgel!U$2:BL$2,'Tsalin uzuulelt'!L$3,negtgel!U705:BL705)+SUMIF(negtgel!U$2:BL$2,'Tsalin uzuulelt'!L$4,negtgel!U705:BL705)+SUMIF(negtgel!U$2:BL$2,'Tsalin uzuulelt'!L$5,negtgel!U705:BL705)</f>
      </c>
      <c r="L705">
        <f>SUMIF(negtgel!U$2:BL$2,'Tsalin uzuulelt'!N$1,negtgel!U705:BL705) + SUMIF(negtgel!U$2:BL$2,'Tsalin uzuulelt'!N$2,negtgel!U705:BL705)+SUMIF(negtgel!U$2:BL$2,'Tsalin uzuulelt'!N$3,negtgel!U705:BL705)+SUMIF(negtgel!U$2:BL$2,'Tsalin uzuulelt'!N$4,negtgel!U705:BL705)+SUMIF(negtgel!U$2:BL$2,'Tsalin uzuulelt'!N$5,negtgel!U705:BL705)</f>
      </c>
      <c r="M705">
        <f>SUMIF(negtgel!U$2:BL$2,'Tsalin uzuulelt'!P$1,negtgel!U705:BL705) + SUMIF(negtgel!U$2:BL$2,'Tsalin uzuulelt'!P$2,negtgel!U705:BL705)+ SUMIF(negtgel!U$2:BL$2,'Tsalin uzuulelt'!P$3,negtgel!U705:BL705)+ SUMIF(negtgel!U$2:BL$2,'Tsalin uzuulelt'!P$4,negtgel!U705:BL705)+ SUMIF(negtgel!U$2:BL$2,'Tsalin uzuulelt'!P$5,negtgel!U705:BL705)</f>
      </c>
      <c r="N705">
        <f>IF(ISNUMBER(U705*1)=CF705,0,K705-H705-G705)</f>
      </c>
      <c r="O705">
        <f>IF(ISNUMBER(U705*1)=CF705,0,L705)</f>
      </c>
      <c r="P705">
        <f>IF(ISNUMBER(U705*1)=CF705,0,M705)</f>
      </c>
      <c r="Q705">
        <f>IF(N705&gt;2400000,N705,0)</f>
      </c>
      <c r="R705">
        <f>IF(L705/Q705*100&lt;3,2,10)</f>
      </c>
      <c r="S705">
        <f>IF(CH705=0,0,IF(B705&gt;9,10,IF(B705&gt;8,B705,IF(B705&gt;7.7,7.8,IF(B705&gt;3,B705,IF(B705&gt;1.5,2))))))</f>
      </c>
      <c r="T705">
        <f>IF(Q705=0,S705,R705)</f>
      </c>
      <c r="U705" t="n">
        <v>49.0</v>
      </c>
      <c r="V705" t="s">
        <v>3877</v>
      </c>
      <c r="W705" t="s">
        <v>3790</v>
      </c>
      <c r="X705" t="n">
        <v>613669.0</v>
      </c>
      <c r="Y705" t="n">
        <v>613669.0</v>
      </c>
      <c r="Z705" t="n">
        <v>0.0</v>
      </c>
      <c r="AA705" t="n">
        <v>0.0</v>
      </c>
      <c r="AB705" t="n">
        <v>0.0</v>
      </c>
      <c r="AC705" t="n">
        <v>0.0</v>
      </c>
      <c r="AD705" t="n">
        <v>0.0</v>
      </c>
      <c r="AE705" t="n">
        <v>0.0</v>
      </c>
      <c r="AF705" t="n">
        <v>66000.0</v>
      </c>
      <c r="AG705" t="n">
        <v>0.0</v>
      </c>
      <c r="AH705" t="n">
        <v>0.0</v>
      </c>
      <c r="AI705" t="n">
        <v>0.0</v>
      </c>
      <c r="AJ705" t="n">
        <v>0.0</v>
      </c>
      <c r="AK705" t="n">
        <v>0.0</v>
      </c>
      <c r="AL705" t="n">
        <v>0.0</v>
      </c>
      <c r="AM705" t="n">
        <v>0.0</v>
      </c>
      <c r="AN705" t="n">
        <v>0.0</v>
      </c>
      <c r="AO705" t="n">
        <v>679669.0</v>
      </c>
      <c r="AP705" t="n">
        <v>67966.0</v>
      </c>
      <c r="AQ705" t="n">
        <v>54830.2</v>
      </c>
      <c r="CH705">
        <f>IFERROR(U705*1,0)</f>
      </c>
    </row>
    <row r="706">
      <c r="A706" t="n">
        <v>11.0</v>
      </c>
      <c r="B706">
        <f>IF((K706-G706-H706&gt;2400000),10,(L706/(K706-G706-H706)*100))</f>
      </c>
      <c r="C706">
        <f>IF(N706&gt;2400000,240000,(N706*S706)/100)</f>
      </c>
      <c r="D706">
        <f>IF(S706=0,0,IF((N706-I706)&gt;2400000,((((((N706-I706-J706)-240000))*0.1+(I706+J706)*0.1)))-7000,((((((N706-I706-J706)-(N706-I706-J706)*S706/100)))*0.1+(I706+J706)*0.1)-7000)))</f>
      </c>
      <c r="E706">
        <f>C706-O706</f>
      </c>
      <c r="F706">
        <f>D706-P706</f>
      </c>
      <c r="G706">
        <f>SUMIF(negtgel!U$2:BL$2,'Tsalin uzuulelt'!B$1,negtgel!U706:BL706) + SUMIF(negtgel!U$2:BL$2,'Tsalin uzuulelt'!B$2,negtgel!U706:BL706)+SUMIF(negtgel!U$2:BL$2,'Tsalin uzuulelt'!B$3,negtgel!U706:BL706)+SUMIF(negtgel!U$2:BL$2,'Tsalin uzuulelt'!B$4,negtgel!U706:BL706)+SUMIF(negtgel!U$2:BL$2,'Tsalin uzuulelt'!B$5,negtgel!U706:BL706)</f>
      </c>
      <c r="H706">
        <f>SUMIF(negtgel!U$2:BL$2,'Tsalin uzuulelt'!F$1,negtgel!U706:BL706) + SUMIF(negtgel!U$2:BL$2,'Tsalin uzuulelt'!F$2,negtgel!U706:BL706)+SUMIF(negtgel!U$2:BL$2,'Tsalin uzuulelt'!F$3,negtgel!U706:BL706)+SUMIF(negtgel!U$2:BL$2,'Tsalin uzuulelt'!F$4,negtgel!U706:BL706)+SUMIF(negtgel!U$2:BL$2,'Tsalin uzuulelt'!F$5,negtgel!U706:BL706)</f>
      </c>
      <c r="I706">
        <f>SUMIF(negtgel!U$2:BL$2,'Tsalin uzuulelt'!H$1,negtgel!U706:BL706) + SUMIF(negtgel!U$2:BL$2,'Tsalin uzuulelt'!H$2,negtgel!U706:BL706)+SUMIF(negtgel!U$2:BL$2,'Tsalin uzuulelt'!H$3,negtgel!U706:BL706)+SUMIF(negtgel!U$2:BL$2,'Tsalin uzuulelt'!H$4,negtgel!U706:BL706)+SUMIF(negtgel!U$2:BL$2,'Tsalin uzuulelt'!H$5,negtgel!U706:BL706)</f>
      </c>
      <c r="J706">
        <f>SUMIF(negtgel!U$2:BL$2,'Tsalin uzuulelt'!J$1,negtgel!U706:BL706) + SUMIF(negtgel!U$2:BL$2,'Tsalin uzuulelt'!J$2,negtgel!U706:BL706)+SUMIF(negtgel!U$2:BL$2,'Tsalin uzuulelt'!J$3,negtgel!U706:BL706)+SUMIF(negtgel!U$2:BL$2,'Tsalin uzuulelt'!J$4,negtgel!U706:BL706)+SUMIF(negtgel!U$2:BL$2,'Tsalin uzuulelt'!J$5,negtgel!U706:BL706)</f>
      </c>
      <c r="K706">
        <f>SUMIF(negtgel!U$2:BL$2,'Tsalin uzuulelt'!L$1,negtgel!U706:BL706) + SUMIF(negtgel!U$2:BL$2,'Tsalin uzuulelt'!L$2,negtgel!U706:BL706)+SUMIF(negtgel!U$2:BL$2,'Tsalin uzuulelt'!L$3,negtgel!U706:BL706)+SUMIF(negtgel!U$2:BL$2,'Tsalin uzuulelt'!L$4,negtgel!U706:BL706)+SUMIF(negtgel!U$2:BL$2,'Tsalin uzuulelt'!L$5,negtgel!U706:BL706)</f>
      </c>
      <c r="L706">
        <f>SUMIF(negtgel!U$2:BL$2,'Tsalin uzuulelt'!N$1,negtgel!U706:BL706) + SUMIF(negtgel!U$2:BL$2,'Tsalin uzuulelt'!N$2,negtgel!U706:BL706)+SUMIF(negtgel!U$2:BL$2,'Tsalin uzuulelt'!N$3,negtgel!U706:BL706)+SUMIF(negtgel!U$2:BL$2,'Tsalin uzuulelt'!N$4,negtgel!U706:BL706)+SUMIF(negtgel!U$2:BL$2,'Tsalin uzuulelt'!N$5,negtgel!U706:BL706)</f>
      </c>
      <c r="M706">
        <f>SUMIF(negtgel!U$2:BL$2,'Tsalin uzuulelt'!P$1,negtgel!U706:BL706) + SUMIF(negtgel!U$2:BL$2,'Tsalin uzuulelt'!P$2,negtgel!U706:BL706)+ SUMIF(negtgel!U$2:BL$2,'Tsalin uzuulelt'!P$3,negtgel!U706:BL706)+ SUMIF(negtgel!U$2:BL$2,'Tsalin uzuulelt'!P$4,negtgel!U706:BL706)+ SUMIF(negtgel!U$2:BL$2,'Tsalin uzuulelt'!P$5,negtgel!U706:BL706)</f>
      </c>
      <c r="N706">
        <f>IF(ISNUMBER(U706*1)=CF706,0,K706-H706-G706)</f>
      </c>
      <c r="O706">
        <f>IF(ISNUMBER(U706*1)=CF706,0,L706)</f>
      </c>
      <c r="P706">
        <f>IF(ISNUMBER(U706*1)=CF706,0,M706)</f>
      </c>
      <c r="Q706">
        <f>IF(N706&gt;2400000,N706,0)</f>
      </c>
      <c r="R706">
        <f>IF(L706/Q706*100&lt;3,2,10)</f>
      </c>
      <c r="S706">
        <f>IF(CH706=0,0,IF(B706&gt;9,10,IF(B706&gt;8,B706,IF(B706&gt;7.7,7.8,IF(B706&gt;3,B706,IF(B706&gt;1.5,2))))))</f>
      </c>
      <c r="T706">
        <f>IF(Q706=0,S706,R706)</f>
      </c>
      <c r="U706" t="n">
        <v>50.0</v>
      </c>
      <c r="V706" t="s">
        <v>3797</v>
      </c>
      <c r="W706" t="s">
        <v>3790</v>
      </c>
      <c r="X706" t="n">
        <v>613669.0</v>
      </c>
      <c r="Y706" t="n">
        <v>613669.0</v>
      </c>
      <c r="Z706" t="n">
        <v>30683.0</v>
      </c>
      <c r="AA706" t="n">
        <v>92050.0</v>
      </c>
      <c r="AB706" t="n">
        <v>0.0</v>
      </c>
      <c r="AC706" t="n">
        <v>0.0</v>
      </c>
      <c r="AD706" t="n">
        <v>0.0</v>
      </c>
      <c r="AE706" t="n">
        <v>0.0</v>
      </c>
      <c r="AF706" t="n">
        <v>66000.0</v>
      </c>
      <c r="AG706" t="n">
        <v>0.0</v>
      </c>
      <c r="AH706" t="n">
        <v>0.0</v>
      </c>
      <c r="AI706" t="n">
        <v>0.0</v>
      </c>
      <c r="AJ706" t="n">
        <v>0.0</v>
      </c>
      <c r="AK706" t="n">
        <v>0.0</v>
      </c>
      <c r="AL706" t="n">
        <v>0.0</v>
      </c>
      <c r="AM706" t="n">
        <v>0.0</v>
      </c>
      <c r="AN706" t="n">
        <v>0.0</v>
      </c>
      <c r="AO706" t="n">
        <v>802402.0</v>
      </c>
      <c r="AP706" t="n">
        <v>80240.0</v>
      </c>
      <c r="AQ706" t="n">
        <v>65876.2</v>
      </c>
      <c r="CH706">
        <f>IFERROR(U706*1,0)</f>
      </c>
    </row>
    <row r="707">
      <c r="A707" t="n">
        <v>11.0</v>
      </c>
      <c r="B707">
        <f>IF((K707-G707-H707&gt;2400000),10,(L707/(K707-G707-H707)*100))</f>
      </c>
      <c r="C707">
        <f>IF(N707&gt;2400000,240000,(N707*S707)/100)</f>
      </c>
      <c r="D707">
        <f>IF(S707=0,0,IF((N707-I707)&gt;2400000,((((((N707-I707-J707)-240000))*0.1+(I707+J707)*0.1)))-7000,((((((N707-I707-J707)-(N707-I707-J707)*S707/100)))*0.1+(I707+J707)*0.1)-7000)))</f>
      </c>
      <c r="E707">
        <f>C707-O707</f>
      </c>
      <c r="F707">
        <f>D707-P707</f>
      </c>
      <c r="G707">
        <f>SUMIF(negtgel!U$2:BL$2,'Tsalin uzuulelt'!B$1,negtgel!U707:BL707) + SUMIF(negtgel!U$2:BL$2,'Tsalin uzuulelt'!B$2,negtgel!U707:BL707)+SUMIF(negtgel!U$2:BL$2,'Tsalin uzuulelt'!B$3,negtgel!U707:BL707)+SUMIF(negtgel!U$2:BL$2,'Tsalin uzuulelt'!B$4,negtgel!U707:BL707)+SUMIF(negtgel!U$2:BL$2,'Tsalin uzuulelt'!B$5,negtgel!U707:BL707)</f>
      </c>
      <c r="H707">
        <f>SUMIF(negtgel!U$2:BL$2,'Tsalin uzuulelt'!F$1,negtgel!U707:BL707) + SUMIF(negtgel!U$2:BL$2,'Tsalin uzuulelt'!F$2,negtgel!U707:BL707)+SUMIF(negtgel!U$2:BL$2,'Tsalin uzuulelt'!F$3,negtgel!U707:BL707)+SUMIF(negtgel!U$2:BL$2,'Tsalin uzuulelt'!F$4,negtgel!U707:BL707)+SUMIF(negtgel!U$2:BL$2,'Tsalin uzuulelt'!F$5,negtgel!U707:BL707)</f>
      </c>
      <c r="I707">
        <f>SUMIF(negtgel!U$2:BL$2,'Tsalin uzuulelt'!H$1,negtgel!U707:BL707) + SUMIF(negtgel!U$2:BL$2,'Tsalin uzuulelt'!H$2,negtgel!U707:BL707)+SUMIF(negtgel!U$2:BL$2,'Tsalin uzuulelt'!H$3,negtgel!U707:BL707)+SUMIF(negtgel!U$2:BL$2,'Tsalin uzuulelt'!H$4,negtgel!U707:BL707)+SUMIF(negtgel!U$2:BL$2,'Tsalin uzuulelt'!H$5,negtgel!U707:BL707)</f>
      </c>
      <c r="J707">
        <f>SUMIF(negtgel!U$2:BL$2,'Tsalin uzuulelt'!J$1,negtgel!U707:BL707) + SUMIF(negtgel!U$2:BL$2,'Tsalin uzuulelt'!J$2,negtgel!U707:BL707)+SUMIF(negtgel!U$2:BL$2,'Tsalin uzuulelt'!J$3,negtgel!U707:BL707)+SUMIF(negtgel!U$2:BL$2,'Tsalin uzuulelt'!J$4,negtgel!U707:BL707)+SUMIF(negtgel!U$2:BL$2,'Tsalin uzuulelt'!J$5,negtgel!U707:BL707)</f>
      </c>
      <c r="K707">
        <f>SUMIF(negtgel!U$2:BL$2,'Tsalin uzuulelt'!L$1,negtgel!U707:BL707) + SUMIF(negtgel!U$2:BL$2,'Tsalin uzuulelt'!L$2,negtgel!U707:BL707)+SUMIF(negtgel!U$2:BL$2,'Tsalin uzuulelt'!L$3,negtgel!U707:BL707)+SUMIF(negtgel!U$2:BL$2,'Tsalin uzuulelt'!L$4,negtgel!U707:BL707)+SUMIF(negtgel!U$2:BL$2,'Tsalin uzuulelt'!L$5,negtgel!U707:BL707)</f>
      </c>
      <c r="L707">
        <f>SUMIF(negtgel!U$2:BL$2,'Tsalin uzuulelt'!N$1,negtgel!U707:BL707) + SUMIF(negtgel!U$2:BL$2,'Tsalin uzuulelt'!N$2,negtgel!U707:BL707)+SUMIF(negtgel!U$2:BL$2,'Tsalin uzuulelt'!N$3,negtgel!U707:BL707)+SUMIF(negtgel!U$2:BL$2,'Tsalin uzuulelt'!N$4,negtgel!U707:BL707)+SUMIF(negtgel!U$2:BL$2,'Tsalin uzuulelt'!N$5,negtgel!U707:BL707)</f>
      </c>
      <c r="M707">
        <f>SUMIF(negtgel!U$2:BL$2,'Tsalin uzuulelt'!P$1,negtgel!U707:BL707) + SUMIF(negtgel!U$2:BL$2,'Tsalin uzuulelt'!P$2,negtgel!U707:BL707)+ SUMIF(negtgel!U$2:BL$2,'Tsalin uzuulelt'!P$3,negtgel!U707:BL707)+ SUMIF(negtgel!U$2:BL$2,'Tsalin uzuulelt'!P$4,negtgel!U707:BL707)+ SUMIF(negtgel!U$2:BL$2,'Tsalin uzuulelt'!P$5,negtgel!U707:BL707)</f>
      </c>
      <c r="N707">
        <f>IF(ISNUMBER(U707*1)=CF707,0,K707-H707-G707)</f>
      </c>
      <c r="O707">
        <f>IF(ISNUMBER(U707*1)=CF707,0,L707)</f>
      </c>
      <c r="P707">
        <f>IF(ISNUMBER(U707*1)=CF707,0,M707)</f>
      </c>
      <c r="Q707">
        <f>IF(N707&gt;2400000,N707,0)</f>
      </c>
      <c r="R707">
        <f>IF(L707/Q707*100&lt;3,2,10)</f>
      </c>
      <c r="S707">
        <f>IF(CH707=0,0,IF(B707&gt;9,10,IF(B707&gt;8,B707,IF(B707&gt;7.7,7.8,IF(B707&gt;3,B707,IF(B707&gt;1.5,2))))))</f>
      </c>
      <c r="T707">
        <f>IF(Q707=0,S707,R707)</f>
      </c>
      <c r="U707" t="n">
        <v>51.0</v>
      </c>
      <c r="V707" t="s">
        <v>3798</v>
      </c>
      <c r="W707" t="s">
        <v>3792</v>
      </c>
      <c r="X707" t="n">
        <v>496912.0</v>
      </c>
      <c r="Y707" t="n">
        <v>158108.0</v>
      </c>
      <c r="Z707" t="n">
        <v>0.0</v>
      </c>
      <c r="AA707" t="n">
        <v>0.0</v>
      </c>
      <c r="AB707" t="n">
        <v>0.0</v>
      </c>
      <c r="AC707" t="n">
        <v>0.0</v>
      </c>
      <c r="AD707" t="n">
        <v>0.0</v>
      </c>
      <c r="AE707" t="n">
        <v>0.0</v>
      </c>
      <c r="AF707" t="n">
        <v>21000.0</v>
      </c>
      <c r="AG707" t="n">
        <v>0.0</v>
      </c>
      <c r="AH707" t="n">
        <v>0.0</v>
      </c>
      <c r="AI707" t="n">
        <v>0.0</v>
      </c>
      <c r="AJ707" t="n">
        <v>391200.0</v>
      </c>
      <c r="AK707" t="n">
        <v>0.0</v>
      </c>
      <c r="AL707" t="n">
        <v>0.0</v>
      </c>
      <c r="AM707" t="n">
        <v>0.0</v>
      </c>
      <c r="AN707" t="n">
        <v>0.0</v>
      </c>
      <c r="AO707" t="n">
        <v>570308.0</v>
      </c>
      <c r="AP707" t="n">
        <v>57031.0</v>
      </c>
      <c r="AQ707" t="n">
        <v>44537.7</v>
      </c>
      <c r="CH707">
        <f>IFERROR(U707*1,0)</f>
      </c>
    </row>
    <row r="708">
      <c r="A708" t="n">
        <v>11.0</v>
      </c>
      <c r="B708">
        <f>IF((K708-G708-H708&gt;2400000),10,(L708/(K708-G708-H708)*100))</f>
      </c>
      <c r="C708">
        <f>IF(N708&gt;2400000,240000,(N708*S708)/100)</f>
      </c>
      <c r="D708">
        <f>IF(S708=0,0,IF((N708-I708)&gt;2400000,((((((N708-I708-J708)-240000))*0.1+(I708+J708)*0.1)))-7000,((((((N708-I708-J708)-(N708-I708-J708)*S708/100)))*0.1+(I708+J708)*0.1)-7000)))</f>
      </c>
      <c r="E708">
        <f>C708-O708</f>
      </c>
      <c r="F708">
        <f>D708-P708</f>
      </c>
      <c r="G708">
        <f>SUMIF(negtgel!U$2:BL$2,'Tsalin uzuulelt'!B$1,negtgel!U708:BL708) + SUMIF(negtgel!U$2:BL$2,'Tsalin uzuulelt'!B$2,negtgel!U708:BL708)+SUMIF(negtgel!U$2:BL$2,'Tsalin uzuulelt'!B$3,negtgel!U708:BL708)+SUMIF(negtgel!U$2:BL$2,'Tsalin uzuulelt'!B$4,negtgel!U708:BL708)+SUMIF(negtgel!U$2:BL$2,'Tsalin uzuulelt'!B$5,negtgel!U708:BL708)</f>
      </c>
      <c r="H708">
        <f>SUMIF(negtgel!U$2:BL$2,'Tsalin uzuulelt'!F$1,negtgel!U708:BL708) + SUMIF(negtgel!U$2:BL$2,'Tsalin uzuulelt'!F$2,negtgel!U708:BL708)+SUMIF(negtgel!U$2:BL$2,'Tsalin uzuulelt'!F$3,negtgel!U708:BL708)+SUMIF(negtgel!U$2:BL$2,'Tsalin uzuulelt'!F$4,negtgel!U708:BL708)+SUMIF(negtgel!U$2:BL$2,'Tsalin uzuulelt'!F$5,negtgel!U708:BL708)</f>
      </c>
      <c r="I708">
        <f>SUMIF(negtgel!U$2:BL$2,'Tsalin uzuulelt'!H$1,negtgel!U708:BL708) + SUMIF(negtgel!U$2:BL$2,'Tsalin uzuulelt'!H$2,negtgel!U708:BL708)+SUMIF(negtgel!U$2:BL$2,'Tsalin uzuulelt'!H$3,negtgel!U708:BL708)+SUMIF(negtgel!U$2:BL$2,'Tsalin uzuulelt'!H$4,negtgel!U708:BL708)+SUMIF(negtgel!U$2:BL$2,'Tsalin uzuulelt'!H$5,negtgel!U708:BL708)</f>
      </c>
      <c r="J708">
        <f>SUMIF(negtgel!U$2:BL$2,'Tsalin uzuulelt'!J$1,negtgel!U708:BL708) + SUMIF(negtgel!U$2:BL$2,'Tsalin uzuulelt'!J$2,negtgel!U708:BL708)+SUMIF(negtgel!U$2:BL$2,'Tsalin uzuulelt'!J$3,negtgel!U708:BL708)+SUMIF(negtgel!U$2:BL$2,'Tsalin uzuulelt'!J$4,negtgel!U708:BL708)+SUMIF(negtgel!U$2:BL$2,'Tsalin uzuulelt'!J$5,negtgel!U708:BL708)</f>
      </c>
      <c r="K708">
        <f>SUMIF(negtgel!U$2:BL$2,'Tsalin uzuulelt'!L$1,negtgel!U708:BL708) + SUMIF(negtgel!U$2:BL$2,'Tsalin uzuulelt'!L$2,negtgel!U708:BL708)+SUMIF(negtgel!U$2:BL$2,'Tsalin uzuulelt'!L$3,negtgel!U708:BL708)+SUMIF(negtgel!U$2:BL$2,'Tsalin uzuulelt'!L$4,negtgel!U708:BL708)+SUMIF(negtgel!U$2:BL$2,'Tsalin uzuulelt'!L$5,negtgel!U708:BL708)</f>
      </c>
      <c r="L708">
        <f>SUMIF(negtgel!U$2:BL$2,'Tsalin uzuulelt'!N$1,negtgel!U708:BL708) + SUMIF(negtgel!U$2:BL$2,'Tsalin uzuulelt'!N$2,negtgel!U708:BL708)+SUMIF(negtgel!U$2:BL$2,'Tsalin uzuulelt'!N$3,negtgel!U708:BL708)+SUMIF(negtgel!U$2:BL$2,'Tsalin uzuulelt'!N$4,negtgel!U708:BL708)+SUMIF(negtgel!U$2:BL$2,'Tsalin uzuulelt'!N$5,negtgel!U708:BL708)</f>
      </c>
      <c r="M708">
        <f>SUMIF(negtgel!U$2:BL$2,'Tsalin uzuulelt'!P$1,negtgel!U708:BL708) + SUMIF(negtgel!U$2:BL$2,'Tsalin uzuulelt'!P$2,negtgel!U708:BL708)+ SUMIF(negtgel!U$2:BL$2,'Tsalin uzuulelt'!P$3,negtgel!U708:BL708)+ SUMIF(negtgel!U$2:BL$2,'Tsalin uzuulelt'!P$4,negtgel!U708:BL708)+ SUMIF(negtgel!U$2:BL$2,'Tsalin uzuulelt'!P$5,negtgel!U708:BL708)</f>
      </c>
      <c r="N708">
        <f>IF(ISNUMBER(U708*1)=CF708,0,K708-H708-G708)</f>
      </c>
      <c r="O708">
        <f>IF(ISNUMBER(U708*1)=CF708,0,L708)</f>
      </c>
      <c r="P708">
        <f>IF(ISNUMBER(U708*1)=CF708,0,M708)</f>
      </c>
      <c r="Q708">
        <f>IF(N708&gt;2400000,N708,0)</f>
      </c>
      <c r="R708">
        <f>IF(L708/Q708*100&lt;3,2,10)</f>
      </c>
      <c r="S708">
        <f>IF(CH708=0,0,IF(B708&gt;9,10,IF(B708&gt;8,B708,IF(B708&gt;7.7,7.8,IF(B708&gt;3,B708,IF(B708&gt;1.5,2))))))</f>
      </c>
      <c r="T708">
        <f>IF(Q708=0,S708,R708)</f>
      </c>
      <c r="U708" t="n">
        <v>52.0</v>
      </c>
      <c r="V708" t="s">
        <v>3799</v>
      </c>
      <c r="W708" t="s">
        <v>3785</v>
      </c>
      <c r="X708" t="n">
        <v>795935.0</v>
      </c>
      <c r="Y708" t="n">
        <v>795935.0</v>
      </c>
      <c r="Z708" t="n">
        <v>119390.0</v>
      </c>
      <c r="AA708" t="n">
        <v>159187.0</v>
      </c>
      <c r="AB708" t="n">
        <v>0.0</v>
      </c>
      <c r="AC708" t="n">
        <v>0.0</v>
      </c>
      <c r="AD708" t="n">
        <v>0.0</v>
      </c>
      <c r="AE708" t="n">
        <v>0.0</v>
      </c>
      <c r="AF708" t="n">
        <v>66000.0</v>
      </c>
      <c r="AG708" t="n">
        <v>0.0</v>
      </c>
      <c r="AH708" t="n">
        <v>0.0</v>
      </c>
      <c r="AI708" t="n">
        <v>0.0</v>
      </c>
      <c r="AJ708" t="n">
        <v>0.0</v>
      </c>
      <c r="AK708" t="n">
        <v>0.0</v>
      </c>
      <c r="AL708" t="n">
        <v>0.0</v>
      </c>
      <c r="AM708" t="n">
        <v>0.0</v>
      </c>
      <c r="AN708" t="n">
        <v>0.0</v>
      </c>
      <c r="AO708" t="n">
        <v>1140512.0</v>
      </c>
      <c r="AP708" t="n">
        <v>114051.0</v>
      </c>
      <c r="AQ708" t="n">
        <v>96306.1</v>
      </c>
      <c r="CH708">
        <f>IFERROR(U708*1,0)</f>
      </c>
    </row>
    <row r="709">
      <c r="A709" t="n">
        <v>11.0</v>
      </c>
      <c r="B709">
        <f>IF((K709-G709-H709&gt;2400000),10,(L709/(K709-G709-H709)*100))</f>
      </c>
      <c r="C709">
        <f>IF(N709&gt;2400000,240000,(N709*S709)/100)</f>
      </c>
      <c r="D709">
        <f>IF(S709=0,0,IF((N709-I709)&gt;2400000,((((((N709-I709-J709)-240000))*0.1+(I709+J709)*0.1)))-7000,((((((N709-I709-J709)-(N709-I709-J709)*S709/100)))*0.1+(I709+J709)*0.1)-7000)))</f>
      </c>
      <c r="E709">
        <f>C709-O709</f>
      </c>
      <c r="F709">
        <f>D709-P709</f>
      </c>
      <c r="G709">
        <f>SUMIF(negtgel!U$2:BL$2,'Tsalin uzuulelt'!B$1,negtgel!U709:BL709) + SUMIF(negtgel!U$2:BL$2,'Tsalin uzuulelt'!B$2,negtgel!U709:BL709)+SUMIF(negtgel!U$2:BL$2,'Tsalin uzuulelt'!B$3,negtgel!U709:BL709)+SUMIF(negtgel!U$2:BL$2,'Tsalin uzuulelt'!B$4,negtgel!U709:BL709)+SUMIF(negtgel!U$2:BL$2,'Tsalin uzuulelt'!B$5,negtgel!U709:BL709)</f>
      </c>
      <c r="H709">
        <f>SUMIF(negtgel!U$2:BL$2,'Tsalin uzuulelt'!F$1,negtgel!U709:BL709) + SUMIF(negtgel!U$2:BL$2,'Tsalin uzuulelt'!F$2,negtgel!U709:BL709)+SUMIF(negtgel!U$2:BL$2,'Tsalin uzuulelt'!F$3,negtgel!U709:BL709)+SUMIF(negtgel!U$2:BL$2,'Tsalin uzuulelt'!F$4,negtgel!U709:BL709)+SUMIF(negtgel!U$2:BL$2,'Tsalin uzuulelt'!F$5,negtgel!U709:BL709)</f>
      </c>
      <c r="I709">
        <f>SUMIF(negtgel!U$2:BL$2,'Tsalin uzuulelt'!H$1,negtgel!U709:BL709) + SUMIF(negtgel!U$2:BL$2,'Tsalin uzuulelt'!H$2,negtgel!U709:BL709)+SUMIF(negtgel!U$2:BL$2,'Tsalin uzuulelt'!H$3,negtgel!U709:BL709)+SUMIF(negtgel!U$2:BL$2,'Tsalin uzuulelt'!H$4,negtgel!U709:BL709)+SUMIF(negtgel!U$2:BL$2,'Tsalin uzuulelt'!H$5,negtgel!U709:BL709)</f>
      </c>
      <c r="J709">
        <f>SUMIF(negtgel!U$2:BL$2,'Tsalin uzuulelt'!J$1,negtgel!U709:BL709) + SUMIF(negtgel!U$2:BL$2,'Tsalin uzuulelt'!J$2,negtgel!U709:BL709)+SUMIF(negtgel!U$2:BL$2,'Tsalin uzuulelt'!J$3,negtgel!U709:BL709)+SUMIF(negtgel!U$2:BL$2,'Tsalin uzuulelt'!J$4,negtgel!U709:BL709)+SUMIF(negtgel!U$2:BL$2,'Tsalin uzuulelt'!J$5,negtgel!U709:BL709)</f>
      </c>
      <c r="K709">
        <f>SUMIF(negtgel!U$2:BL$2,'Tsalin uzuulelt'!L$1,negtgel!U709:BL709) + SUMIF(negtgel!U$2:BL$2,'Tsalin uzuulelt'!L$2,negtgel!U709:BL709)+SUMIF(negtgel!U$2:BL$2,'Tsalin uzuulelt'!L$3,negtgel!U709:BL709)+SUMIF(negtgel!U$2:BL$2,'Tsalin uzuulelt'!L$4,negtgel!U709:BL709)+SUMIF(negtgel!U$2:BL$2,'Tsalin uzuulelt'!L$5,negtgel!U709:BL709)</f>
      </c>
      <c r="L709">
        <f>SUMIF(negtgel!U$2:BL$2,'Tsalin uzuulelt'!N$1,negtgel!U709:BL709) + SUMIF(negtgel!U$2:BL$2,'Tsalin uzuulelt'!N$2,negtgel!U709:BL709)+SUMIF(negtgel!U$2:BL$2,'Tsalin uzuulelt'!N$3,negtgel!U709:BL709)+SUMIF(negtgel!U$2:BL$2,'Tsalin uzuulelt'!N$4,negtgel!U709:BL709)+SUMIF(negtgel!U$2:BL$2,'Tsalin uzuulelt'!N$5,negtgel!U709:BL709)</f>
      </c>
      <c r="M709">
        <f>SUMIF(negtgel!U$2:BL$2,'Tsalin uzuulelt'!P$1,negtgel!U709:BL709) + SUMIF(negtgel!U$2:BL$2,'Tsalin uzuulelt'!P$2,negtgel!U709:BL709)+ SUMIF(negtgel!U$2:BL$2,'Tsalin uzuulelt'!P$3,negtgel!U709:BL709)+ SUMIF(negtgel!U$2:BL$2,'Tsalin uzuulelt'!P$4,negtgel!U709:BL709)+ SUMIF(negtgel!U$2:BL$2,'Tsalin uzuulelt'!P$5,negtgel!U709:BL709)</f>
      </c>
      <c r="N709">
        <f>IF(ISNUMBER(U709*1)=CF709,0,K709-H709-G709)</f>
      </c>
      <c r="O709">
        <f>IF(ISNUMBER(U709*1)=CF709,0,L709)</f>
      </c>
      <c r="P709">
        <f>IF(ISNUMBER(U709*1)=CF709,0,M709)</f>
      </c>
      <c r="Q709">
        <f>IF(N709&gt;2400000,N709,0)</f>
      </c>
      <c r="R709">
        <f>IF(L709/Q709*100&lt;3,2,10)</f>
      </c>
      <c r="S709">
        <f>IF(CH709=0,0,IF(B709&gt;9,10,IF(B709&gt;8,B709,IF(B709&gt;7.7,7.8,IF(B709&gt;3,B709,IF(B709&gt;1.5,2))))))</f>
      </c>
      <c r="T709">
        <f>IF(Q709=0,S709,R709)</f>
      </c>
      <c r="U709" t="n">
        <v>53.0</v>
      </c>
      <c r="V709" t="s">
        <v>3800</v>
      </c>
      <c r="W709" t="s">
        <v>3790</v>
      </c>
      <c r="X709" t="n">
        <v>613669.0</v>
      </c>
      <c r="Y709" t="n">
        <v>613669.0</v>
      </c>
      <c r="Z709" t="n">
        <v>92050.0</v>
      </c>
      <c r="AA709" t="n">
        <v>122734.0</v>
      </c>
      <c r="AB709" t="n">
        <v>0.0</v>
      </c>
      <c r="AC709" t="n">
        <v>0.0</v>
      </c>
      <c r="AD709" t="n">
        <v>0.0</v>
      </c>
      <c r="AE709" t="n">
        <v>0.0</v>
      </c>
      <c r="AF709" t="n">
        <v>66000.0</v>
      </c>
      <c r="AG709" t="n">
        <v>0.0</v>
      </c>
      <c r="AH709" t="n">
        <v>0.0</v>
      </c>
      <c r="AI709" t="n">
        <v>0.0</v>
      </c>
      <c r="AJ709" t="n">
        <v>0.0</v>
      </c>
      <c r="AK709" t="n">
        <v>0.0</v>
      </c>
      <c r="AL709" t="n">
        <v>0.0</v>
      </c>
      <c r="AM709" t="n">
        <v>0.0</v>
      </c>
      <c r="AN709" t="n">
        <v>0.0</v>
      </c>
      <c r="AO709" t="n">
        <v>894453.0</v>
      </c>
      <c r="AP709" t="n">
        <v>89446.0</v>
      </c>
      <c r="AQ709" t="n">
        <v>74160.8</v>
      </c>
      <c r="CH709">
        <f>IFERROR(U709*1,0)</f>
      </c>
    </row>
    <row r="710">
      <c r="A710" t="n">
        <v>11.0</v>
      </c>
      <c r="B710">
        <f>IF((K710-G710-H710&gt;2400000),10,(L710/(K710-G710-H710)*100))</f>
      </c>
      <c r="C710">
        <f>IF(N710&gt;2400000,240000,(N710*S710)/100)</f>
      </c>
      <c r="D710">
        <f>IF(S710=0,0,IF((N710-I710)&gt;2400000,((((((N710-I710-J710)-240000))*0.1+(I710+J710)*0.1)))-7000,((((((N710-I710-J710)-(N710-I710-J710)*S710/100)))*0.1+(I710+J710)*0.1)-7000)))</f>
      </c>
      <c r="E710">
        <f>C710-O710</f>
      </c>
      <c r="F710">
        <f>D710-P710</f>
      </c>
      <c r="G710">
        <f>SUMIF(negtgel!U$2:BL$2,'Tsalin uzuulelt'!B$1,negtgel!U710:BL710) + SUMIF(negtgel!U$2:BL$2,'Tsalin uzuulelt'!B$2,negtgel!U710:BL710)+SUMIF(negtgel!U$2:BL$2,'Tsalin uzuulelt'!B$3,negtgel!U710:BL710)+SUMIF(negtgel!U$2:BL$2,'Tsalin uzuulelt'!B$4,negtgel!U710:BL710)+SUMIF(negtgel!U$2:BL$2,'Tsalin uzuulelt'!B$5,negtgel!U710:BL710)</f>
      </c>
      <c r="H710">
        <f>SUMIF(negtgel!U$2:BL$2,'Tsalin uzuulelt'!F$1,negtgel!U710:BL710) + SUMIF(negtgel!U$2:BL$2,'Tsalin uzuulelt'!F$2,negtgel!U710:BL710)+SUMIF(negtgel!U$2:BL$2,'Tsalin uzuulelt'!F$3,negtgel!U710:BL710)+SUMIF(negtgel!U$2:BL$2,'Tsalin uzuulelt'!F$4,negtgel!U710:BL710)+SUMIF(negtgel!U$2:BL$2,'Tsalin uzuulelt'!F$5,negtgel!U710:BL710)</f>
      </c>
      <c r="I710">
        <f>SUMIF(negtgel!U$2:BL$2,'Tsalin uzuulelt'!H$1,negtgel!U710:BL710) + SUMIF(negtgel!U$2:BL$2,'Tsalin uzuulelt'!H$2,negtgel!U710:BL710)+SUMIF(negtgel!U$2:BL$2,'Tsalin uzuulelt'!H$3,negtgel!U710:BL710)+SUMIF(negtgel!U$2:BL$2,'Tsalin uzuulelt'!H$4,negtgel!U710:BL710)+SUMIF(negtgel!U$2:BL$2,'Tsalin uzuulelt'!H$5,negtgel!U710:BL710)</f>
      </c>
      <c r="J710">
        <f>SUMIF(negtgel!U$2:BL$2,'Tsalin uzuulelt'!J$1,negtgel!U710:BL710) + SUMIF(negtgel!U$2:BL$2,'Tsalin uzuulelt'!J$2,negtgel!U710:BL710)+SUMIF(negtgel!U$2:BL$2,'Tsalin uzuulelt'!J$3,negtgel!U710:BL710)+SUMIF(negtgel!U$2:BL$2,'Tsalin uzuulelt'!J$4,negtgel!U710:BL710)+SUMIF(negtgel!U$2:BL$2,'Tsalin uzuulelt'!J$5,negtgel!U710:BL710)</f>
      </c>
      <c r="K710">
        <f>SUMIF(negtgel!U$2:BL$2,'Tsalin uzuulelt'!L$1,negtgel!U710:BL710) + SUMIF(negtgel!U$2:BL$2,'Tsalin uzuulelt'!L$2,negtgel!U710:BL710)+SUMIF(negtgel!U$2:BL$2,'Tsalin uzuulelt'!L$3,negtgel!U710:BL710)+SUMIF(negtgel!U$2:BL$2,'Tsalin uzuulelt'!L$4,negtgel!U710:BL710)+SUMIF(negtgel!U$2:BL$2,'Tsalin uzuulelt'!L$5,negtgel!U710:BL710)</f>
      </c>
      <c r="L710">
        <f>SUMIF(negtgel!U$2:BL$2,'Tsalin uzuulelt'!N$1,negtgel!U710:BL710) + SUMIF(negtgel!U$2:BL$2,'Tsalin uzuulelt'!N$2,negtgel!U710:BL710)+SUMIF(negtgel!U$2:BL$2,'Tsalin uzuulelt'!N$3,negtgel!U710:BL710)+SUMIF(negtgel!U$2:BL$2,'Tsalin uzuulelt'!N$4,negtgel!U710:BL710)+SUMIF(negtgel!U$2:BL$2,'Tsalin uzuulelt'!N$5,negtgel!U710:BL710)</f>
      </c>
      <c r="M710">
        <f>SUMIF(negtgel!U$2:BL$2,'Tsalin uzuulelt'!P$1,negtgel!U710:BL710) + SUMIF(negtgel!U$2:BL$2,'Tsalin uzuulelt'!P$2,negtgel!U710:BL710)+ SUMIF(negtgel!U$2:BL$2,'Tsalin uzuulelt'!P$3,negtgel!U710:BL710)+ SUMIF(negtgel!U$2:BL$2,'Tsalin uzuulelt'!P$4,negtgel!U710:BL710)+ SUMIF(negtgel!U$2:BL$2,'Tsalin uzuulelt'!P$5,negtgel!U710:BL710)</f>
      </c>
      <c r="N710">
        <f>IF(ISNUMBER(U710*1)=CF710,0,K710-H710-G710)</f>
      </c>
      <c r="O710">
        <f>IF(ISNUMBER(U710*1)=CF710,0,L710)</f>
      </c>
      <c r="P710">
        <f>IF(ISNUMBER(U710*1)=CF710,0,M710)</f>
      </c>
      <c r="Q710">
        <f>IF(N710&gt;2400000,N710,0)</f>
      </c>
      <c r="R710">
        <f>IF(L710/Q710*100&lt;3,2,10)</f>
      </c>
      <c r="S710">
        <f>IF(CH710=0,0,IF(B710&gt;9,10,IF(B710&gt;8,B710,IF(B710&gt;7.7,7.8,IF(B710&gt;3,B710,IF(B710&gt;1.5,2))))))</f>
      </c>
      <c r="T710">
        <f>IF(Q710=0,S710,R710)</f>
      </c>
      <c r="U710" t="n">
        <v>54.0</v>
      </c>
      <c r="V710" t="s">
        <v>3801</v>
      </c>
      <c r="W710" t="s">
        <v>3790</v>
      </c>
      <c r="X710" t="n">
        <v>580710.0</v>
      </c>
      <c r="Y710" t="n">
        <v>211167.0</v>
      </c>
      <c r="Z710" t="n">
        <v>0.0</v>
      </c>
      <c r="AA710" t="n">
        <v>0.0</v>
      </c>
      <c r="AB710" t="n">
        <v>0.0</v>
      </c>
      <c r="AC710" t="n">
        <v>0.0</v>
      </c>
      <c r="AD710" t="n">
        <v>0.0</v>
      </c>
      <c r="AE710" t="n">
        <v>0.0</v>
      </c>
      <c r="AF710" t="n">
        <v>24000.0</v>
      </c>
      <c r="AG710" t="n">
        <v>0.0</v>
      </c>
      <c r="AH710" t="n">
        <v>0.0</v>
      </c>
      <c r="AI710" t="n">
        <v>0.0</v>
      </c>
      <c r="AJ710" t="n">
        <v>529719.0</v>
      </c>
      <c r="AK710" t="n">
        <v>0.0</v>
      </c>
      <c r="AL710" t="n">
        <v>0.0</v>
      </c>
      <c r="AM710" t="n">
        <v>0.0</v>
      </c>
      <c r="AN710" t="n">
        <v>0.0</v>
      </c>
      <c r="AO710" t="n">
        <v>764886.0</v>
      </c>
      <c r="AP710" t="n">
        <v>76489.0</v>
      </c>
      <c r="AQ710" t="n">
        <v>62079.7</v>
      </c>
      <c r="CH710">
        <f>IFERROR(U710*1,0)</f>
      </c>
    </row>
    <row r="711">
      <c r="A711" t="n">
        <v>11.0</v>
      </c>
      <c r="B711">
        <f>IF((K711-G711-H711&gt;2400000),10,(L711/(K711-G711-H711)*100))</f>
      </c>
      <c r="C711">
        <f>IF(N711&gt;2400000,240000,(N711*S711)/100)</f>
      </c>
      <c r="D711">
        <f>IF(S711=0,0,IF((N711-I711)&gt;2400000,((((((N711-I711-J711)-240000))*0.1+(I711+J711)*0.1)))-7000,((((((N711-I711-J711)-(N711-I711-J711)*S711/100)))*0.1+(I711+J711)*0.1)-7000)))</f>
      </c>
      <c r="E711">
        <f>C711-O711</f>
      </c>
      <c r="F711">
        <f>D711-P711</f>
      </c>
      <c r="G711">
        <f>SUMIF(negtgel!U$2:BL$2,'Tsalin uzuulelt'!B$1,negtgel!U711:BL711) + SUMIF(negtgel!U$2:BL$2,'Tsalin uzuulelt'!B$2,negtgel!U711:BL711)+SUMIF(negtgel!U$2:BL$2,'Tsalin uzuulelt'!B$3,negtgel!U711:BL711)+SUMIF(negtgel!U$2:BL$2,'Tsalin uzuulelt'!B$4,negtgel!U711:BL711)+SUMIF(negtgel!U$2:BL$2,'Tsalin uzuulelt'!B$5,negtgel!U711:BL711)</f>
      </c>
      <c r="H711">
        <f>SUMIF(negtgel!U$2:BL$2,'Tsalin uzuulelt'!F$1,negtgel!U711:BL711) + SUMIF(negtgel!U$2:BL$2,'Tsalin uzuulelt'!F$2,negtgel!U711:BL711)+SUMIF(negtgel!U$2:BL$2,'Tsalin uzuulelt'!F$3,negtgel!U711:BL711)+SUMIF(negtgel!U$2:BL$2,'Tsalin uzuulelt'!F$4,negtgel!U711:BL711)+SUMIF(negtgel!U$2:BL$2,'Tsalin uzuulelt'!F$5,negtgel!U711:BL711)</f>
      </c>
      <c r="I711">
        <f>SUMIF(negtgel!U$2:BL$2,'Tsalin uzuulelt'!H$1,negtgel!U711:BL711) + SUMIF(negtgel!U$2:BL$2,'Tsalin uzuulelt'!H$2,negtgel!U711:BL711)+SUMIF(negtgel!U$2:BL$2,'Tsalin uzuulelt'!H$3,negtgel!U711:BL711)+SUMIF(negtgel!U$2:BL$2,'Tsalin uzuulelt'!H$4,negtgel!U711:BL711)+SUMIF(negtgel!U$2:BL$2,'Tsalin uzuulelt'!H$5,negtgel!U711:BL711)</f>
      </c>
      <c r="J711">
        <f>SUMIF(negtgel!U$2:BL$2,'Tsalin uzuulelt'!J$1,negtgel!U711:BL711) + SUMIF(negtgel!U$2:BL$2,'Tsalin uzuulelt'!J$2,negtgel!U711:BL711)+SUMIF(negtgel!U$2:BL$2,'Tsalin uzuulelt'!J$3,negtgel!U711:BL711)+SUMIF(negtgel!U$2:BL$2,'Tsalin uzuulelt'!J$4,negtgel!U711:BL711)+SUMIF(negtgel!U$2:BL$2,'Tsalin uzuulelt'!J$5,negtgel!U711:BL711)</f>
      </c>
      <c r="K711">
        <f>SUMIF(negtgel!U$2:BL$2,'Tsalin uzuulelt'!L$1,negtgel!U711:BL711) + SUMIF(negtgel!U$2:BL$2,'Tsalin uzuulelt'!L$2,negtgel!U711:BL711)+SUMIF(negtgel!U$2:BL$2,'Tsalin uzuulelt'!L$3,negtgel!U711:BL711)+SUMIF(negtgel!U$2:BL$2,'Tsalin uzuulelt'!L$4,negtgel!U711:BL711)+SUMIF(negtgel!U$2:BL$2,'Tsalin uzuulelt'!L$5,negtgel!U711:BL711)</f>
      </c>
      <c r="L711">
        <f>SUMIF(negtgel!U$2:BL$2,'Tsalin uzuulelt'!N$1,negtgel!U711:BL711) + SUMIF(negtgel!U$2:BL$2,'Tsalin uzuulelt'!N$2,negtgel!U711:BL711)+SUMIF(negtgel!U$2:BL$2,'Tsalin uzuulelt'!N$3,negtgel!U711:BL711)+SUMIF(negtgel!U$2:BL$2,'Tsalin uzuulelt'!N$4,negtgel!U711:BL711)+SUMIF(negtgel!U$2:BL$2,'Tsalin uzuulelt'!N$5,negtgel!U711:BL711)</f>
      </c>
      <c r="M711">
        <f>SUMIF(negtgel!U$2:BL$2,'Tsalin uzuulelt'!P$1,negtgel!U711:BL711) + SUMIF(negtgel!U$2:BL$2,'Tsalin uzuulelt'!P$2,negtgel!U711:BL711)+ SUMIF(negtgel!U$2:BL$2,'Tsalin uzuulelt'!P$3,negtgel!U711:BL711)+ SUMIF(negtgel!U$2:BL$2,'Tsalin uzuulelt'!P$4,negtgel!U711:BL711)+ SUMIF(negtgel!U$2:BL$2,'Tsalin uzuulelt'!P$5,negtgel!U711:BL711)</f>
      </c>
      <c r="N711">
        <f>IF(ISNUMBER(U711*1)=CF711,0,K711-H711-G711)</f>
      </c>
      <c r="O711">
        <f>IF(ISNUMBER(U711*1)=CF711,0,L711)</f>
      </c>
      <c r="P711">
        <f>IF(ISNUMBER(U711*1)=CF711,0,M711)</f>
      </c>
      <c r="Q711">
        <f>IF(N711&gt;2400000,N711,0)</f>
      </c>
      <c r="R711">
        <f>IF(L711/Q711*100&lt;3,2,10)</f>
      </c>
      <c r="S711">
        <f>IF(CH711=0,0,IF(B711&gt;9,10,IF(B711&gt;8,B711,IF(B711&gt;7.7,7.8,IF(B711&gt;3,B711,IF(B711&gt;1.5,2))))))</f>
      </c>
      <c r="T711">
        <f>IF(Q711=0,S711,R711)</f>
      </c>
      <c r="U711" t="n">
        <v>55.0</v>
      </c>
      <c r="V711" t="s">
        <v>3802</v>
      </c>
      <c r="W711" t="s">
        <v>3792</v>
      </c>
      <c r="X711" t="n">
        <v>496912.0</v>
      </c>
      <c r="Y711" t="n">
        <v>496912.0</v>
      </c>
      <c r="Z711" t="n">
        <v>0.0</v>
      </c>
      <c r="AA711" t="n">
        <v>0.0</v>
      </c>
      <c r="AB711" t="n">
        <v>0.0</v>
      </c>
      <c r="AC711" t="n">
        <v>0.0</v>
      </c>
      <c r="AD711" t="n">
        <v>0.0</v>
      </c>
      <c r="AE711" t="n">
        <v>0.0</v>
      </c>
      <c r="AF711" t="n">
        <v>66000.0</v>
      </c>
      <c r="AG711" t="n">
        <v>0.0</v>
      </c>
      <c r="AH711" t="n">
        <v>0.0</v>
      </c>
      <c r="AI711" t="n">
        <v>0.0</v>
      </c>
      <c r="AJ711" t="n">
        <v>0.0</v>
      </c>
      <c r="AK711" t="n">
        <v>0.0</v>
      </c>
      <c r="AL711" t="n">
        <v>0.0</v>
      </c>
      <c r="AM711" t="n">
        <v>0.0</v>
      </c>
      <c r="AN711" t="n">
        <v>0.0</v>
      </c>
      <c r="AO711" t="n">
        <v>562912.0</v>
      </c>
      <c r="AP711" t="n">
        <v>56291.0</v>
      </c>
      <c r="AQ711" t="n">
        <v>44322.1</v>
      </c>
      <c r="CH711">
        <f>IFERROR(U711*1,0)</f>
      </c>
    </row>
    <row r="712">
      <c r="A712" t="n">
        <v>11.0</v>
      </c>
      <c r="B712">
        <f>IF((K712-G712-H712&gt;2400000),10,(L712/(K712-G712-H712)*100))</f>
      </c>
      <c r="C712">
        <f>IF(N712&gt;2400000,240000,(N712*S712)/100)</f>
      </c>
      <c r="D712">
        <f>IF(S712=0,0,IF((N712-I712)&gt;2400000,((((((N712-I712-J712)-240000))*0.1+(I712+J712)*0.1)))-7000,((((((N712-I712-J712)-(N712-I712-J712)*S712/100)))*0.1+(I712+J712)*0.1)-7000)))</f>
      </c>
      <c r="E712">
        <f>C712-O712</f>
      </c>
      <c r="F712">
        <f>D712-P712</f>
      </c>
      <c r="G712">
        <f>SUMIF(negtgel!U$2:BL$2,'Tsalin uzuulelt'!B$1,negtgel!U712:BL712) + SUMIF(negtgel!U$2:BL$2,'Tsalin uzuulelt'!B$2,negtgel!U712:BL712)+SUMIF(negtgel!U$2:BL$2,'Tsalin uzuulelt'!B$3,negtgel!U712:BL712)+SUMIF(negtgel!U$2:BL$2,'Tsalin uzuulelt'!B$4,negtgel!U712:BL712)+SUMIF(negtgel!U$2:BL$2,'Tsalin uzuulelt'!B$5,negtgel!U712:BL712)</f>
      </c>
      <c r="H712">
        <f>SUMIF(negtgel!U$2:BL$2,'Tsalin uzuulelt'!F$1,negtgel!U712:BL712) + SUMIF(negtgel!U$2:BL$2,'Tsalin uzuulelt'!F$2,negtgel!U712:BL712)+SUMIF(negtgel!U$2:BL$2,'Tsalin uzuulelt'!F$3,negtgel!U712:BL712)+SUMIF(negtgel!U$2:BL$2,'Tsalin uzuulelt'!F$4,negtgel!U712:BL712)+SUMIF(negtgel!U$2:BL$2,'Tsalin uzuulelt'!F$5,negtgel!U712:BL712)</f>
      </c>
      <c r="I712">
        <f>SUMIF(negtgel!U$2:BL$2,'Tsalin uzuulelt'!H$1,negtgel!U712:BL712) + SUMIF(negtgel!U$2:BL$2,'Tsalin uzuulelt'!H$2,negtgel!U712:BL712)+SUMIF(negtgel!U$2:BL$2,'Tsalin uzuulelt'!H$3,negtgel!U712:BL712)+SUMIF(negtgel!U$2:BL$2,'Tsalin uzuulelt'!H$4,negtgel!U712:BL712)+SUMIF(negtgel!U$2:BL$2,'Tsalin uzuulelt'!H$5,negtgel!U712:BL712)</f>
      </c>
      <c r="J712">
        <f>SUMIF(negtgel!U$2:BL$2,'Tsalin uzuulelt'!J$1,negtgel!U712:BL712) + SUMIF(negtgel!U$2:BL$2,'Tsalin uzuulelt'!J$2,negtgel!U712:BL712)+SUMIF(negtgel!U$2:BL$2,'Tsalin uzuulelt'!J$3,negtgel!U712:BL712)+SUMIF(negtgel!U$2:BL$2,'Tsalin uzuulelt'!J$4,negtgel!U712:BL712)+SUMIF(negtgel!U$2:BL$2,'Tsalin uzuulelt'!J$5,negtgel!U712:BL712)</f>
      </c>
      <c r="K712">
        <f>SUMIF(negtgel!U$2:BL$2,'Tsalin uzuulelt'!L$1,negtgel!U712:BL712) + SUMIF(negtgel!U$2:BL$2,'Tsalin uzuulelt'!L$2,negtgel!U712:BL712)+SUMIF(negtgel!U$2:BL$2,'Tsalin uzuulelt'!L$3,negtgel!U712:BL712)+SUMIF(negtgel!U$2:BL$2,'Tsalin uzuulelt'!L$4,negtgel!U712:BL712)+SUMIF(negtgel!U$2:BL$2,'Tsalin uzuulelt'!L$5,negtgel!U712:BL712)</f>
      </c>
      <c r="L712">
        <f>SUMIF(negtgel!U$2:BL$2,'Tsalin uzuulelt'!N$1,negtgel!U712:BL712) + SUMIF(negtgel!U$2:BL$2,'Tsalin uzuulelt'!N$2,negtgel!U712:BL712)+SUMIF(negtgel!U$2:BL$2,'Tsalin uzuulelt'!N$3,negtgel!U712:BL712)+SUMIF(negtgel!U$2:BL$2,'Tsalin uzuulelt'!N$4,negtgel!U712:BL712)+SUMIF(negtgel!U$2:BL$2,'Tsalin uzuulelt'!N$5,negtgel!U712:BL712)</f>
      </c>
      <c r="M712">
        <f>SUMIF(negtgel!U$2:BL$2,'Tsalin uzuulelt'!P$1,negtgel!U712:BL712) + SUMIF(negtgel!U$2:BL$2,'Tsalin uzuulelt'!P$2,negtgel!U712:BL712)+ SUMIF(negtgel!U$2:BL$2,'Tsalin uzuulelt'!P$3,negtgel!U712:BL712)+ SUMIF(negtgel!U$2:BL$2,'Tsalin uzuulelt'!P$4,negtgel!U712:BL712)+ SUMIF(negtgel!U$2:BL$2,'Tsalin uzuulelt'!P$5,negtgel!U712:BL712)</f>
      </c>
      <c r="N712">
        <f>IF(ISNUMBER(U712*1)=CF712,0,K712-H712-G712)</f>
      </c>
      <c r="O712">
        <f>IF(ISNUMBER(U712*1)=CF712,0,L712)</f>
      </c>
      <c r="P712">
        <f>IF(ISNUMBER(U712*1)=CF712,0,M712)</f>
      </c>
      <c r="Q712">
        <f>IF(N712&gt;2400000,N712,0)</f>
      </c>
      <c r="R712">
        <f>IF(L712/Q712*100&lt;3,2,10)</f>
      </c>
      <c r="S712">
        <f>IF(CH712=0,0,IF(B712&gt;9,10,IF(B712&gt;8,B712,IF(B712&gt;7.7,7.8,IF(B712&gt;3,B712,IF(B712&gt;1.5,2))))))</f>
      </c>
      <c r="T712">
        <f>IF(Q712=0,S712,R712)</f>
      </c>
      <c r="U712" t="n">
        <v>56.0</v>
      </c>
      <c r="V712" t="s">
        <v>3803</v>
      </c>
      <c r="W712" t="s">
        <v>3790</v>
      </c>
      <c r="X712" t="n">
        <v>733863.0</v>
      </c>
      <c r="Y712" t="n">
        <v>733863.0</v>
      </c>
      <c r="Z712" t="n">
        <v>146773.0</v>
      </c>
      <c r="AA712" t="n">
        <v>146773.0</v>
      </c>
      <c r="AB712" t="n">
        <v>0.0</v>
      </c>
      <c r="AC712" t="n">
        <v>110079.0</v>
      </c>
      <c r="AD712" t="n">
        <v>0.0</v>
      </c>
      <c r="AE712" t="n">
        <v>0.0</v>
      </c>
      <c r="AF712" t="n">
        <v>66000.0</v>
      </c>
      <c r="AG712" t="n">
        <v>0.0</v>
      </c>
      <c r="AH712" t="n">
        <v>0.0</v>
      </c>
      <c r="AI712" t="n">
        <v>0.0</v>
      </c>
      <c r="AJ712" t="n">
        <v>0.0</v>
      </c>
      <c r="AK712" t="n">
        <v>0.0</v>
      </c>
      <c r="AL712" t="n">
        <v>0.0</v>
      </c>
      <c r="AM712" t="n">
        <v>0.0</v>
      </c>
      <c r="AN712" t="n">
        <v>0.0</v>
      </c>
      <c r="AO712" t="n">
        <v>1203488.0</v>
      </c>
      <c r="AP712" t="n">
        <v>120349.0</v>
      </c>
      <c r="AQ712" t="n">
        <v>101973.9</v>
      </c>
      <c r="CH712">
        <f>IFERROR(U712*1,0)</f>
      </c>
    </row>
    <row r="713">
      <c r="A713" t="n">
        <v>11.0</v>
      </c>
      <c r="B713">
        <f>IF((K713-G713-H713&gt;2400000),10,(L713/(K713-G713-H713)*100))</f>
      </c>
      <c r="C713">
        <f>IF(N713&gt;2400000,240000,(N713*S713)/100)</f>
      </c>
      <c r="D713">
        <f>IF(S713=0,0,IF((N713-I713)&gt;2400000,((((((N713-I713-J713)-240000))*0.1+(I713+J713)*0.1)))-7000,((((((N713-I713-J713)-(N713-I713-J713)*S713/100)))*0.1+(I713+J713)*0.1)-7000)))</f>
      </c>
      <c r="E713">
        <f>C713-O713</f>
      </c>
      <c r="F713">
        <f>D713-P713</f>
      </c>
      <c r="G713">
        <f>SUMIF(negtgel!U$2:BL$2,'Tsalin uzuulelt'!B$1,negtgel!U713:BL713) + SUMIF(negtgel!U$2:BL$2,'Tsalin uzuulelt'!B$2,negtgel!U713:BL713)+SUMIF(negtgel!U$2:BL$2,'Tsalin uzuulelt'!B$3,negtgel!U713:BL713)+SUMIF(negtgel!U$2:BL$2,'Tsalin uzuulelt'!B$4,negtgel!U713:BL713)+SUMIF(negtgel!U$2:BL$2,'Tsalin uzuulelt'!B$5,negtgel!U713:BL713)</f>
      </c>
      <c r="H713">
        <f>SUMIF(negtgel!U$2:BL$2,'Tsalin uzuulelt'!F$1,negtgel!U713:BL713) + SUMIF(negtgel!U$2:BL$2,'Tsalin uzuulelt'!F$2,negtgel!U713:BL713)+SUMIF(negtgel!U$2:BL$2,'Tsalin uzuulelt'!F$3,negtgel!U713:BL713)+SUMIF(negtgel!U$2:BL$2,'Tsalin uzuulelt'!F$4,negtgel!U713:BL713)+SUMIF(negtgel!U$2:BL$2,'Tsalin uzuulelt'!F$5,negtgel!U713:BL713)</f>
      </c>
      <c r="I713">
        <f>SUMIF(negtgel!U$2:BL$2,'Tsalin uzuulelt'!H$1,negtgel!U713:BL713) + SUMIF(negtgel!U$2:BL$2,'Tsalin uzuulelt'!H$2,negtgel!U713:BL713)+SUMIF(negtgel!U$2:BL$2,'Tsalin uzuulelt'!H$3,negtgel!U713:BL713)+SUMIF(negtgel!U$2:BL$2,'Tsalin uzuulelt'!H$4,negtgel!U713:BL713)+SUMIF(negtgel!U$2:BL$2,'Tsalin uzuulelt'!H$5,negtgel!U713:BL713)</f>
      </c>
      <c r="J713">
        <f>SUMIF(negtgel!U$2:BL$2,'Tsalin uzuulelt'!J$1,negtgel!U713:BL713) + SUMIF(negtgel!U$2:BL$2,'Tsalin uzuulelt'!J$2,negtgel!U713:BL713)+SUMIF(negtgel!U$2:BL$2,'Tsalin uzuulelt'!J$3,negtgel!U713:BL713)+SUMIF(negtgel!U$2:BL$2,'Tsalin uzuulelt'!J$4,negtgel!U713:BL713)+SUMIF(negtgel!U$2:BL$2,'Tsalin uzuulelt'!J$5,negtgel!U713:BL713)</f>
      </c>
      <c r="K713">
        <f>SUMIF(negtgel!U$2:BL$2,'Tsalin uzuulelt'!L$1,negtgel!U713:BL713) + SUMIF(negtgel!U$2:BL$2,'Tsalin uzuulelt'!L$2,negtgel!U713:BL713)+SUMIF(negtgel!U$2:BL$2,'Tsalin uzuulelt'!L$3,negtgel!U713:BL713)+SUMIF(negtgel!U$2:BL$2,'Tsalin uzuulelt'!L$4,negtgel!U713:BL713)+SUMIF(negtgel!U$2:BL$2,'Tsalin uzuulelt'!L$5,negtgel!U713:BL713)</f>
      </c>
      <c r="L713">
        <f>SUMIF(negtgel!U$2:BL$2,'Tsalin uzuulelt'!N$1,negtgel!U713:BL713) + SUMIF(negtgel!U$2:BL$2,'Tsalin uzuulelt'!N$2,negtgel!U713:BL713)+SUMIF(negtgel!U$2:BL$2,'Tsalin uzuulelt'!N$3,negtgel!U713:BL713)+SUMIF(negtgel!U$2:BL$2,'Tsalin uzuulelt'!N$4,negtgel!U713:BL713)+SUMIF(negtgel!U$2:BL$2,'Tsalin uzuulelt'!N$5,negtgel!U713:BL713)</f>
      </c>
      <c r="M713">
        <f>SUMIF(negtgel!U$2:BL$2,'Tsalin uzuulelt'!P$1,negtgel!U713:BL713) + SUMIF(negtgel!U$2:BL$2,'Tsalin uzuulelt'!P$2,negtgel!U713:BL713)+ SUMIF(negtgel!U$2:BL$2,'Tsalin uzuulelt'!P$3,negtgel!U713:BL713)+ SUMIF(negtgel!U$2:BL$2,'Tsalin uzuulelt'!P$4,negtgel!U713:BL713)+ SUMIF(negtgel!U$2:BL$2,'Tsalin uzuulelt'!P$5,negtgel!U713:BL713)</f>
      </c>
      <c r="N713">
        <f>IF(ISNUMBER(U713*1)=CF713,0,K713-H713-G713)</f>
      </c>
      <c r="O713">
        <f>IF(ISNUMBER(U713*1)=CF713,0,L713)</f>
      </c>
      <c r="P713">
        <f>IF(ISNUMBER(U713*1)=CF713,0,M713)</f>
      </c>
      <c r="Q713">
        <f>IF(N713&gt;2400000,N713,0)</f>
      </c>
      <c r="R713">
        <f>IF(L713/Q713*100&lt;3,2,10)</f>
      </c>
      <c r="S713">
        <f>IF(CH713=0,0,IF(B713&gt;9,10,IF(B713&gt;8,B713,IF(B713&gt;7.7,7.8,IF(B713&gt;3,B713,IF(B713&gt;1.5,2))))))</f>
      </c>
      <c r="T713">
        <f>IF(Q713=0,S713,R713)</f>
      </c>
      <c r="U713" t="s">
        <v>3787</v>
      </c>
      <c r="V713"/>
      <c r="W713"/>
      <c r="X713" t="n">
        <v>5622775.0</v>
      </c>
      <c r="Y713" t="n">
        <v>4914428.0</v>
      </c>
      <c r="Z713" t="n">
        <v>490511.0</v>
      </c>
      <c r="AA713" t="n">
        <v>656231.0</v>
      </c>
      <c r="AB713" t="n">
        <v>0.0</v>
      </c>
      <c r="AC713" t="n">
        <v>211694.0</v>
      </c>
      <c r="AD713" t="n">
        <v>0.0</v>
      </c>
      <c r="AE713" t="n">
        <v>0.0</v>
      </c>
      <c r="AF713" t="n">
        <v>507000.0</v>
      </c>
      <c r="AG713" t="n">
        <v>0.0</v>
      </c>
      <c r="AH713" t="n">
        <v>0.0</v>
      </c>
      <c r="AI713" t="n">
        <v>0.0</v>
      </c>
      <c r="AJ713" t="n">
        <v>920919.0</v>
      </c>
      <c r="AK713" t="n">
        <v>0.0</v>
      </c>
      <c r="AL713" t="n">
        <v>0.0</v>
      </c>
      <c r="AM713" t="n">
        <v>0.0</v>
      </c>
      <c r="AN713" t="n">
        <v>0.0</v>
      </c>
      <c r="AO713" t="n">
        <v>7700783.0</v>
      </c>
      <c r="AP713" t="n">
        <v>770078.0</v>
      </c>
      <c r="AQ713" t="n">
        <v>635140.5</v>
      </c>
      <c r="CH713">
        <f>IFERROR(U713*1,0)</f>
      </c>
    </row>
    <row r="714">
      <c r="A714" t="n">
        <v>11.0</v>
      </c>
      <c r="B714">
        <f>IF((K714-G714-H714&gt;2400000),10,(L714/(K714-G714-H714)*100))</f>
      </c>
      <c r="C714">
        <f>IF(N714&gt;2400000,240000,(N714*S714)/100)</f>
      </c>
      <c r="D714">
        <f>IF(S714=0,0,IF((N714-I714)&gt;2400000,((((((N714-I714-J714)-240000))*0.1+(I714+J714)*0.1)))-7000,((((((N714-I714-J714)-(N714-I714-J714)*S714/100)))*0.1+(I714+J714)*0.1)-7000)))</f>
      </c>
      <c r="E714">
        <f>C714-O714</f>
      </c>
      <c r="F714">
        <f>D714-P714</f>
      </c>
      <c r="G714">
        <f>SUMIF(negtgel!U$2:BL$2,'Tsalin uzuulelt'!B$1,negtgel!U714:BL714) + SUMIF(negtgel!U$2:BL$2,'Tsalin uzuulelt'!B$2,negtgel!U714:BL714)+SUMIF(negtgel!U$2:BL$2,'Tsalin uzuulelt'!B$3,negtgel!U714:BL714)+SUMIF(negtgel!U$2:BL$2,'Tsalin uzuulelt'!B$4,negtgel!U714:BL714)+SUMIF(negtgel!U$2:BL$2,'Tsalin uzuulelt'!B$5,negtgel!U714:BL714)</f>
      </c>
      <c r="H714">
        <f>SUMIF(negtgel!U$2:BL$2,'Tsalin uzuulelt'!F$1,negtgel!U714:BL714) + SUMIF(negtgel!U$2:BL$2,'Tsalin uzuulelt'!F$2,negtgel!U714:BL714)+SUMIF(negtgel!U$2:BL$2,'Tsalin uzuulelt'!F$3,negtgel!U714:BL714)+SUMIF(negtgel!U$2:BL$2,'Tsalin uzuulelt'!F$4,negtgel!U714:BL714)+SUMIF(negtgel!U$2:BL$2,'Tsalin uzuulelt'!F$5,negtgel!U714:BL714)</f>
      </c>
      <c r="I714">
        <f>SUMIF(negtgel!U$2:BL$2,'Tsalin uzuulelt'!H$1,negtgel!U714:BL714) + SUMIF(negtgel!U$2:BL$2,'Tsalin uzuulelt'!H$2,negtgel!U714:BL714)+SUMIF(negtgel!U$2:BL$2,'Tsalin uzuulelt'!H$3,negtgel!U714:BL714)+SUMIF(negtgel!U$2:BL$2,'Tsalin uzuulelt'!H$4,negtgel!U714:BL714)+SUMIF(negtgel!U$2:BL$2,'Tsalin uzuulelt'!H$5,negtgel!U714:BL714)</f>
      </c>
      <c r="J714">
        <f>SUMIF(negtgel!U$2:BL$2,'Tsalin uzuulelt'!J$1,negtgel!U714:BL714) + SUMIF(negtgel!U$2:BL$2,'Tsalin uzuulelt'!J$2,negtgel!U714:BL714)+SUMIF(negtgel!U$2:BL$2,'Tsalin uzuulelt'!J$3,negtgel!U714:BL714)+SUMIF(negtgel!U$2:BL$2,'Tsalin uzuulelt'!J$4,negtgel!U714:BL714)+SUMIF(negtgel!U$2:BL$2,'Tsalin uzuulelt'!J$5,negtgel!U714:BL714)</f>
      </c>
      <c r="K714">
        <f>SUMIF(negtgel!U$2:BL$2,'Tsalin uzuulelt'!L$1,negtgel!U714:BL714) + SUMIF(negtgel!U$2:BL$2,'Tsalin uzuulelt'!L$2,negtgel!U714:BL714)+SUMIF(negtgel!U$2:BL$2,'Tsalin uzuulelt'!L$3,negtgel!U714:BL714)+SUMIF(negtgel!U$2:BL$2,'Tsalin uzuulelt'!L$4,negtgel!U714:BL714)+SUMIF(negtgel!U$2:BL$2,'Tsalin uzuulelt'!L$5,negtgel!U714:BL714)</f>
      </c>
      <c r="L714">
        <f>SUMIF(negtgel!U$2:BL$2,'Tsalin uzuulelt'!N$1,negtgel!U714:BL714) + SUMIF(negtgel!U$2:BL$2,'Tsalin uzuulelt'!N$2,negtgel!U714:BL714)+SUMIF(negtgel!U$2:BL$2,'Tsalin uzuulelt'!N$3,negtgel!U714:BL714)+SUMIF(negtgel!U$2:BL$2,'Tsalin uzuulelt'!N$4,negtgel!U714:BL714)+SUMIF(negtgel!U$2:BL$2,'Tsalin uzuulelt'!N$5,negtgel!U714:BL714)</f>
      </c>
      <c r="M714">
        <f>SUMIF(negtgel!U$2:BL$2,'Tsalin uzuulelt'!P$1,negtgel!U714:BL714) + SUMIF(negtgel!U$2:BL$2,'Tsalin uzuulelt'!P$2,negtgel!U714:BL714)+ SUMIF(negtgel!U$2:BL$2,'Tsalin uzuulelt'!P$3,negtgel!U714:BL714)+ SUMIF(negtgel!U$2:BL$2,'Tsalin uzuulelt'!P$4,negtgel!U714:BL714)+ SUMIF(negtgel!U$2:BL$2,'Tsalin uzuulelt'!P$5,negtgel!U714:BL714)</f>
      </c>
      <c r="N714">
        <f>IF(ISNUMBER(U714*1)=CF714,0,K714-H714-G714)</f>
      </c>
      <c r="O714">
        <f>IF(ISNUMBER(U714*1)=CF714,0,L714)</f>
      </c>
      <c r="P714">
        <f>IF(ISNUMBER(U714*1)=CF714,0,M714)</f>
      </c>
      <c r="Q714">
        <f>IF(N714&gt;2400000,N714,0)</f>
      </c>
      <c r="R714">
        <f>IF(L714/Q714*100&lt;3,2,10)</f>
      </c>
      <c r="S714">
        <f>IF(CH714=0,0,IF(B714&gt;9,10,IF(B714&gt;8,B714,IF(B714&gt;7.7,7.8,IF(B714&gt;3,B714,IF(B714&gt;1.5,2))))))</f>
      </c>
      <c r="T714">
        <f>IF(Q714=0,S714,R714)</f>
      </c>
      <c r="U714" t="s">
        <v>3804</v>
      </c>
      <c r="V714"/>
      <c r="W714"/>
      <c r="X714"/>
      <c r="Y714"/>
      <c r="Z714"/>
      <c r="AA714"/>
      <c r="AB714"/>
      <c r="AC714"/>
      <c r="AD714"/>
      <c r="AE714"/>
      <c r="AF714"/>
      <c r="AG714"/>
      <c r="AH714"/>
      <c r="AI714"/>
      <c r="AJ714"/>
      <c r="AK714"/>
      <c r="AL714"/>
      <c r="AM714"/>
      <c r="AN714"/>
      <c r="AO714"/>
      <c r="AP714"/>
      <c r="AQ714"/>
      <c r="CH714">
        <f>IFERROR(U714*1,0)</f>
      </c>
    </row>
    <row r="715">
      <c r="A715" t="n">
        <v>11.0</v>
      </c>
      <c r="B715">
        <f>IF((K715-G715-H715&gt;2400000),10,(L715/(K715-G715-H715)*100))</f>
      </c>
      <c r="C715">
        <f>IF(N715&gt;2400000,240000,(N715*S715)/100)</f>
      </c>
      <c r="D715">
        <f>IF(S715=0,0,IF((N715-I715)&gt;2400000,((((((N715-I715-J715)-240000))*0.1+(I715+J715)*0.1)))-7000,((((((N715-I715-J715)-(N715-I715-J715)*S715/100)))*0.1+(I715+J715)*0.1)-7000)))</f>
      </c>
      <c r="E715">
        <f>C715-O715</f>
      </c>
      <c r="F715">
        <f>D715-P715</f>
      </c>
      <c r="G715">
        <f>SUMIF(negtgel!U$2:BL$2,'Tsalin uzuulelt'!B$1,negtgel!U715:BL715) + SUMIF(negtgel!U$2:BL$2,'Tsalin uzuulelt'!B$2,negtgel!U715:BL715)+SUMIF(negtgel!U$2:BL$2,'Tsalin uzuulelt'!B$3,negtgel!U715:BL715)+SUMIF(negtgel!U$2:BL$2,'Tsalin uzuulelt'!B$4,negtgel!U715:BL715)+SUMIF(negtgel!U$2:BL$2,'Tsalin uzuulelt'!B$5,negtgel!U715:BL715)</f>
      </c>
      <c r="H715">
        <f>SUMIF(negtgel!U$2:BL$2,'Tsalin uzuulelt'!F$1,negtgel!U715:BL715) + SUMIF(negtgel!U$2:BL$2,'Tsalin uzuulelt'!F$2,negtgel!U715:BL715)+SUMIF(negtgel!U$2:BL$2,'Tsalin uzuulelt'!F$3,negtgel!U715:BL715)+SUMIF(negtgel!U$2:BL$2,'Tsalin uzuulelt'!F$4,negtgel!U715:BL715)+SUMIF(negtgel!U$2:BL$2,'Tsalin uzuulelt'!F$5,negtgel!U715:BL715)</f>
      </c>
      <c r="I715">
        <f>SUMIF(negtgel!U$2:BL$2,'Tsalin uzuulelt'!H$1,negtgel!U715:BL715) + SUMIF(negtgel!U$2:BL$2,'Tsalin uzuulelt'!H$2,negtgel!U715:BL715)+SUMIF(negtgel!U$2:BL$2,'Tsalin uzuulelt'!H$3,negtgel!U715:BL715)+SUMIF(negtgel!U$2:BL$2,'Tsalin uzuulelt'!H$4,negtgel!U715:BL715)+SUMIF(negtgel!U$2:BL$2,'Tsalin uzuulelt'!H$5,negtgel!U715:BL715)</f>
      </c>
      <c r="J715">
        <f>SUMIF(negtgel!U$2:BL$2,'Tsalin uzuulelt'!J$1,negtgel!U715:BL715) + SUMIF(negtgel!U$2:BL$2,'Tsalin uzuulelt'!J$2,negtgel!U715:BL715)+SUMIF(negtgel!U$2:BL$2,'Tsalin uzuulelt'!J$3,negtgel!U715:BL715)+SUMIF(negtgel!U$2:BL$2,'Tsalin uzuulelt'!J$4,negtgel!U715:BL715)+SUMIF(negtgel!U$2:BL$2,'Tsalin uzuulelt'!J$5,negtgel!U715:BL715)</f>
      </c>
      <c r="K715">
        <f>SUMIF(negtgel!U$2:BL$2,'Tsalin uzuulelt'!L$1,negtgel!U715:BL715) + SUMIF(negtgel!U$2:BL$2,'Tsalin uzuulelt'!L$2,negtgel!U715:BL715)+SUMIF(negtgel!U$2:BL$2,'Tsalin uzuulelt'!L$3,negtgel!U715:BL715)+SUMIF(negtgel!U$2:BL$2,'Tsalin uzuulelt'!L$4,negtgel!U715:BL715)+SUMIF(negtgel!U$2:BL$2,'Tsalin uzuulelt'!L$5,negtgel!U715:BL715)</f>
      </c>
      <c r="L715">
        <f>SUMIF(negtgel!U$2:BL$2,'Tsalin uzuulelt'!N$1,negtgel!U715:BL715) + SUMIF(negtgel!U$2:BL$2,'Tsalin uzuulelt'!N$2,negtgel!U715:BL715)+SUMIF(negtgel!U$2:BL$2,'Tsalin uzuulelt'!N$3,negtgel!U715:BL715)+SUMIF(negtgel!U$2:BL$2,'Tsalin uzuulelt'!N$4,negtgel!U715:BL715)+SUMIF(negtgel!U$2:BL$2,'Tsalin uzuulelt'!N$5,negtgel!U715:BL715)</f>
      </c>
      <c r="M715">
        <f>SUMIF(negtgel!U$2:BL$2,'Tsalin uzuulelt'!P$1,negtgel!U715:BL715) + SUMIF(negtgel!U$2:BL$2,'Tsalin uzuulelt'!P$2,negtgel!U715:BL715)+ SUMIF(negtgel!U$2:BL$2,'Tsalin uzuulelt'!P$3,negtgel!U715:BL715)+ SUMIF(negtgel!U$2:BL$2,'Tsalin uzuulelt'!P$4,negtgel!U715:BL715)+ SUMIF(negtgel!U$2:BL$2,'Tsalin uzuulelt'!P$5,negtgel!U715:BL715)</f>
      </c>
      <c r="N715">
        <f>IF(ISNUMBER(U715*1)=CF715,0,K715-H715-G715)</f>
      </c>
      <c r="O715">
        <f>IF(ISNUMBER(U715*1)=CF715,0,L715)</f>
      </c>
      <c r="P715">
        <f>IF(ISNUMBER(U715*1)=CF715,0,M715)</f>
      </c>
      <c r="Q715">
        <f>IF(N715&gt;2400000,N715,0)</f>
      </c>
      <c r="R715">
        <f>IF(L715/Q715*100&lt;3,2,10)</f>
      </c>
      <c r="S715">
        <f>IF(CH715=0,0,IF(B715&gt;9,10,IF(B715&gt;8,B715,IF(B715&gt;7.7,7.8,IF(B715&gt;3,B715,IF(B715&gt;1.5,2))))))</f>
      </c>
      <c r="T715">
        <f>IF(Q715=0,S715,R715)</f>
      </c>
      <c r="U715" t="n">
        <v>57.0</v>
      </c>
      <c r="V715" t="s">
        <v>3805</v>
      </c>
      <c r="W715" t="s">
        <v>3790</v>
      </c>
      <c r="X715" t="n">
        <v>645556.0</v>
      </c>
      <c r="Y715" t="n">
        <v>616213.0</v>
      </c>
      <c r="Z715" t="n">
        <v>61621.0</v>
      </c>
      <c r="AA715" t="n">
        <v>104756.0</v>
      </c>
      <c r="AB715" t="n">
        <v>0.0</v>
      </c>
      <c r="AC715" t="n">
        <v>0.0</v>
      </c>
      <c r="AD715" t="n">
        <v>0.0</v>
      </c>
      <c r="AE715" t="n">
        <v>0.0</v>
      </c>
      <c r="AF715" t="n">
        <v>63000.0</v>
      </c>
      <c r="AG715" t="n">
        <v>0.0</v>
      </c>
      <c r="AH715" t="n">
        <v>0.0</v>
      </c>
      <c r="AI715" t="n">
        <v>0.0</v>
      </c>
      <c r="AJ715" t="n">
        <v>0.0</v>
      </c>
      <c r="AK715" t="n">
        <v>0.0</v>
      </c>
      <c r="AL715" t="n">
        <v>0.0</v>
      </c>
      <c r="AM715" t="n">
        <v>0.0</v>
      </c>
      <c r="AN715" t="n">
        <v>0.0</v>
      </c>
      <c r="AO715" t="n">
        <v>845590.0</v>
      </c>
      <c r="AP715" t="n">
        <v>84559.0</v>
      </c>
      <c r="AQ715" t="n">
        <v>69733.1</v>
      </c>
      <c r="CH715">
        <f>IFERROR(U715*1,0)</f>
      </c>
    </row>
    <row r="716">
      <c r="A716" t="n">
        <v>11.0</v>
      </c>
      <c r="B716">
        <f>IF((K716-G716-H716&gt;2400000),10,(L716/(K716-G716-H716)*100))</f>
      </c>
      <c r="C716">
        <f>IF(N716&gt;2400000,240000,(N716*S716)/100)</f>
      </c>
      <c r="D716">
        <f>IF(S716=0,0,IF((N716-I716)&gt;2400000,((((((N716-I716-J716)-240000))*0.1+(I716+J716)*0.1)))-7000,((((((N716-I716-J716)-(N716-I716-J716)*S716/100)))*0.1+(I716+J716)*0.1)-7000)))</f>
      </c>
      <c r="E716">
        <f>C716-O716</f>
      </c>
      <c r="F716">
        <f>D716-P716</f>
      </c>
      <c r="G716">
        <f>SUMIF(negtgel!U$2:BL$2,'Tsalin uzuulelt'!B$1,negtgel!U716:BL716) + SUMIF(negtgel!U$2:BL$2,'Tsalin uzuulelt'!B$2,negtgel!U716:BL716)+SUMIF(negtgel!U$2:BL$2,'Tsalin uzuulelt'!B$3,negtgel!U716:BL716)+SUMIF(negtgel!U$2:BL$2,'Tsalin uzuulelt'!B$4,negtgel!U716:BL716)+SUMIF(negtgel!U$2:BL$2,'Tsalin uzuulelt'!B$5,negtgel!U716:BL716)</f>
      </c>
      <c r="H716">
        <f>SUMIF(negtgel!U$2:BL$2,'Tsalin uzuulelt'!F$1,negtgel!U716:BL716) + SUMIF(negtgel!U$2:BL$2,'Tsalin uzuulelt'!F$2,negtgel!U716:BL716)+SUMIF(negtgel!U$2:BL$2,'Tsalin uzuulelt'!F$3,negtgel!U716:BL716)+SUMIF(negtgel!U$2:BL$2,'Tsalin uzuulelt'!F$4,negtgel!U716:BL716)+SUMIF(negtgel!U$2:BL$2,'Tsalin uzuulelt'!F$5,negtgel!U716:BL716)</f>
      </c>
      <c r="I716">
        <f>SUMIF(negtgel!U$2:BL$2,'Tsalin uzuulelt'!H$1,negtgel!U716:BL716) + SUMIF(negtgel!U$2:BL$2,'Tsalin uzuulelt'!H$2,negtgel!U716:BL716)+SUMIF(negtgel!U$2:BL$2,'Tsalin uzuulelt'!H$3,negtgel!U716:BL716)+SUMIF(negtgel!U$2:BL$2,'Tsalin uzuulelt'!H$4,negtgel!U716:BL716)+SUMIF(negtgel!U$2:BL$2,'Tsalin uzuulelt'!H$5,negtgel!U716:BL716)</f>
      </c>
      <c r="J716">
        <f>SUMIF(negtgel!U$2:BL$2,'Tsalin uzuulelt'!J$1,negtgel!U716:BL716) + SUMIF(negtgel!U$2:BL$2,'Tsalin uzuulelt'!J$2,negtgel!U716:BL716)+SUMIF(negtgel!U$2:BL$2,'Tsalin uzuulelt'!J$3,negtgel!U716:BL716)+SUMIF(negtgel!U$2:BL$2,'Tsalin uzuulelt'!J$4,negtgel!U716:BL716)+SUMIF(negtgel!U$2:BL$2,'Tsalin uzuulelt'!J$5,negtgel!U716:BL716)</f>
      </c>
      <c r="K716">
        <f>SUMIF(negtgel!U$2:BL$2,'Tsalin uzuulelt'!L$1,negtgel!U716:BL716) + SUMIF(negtgel!U$2:BL$2,'Tsalin uzuulelt'!L$2,negtgel!U716:BL716)+SUMIF(negtgel!U$2:BL$2,'Tsalin uzuulelt'!L$3,negtgel!U716:BL716)+SUMIF(negtgel!U$2:BL$2,'Tsalin uzuulelt'!L$4,negtgel!U716:BL716)+SUMIF(negtgel!U$2:BL$2,'Tsalin uzuulelt'!L$5,negtgel!U716:BL716)</f>
      </c>
      <c r="L716">
        <f>SUMIF(negtgel!U$2:BL$2,'Tsalin uzuulelt'!N$1,negtgel!U716:BL716) + SUMIF(negtgel!U$2:BL$2,'Tsalin uzuulelt'!N$2,negtgel!U716:BL716)+SUMIF(negtgel!U$2:BL$2,'Tsalin uzuulelt'!N$3,negtgel!U716:BL716)+SUMIF(negtgel!U$2:BL$2,'Tsalin uzuulelt'!N$4,negtgel!U716:BL716)+SUMIF(negtgel!U$2:BL$2,'Tsalin uzuulelt'!N$5,negtgel!U716:BL716)</f>
      </c>
      <c r="M716">
        <f>SUMIF(negtgel!U$2:BL$2,'Tsalin uzuulelt'!P$1,negtgel!U716:BL716) + SUMIF(negtgel!U$2:BL$2,'Tsalin uzuulelt'!P$2,negtgel!U716:BL716)+ SUMIF(negtgel!U$2:BL$2,'Tsalin uzuulelt'!P$3,negtgel!U716:BL716)+ SUMIF(negtgel!U$2:BL$2,'Tsalin uzuulelt'!P$4,negtgel!U716:BL716)+ SUMIF(negtgel!U$2:BL$2,'Tsalin uzuulelt'!P$5,negtgel!U716:BL716)</f>
      </c>
      <c r="N716">
        <f>IF(ISNUMBER(U716*1)=CF716,0,K716-H716-G716)</f>
      </c>
      <c r="O716">
        <f>IF(ISNUMBER(U716*1)=CF716,0,L716)</f>
      </c>
      <c r="P716">
        <f>IF(ISNUMBER(U716*1)=CF716,0,M716)</f>
      </c>
      <c r="Q716">
        <f>IF(N716&gt;2400000,N716,0)</f>
      </c>
      <c r="R716">
        <f>IF(L716/Q716*100&lt;3,2,10)</f>
      </c>
      <c r="S716">
        <f>IF(CH716=0,0,IF(B716&gt;9,10,IF(B716&gt;8,B716,IF(B716&gt;7.7,7.8,IF(B716&gt;3,B716,IF(B716&gt;1.5,2))))))</f>
      </c>
      <c r="T716">
        <f>IF(Q716=0,S716,R716)</f>
      </c>
      <c r="U716" t="n">
        <v>58.0</v>
      </c>
      <c r="V716" t="s">
        <v>3852</v>
      </c>
      <c r="W716" t="s">
        <v>3792</v>
      </c>
      <c r="X716" t="n">
        <v>496912.0</v>
      </c>
      <c r="Y716" t="n">
        <v>496912.0</v>
      </c>
      <c r="Z716" t="n">
        <v>0.0</v>
      </c>
      <c r="AA716" t="n">
        <v>0.0</v>
      </c>
      <c r="AB716" t="n">
        <v>49691.0</v>
      </c>
      <c r="AC716" t="n">
        <v>0.0</v>
      </c>
      <c r="AD716" t="n">
        <v>0.0</v>
      </c>
      <c r="AE716" t="n">
        <v>0.0</v>
      </c>
      <c r="AF716" t="n">
        <v>66000.0</v>
      </c>
      <c r="AG716" t="n">
        <v>0.0</v>
      </c>
      <c r="AH716" t="n">
        <v>0.0</v>
      </c>
      <c r="AI716" t="n">
        <v>0.0</v>
      </c>
      <c r="AJ716" t="n">
        <v>0.0</v>
      </c>
      <c r="AK716" t="n">
        <v>0.0</v>
      </c>
      <c r="AL716" t="n">
        <v>0.0</v>
      </c>
      <c r="AM716" t="n">
        <v>0.0</v>
      </c>
      <c r="AN716" t="n">
        <v>0.0</v>
      </c>
      <c r="AO716" t="n">
        <v>612603.0</v>
      </c>
      <c r="AP716" t="n">
        <v>61260.0</v>
      </c>
      <c r="AQ716" t="n">
        <v>48794.3</v>
      </c>
      <c r="CH716">
        <f>IFERROR(U716*1,0)</f>
      </c>
    </row>
    <row r="717">
      <c r="A717" t="n">
        <v>11.0</v>
      </c>
      <c r="B717">
        <f>IF((K717-G717-H717&gt;2400000),10,(L717/(K717-G717-H717)*100))</f>
      </c>
      <c r="C717">
        <f>IF(N717&gt;2400000,240000,(N717*S717)/100)</f>
      </c>
      <c r="D717">
        <f>IF(S717=0,0,IF((N717-I717)&gt;2400000,((((((N717-I717-J717)-240000))*0.1+(I717+J717)*0.1)))-7000,((((((N717-I717-J717)-(N717-I717-J717)*S717/100)))*0.1+(I717+J717)*0.1)-7000)))</f>
      </c>
      <c r="E717">
        <f>C717-O717</f>
      </c>
      <c r="F717">
        <f>D717-P717</f>
      </c>
      <c r="G717">
        <f>SUMIF(negtgel!U$2:BL$2,'Tsalin uzuulelt'!B$1,negtgel!U717:BL717) + SUMIF(negtgel!U$2:BL$2,'Tsalin uzuulelt'!B$2,negtgel!U717:BL717)+SUMIF(negtgel!U$2:BL$2,'Tsalin uzuulelt'!B$3,negtgel!U717:BL717)+SUMIF(negtgel!U$2:BL$2,'Tsalin uzuulelt'!B$4,negtgel!U717:BL717)+SUMIF(negtgel!U$2:BL$2,'Tsalin uzuulelt'!B$5,negtgel!U717:BL717)</f>
      </c>
      <c r="H717">
        <f>SUMIF(negtgel!U$2:BL$2,'Tsalin uzuulelt'!F$1,negtgel!U717:BL717) + SUMIF(negtgel!U$2:BL$2,'Tsalin uzuulelt'!F$2,negtgel!U717:BL717)+SUMIF(negtgel!U$2:BL$2,'Tsalin uzuulelt'!F$3,negtgel!U717:BL717)+SUMIF(negtgel!U$2:BL$2,'Tsalin uzuulelt'!F$4,negtgel!U717:BL717)+SUMIF(negtgel!U$2:BL$2,'Tsalin uzuulelt'!F$5,negtgel!U717:BL717)</f>
      </c>
      <c r="I717">
        <f>SUMIF(negtgel!U$2:BL$2,'Tsalin uzuulelt'!H$1,negtgel!U717:BL717) + SUMIF(negtgel!U$2:BL$2,'Tsalin uzuulelt'!H$2,negtgel!U717:BL717)+SUMIF(negtgel!U$2:BL$2,'Tsalin uzuulelt'!H$3,negtgel!U717:BL717)+SUMIF(negtgel!U$2:BL$2,'Tsalin uzuulelt'!H$4,negtgel!U717:BL717)+SUMIF(negtgel!U$2:BL$2,'Tsalin uzuulelt'!H$5,negtgel!U717:BL717)</f>
      </c>
      <c r="J717">
        <f>SUMIF(negtgel!U$2:BL$2,'Tsalin uzuulelt'!J$1,negtgel!U717:BL717) + SUMIF(negtgel!U$2:BL$2,'Tsalin uzuulelt'!J$2,negtgel!U717:BL717)+SUMIF(negtgel!U$2:BL$2,'Tsalin uzuulelt'!J$3,negtgel!U717:BL717)+SUMIF(negtgel!U$2:BL$2,'Tsalin uzuulelt'!J$4,negtgel!U717:BL717)+SUMIF(negtgel!U$2:BL$2,'Tsalin uzuulelt'!J$5,negtgel!U717:BL717)</f>
      </c>
      <c r="K717">
        <f>SUMIF(negtgel!U$2:BL$2,'Tsalin uzuulelt'!L$1,negtgel!U717:BL717) + SUMIF(negtgel!U$2:BL$2,'Tsalin uzuulelt'!L$2,negtgel!U717:BL717)+SUMIF(negtgel!U$2:BL$2,'Tsalin uzuulelt'!L$3,negtgel!U717:BL717)+SUMIF(negtgel!U$2:BL$2,'Tsalin uzuulelt'!L$4,negtgel!U717:BL717)+SUMIF(negtgel!U$2:BL$2,'Tsalin uzuulelt'!L$5,negtgel!U717:BL717)</f>
      </c>
      <c r="L717">
        <f>SUMIF(negtgel!U$2:BL$2,'Tsalin uzuulelt'!N$1,negtgel!U717:BL717) + SUMIF(negtgel!U$2:BL$2,'Tsalin uzuulelt'!N$2,negtgel!U717:BL717)+SUMIF(negtgel!U$2:BL$2,'Tsalin uzuulelt'!N$3,negtgel!U717:BL717)+SUMIF(negtgel!U$2:BL$2,'Tsalin uzuulelt'!N$4,negtgel!U717:BL717)+SUMIF(negtgel!U$2:BL$2,'Tsalin uzuulelt'!N$5,negtgel!U717:BL717)</f>
      </c>
      <c r="M717">
        <f>SUMIF(negtgel!U$2:BL$2,'Tsalin uzuulelt'!P$1,negtgel!U717:BL717) + SUMIF(negtgel!U$2:BL$2,'Tsalin uzuulelt'!P$2,negtgel!U717:BL717)+ SUMIF(negtgel!U$2:BL$2,'Tsalin uzuulelt'!P$3,negtgel!U717:BL717)+ SUMIF(negtgel!U$2:BL$2,'Tsalin uzuulelt'!P$4,negtgel!U717:BL717)+ SUMIF(negtgel!U$2:BL$2,'Tsalin uzuulelt'!P$5,negtgel!U717:BL717)</f>
      </c>
      <c r="N717">
        <f>IF(ISNUMBER(U717*1)=CF717,0,K717-H717-G717)</f>
      </c>
      <c r="O717">
        <f>IF(ISNUMBER(U717*1)=CF717,0,L717)</f>
      </c>
      <c r="P717">
        <f>IF(ISNUMBER(U717*1)=CF717,0,M717)</f>
      </c>
      <c r="Q717">
        <f>IF(N717&gt;2400000,N717,0)</f>
      </c>
      <c r="R717">
        <f>IF(L717/Q717*100&lt;3,2,10)</f>
      </c>
      <c r="S717">
        <f>IF(CH717=0,0,IF(B717&gt;9,10,IF(B717&gt;8,B717,IF(B717&gt;7.7,7.8,IF(B717&gt;3,B717,IF(B717&gt;1.5,2))))))</f>
      </c>
      <c r="T717">
        <f>IF(Q717=0,S717,R717)</f>
      </c>
      <c r="U717" t="n">
        <v>59.0</v>
      </c>
      <c r="V717" t="s">
        <v>3872</v>
      </c>
      <c r="W717" t="s">
        <v>3790</v>
      </c>
      <c r="X717" t="n">
        <v>645556.0</v>
      </c>
      <c r="Y717" t="n">
        <v>293435.0</v>
      </c>
      <c r="Z717" t="n">
        <v>44015.0</v>
      </c>
      <c r="AA717" t="n">
        <v>49884.0</v>
      </c>
      <c r="AB717" t="n">
        <v>0.0</v>
      </c>
      <c r="AC717" t="n">
        <v>0.0</v>
      </c>
      <c r="AD717" t="n">
        <v>0.0</v>
      </c>
      <c r="AE717" t="n">
        <v>0.0</v>
      </c>
      <c r="AF717" t="n">
        <v>30000.0</v>
      </c>
      <c r="AG717" t="n">
        <v>0.0</v>
      </c>
      <c r="AH717" t="n">
        <v>0.0</v>
      </c>
      <c r="AI717" t="n">
        <v>0.0</v>
      </c>
      <c r="AJ717" t="n">
        <v>0.0</v>
      </c>
      <c r="AK717" t="n">
        <v>0.0</v>
      </c>
      <c r="AL717" t="n">
        <v>355553.0</v>
      </c>
      <c r="AM717" t="n">
        <v>0.0</v>
      </c>
      <c r="AN717" t="n">
        <v>0.0</v>
      </c>
      <c r="AO717" t="n">
        <v>772887.0</v>
      </c>
      <c r="AP717" t="n">
        <v>41734.0</v>
      </c>
      <c r="AQ717" t="n">
        <v>30860.1</v>
      </c>
      <c r="CH717">
        <f>IFERROR(U717*1,0)</f>
      </c>
    </row>
    <row r="718">
      <c r="A718" t="n">
        <v>11.0</v>
      </c>
      <c r="B718">
        <f>IF((K718-G718-H718&gt;2400000),10,(L718/(K718-G718-H718)*100))</f>
      </c>
      <c r="C718">
        <f>IF(N718&gt;2400000,240000,(N718*S718)/100)</f>
      </c>
      <c r="D718">
        <f>IF(S718=0,0,IF((N718-I718)&gt;2400000,((((((N718-I718-J718)-240000))*0.1+(I718+J718)*0.1)))-7000,((((((N718-I718-J718)-(N718-I718-J718)*S718/100)))*0.1+(I718+J718)*0.1)-7000)))</f>
      </c>
      <c r="E718">
        <f>C718-O718</f>
      </c>
      <c r="F718">
        <f>D718-P718</f>
      </c>
      <c r="G718">
        <f>SUMIF(negtgel!U$2:BL$2,'Tsalin uzuulelt'!B$1,negtgel!U718:BL718) + SUMIF(negtgel!U$2:BL$2,'Tsalin uzuulelt'!B$2,negtgel!U718:BL718)+SUMIF(negtgel!U$2:BL$2,'Tsalin uzuulelt'!B$3,negtgel!U718:BL718)+SUMIF(negtgel!U$2:BL$2,'Tsalin uzuulelt'!B$4,negtgel!U718:BL718)+SUMIF(negtgel!U$2:BL$2,'Tsalin uzuulelt'!B$5,negtgel!U718:BL718)</f>
      </c>
      <c r="H718">
        <f>SUMIF(negtgel!U$2:BL$2,'Tsalin uzuulelt'!F$1,negtgel!U718:BL718) + SUMIF(negtgel!U$2:BL$2,'Tsalin uzuulelt'!F$2,negtgel!U718:BL718)+SUMIF(negtgel!U$2:BL$2,'Tsalin uzuulelt'!F$3,negtgel!U718:BL718)+SUMIF(negtgel!U$2:BL$2,'Tsalin uzuulelt'!F$4,negtgel!U718:BL718)+SUMIF(negtgel!U$2:BL$2,'Tsalin uzuulelt'!F$5,negtgel!U718:BL718)</f>
      </c>
      <c r="I718">
        <f>SUMIF(negtgel!U$2:BL$2,'Tsalin uzuulelt'!H$1,negtgel!U718:BL718) + SUMIF(negtgel!U$2:BL$2,'Tsalin uzuulelt'!H$2,negtgel!U718:BL718)+SUMIF(negtgel!U$2:BL$2,'Tsalin uzuulelt'!H$3,negtgel!U718:BL718)+SUMIF(negtgel!U$2:BL$2,'Tsalin uzuulelt'!H$4,negtgel!U718:BL718)+SUMIF(negtgel!U$2:BL$2,'Tsalin uzuulelt'!H$5,negtgel!U718:BL718)</f>
      </c>
      <c r="J718">
        <f>SUMIF(negtgel!U$2:BL$2,'Tsalin uzuulelt'!J$1,negtgel!U718:BL718) + SUMIF(negtgel!U$2:BL$2,'Tsalin uzuulelt'!J$2,negtgel!U718:BL718)+SUMIF(negtgel!U$2:BL$2,'Tsalin uzuulelt'!J$3,negtgel!U718:BL718)+SUMIF(negtgel!U$2:BL$2,'Tsalin uzuulelt'!J$4,negtgel!U718:BL718)+SUMIF(negtgel!U$2:BL$2,'Tsalin uzuulelt'!J$5,negtgel!U718:BL718)</f>
      </c>
      <c r="K718">
        <f>SUMIF(negtgel!U$2:BL$2,'Tsalin uzuulelt'!L$1,negtgel!U718:BL718) + SUMIF(negtgel!U$2:BL$2,'Tsalin uzuulelt'!L$2,negtgel!U718:BL718)+SUMIF(negtgel!U$2:BL$2,'Tsalin uzuulelt'!L$3,negtgel!U718:BL718)+SUMIF(negtgel!U$2:BL$2,'Tsalin uzuulelt'!L$4,negtgel!U718:BL718)+SUMIF(negtgel!U$2:BL$2,'Tsalin uzuulelt'!L$5,negtgel!U718:BL718)</f>
      </c>
      <c r="L718">
        <f>SUMIF(negtgel!U$2:BL$2,'Tsalin uzuulelt'!N$1,negtgel!U718:BL718) + SUMIF(negtgel!U$2:BL$2,'Tsalin uzuulelt'!N$2,negtgel!U718:BL718)+SUMIF(negtgel!U$2:BL$2,'Tsalin uzuulelt'!N$3,negtgel!U718:BL718)+SUMIF(negtgel!U$2:BL$2,'Tsalin uzuulelt'!N$4,negtgel!U718:BL718)+SUMIF(negtgel!U$2:BL$2,'Tsalin uzuulelt'!N$5,negtgel!U718:BL718)</f>
      </c>
      <c r="M718">
        <f>SUMIF(negtgel!U$2:BL$2,'Tsalin uzuulelt'!P$1,negtgel!U718:BL718) + SUMIF(negtgel!U$2:BL$2,'Tsalin uzuulelt'!P$2,negtgel!U718:BL718)+ SUMIF(negtgel!U$2:BL$2,'Tsalin uzuulelt'!P$3,negtgel!U718:BL718)+ SUMIF(negtgel!U$2:BL$2,'Tsalin uzuulelt'!P$4,negtgel!U718:BL718)+ SUMIF(negtgel!U$2:BL$2,'Tsalin uzuulelt'!P$5,negtgel!U718:BL718)</f>
      </c>
      <c r="N718">
        <f>IF(ISNUMBER(U718*1)=CF718,0,K718-H718-G718)</f>
      </c>
      <c r="O718">
        <f>IF(ISNUMBER(U718*1)=CF718,0,L718)</f>
      </c>
      <c r="P718">
        <f>IF(ISNUMBER(U718*1)=CF718,0,M718)</f>
      </c>
      <c r="Q718">
        <f>IF(N718&gt;2400000,N718,0)</f>
      </c>
      <c r="R718">
        <f>IF(L718/Q718*100&lt;3,2,10)</f>
      </c>
      <c r="S718">
        <f>IF(CH718=0,0,IF(B718&gt;9,10,IF(B718&gt;8,B718,IF(B718&gt;7.7,7.8,IF(B718&gt;3,B718,IF(B718&gt;1.5,2))))))</f>
      </c>
      <c r="T718">
        <f>IF(Q718=0,S718,R718)</f>
      </c>
      <c r="U718" t="s">
        <v>3815</v>
      </c>
      <c r="V718"/>
      <c r="W718"/>
      <c r="X718"/>
      <c r="Y718"/>
      <c r="Z718"/>
      <c r="AA718"/>
      <c r="AB718"/>
      <c r="AC718"/>
      <c r="AD718"/>
      <c r="AE718"/>
      <c r="AF718"/>
      <c r="AG718"/>
      <c r="AH718"/>
      <c r="AI718"/>
      <c r="AJ718"/>
      <c r="AK718"/>
      <c r="AL718"/>
      <c r="AM718"/>
      <c r="AN718"/>
      <c r="AO718"/>
      <c r="AP718"/>
      <c r="AQ718"/>
      <c r="CH718">
        <f>IFERROR(U718*1,0)</f>
      </c>
    </row>
    <row r="719">
      <c r="A719" t="n">
        <v>11.0</v>
      </c>
      <c r="B719">
        <f>IF((K719-G719-H719&gt;2400000),10,(L719/(K719-G719-H719)*100))</f>
      </c>
      <c r="C719">
        <f>IF(N719&gt;2400000,240000,(N719*S719)/100)</f>
      </c>
      <c r="D719">
        <f>IF(S719=0,0,IF((N719-I719)&gt;2400000,((((((N719-I719-J719)-240000))*0.1+(I719+J719)*0.1)))-7000,((((((N719-I719-J719)-(N719-I719-J719)*S719/100)))*0.1+(I719+J719)*0.1)-7000)))</f>
      </c>
      <c r="E719">
        <f>C719-O719</f>
      </c>
      <c r="F719">
        <f>D719-P719</f>
      </c>
      <c r="G719">
        <f>SUMIF(negtgel!U$2:BL$2,'Tsalin uzuulelt'!B$1,negtgel!U719:BL719) + SUMIF(negtgel!U$2:BL$2,'Tsalin uzuulelt'!B$2,negtgel!U719:BL719)+SUMIF(negtgel!U$2:BL$2,'Tsalin uzuulelt'!B$3,negtgel!U719:BL719)+SUMIF(negtgel!U$2:BL$2,'Tsalin uzuulelt'!B$4,negtgel!U719:BL719)+SUMIF(negtgel!U$2:BL$2,'Tsalin uzuulelt'!B$5,negtgel!U719:BL719)</f>
      </c>
      <c r="H719">
        <f>SUMIF(negtgel!U$2:BL$2,'Tsalin uzuulelt'!F$1,negtgel!U719:BL719) + SUMIF(negtgel!U$2:BL$2,'Tsalin uzuulelt'!F$2,negtgel!U719:BL719)+SUMIF(negtgel!U$2:BL$2,'Tsalin uzuulelt'!F$3,negtgel!U719:BL719)+SUMIF(negtgel!U$2:BL$2,'Tsalin uzuulelt'!F$4,negtgel!U719:BL719)+SUMIF(negtgel!U$2:BL$2,'Tsalin uzuulelt'!F$5,negtgel!U719:BL719)</f>
      </c>
      <c r="I719">
        <f>SUMIF(negtgel!U$2:BL$2,'Tsalin uzuulelt'!H$1,negtgel!U719:BL719) + SUMIF(negtgel!U$2:BL$2,'Tsalin uzuulelt'!H$2,negtgel!U719:BL719)+SUMIF(negtgel!U$2:BL$2,'Tsalin uzuulelt'!H$3,negtgel!U719:BL719)+SUMIF(negtgel!U$2:BL$2,'Tsalin uzuulelt'!H$4,negtgel!U719:BL719)+SUMIF(negtgel!U$2:BL$2,'Tsalin uzuulelt'!H$5,negtgel!U719:BL719)</f>
      </c>
      <c r="J719">
        <f>SUMIF(negtgel!U$2:BL$2,'Tsalin uzuulelt'!J$1,negtgel!U719:BL719) + SUMIF(negtgel!U$2:BL$2,'Tsalin uzuulelt'!J$2,negtgel!U719:BL719)+SUMIF(negtgel!U$2:BL$2,'Tsalin uzuulelt'!J$3,negtgel!U719:BL719)+SUMIF(negtgel!U$2:BL$2,'Tsalin uzuulelt'!J$4,negtgel!U719:BL719)+SUMIF(negtgel!U$2:BL$2,'Tsalin uzuulelt'!J$5,negtgel!U719:BL719)</f>
      </c>
      <c r="K719">
        <f>SUMIF(negtgel!U$2:BL$2,'Tsalin uzuulelt'!L$1,negtgel!U719:BL719) + SUMIF(negtgel!U$2:BL$2,'Tsalin uzuulelt'!L$2,negtgel!U719:BL719)+SUMIF(negtgel!U$2:BL$2,'Tsalin uzuulelt'!L$3,negtgel!U719:BL719)+SUMIF(negtgel!U$2:BL$2,'Tsalin uzuulelt'!L$4,negtgel!U719:BL719)+SUMIF(negtgel!U$2:BL$2,'Tsalin uzuulelt'!L$5,negtgel!U719:BL719)</f>
      </c>
      <c r="L719">
        <f>SUMIF(negtgel!U$2:BL$2,'Tsalin uzuulelt'!N$1,negtgel!U719:BL719) + SUMIF(negtgel!U$2:BL$2,'Tsalin uzuulelt'!N$2,negtgel!U719:BL719)+SUMIF(negtgel!U$2:BL$2,'Tsalin uzuulelt'!N$3,negtgel!U719:BL719)+SUMIF(negtgel!U$2:BL$2,'Tsalin uzuulelt'!N$4,negtgel!U719:BL719)+SUMIF(negtgel!U$2:BL$2,'Tsalin uzuulelt'!N$5,negtgel!U719:BL719)</f>
      </c>
      <c r="M719">
        <f>SUMIF(negtgel!U$2:BL$2,'Tsalin uzuulelt'!P$1,negtgel!U719:BL719) + SUMIF(negtgel!U$2:BL$2,'Tsalin uzuulelt'!P$2,negtgel!U719:BL719)+ SUMIF(negtgel!U$2:BL$2,'Tsalin uzuulelt'!P$3,negtgel!U719:BL719)+ SUMIF(negtgel!U$2:BL$2,'Tsalin uzuulelt'!P$4,negtgel!U719:BL719)+ SUMIF(negtgel!U$2:BL$2,'Tsalin uzuulelt'!P$5,negtgel!U719:BL719)</f>
      </c>
      <c r="N719">
        <f>IF(ISNUMBER(U719*1)=CF719,0,K719-H719-G719)</f>
      </c>
      <c r="O719">
        <f>IF(ISNUMBER(U719*1)=CF719,0,L719)</f>
      </c>
      <c r="P719">
        <f>IF(ISNUMBER(U719*1)=CF719,0,M719)</f>
      </c>
      <c r="Q719">
        <f>IF(N719&gt;2400000,N719,0)</f>
      </c>
      <c r="R719">
        <f>IF(L719/Q719*100&lt;3,2,10)</f>
      </c>
      <c r="S719">
        <f>IF(CH719=0,0,IF(B719&gt;9,10,IF(B719&gt;8,B719,IF(B719&gt;7.7,7.8,IF(B719&gt;3,B719,IF(B719&gt;1.5,2))))))</f>
      </c>
      <c r="T719">
        <f>IF(Q719=0,S719,R719)</f>
      </c>
      <c r="U719" t="n">
        <v>67.0</v>
      </c>
      <c r="V719" t="s">
        <v>3816</v>
      </c>
      <c r="W719" t="s">
        <v>3790</v>
      </c>
      <c r="X719" t="n">
        <v>547759.0</v>
      </c>
      <c r="Y719" t="n">
        <v>547759.0</v>
      </c>
      <c r="Z719" t="n">
        <v>0.0</v>
      </c>
      <c r="AA719" t="n">
        <v>0.0</v>
      </c>
      <c r="AB719" t="n">
        <v>0.0</v>
      </c>
      <c r="AC719" t="n">
        <v>0.0</v>
      </c>
      <c r="AD719" t="n">
        <v>219104.0</v>
      </c>
      <c r="AE719" t="n">
        <v>0.0</v>
      </c>
      <c r="AF719" t="n">
        <v>66000.0</v>
      </c>
      <c r="AG719" t="n">
        <v>0.0</v>
      </c>
      <c r="AH719" t="n">
        <v>0.0</v>
      </c>
      <c r="AI719" t="n">
        <v>0.0</v>
      </c>
      <c r="AJ719" t="n">
        <v>0.0</v>
      </c>
      <c r="AK719" t="n">
        <v>0.0</v>
      </c>
      <c r="AL719" t="n">
        <v>0.0</v>
      </c>
      <c r="AM719" t="n">
        <v>0.0</v>
      </c>
      <c r="AN719" t="n">
        <v>0.0</v>
      </c>
      <c r="AO719" t="n">
        <v>832863.0</v>
      </c>
      <c r="AP719" t="n">
        <v>83286.0</v>
      </c>
      <c r="AQ719" t="n">
        <v>68617.7</v>
      </c>
      <c r="CH719">
        <f>IFERROR(U719*1,0)</f>
      </c>
    </row>
    <row r="720">
      <c r="A720" t="n">
        <v>11.0</v>
      </c>
      <c r="B720">
        <f>IF((K720-G720-H720&gt;2400000),10,(L720/(K720-G720-H720)*100))</f>
      </c>
      <c r="C720">
        <f>IF(N720&gt;2400000,240000,(N720*S720)/100)</f>
      </c>
      <c r="D720">
        <f>IF(S720=0,0,IF((N720-I720)&gt;2400000,((((((N720-I720-J720)-240000))*0.1+(I720+J720)*0.1)))-7000,((((((N720-I720-J720)-(N720-I720-J720)*S720/100)))*0.1+(I720+J720)*0.1)-7000)))</f>
      </c>
      <c r="E720">
        <f>C720-O720</f>
      </c>
      <c r="F720">
        <f>D720-P720</f>
      </c>
      <c r="G720">
        <f>SUMIF(negtgel!U$2:BL$2,'Tsalin uzuulelt'!B$1,negtgel!U720:BL720) + SUMIF(negtgel!U$2:BL$2,'Tsalin uzuulelt'!B$2,negtgel!U720:BL720)+SUMIF(negtgel!U$2:BL$2,'Tsalin uzuulelt'!B$3,negtgel!U720:BL720)+SUMIF(negtgel!U$2:BL$2,'Tsalin uzuulelt'!B$4,negtgel!U720:BL720)+SUMIF(negtgel!U$2:BL$2,'Tsalin uzuulelt'!B$5,negtgel!U720:BL720)</f>
      </c>
      <c r="H720">
        <f>SUMIF(negtgel!U$2:BL$2,'Tsalin uzuulelt'!F$1,negtgel!U720:BL720) + SUMIF(negtgel!U$2:BL$2,'Tsalin uzuulelt'!F$2,negtgel!U720:BL720)+SUMIF(negtgel!U$2:BL$2,'Tsalin uzuulelt'!F$3,negtgel!U720:BL720)+SUMIF(negtgel!U$2:BL$2,'Tsalin uzuulelt'!F$4,negtgel!U720:BL720)+SUMIF(negtgel!U$2:BL$2,'Tsalin uzuulelt'!F$5,negtgel!U720:BL720)</f>
      </c>
      <c r="I720">
        <f>SUMIF(negtgel!U$2:BL$2,'Tsalin uzuulelt'!H$1,negtgel!U720:BL720) + SUMIF(negtgel!U$2:BL$2,'Tsalin uzuulelt'!H$2,negtgel!U720:BL720)+SUMIF(negtgel!U$2:BL$2,'Tsalin uzuulelt'!H$3,negtgel!U720:BL720)+SUMIF(negtgel!U$2:BL$2,'Tsalin uzuulelt'!H$4,negtgel!U720:BL720)+SUMIF(negtgel!U$2:BL$2,'Tsalin uzuulelt'!H$5,negtgel!U720:BL720)</f>
      </c>
      <c r="J720">
        <f>SUMIF(negtgel!U$2:BL$2,'Tsalin uzuulelt'!J$1,negtgel!U720:BL720) + SUMIF(negtgel!U$2:BL$2,'Tsalin uzuulelt'!J$2,negtgel!U720:BL720)+SUMIF(negtgel!U$2:BL$2,'Tsalin uzuulelt'!J$3,negtgel!U720:BL720)+SUMIF(negtgel!U$2:BL$2,'Tsalin uzuulelt'!J$4,negtgel!U720:BL720)+SUMIF(negtgel!U$2:BL$2,'Tsalin uzuulelt'!J$5,negtgel!U720:BL720)</f>
      </c>
      <c r="K720">
        <f>SUMIF(negtgel!U$2:BL$2,'Tsalin uzuulelt'!L$1,negtgel!U720:BL720) + SUMIF(negtgel!U$2:BL$2,'Tsalin uzuulelt'!L$2,negtgel!U720:BL720)+SUMIF(negtgel!U$2:BL$2,'Tsalin uzuulelt'!L$3,negtgel!U720:BL720)+SUMIF(negtgel!U$2:BL$2,'Tsalin uzuulelt'!L$4,negtgel!U720:BL720)+SUMIF(negtgel!U$2:BL$2,'Tsalin uzuulelt'!L$5,negtgel!U720:BL720)</f>
      </c>
      <c r="L720">
        <f>SUMIF(negtgel!U$2:BL$2,'Tsalin uzuulelt'!N$1,negtgel!U720:BL720) + SUMIF(negtgel!U$2:BL$2,'Tsalin uzuulelt'!N$2,negtgel!U720:BL720)+SUMIF(negtgel!U$2:BL$2,'Tsalin uzuulelt'!N$3,negtgel!U720:BL720)+SUMIF(negtgel!U$2:BL$2,'Tsalin uzuulelt'!N$4,negtgel!U720:BL720)+SUMIF(negtgel!U$2:BL$2,'Tsalin uzuulelt'!N$5,negtgel!U720:BL720)</f>
      </c>
      <c r="M720">
        <f>SUMIF(negtgel!U$2:BL$2,'Tsalin uzuulelt'!P$1,negtgel!U720:BL720) + SUMIF(negtgel!U$2:BL$2,'Tsalin uzuulelt'!P$2,negtgel!U720:BL720)+ SUMIF(negtgel!U$2:BL$2,'Tsalin uzuulelt'!P$3,negtgel!U720:BL720)+ SUMIF(negtgel!U$2:BL$2,'Tsalin uzuulelt'!P$4,negtgel!U720:BL720)+ SUMIF(negtgel!U$2:BL$2,'Tsalin uzuulelt'!P$5,negtgel!U720:BL720)</f>
      </c>
      <c r="N720">
        <f>IF(ISNUMBER(U720*1)=CF720,0,K720-H720-G720)</f>
      </c>
      <c r="O720">
        <f>IF(ISNUMBER(U720*1)=CF720,0,L720)</f>
      </c>
      <c r="P720">
        <f>IF(ISNUMBER(U720*1)=CF720,0,M720)</f>
      </c>
      <c r="Q720">
        <f>IF(N720&gt;2400000,N720,0)</f>
      </c>
      <c r="R720">
        <f>IF(L720/Q720*100&lt;3,2,10)</f>
      </c>
      <c r="S720">
        <f>IF(CH720=0,0,IF(B720&gt;9,10,IF(B720&gt;8,B720,IF(B720&gt;7.7,7.8,IF(B720&gt;3,B720,IF(B720&gt;1.5,2))))))</f>
      </c>
      <c r="T720">
        <f>IF(Q720=0,S720,R720)</f>
      </c>
      <c r="U720" t="n">
        <v>68.0</v>
      </c>
      <c r="V720" t="s">
        <v>3817</v>
      </c>
      <c r="W720" t="s">
        <v>3790</v>
      </c>
      <c r="X720" t="n">
        <v>677436.0</v>
      </c>
      <c r="Y720" t="n">
        <v>677436.0</v>
      </c>
      <c r="Z720" t="n">
        <v>135487.0</v>
      </c>
      <c r="AA720" t="n">
        <v>135487.0</v>
      </c>
      <c r="AB720" t="n">
        <v>0.0</v>
      </c>
      <c r="AC720" t="n">
        <v>0.0</v>
      </c>
      <c r="AD720" t="n">
        <v>0.0</v>
      </c>
      <c r="AE720" t="n">
        <v>0.0</v>
      </c>
      <c r="AF720" t="n">
        <v>66000.0</v>
      </c>
      <c r="AG720" t="n">
        <v>0.0</v>
      </c>
      <c r="AH720" t="n">
        <v>0.0</v>
      </c>
      <c r="AI720" t="n">
        <v>0.0</v>
      </c>
      <c r="AJ720" t="n">
        <v>0.0</v>
      </c>
      <c r="AK720" t="n">
        <v>0.0</v>
      </c>
      <c r="AL720" t="n">
        <v>0.0</v>
      </c>
      <c r="AM720" t="n">
        <v>0.0</v>
      </c>
      <c r="AN720" t="n">
        <v>0.0</v>
      </c>
      <c r="AO720" t="n">
        <v>1014410.0</v>
      </c>
      <c r="AP720" t="n">
        <v>101441.0</v>
      </c>
      <c r="AQ720" t="n">
        <v>84956.9</v>
      </c>
      <c r="CH720">
        <f>IFERROR(U720*1,0)</f>
      </c>
    </row>
    <row r="721">
      <c r="A721" t="n">
        <v>11.0</v>
      </c>
      <c r="B721">
        <f>IF((K721-G721-H721&gt;2400000),10,(L721/(K721-G721-H721)*100))</f>
      </c>
      <c r="C721">
        <f>IF(N721&gt;2400000,240000,(N721*S721)/100)</f>
      </c>
      <c r="D721">
        <f>IF(S721=0,0,IF((N721-I721)&gt;2400000,((((((N721-I721-J721)-240000))*0.1+(I721+J721)*0.1)))-7000,((((((N721-I721-J721)-(N721-I721-J721)*S721/100)))*0.1+(I721+J721)*0.1)-7000)))</f>
      </c>
      <c r="E721">
        <f>C721-O721</f>
      </c>
      <c r="F721">
        <f>D721-P721</f>
      </c>
      <c r="G721">
        <f>SUMIF(negtgel!U$2:BL$2,'Tsalin uzuulelt'!B$1,negtgel!U721:BL721) + SUMIF(negtgel!U$2:BL$2,'Tsalin uzuulelt'!B$2,negtgel!U721:BL721)+SUMIF(negtgel!U$2:BL$2,'Tsalin uzuulelt'!B$3,negtgel!U721:BL721)+SUMIF(negtgel!U$2:BL$2,'Tsalin uzuulelt'!B$4,negtgel!U721:BL721)+SUMIF(negtgel!U$2:BL$2,'Tsalin uzuulelt'!B$5,negtgel!U721:BL721)</f>
      </c>
      <c r="H721">
        <f>SUMIF(negtgel!U$2:BL$2,'Tsalin uzuulelt'!F$1,negtgel!U721:BL721) + SUMIF(negtgel!U$2:BL$2,'Tsalin uzuulelt'!F$2,negtgel!U721:BL721)+SUMIF(negtgel!U$2:BL$2,'Tsalin uzuulelt'!F$3,negtgel!U721:BL721)+SUMIF(negtgel!U$2:BL$2,'Tsalin uzuulelt'!F$4,negtgel!U721:BL721)+SUMIF(negtgel!U$2:BL$2,'Tsalin uzuulelt'!F$5,negtgel!U721:BL721)</f>
      </c>
      <c r="I721">
        <f>SUMIF(negtgel!U$2:BL$2,'Tsalin uzuulelt'!H$1,negtgel!U721:BL721) + SUMIF(negtgel!U$2:BL$2,'Tsalin uzuulelt'!H$2,negtgel!U721:BL721)+SUMIF(negtgel!U$2:BL$2,'Tsalin uzuulelt'!H$3,negtgel!U721:BL721)+SUMIF(negtgel!U$2:BL$2,'Tsalin uzuulelt'!H$4,negtgel!U721:BL721)+SUMIF(negtgel!U$2:BL$2,'Tsalin uzuulelt'!H$5,negtgel!U721:BL721)</f>
      </c>
      <c r="J721">
        <f>SUMIF(negtgel!U$2:BL$2,'Tsalin uzuulelt'!J$1,negtgel!U721:BL721) + SUMIF(negtgel!U$2:BL$2,'Tsalin uzuulelt'!J$2,negtgel!U721:BL721)+SUMIF(negtgel!U$2:BL$2,'Tsalin uzuulelt'!J$3,negtgel!U721:BL721)+SUMIF(negtgel!U$2:BL$2,'Tsalin uzuulelt'!J$4,negtgel!U721:BL721)+SUMIF(negtgel!U$2:BL$2,'Tsalin uzuulelt'!J$5,negtgel!U721:BL721)</f>
      </c>
      <c r="K721">
        <f>SUMIF(negtgel!U$2:BL$2,'Tsalin uzuulelt'!L$1,negtgel!U721:BL721) + SUMIF(negtgel!U$2:BL$2,'Tsalin uzuulelt'!L$2,negtgel!U721:BL721)+SUMIF(negtgel!U$2:BL$2,'Tsalin uzuulelt'!L$3,negtgel!U721:BL721)+SUMIF(negtgel!U$2:BL$2,'Tsalin uzuulelt'!L$4,negtgel!U721:BL721)+SUMIF(negtgel!U$2:BL$2,'Tsalin uzuulelt'!L$5,negtgel!U721:BL721)</f>
      </c>
      <c r="L721">
        <f>SUMIF(negtgel!U$2:BL$2,'Tsalin uzuulelt'!N$1,negtgel!U721:BL721) + SUMIF(negtgel!U$2:BL$2,'Tsalin uzuulelt'!N$2,negtgel!U721:BL721)+SUMIF(negtgel!U$2:BL$2,'Tsalin uzuulelt'!N$3,negtgel!U721:BL721)+SUMIF(negtgel!U$2:BL$2,'Tsalin uzuulelt'!N$4,negtgel!U721:BL721)+SUMIF(negtgel!U$2:BL$2,'Tsalin uzuulelt'!N$5,negtgel!U721:BL721)</f>
      </c>
      <c r="M721">
        <f>SUMIF(negtgel!U$2:BL$2,'Tsalin uzuulelt'!P$1,negtgel!U721:BL721) + SUMIF(negtgel!U$2:BL$2,'Tsalin uzuulelt'!P$2,negtgel!U721:BL721)+ SUMIF(negtgel!U$2:BL$2,'Tsalin uzuulelt'!P$3,negtgel!U721:BL721)+ SUMIF(negtgel!U$2:BL$2,'Tsalin uzuulelt'!P$4,negtgel!U721:BL721)+ SUMIF(negtgel!U$2:BL$2,'Tsalin uzuulelt'!P$5,negtgel!U721:BL721)</f>
      </c>
      <c r="N721">
        <f>IF(ISNUMBER(U721*1)=CF721,0,K721-H721-G721)</f>
      </c>
      <c r="O721">
        <f>IF(ISNUMBER(U721*1)=CF721,0,L721)</f>
      </c>
      <c r="P721">
        <f>IF(ISNUMBER(U721*1)=CF721,0,M721)</f>
      </c>
      <c r="Q721">
        <f>IF(N721&gt;2400000,N721,0)</f>
      </c>
      <c r="R721">
        <f>IF(L721/Q721*100&lt;3,2,10)</f>
      </c>
      <c r="S721">
        <f>IF(CH721=0,0,IF(B721&gt;9,10,IF(B721&gt;8,B721,IF(B721&gt;7.7,7.8,IF(B721&gt;3,B721,IF(B721&gt;1.5,2))))))</f>
      </c>
      <c r="T721">
        <f>IF(Q721=0,S721,R721)</f>
      </c>
      <c r="U721" t="n">
        <v>69.0</v>
      </c>
      <c r="V721" t="s">
        <v>3818</v>
      </c>
      <c r="W721" t="s">
        <v>3785</v>
      </c>
      <c r="X721" t="n">
        <v>795935.0</v>
      </c>
      <c r="Y721" t="n">
        <v>795935.0</v>
      </c>
      <c r="Z721" t="n">
        <v>159187.0</v>
      </c>
      <c r="AA721" t="n">
        <v>143268.0</v>
      </c>
      <c r="AB721" t="n">
        <v>0.0</v>
      </c>
      <c r="AC721" t="n">
        <v>0.0</v>
      </c>
      <c r="AD721" t="n">
        <v>0.0</v>
      </c>
      <c r="AE721" t="n">
        <v>0.0</v>
      </c>
      <c r="AF721" t="n">
        <v>66000.0</v>
      </c>
      <c r="AG721" t="n">
        <v>0.0</v>
      </c>
      <c r="AH721" t="n">
        <v>0.0</v>
      </c>
      <c r="AI721" t="n">
        <v>0.0</v>
      </c>
      <c r="AJ721" t="n">
        <v>0.0</v>
      </c>
      <c r="AK721" t="n">
        <v>0.0</v>
      </c>
      <c r="AL721" t="n">
        <v>0.0</v>
      </c>
      <c r="AM721" t="n">
        <v>0.0</v>
      </c>
      <c r="AN721" t="n">
        <v>0.0</v>
      </c>
      <c r="AO721" t="n">
        <v>1164390.0</v>
      </c>
      <c r="AP721" t="n">
        <v>116439.0</v>
      </c>
      <c r="AQ721" t="n">
        <v>98455.1</v>
      </c>
      <c r="CH721">
        <f>IFERROR(U721*1,0)</f>
      </c>
    </row>
    <row r="722">
      <c r="A722" t="n">
        <v>11.0</v>
      </c>
      <c r="B722">
        <f>IF((K722-G722-H722&gt;2400000),10,(L722/(K722-G722-H722)*100))</f>
      </c>
      <c r="C722">
        <f>IF(N722&gt;2400000,240000,(N722*S722)/100)</f>
      </c>
      <c r="D722">
        <f>IF(S722=0,0,IF((N722-I722)&gt;2400000,((((((N722-I722-J722)-240000))*0.1+(I722+J722)*0.1)))-7000,((((((N722-I722-J722)-(N722-I722-J722)*S722/100)))*0.1+(I722+J722)*0.1)-7000)))</f>
      </c>
      <c r="E722">
        <f>C722-O722</f>
      </c>
      <c r="F722">
        <f>D722-P722</f>
      </c>
      <c r="G722">
        <f>SUMIF(negtgel!U$2:BL$2,'Tsalin uzuulelt'!B$1,negtgel!U722:BL722) + SUMIF(negtgel!U$2:BL$2,'Tsalin uzuulelt'!B$2,negtgel!U722:BL722)+SUMIF(negtgel!U$2:BL$2,'Tsalin uzuulelt'!B$3,negtgel!U722:BL722)+SUMIF(negtgel!U$2:BL$2,'Tsalin uzuulelt'!B$4,negtgel!U722:BL722)+SUMIF(negtgel!U$2:BL$2,'Tsalin uzuulelt'!B$5,negtgel!U722:BL722)</f>
      </c>
      <c r="H722">
        <f>SUMIF(negtgel!U$2:BL$2,'Tsalin uzuulelt'!F$1,negtgel!U722:BL722) + SUMIF(negtgel!U$2:BL$2,'Tsalin uzuulelt'!F$2,negtgel!U722:BL722)+SUMIF(negtgel!U$2:BL$2,'Tsalin uzuulelt'!F$3,negtgel!U722:BL722)+SUMIF(negtgel!U$2:BL$2,'Tsalin uzuulelt'!F$4,negtgel!U722:BL722)+SUMIF(negtgel!U$2:BL$2,'Tsalin uzuulelt'!F$5,negtgel!U722:BL722)</f>
      </c>
      <c r="I722">
        <f>SUMIF(negtgel!U$2:BL$2,'Tsalin uzuulelt'!H$1,negtgel!U722:BL722) + SUMIF(negtgel!U$2:BL$2,'Tsalin uzuulelt'!H$2,negtgel!U722:BL722)+SUMIF(negtgel!U$2:BL$2,'Tsalin uzuulelt'!H$3,negtgel!U722:BL722)+SUMIF(negtgel!U$2:BL$2,'Tsalin uzuulelt'!H$4,negtgel!U722:BL722)+SUMIF(negtgel!U$2:BL$2,'Tsalin uzuulelt'!H$5,negtgel!U722:BL722)</f>
      </c>
      <c r="J722">
        <f>SUMIF(negtgel!U$2:BL$2,'Tsalin uzuulelt'!J$1,negtgel!U722:BL722) + SUMIF(negtgel!U$2:BL$2,'Tsalin uzuulelt'!J$2,negtgel!U722:BL722)+SUMIF(negtgel!U$2:BL$2,'Tsalin uzuulelt'!J$3,negtgel!U722:BL722)+SUMIF(negtgel!U$2:BL$2,'Tsalin uzuulelt'!J$4,negtgel!U722:BL722)+SUMIF(negtgel!U$2:BL$2,'Tsalin uzuulelt'!J$5,negtgel!U722:BL722)</f>
      </c>
      <c r="K722">
        <f>SUMIF(negtgel!U$2:BL$2,'Tsalin uzuulelt'!L$1,negtgel!U722:BL722) + SUMIF(negtgel!U$2:BL$2,'Tsalin uzuulelt'!L$2,negtgel!U722:BL722)+SUMIF(negtgel!U$2:BL$2,'Tsalin uzuulelt'!L$3,negtgel!U722:BL722)+SUMIF(negtgel!U$2:BL$2,'Tsalin uzuulelt'!L$4,negtgel!U722:BL722)+SUMIF(negtgel!U$2:BL$2,'Tsalin uzuulelt'!L$5,negtgel!U722:BL722)</f>
      </c>
      <c r="L722">
        <f>SUMIF(negtgel!U$2:BL$2,'Tsalin uzuulelt'!N$1,negtgel!U722:BL722) + SUMIF(negtgel!U$2:BL$2,'Tsalin uzuulelt'!N$2,negtgel!U722:BL722)+SUMIF(negtgel!U$2:BL$2,'Tsalin uzuulelt'!N$3,negtgel!U722:BL722)+SUMIF(negtgel!U$2:BL$2,'Tsalin uzuulelt'!N$4,negtgel!U722:BL722)+SUMIF(negtgel!U$2:BL$2,'Tsalin uzuulelt'!N$5,negtgel!U722:BL722)</f>
      </c>
      <c r="M722">
        <f>SUMIF(negtgel!U$2:BL$2,'Tsalin uzuulelt'!P$1,negtgel!U722:BL722) + SUMIF(negtgel!U$2:BL$2,'Tsalin uzuulelt'!P$2,negtgel!U722:BL722)+ SUMIF(negtgel!U$2:BL$2,'Tsalin uzuulelt'!P$3,negtgel!U722:BL722)+ SUMIF(negtgel!U$2:BL$2,'Tsalin uzuulelt'!P$4,negtgel!U722:BL722)+ SUMIF(negtgel!U$2:BL$2,'Tsalin uzuulelt'!P$5,negtgel!U722:BL722)</f>
      </c>
      <c r="N722">
        <f>IF(ISNUMBER(U722*1)=CF722,0,K722-H722-G722)</f>
      </c>
      <c r="O722">
        <f>IF(ISNUMBER(U722*1)=CF722,0,L722)</f>
      </c>
      <c r="P722">
        <f>IF(ISNUMBER(U722*1)=CF722,0,M722)</f>
      </c>
      <c r="Q722">
        <f>IF(N722&gt;2400000,N722,0)</f>
      </c>
      <c r="R722">
        <f>IF(L722/Q722*100&lt;3,2,10)</f>
      </c>
      <c r="S722">
        <f>IF(CH722=0,0,IF(B722&gt;9,10,IF(B722&gt;8,B722,IF(B722&gt;7.7,7.8,IF(B722&gt;3,B722,IF(B722&gt;1.5,2))))))</f>
      </c>
      <c r="T722">
        <f>IF(Q722=0,S722,R722)</f>
      </c>
      <c r="U722" t="n">
        <v>70.0</v>
      </c>
      <c r="V722" t="s">
        <v>3819</v>
      </c>
      <c r="W722" t="s">
        <v>3820</v>
      </c>
      <c r="X722" t="n">
        <v>698795.0</v>
      </c>
      <c r="Y722" t="n">
        <v>698795.0</v>
      </c>
      <c r="Z722" t="n">
        <v>104819.0</v>
      </c>
      <c r="AA722" t="n">
        <v>125783.0</v>
      </c>
      <c r="AB722" t="n">
        <v>0.0</v>
      </c>
      <c r="AC722" t="n">
        <v>0.0</v>
      </c>
      <c r="AD722" t="n">
        <v>0.0</v>
      </c>
      <c r="AE722" t="n">
        <v>0.0</v>
      </c>
      <c r="AF722" t="n">
        <v>66000.0</v>
      </c>
      <c r="AG722" t="n">
        <v>0.0</v>
      </c>
      <c r="AH722" t="n">
        <v>0.0</v>
      </c>
      <c r="AI722" t="n">
        <v>0.0</v>
      </c>
      <c r="AJ722" t="n">
        <v>0.0</v>
      </c>
      <c r="AK722" t="n">
        <v>0.0</v>
      </c>
      <c r="AL722" t="n">
        <v>0.0</v>
      </c>
      <c r="AM722" t="n">
        <v>0.0</v>
      </c>
      <c r="AN722" t="n">
        <v>0.0</v>
      </c>
      <c r="AO722" t="n">
        <v>995397.0</v>
      </c>
      <c r="AP722" t="n">
        <v>99540.0</v>
      </c>
      <c r="AQ722" t="n">
        <v>83245.7</v>
      </c>
      <c r="CH722">
        <f>IFERROR(U722*1,0)</f>
      </c>
    </row>
    <row r="723">
      <c r="A723" t="n">
        <v>11.0</v>
      </c>
      <c r="B723">
        <f>IF((K723-G723-H723&gt;2400000),10,(L723/(K723-G723-H723)*100))</f>
      </c>
      <c r="C723">
        <f>IF(N723&gt;2400000,240000,(N723*S723)/100)</f>
      </c>
      <c r="D723">
        <f>IF(S723=0,0,IF((N723-I723)&gt;2400000,((((((N723-I723-J723)-240000))*0.1+(I723+J723)*0.1)))-7000,((((((N723-I723-J723)-(N723-I723-J723)*S723/100)))*0.1+(I723+J723)*0.1)-7000)))</f>
      </c>
      <c r="E723">
        <f>C723-O723</f>
      </c>
      <c r="F723">
        <f>D723-P723</f>
      </c>
      <c r="G723">
        <f>SUMIF(negtgel!U$2:BL$2,'Tsalin uzuulelt'!B$1,negtgel!U723:BL723) + SUMIF(negtgel!U$2:BL$2,'Tsalin uzuulelt'!B$2,negtgel!U723:BL723)+SUMIF(negtgel!U$2:BL$2,'Tsalin uzuulelt'!B$3,negtgel!U723:BL723)+SUMIF(negtgel!U$2:BL$2,'Tsalin uzuulelt'!B$4,negtgel!U723:BL723)+SUMIF(negtgel!U$2:BL$2,'Tsalin uzuulelt'!B$5,negtgel!U723:BL723)</f>
      </c>
      <c r="H723">
        <f>SUMIF(negtgel!U$2:BL$2,'Tsalin uzuulelt'!F$1,negtgel!U723:BL723) + SUMIF(negtgel!U$2:BL$2,'Tsalin uzuulelt'!F$2,negtgel!U723:BL723)+SUMIF(negtgel!U$2:BL$2,'Tsalin uzuulelt'!F$3,negtgel!U723:BL723)+SUMIF(negtgel!U$2:BL$2,'Tsalin uzuulelt'!F$4,negtgel!U723:BL723)+SUMIF(negtgel!U$2:BL$2,'Tsalin uzuulelt'!F$5,negtgel!U723:BL723)</f>
      </c>
      <c r="I723">
        <f>SUMIF(negtgel!U$2:BL$2,'Tsalin uzuulelt'!H$1,negtgel!U723:BL723) + SUMIF(negtgel!U$2:BL$2,'Tsalin uzuulelt'!H$2,negtgel!U723:BL723)+SUMIF(negtgel!U$2:BL$2,'Tsalin uzuulelt'!H$3,negtgel!U723:BL723)+SUMIF(negtgel!U$2:BL$2,'Tsalin uzuulelt'!H$4,negtgel!U723:BL723)+SUMIF(negtgel!U$2:BL$2,'Tsalin uzuulelt'!H$5,negtgel!U723:BL723)</f>
      </c>
      <c r="J723">
        <f>SUMIF(negtgel!U$2:BL$2,'Tsalin uzuulelt'!J$1,negtgel!U723:BL723) + SUMIF(negtgel!U$2:BL$2,'Tsalin uzuulelt'!J$2,negtgel!U723:BL723)+SUMIF(negtgel!U$2:BL$2,'Tsalin uzuulelt'!J$3,negtgel!U723:BL723)+SUMIF(negtgel!U$2:BL$2,'Tsalin uzuulelt'!J$4,negtgel!U723:BL723)+SUMIF(negtgel!U$2:BL$2,'Tsalin uzuulelt'!J$5,negtgel!U723:BL723)</f>
      </c>
      <c r="K723">
        <f>SUMIF(negtgel!U$2:BL$2,'Tsalin uzuulelt'!L$1,negtgel!U723:BL723) + SUMIF(negtgel!U$2:BL$2,'Tsalin uzuulelt'!L$2,negtgel!U723:BL723)+SUMIF(negtgel!U$2:BL$2,'Tsalin uzuulelt'!L$3,negtgel!U723:BL723)+SUMIF(negtgel!U$2:BL$2,'Tsalin uzuulelt'!L$4,negtgel!U723:BL723)+SUMIF(negtgel!U$2:BL$2,'Tsalin uzuulelt'!L$5,negtgel!U723:BL723)</f>
      </c>
      <c r="L723">
        <f>SUMIF(negtgel!U$2:BL$2,'Tsalin uzuulelt'!N$1,negtgel!U723:BL723) + SUMIF(negtgel!U$2:BL$2,'Tsalin uzuulelt'!N$2,negtgel!U723:BL723)+SUMIF(negtgel!U$2:BL$2,'Tsalin uzuulelt'!N$3,negtgel!U723:BL723)+SUMIF(negtgel!U$2:BL$2,'Tsalin uzuulelt'!N$4,negtgel!U723:BL723)+SUMIF(negtgel!U$2:BL$2,'Tsalin uzuulelt'!N$5,negtgel!U723:BL723)</f>
      </c>
      <c r="M723">
        <f>SUMIF(negtgel!U$2:BL$2,'Tsalin uzuulelt'!P$1,negtgel!U723:BL723) + SUMIF(negtgel!U$2:BL$2,'Tsalin uzuulelt'!P$2,negtgel!U723:BL723)+ SUMIF(negtgel!U$2:BL$2,'Tsalin uzuulelt'!P$3,negtgel!U723:BL723)+ SUMIF(negtgel!U$2:BL$2,'Tsalin uzuulelt'!P$4,negtgel!U723:BL723)+ SUMIF(negtgel!U$2:BL$2,'Tsalin uzuulelt'!P$5,negtgel!U723:BL723)</f>
      </c>
      <c r="N723">
        <f>IF(ISNUMBER(U723*1)=CF723,0,K723-H723-G723)</f>
      </c>
      <c r="O723">
        <f>IF(ISNUMBER(U723*1)=CF723,0,L723)</f>
      </c>
      <c r="P723">
        <f>IF(ISNUMBER(U723*1)=CF723,0,M723)</f>
      </c>
      <c r="Q723">
        <f>IF(N723&gt;2400000,N723,0)</f>
      </c>
      <c r="R723">
        <f>IF(L723/Q723*100&lt;3,2,10)</f>
      </c>
      <c r="S723">
        <f>IF(CH723=0,0,IF(B723&gt;9,10,IF(B723&gt;8,B723,IF(B723&gt;7.7,7.8,IF(B723&gt;3,B723,IF(B723&gt;1.5,2))))))</f>
      </c>
      <c r="T723">
        <f>IF(Q723=0,S723,R723)</f>
      </c>
      <c r="U723" t="n">
        <v>71.0</v>
      </c>
      <c r="V723" t="s">
        <v>3821</v>
      </c>
      <c r="W723" t="s">
        <v>3790</v>
      </c>
      <c r="X723" t="n">
        <v>547759.0</v>
      </c>
      <c r="Y723" t="n">
        <v>547759.0</v>
      </c>
      <c r="Z723" t="n">
        <v>0.0</v>
      </c>
      <c r="AA723" t="n">
        <v>0.0</v>
      </c>
      <c r="AB723" t="n">
        <v>0.0</v>
      </c>
      <c r="AC723" t="n">
        <v>0.0</v>
      </c>
      <c r="AD723" t="n">
        <v>0.0</v>
      </c>
      <c r="AE723" t="n">
        <v>0.0</v>
      </c>
      <c r="AF723" t="n">
        <v>66000.0</v>
      </c>
      <c r="AG723" t="n">
        <v>0.0</v>
      </c>
      <c r="AH723" t="n">
        <v>0.0</v>
      </c>
      <c r="AI723" t="n">
        <v>0.0</v>
      </c>
      <c r="AJ723" t="n">
        <v>0.0</v>
      </c>
      <c r="AK723" t="n">
        <v>0.0</v>
      </c>
      <c r="AL723" t="n">
        <v>0.0</v>
      </c>
      <c r="AM723" t="n">
        <v>0.0</v>
      </c>
      <c r="AN723" t="n">
        <v>0.0</v>
      </c>
      <c r="AO723" t="n">
        <v>613759.0</v>
      </c>
      <c r="AP723" t="n">
        <v>61376.0</v>
      </c>
      <c r="AQ723" t="n">
        <v>48898.3</v>
      </c>
      <c r="CH723">
        <f>IFERROR(U723*1,0)</f>
      </c>
    </row>
    <row r="724">
      <c r="A724" t="n">
        <v>11.0</v>
      </c>
      <c r="B724">
        <f>IF((K724-G724-H724&gt;2400000),10,(L724/(K724-G724-H724)*100))</f>
      </c>
      <c r="C724">
        <f>IF(N724&gt;2400000,240000,(N724*S724)/100)</f>
      </c>
      <c r="D724">
        <f>IF(S724=0,0,IF((N724-I724)&gt;2400000,((((((N724-I724-J724)-240000))*0.1+(I724+J724)*0.1)))-7000,((((((N724-I724-J724)-(N724-I724-J724)*S724/100)))*0.1+(I724+J724)*0.1)-7000)))</f>
      </c>
      <c r="E724">
        <f>C724-O724</f>
      </c>
      <c r="F724">
        <f>D724-P724</f>
      </c>
      <c r="G724">
        <f>SUMIF(negtgel!U$2:BL$2,'Tsalin uzuulelt'!B$1,negtgel!U724:BL724) + SUMIF(negtgel!U$2:BL$2,'Tsalin uzuulelt'!B$2,negtgel!U724:BL724)+SUMIF(negtgel!U$2:BL$2,'Tsalin uzuulelt'!B$3,negtgel!U724:BL724)+SUMIF(negtgel!U$2:BL$2,'Tsalin uzuulelt'!B$4,negtgel!U724:BL724)+SUMIF(negtgel!U$2:BL$2,'Tsalin uzuulelt'!B$5,negtgel!U724:BL724)</f>
      </c>
      <c r="H724">
        <f>SUMIF(negtgel!U$2:BL$2,'Tsalin uzuulelt'!F$1,negtgel!U724:BL724) + SUMIF(negtgel!U$2:BL$2,'Tsalin uzuulelt'!F$2,negtgel!U724:BL724)+SUMIF(negtgel!U$2:BL$2,'Tsalin uzuulelt'!F$3,negtgel!U724:BL724)+SUMIF(negtgel!U$2:BL$2,'Tsalin uzuulelt'!F$4,negtgel!U724:BL724)+SUMIF(negtgel!U$2:BL$2,'Tsalin uzuulelt'!F$5,negtgel!U724:BL724)</f>
      </c>
      <c r="I724">
        <f>SUMIF(negtgel!U$2:BL$2,'Tsalin uzuulelt'!H$1,negtgel!U724:BL724) + SUMIF(negtgel!U$2:BL$2,'Tsalin uzuulelt'!H$2,negtgel!U724:BL724)+SUMIF(negtgel!U$2:BL$2,'Tsalin uzuulelt'!H$3,negtgel!U724:BL724)+SUMIF(negtgel!U$2:BL$2,'Tsalin uzuulelt'!H$4,negtgel!U724:BL724)+SUMIF(negtgel!U$2:BL$2,'Tsalin uzuulelt'!H$5,negtgel!U724:BL724)</f>
      </c>
      <c r="J724">
        <f>SUMIF(negtgel!U$2:BL$2,'Tsalin uzuulelt'!J$1,negtgel!U724:BL724) + SUMIF(negtgel!U$2:BL$2,'Tsalin uzuulelt'!J$2,negtgel!U724:BL724)+SUMIF(negtgel!U$2:BL$2,'Tsalin uzuulelt'!J$3,negtgel!U724:BL724)+SUMIF(negtgel!U$2:BL$2,'Tsalin uzuulelt'!J$4,negtgel!U724:BL724)+SUMIF(negtgel!U$2:BL$2,'Tsalin uzuulelt'!J$5,negtgel!U724:BL724)</f>
      </c>
      <c r="K724">
        <f>SUMIF(negtgel!U$2:BL$2,'Tsalin uzuulelt'!L$1,negtgel!U724:BL724) + SUMIF(negtgel!U$2:BL$2,'Tsalin uzuulelt'!L$2,negtgel!U724:BL724)+SUMIF(negtgel!U$2:BL$2,'Tsalin uzuulelt'!L$3,negtgel!U724:BL724)+SUMIF(negtgel!U$2:BL$2,'Tsalin uzuulelt'!L$4,negtgel!U724:BL724)+SUMIF(negtgel!U$2:BL$2,'Tsalin uzuulelt'!L$5,negtgel!U724:BL724)</f>
      </c>
      <c r="L724">
        <f>SUMIF(negtgel!U$2:BL$2,'Tsalin uzuulelt'!N$1,negtgel!U724:BL724) + SUMIF(negtgel!U$2:BL$2,'Tsalin uzuulelt'!N$2,negtgel!U724:BL724)+SUMIF(negtgel!U$2:BL$2,'Tsalin uzuulelt'!N$3,negtgel!U724:BL724)+SUMIF(negtgel!U$2:BL$2,'Tsalin uzuulelt'!N$4,negtgel!U724:BL724)+SUMIF(negtgel!U$2:BL$2,'Tsalin uzuulelt'!N$5,negtgel!U724:BL724)</f>
      </c>
      <c r="M724">
        <f>SUMIF(negtgel!U$2:BL$2,'Tsalin uzuulelt'!P$1,negtgel!U724:BL724) + SUMIF(negtgel!U$2:BL$2,'Tsalin uzuulelt'!P$2,negtgel!U724:BL724)+ SUMIF(negtgel!U$2:BL$2,'Tsalin uzuulelt'!P$3,negtgel!U724:BL724)+ SUMIF(negtgel!U$2:BL$2,'Tsalin uzuulelt'!P$4,negtgel!U724:BL724)+ SUMIF(negtgel!U$2:BL$2,'Tsalin uzuulelt'!P$5,negtgel!U724:BL724)</f>
      </c>
      <c r="N724">
        <f>IF(ISNUMBER(U724*1)=CF724,0,K724-H724-G724)</f>
      </c>
      <c r="O724">
        <f>IF(ISNUMBER(U724*1)=CF724,0,L724)</f>
      </c>
      <c r="P724">
        <f>IF(ISNUMBER(U724*1)=CF724,0,M724)</f>
      </c>
      <c r="Q724">
        <f>IF(N724&gt;2400000,N724,0)</f>
      </c>
      <c r="R724">
        <f>IF(L724/Q724*100&lt;3,2,10)</f>
      </c>
      <c r="S724">
        <f>IF(CH724=0,0,IF(B724&gt;9,10,IF(B724&gt;8,B724,IF(B724&gt;7.7,7.8,IF(B724&gt;3,B724,IF(B724&gt;1.5,2))))))</f>
      </c>
      <c r="T724">
        <f>IF(Q724=0,S724,R724)</f>
      </c>
      <c r="U724" t="n">
        <v>72.0</v>
      </c>
      <c r="V724" t="s">
        <v>3824</v>
      </c>
      <c r="W724" t="s">
        <v>3790</v>
      </c>
      <c r="X724" t="n">
        <v>677436.0</v>
      </c>
      <c r="Y724" t="n">
        <v>677436.0</v>
      </c>
      <c r="Z724" t="n">
        <v>135487.0</v>
      </c>
      <c r="AA724" t="n">
        <v>135487.0</v>
      </c>
      <c r="AB724" t="n">
        <v>0.0</v>
      </c>
      <c r="AC724" t="n">
        <v>101615.0</v>
      </c>
      <c r="AD724" t="n">
        <v>0.0</v>
      </c>
      <c r="AE724" t="n">
        <v>0.0</v>
      </c>
      <c r="AF724" t="n">
        <v>66000.0</v>
      </c>
      <c r="AG724" t="n">
        <v>0.0</v>
      </c>
      <c r="AH724" t="n">
        <v>0.0</v>
      </c>
      <c r="AI724" t="n">
        <v>0.0</v>
      </c>
      <c r="AJ724" t="n">
        <v>0.0</v>
      </c>
      <c r="AK724" t="n">
        <v>0.0</v>
      </c>
      <c r="AL724" t="n">
        <v>0.0</v>
      </c>
      <c r="AM724" t="n">
        <v>0.0</v>
      </c>
      <c r="AN724" t="n">
        <v>0.0</v>
      </c>
      <c r="AO724" t="n">
        <v>1116025.0</v>
      </c>
      <c r="AP724" t="n">
        <v>111602.0</v>
      </c>
      <c r="AQ724" t="n">
        <v>94102.2</v>
      </c>
      <c r="CH724">
        <f>IFERROR(U724*1,0)</f>
      </c>
    </row>
    <row r="725">
      <c r="A725" t="n">
        <v>11.0</v>
      </c>
      <c r="B725">
        <f>IF((K725-G725-H725&gt;2400000),10,(L725/(K725-G725-H725)*100))</f>
      </c>
      <c r="C725">
        <f>IF(N725&gt;2400000,240000,(N725*S725)/100)</f>
      </c>
      <c r="D725">
        <f>IF(S725=0,0,IF((N725-I725)&gt;2400000,((((((N725-I725-J725)-240000))*0.1+(I725+J725)*0.1)))-7000,((((((N725-I725-J725)-(N725-I725-J725)*S725/100)))*0.1+(I725+J725)*0.1)-7000)))</f>
      </c>
      <c r="E725">
        <f>C725-O725</f>
      </c>
      <c r="F725">
        <f>D725-P725</f>
      </c>
      <c r="G725">
        <f>SUMIF(negtgel!U$2:BL$2,'Tsalin uzuulelt'!B$1,negtgel!U725:BL725) + SUMIF(negtgel!U$2:BL$2,'Tsalin uzuulelt'!B$2,negtgel!U725:BL725)+SUMIF(negtgel!U$2:BL$2,'Tsalin uzuulelt'!B$3,negtgel!U725:BL725)+SUMIF(negtgel!U$2:BL$2,'Tsalin uzuulelt'!B$4,negtgel!U725:BL725)+SUMIF(negtgel!U$2:BL$2,'Tsalin uzuulelt'!B$5,negtgel!U725:BL725)</f>
      </c>
      <c r="H725">
        <f>SUMIF(negtgel!U$2:BL$2,'Tsalin uzuulelt'!F$1,negtgel!U725:BL725) + SUMIF(negtgel!U$2:BL$2,'Tsalin uzuulelt'!F$2,negtgel!U725:BL725)+SUMIF(negtgel!U$2:BL$2,'Tsalin uzuulelt'!F$3,negtgel!U725:BL725)+SUMIF(negtgel!U$2:BL$2,'Tsalin uzuulelt'!F$4,negtgel!U725:BL725)+SUMIF(negtgel!U$2:BL$2,'Tsalin uzuulelt'!F$5,negtgel!U725:BL725)</f>
      </c>
      <c r="I725">
        <f>SUMIF(negtgel!U$2:BL$2,'Tsalin uzuulelt'!H$1,negtgel!U725:BL725) + SUMIF(negtgel!U$2:BL$2,'Tsalin uzuulelt'!H$2,negtgel!U725:BL725)+SUMIF(negtgel!U$2:BL$2,'Tsalin uzuulelt'!H$3,negtgel!U725:BL725)+SUMIF(negtgel!U$2:BL$2,'Tsalin uzuulelt'!H$4,negtgel!U725:BL725)+SUMIF(negtgel!U$2:BL$2,'Tsalin uzuulelt'!H$5,negtgel!U725:BL725)</f>
      </c>
      <c r="J725">
        <f>SUMIF(negtgel!U$2:BL$2,'Tsalin uzuulelt'!J$1,negtgel!U725:BL725) + SUMIF(negtgel!U$2:BL$2,'Tsalin uzuulelt'!J$2,negtgel!U725:BL725)+SUMIF(negtgel!U$2:BL$2,'Tsalin uzuulelt'!J$3,negtgel!U725:BL725)+SUMIF(negtgel!U$2:BL$2,'Tsalin uzuulelt'!J$4,negtgel!U725:BL725)+SUMIF(negtgel!U$2:BL$2,'Tsalin uzuulelt'!J$5,negtgel!U725:BL725)</f>
      </c>
      <c r="K725">
        <f>SUMIF(negtgel!U$2:BL$2,'Tsalin uzuulelt'!L$1,negtgel!U725:BL725) + SUMIF(negtgel!U$2:BL$2,'Tsalin uzuulelt'!L$2,negtgel!U725:BL725)+SUMIF(negtgel!U$2:BL$2,'Tsalin uzuulelt'!L$3,negtgel!U725:BL725)+SUMIF(negtgel!U$2:BL$2,'Tsalin uzuulelt'!L$4,negtgel!U725:BL725)+SUMIF(negtgel!U$2:BL$2,'Tsalin uzuulelt'!L$5,negtgel!U725:BL725)</f>
      </c>
      <c r="L725">
        <f>SUMIF(negtgel!U$2:BL$2,'Tsalin uzuulelt'!N$1,negtgel!U725:BL725) + SUMIF(negtgel!U$2:BL$2,'Tsalin uzuulelt'!N$2,negtgel!U725:BL725)+SUMIF(negtgel!U$2:BL$2,'Tsalin uzuulelt'!N$3,negtgel!U725:BL725)+SUMIF(negtgel!U$2:BL$2,'Tsalin uzuulelt'!N$4,negtgel!U725:BL725)+SUMIF(negtgel!U$2:BL$2,'Tsalin uzuulelt'!N$5,negtgel!U725:BL725)</f>
      </c>
      <c r="M725">
        <f>SUMIF(negtgel!U$2:BL$2,'Tsalin uzuulelt'!P$1,negtgel!U725:BL725) + SUMIF(negtgel!U$2:BL$2,'Tsalin uzuulelt'!P$2,negtgel!U725:BL725)+ SUMIF(negtgel!U$2:BL$2,'Tsalin uzuulelt'!P$3,negtgel!U725:BL725)+ SUMIF(negtgel!U$2:BL$2,'Tsalin uzuulelt'!P$4,negtgel!U725:BL725)+ SUMIF(negtgel!U$2:BL$2,'Tsalin uzuulelt'!P$5,negtgel!U725:BL725)</f>
      </c>
      <c r="N725">
        <f>IF(ISNUMBER(U725*1)=CF725,0,K725-H725-G725)</f>
      </c>
      <c r="O725">
        <f>IF(ISNUMBER(U725*1)=CF725,0,L725)</f>
      </c>
      <c r="P725">
        <f>IF(ISNUMBER(U725*1)=CF725,0,M725)</f>
      </c>
      <c r="Q725">
        <f>IF(N725&gt;2400000,N725,0)</f>
      </c>
      <c r="R725">
        <f>IF(L725/Q725*100&lt;3,2,10)</f>
      </c>
      <c r="S725">
        <f>IF(CH725=0,0,IF(B725&gt;9,10,IF(B725&gt;8,B725,IF(B725&gt;7.7,7.8,IF(B725&gt;3,B725,IF(B725&gt;1.5,2))))))</f>
      </c>
      <c r="T725">
        <f>IF(Q725=0,S725,R725)</f>
      </c>
      <c r="U725" t="n">
        <v>73.0</v>
      </c>
      <c r="V725" t="s">
        <v>3878</v>
      </c>
      <c r="W725" t="s">
        <v>3790</v>
      </c>
      <c r="X725" t="n">
        <v>645556.0</v>
      </c>
      <c r="Y725" t="n">
        <v>557526.0</v>
      </c>
      <c r="Z725" t="n">
        <v>111505.0</v>
      </c>
      <c r="AA725" t="n">
        <v>111505.0</v>
      </c>
      <c r="AB725" t="n">
        <v>0.0</v>
      </c>
      <c r="AC725" t="n">
        <v>83629.0</v>
      </c>
      <c r="AD725" t="n">
        <v>0.0</v>
      </c>
      <c r="AE725" t="n">
        <v>0.0</v>
      </c>
      <c r="AF725" t="n">
        <v>57000.0</v>
      </c>
      <c r="AG725" t="n">
        <v>0.0</v>
      </c>
      <c r="AH725" t="n">
        <v>0.0</v>
      </c>
      <c r="AI725" t="n">
        <v>0.0</v>
      </c>
      <c r="AJ725" t="n">
        <v>0.0</v>
      </c>
      <c r="AK725" t="n">
        <v>0.0</v>
      </c>
      <c r="AL725" t="n">
        <v>58910.0</v>
      </c>
      <c r="AM725" t="n">
        <v>0.0</v>
      </c>
      <c r="AN725" t="n">
        <v>0.0</v>
      </c>
      <c r="AO725" t="n">
        <v>980075.0</v>
      </c>
      <c r="AP725" t="n">
        <v>92116.0</v>
      </c>
      <c r="AQ725" t="n">
        <v>76474.8</v>
      </c>
      <c r="CH725">
        <f>IFERROR(U725*1,0)</f>
      </c>
    </row>
    <row r="726">
      <c r="A726" t="n">
        <v>11.0</v>
      </c>
      <c r="B726">
        <f>IF((K726-G726-H726&gt;2400000),10,(L726/(K726-G726-H726)*100))</f>
      </c>
      <c r="C726">
        <f>IF(N726&gt;2400000,240000,(N726*S726)/100)</f>
      </c>
      <c r="D726">
        <f>IF(S726=0,0,IF((N726-I726)&gt;2400000,((((((N726-I726-J726)-240000))*0.1+(I726+J726)*0.1)))-7000,((((((N726-I726-J726)-(N726-I726-J726)*S726/100)))*0.1+(I726+J726)*0.1)-7000)))</f>
      </c>
      <c r="E726">
        <f>C726-O726</f>
      </c>
      <c r="F726">
        <f>D726-P726</f>
      </c>
      <c r="G726">
        <f>SUMIF(negtgel!U$2:BL$2,'Tsalin uzuulelt'!B$1,negtgel!U726:BL726) + SUMIF(negtgel!U$2:BL$2,'Tsalin uzuulelt'!B$2,negtgel!U726:BL726)+SUMIF(negtgel!U$2:BL$2,'Tsalin uzuulelt'!B$3,negtgel!U726:BL726)+SUMIF(negtgel!U$2:BL$2,'Tsalin uzuulelt'!B$4,negtgel!U726:BL726)+SUMIF(negtgel!U$2:BL$2,'Tsalin uzuulelt'!B$5,negtgel!U726:BL726)</f>
      </c>
      <c r="H726">
        <f>SUMIF(negtgel!U$2:BL$2,'Tsalin uzuulelt'!F$1,negtgel!U726:BL726) + SUMIF(negtgel!U$2:BL$2,'Tsalin uzuulelt'!F$2,negtgel!U726:BL726)+SUMIF(negtgel!U$2:BL$2,'Tsalin uzuulelt'!F$3,negtgel!U726:BL726)+SUMIF(negtgel!U$2:BL$2,'Tsalin uzuulelt'!F$4,negtgel!U726:BL726)+SUMIF(negtgel!U$2:BL$2,'Tsalin uzuulelt'!F$5,negtgel!U726:BL726)</f>
      </c>
      <c r="I726">
        <f>SUMIF(negtgel!U$2:BL$2,'Tsalin uzuulelt'!H$1,negtgel!U726:BL726) + SUMIF(negtgel!U$2:BL$2,'Tsalin uzuulelt'!H$2,negtgel!U726:BL726)+SUMIF(negtgel!U$2:BL$2,'Tsalin uzuulelt'!H$3,negtgel!U726:BL726)+SUMIF(negtgel!U$2:BL$2,'Tsalin uzuulelt'!H$4,negtgel!U726:BL726)+SUMIF(negtgel!U$2:BL$2,'Tsalin uzuulelt'!H$5,negtgel!U726:BL726)</f>
      </c>
      <c r="J726">
        <f>SUMIF(negtgel!U$2:BL$2,'Tsalin uzuulelt'!J$1,negtgel!U726:BL726) + SUMIF(negtgel!U$2:BL$2,'Tsalin uzuulelt'!J$2,negtgel!U726:BL726)+SUMIF(negtgel!U$2:BL$2,'Tsalin uzuulelt'!J$3,negtgel!U726:BL726)+SUMIF(negtgel!U$2:BL$2,'Tsalin uzuulelt'!J$4,negtgel!U726:BL726)+SUMIF(negtgel!U$2:BL$2,'Tsalin uzuulelt'!J$5,negtgel!U726:BL726)</f>
      </c>
      <c r="K726">
        <f>SUMIF(negtgel!U$2:BL$2,'Tsalin uzuulelt'!L$1,negtgel!U726:BL726) + SUMIF(negtgel!U$2:BL$2,'Tsalin uzuulelt'!L$2,negtgel!U726:BL726)+SUMIF(negtgel!U$2:BL$2,'Tsalin uzuulelt'!L$3,negtgel!U726:BL726)+SUMIF(negtgel!U$2:BL$2,'Tsalin uzuulelt'!L$4,negtgel!U726:BL726)+SUMIF(negtgel!U$2:BL$2,'Tsalin uzuulelt'!L$5,negtgel!U726:BL726)</f>
      </c>
      <c r="L726">
        <f>SUMIF(negtgel!U$2:BL$2,'Tsalin uzuulelt'!N$1,negtgel!U726:BL726) + SUMIF(negtgel!U$2:BL$2,'Tsalin uzuulelt'!N$2,negtgel!U726:BL726)+SUMIF(negtgel!U$2:BL$2,'Tsalin uzuulelt'!N$3,negtgel!U726:BL726)+SUMIF(negtgel!U$2:BL$2,'Tsalin uzuulelt'!N$4,negtgel!U726:BL726)+SUMIF(negtgel!U$2:BL$2,'Tsalin uzuulelt'!N$5,negtgel!U726:BL726)</f>
      </c>
      <c r="M726">
        <f>SUMIF(negtgel!U$2:BL$2,'Tsalin uzuulelt'!P$1,negtgel!U726:BL726) + SUMIF(negtgel!U$2:BL$2,'Tsalin uzuulelt'!P$2,negtgel!U726:BL726)+ SUMIF(negtgel!U$2:BL$2,'Tsalin uzuulelt'!P$3,negtgel!U726:BL726)+ SUMIF(negtgel!U$2:BL$2,'Tsalin uzuulelt'!P$4,negtgel!U726:BL726)+ SUMIF(negtgel!U$2:BL$2,'Tsalin uzuulelt'!P$5,negtgel!U726:BL726)</f>
      </c>
      <c r="N726">
        <f>IF(ISNUMBER(U726*1)=CF726,0,K726-H726-G726)</f>
      </c>
      <c r="O726">
        <f>IF(ISNUMBER(U726*1)=CF726,0,L726)</f>
      </c>
      <c r="P726">
        <f>IF(ISNUMBER(U726*1)=CF726,0,M726)</f>
      </c>
      <c r="Q726">
        <f>IF(N726&gt;2400000,N726,0)</f>
      </c>
      <c r="R726">
        <f>IF(L726/Q726*100&lt;3,2,10)</f>
      </c>
      <c r="S726">
        <f>IF(CH726=0,0,IF(B726&gt;9,10,IF(B726&gt;8,B726,IF(B726&gt;7.7,7.8,IF(B726&gt;3,B726,IF(B726&gt;1.5,2))))))</f>
      </c>
      <c r="T726">
        <f>IF(Q726=0,S726,R726)</f>
      </c>
      <c r="U726" t="n">
        <v>74.0</v>
      </c>
      <c r="V726" t="s">
        <v>3881</v>
      </c>
      <c r="W726" t="s">
        <v>3790</v>
      </c>
      <c r="X726" t="n">
        <v>580710.0</v>
      </c>
      <c r="Y726" t="n">
        <v>158375.0</v>
      </c>
      <c r="Z726" t="n">
        <v>0.0</v>
      </c>
      <c r="AA726" t="n">
        <v>0.0</v>
      </c>
      <c r="AB726" t="n">
        <v>0.0</v>
      </c>
      <c r="AC726" t="n">
        <v>0.0</v>
      </c>
      <c r="AD726" t="n">
        <v>0.0</v>
      </c>
      <c r="AE726" t="n">
        <v>0.0</v>
      </c>
      <c r="AF726" t="n">
        <v>18000.0</v>
      </c>
      <c r="AG726" t="n">
        <v>0.0</v>
      </c>
      <c r="AH726" t="n">
        <v>0.0</v>
      </c>
      <c r="AI726" t="n">
        <v>0.0</v>
      </c>
      <c r="AJ726" t="n">
        <v>0.0</v>
      </c>
      <c r="AK726" t="n">
        <v>0.0</v>
      </c>
      <c r="AL726" t="n">
        <v>0.0</v>
      </c>
      <c r="AM726" t="n">
        <v>0.0</v>
      </c>
      <c r="AN726" t="n">
        <v>0.0</v>
      </c>
      <c r="AO726" t="n">
        <v>176375.0</v>
      </c>
      <c r="AP726" t="n">
        <v>17638.0</v>
      </c>
      <c r="AQ726" t="n">
        <v>9053.8</v>
      </c>
      <c r="CH726">
        <f>IFERROR(U726*1,0)</f>
      </c>
    </row>
    <row r="727">
      <c r="A727" t="n">
        <v>11.0</v>
      </c>
      <c r="B727">
        <f>IF((K727-G727-H727&gt;2400000),10,(L727/(K727-G727-H727)*100))</f>
      </c>
      <c r="C727">
        <f>IF(N727&gt;2400000,240000,(N727*S727)/100)</f>
      </c>
      <c r="D727">
        <f>IF(S727=0,0,IF((N727-I727)&gt;2400000,((((((N727-I727-J727)-240000))*0.1+(I727+J727)*0.1)))-7000,((((((N727-I727-J727)-(N727-I727-J727)*S727/100)))*0.1+(I727+J727)*0.1)-7000)))</f>
      </c>
      <c r="E727">
        <f>C727-O727</f>
      </c>
      <c r="F727">
        <f>D727-P727</f>
      </c>
      <c r="G727">
        <f>SUMIF(negtgel!U$2:BL$2,'Tsalin uzuulelt'!B$1,negtgel!U727:BL727) + SUMIF(negtgel!U$2:BL$2,'Tsalin uzuulelt'!B$2,negtgel!U727:BL727)+SUMIF(negtgel!U$2:BL$2,'Tsalin uzuulelt'!B$3,negtgel!U727:BL727)+SUMIF(negtgel!U$2:BL$2,'Tsalin uzuulelt'!B$4,negtgel!U727:BL727)+SUMIF(negtgel!U$2:BL$2,'Tsalin uzuulelt'!B$5,negtgel!U727:BL727)</f>
      </c>
      <c r="H727">
        <f>SUMIF(negtgel!U$2:BL$2,'Tsalin uzuulelt'!F$1,negtgel!U727:BL727) + SUMIF(negtgel!U$2:BL$2,'Tsalin uzuulelt'!F$2,negtgel!U727:BL727)+SUMIF(negtgel!U$2:BL$2,'Tsalin uzuulelt'!F$3,negtgel!U727:BL727)+SUMIF(negtgel!U$2:BL$2,'Tsalin uzuulelt'!F$4,negtgel!U727:BL727)+SUMIF(negtgel!U$2:BL$2,'Tsalin uzuulelt'!F$5,negtgel!U727:BL727)</f>
      </c>
      <c r="I727">
        <f>SUMIF(negtgel!U$2:BL$2,'Tsalin uzuulelt'!H$1,negtgel!U727:BL727) + SUMIF(negtgel!U$2:BL$2,'Tsalin uzuulelt'!H$2,negtgel!U727:BL727)+SUMIF(negtgel!U$2:BL$2,'Tsalin uzuulelt'!H$3,negtgel!U727:BL727)+SUMIF(negtgel!U$2:BL$2,'Tsalin uzuulelt'!H$4,negtgel!U727:BL727)+SUMIF(negtgel!U$2:BL$2,'Tsalin uzuulelt'!H$5,negtgel!U727:BL727)</f>
      </c>
      <c r="J727">
        <f>SUMIF(negtgel!U$2:BL$2,'Tsalin uzuulelt'!J$1,negtgel!U727:BL727) + SUMIF(negtgel!U$2:BL$2,'Tsalin uzuulelt'!J$2,negtgel!U727:BL727)+SUMIF(negtgel!U$2:BL$2,'Tsalin uzuulelt'!J$3,negtgel!U727:BL727)+SUMIF(negtgel!U$2:BL$2,'Tsalin uzuulelt'!J$4,negtgel!U727:BL727)+SUMIF(negtgel!U$2:BL$2,'Tsalin uzuulelt'!J$5,negtgel!U727:BL727)</f>
      </c>
      <c r="K727">
        <f>SUMIF(negtgel!U$2:BL$2,'Tsalin uzuulelt'!L$1,negtgel!U727:BL727) + SUMIF(negtgel!U$2:BL$2,'Tsalin uzuulelt'!L$2,negtgel!U727:BL727)+SUMIF(negtgel!U$2:BL$2,'Tsalin uzuulelt'!L$3,negtgel!U727:BL727)+SUMIF(negtgel!U$2:BL$2,'Tsalin uzuulelt'!L$4,negtgel!U727:BL727)+SUMIF(negtgel!U$2:BL$2,'Tsalin uzuulelt'!L$5,negtgel!U727:BL727)</f>
      </c>
      <c r="L727">
        <f>SUMIF(negtgel!U$2:BL$2,'Tsalin uzuulelt'!N$1,negtgel!U727:BL727) + SUMIF(negtgel!U$2:BL$2,'Tsalin uzuulelt'!N$2,negtgel!U727:BL727)+SUMIF(negtgel!U$2:BL$2,'Tsalin uzuulelt'!N$3,negtgel!U727:BL727)+SUMIF(negtgel!U$2:BL$2,'Tsalin uzuulelt'!N$4,negtgel!U727:BL727)+SUMIF(negtgel!U$2:BL$2,'Tsalin uzuulelt'!N$5,negtgel!U727:BL727)</f>
      </c>
      <c r="M727">
        <f>SUMIF(negtgel!U$2:BL$2,'Tsalin uzuulelt'!P$1,negtgel!U727:BL727) + SUMIF(negtgel!U$2:BL$2,'Tsalin uzuulelt'!P$2,negtgel!U727:BL727)+ SUMIF(negtgel!U$2:BL$2,'Tsalin uzuulelt'!P$3,negtgel!U727:BL727)+ SUMIF(negtgel!U$2:BL$2,'Tsalin uzuulelt'!P$4,negtgel!U727:BL727)+ SUMIF(negtgel!U$2:BL$2,'Tsalin uzuulelt'!P$5,negtgel!U727:BL727)</f>
      </c>
      <c r="N727">
        <f>IF(ISNUMBER(U727*1)=CF727,0,K727-H727-G727)</f>
      </c>
      <c r="O727">
        <f>IF(ISNUMBER(U727*1)=CF727,0,L727)</f>
      </c>
      <c r="P727">
        <f>IF(ISNUMBER(U727*1)=CF727,0,M727)</f>
      </c>
      <c r="Q727">
        <f>IF(N727&gt;2400000,N727,0)</f>
      </c>
      <c r="R727">
        <f>IF(L727/Q727*100&lt;3,2,10)</f>
      </c>
      <c r="S727">
        <f>IF(CH727=0,0,IF(B727&gt;9,10,IF(B727&gt;8,B727,IF(B727&gt;7.7,7.8,IF(B727&gt;3,B727,IF(B727&gt;1.5,2))))))</f>
      </c>
      <c r="T727">
        <f>IF(Q727=0,S727,R727)</f>
      </c>
      <c r="U727" t="s">
        <v>3787</v>
      </c>
      <c r="V727"/>
      <c r="W727"/>
      <c r="X727" t="n">
        <v>5171386.0</v>
      </c>
      <c r="Y727" t="n">
        <v>4661021.0</v>
      </c>
      <c r="Z727" t="n">
        <v>646485.0</v>
      </c>
      <c r="AA727" t="n">
        <v>651530.0</v>
      </c>
      <c r="AB727" t="n">
        <v>0.0</v>
      </c>
      <c r="AC727" t="n">
        <v>185244.0</v>
      </c>
      <c r="AD727" t="n">
        <v>219104.0</v>
      </c>
      <c r="AE727" t="n">
        <v>0.0</v>
      </c>
      <c r="AF727" t="n">
        <v>471000.0</v>
      </c>
      <c r="AG727" t="n">
        <v>0.0</v>
      </c>
      <c r="AH727" t="n">
        <v>0.0</v>
      </c>
      <c r="AI727" t="n">
        <v>0.0</v>
      </c>
      <c r="AJ727" t="n">
        <v>0.0</v>
      </c>
      <c r="AK727" t="n">
        <v>0.0</v>
      </c>
      <c r="AL727" t="n">
        <v>58910.0</v>
      </c>
      <c r="AM727" t="n">
        <v>0.0</v>
      </c>
      <c r="AN727" t="n">
        <v>0.0</v>
      </c>
      <c r="AO727" t="n">
        <v>6893294.0</v>
      </c>
      <c r="AP727" t="n">
        <v>683438.0</v>
      </c>
      <c r="AQ727" t="n">
        <v>563804.5</v>
      </c>
      <c r="CH727">
        <f>IFERROR(U727*1,0)</f>
      </c>
    </row>
    <row r="728">
      <c r="A728" t="n">
        <v>11.0</v>
      </c>
      <c r="B728">
        <f>IF((K728-G728-H728&gt;2400000),10,(L728/(K728-G728-H728)*100))</f>
      </c>
      <c r="C728">
        <f>IF(N728&gt;2400000,240000,(N728*S728)/100)</f>
      </c>
      <c r="D728">
        <f>IF(S728=0,0,IF((N728-I728)&gt;2400000,((((((N728-I728-J728)-240000))*0.1+(I728+J728)*0.1)))-7000,((((((N728-I728-J728)-(N728-I728-J728)*S728/100)))*0.1+(I728+J728)*0.1)-7000)))</f>
      </c>
      <c r="E728">
        <f>C728-O728</f>
      </c>
      <c r="F728">
        <f>D728-P728</f>
      </c>
      <c r="G728">
        <f>SUMIF(negtgel!U$2:BL$2,'Tsalin uzuulelt'!B$1,negtgel!U728:BL728) + SUMIF(negtgel!U$2:BL$2,'Tsalin uzuulelt'!B$2,negtgel!U728:BL728)+SUMIF(negtgel!U$2:BL$2,'Tsalin uzuulelt'!B$3,negtgel!U728:BL728)+SUMIF(negtgel!U$2:BL$2,'Tsalin uzuulelt'!B$4,negtgel!U728:BL728)+SUMIF(negtgel!U$2:BL$2,'Tsalin uzuulelt'!B$5,negtgel!U728:BL728)</f>
      </c>
      <c r="H728">
        <f>SUMIF(negtgel!U$2:BL$2,'Tsalin uzuulelt'!F$1,negtgel!U728:BL728) + SUMIF(negtgel!U$2:BL$2,'Tsalin uzuulelt'!F$2,negtgel!U728:BL728)+SUMIF(negtgel!U$2:BL$2,'Tsalin uzuulelt'!F$3,negtgel!U728:BL728)+SUMIF(negtgel!U$2:BL$2,'Tsalin uzuulelt'!F$4,negtgel!U728:BL728)+SUMIF(negtgel!U$2:BL$2,'Tsalin uzuulelt'!F$5,negtgel!U728:BL728)</f>
      </c>
      <c r="I728">
        <f>SUMIF(negtgel!U$2:BL$2,'Tsalin uzuulelt'!H$1,negtgel!U728:BL728) + SUMIF(negtgel!U$2:BL$2,'Tsalin uzuulelt'!H$2,negtgel!U728:BL728)+SUMIF(negtgel!U$2:BL$2,'Tsalin uzuulelt'!H$3,negtgel!U728:BL728)+SUMIF(negtgel!U$2:BL$2,'Tsalin uzuulelt'!H$4,negtgel!U728:BL728)+SUMIF(negtgel!U$2:BL$2,'Tsalin uzuulelt'!H$5,negtgel!U728:BL728)</f>
      </c>
      <c r="J728">
        <f>SUMIF(negtgel!U$2:BL$2,'Tsalin uzuulelt'!J$1,negtgel!U728:BL728) + SUMIF(negtgel!U$2:BL$2,'Tsalin uzuulelt'!J$2,negtgel!U728:BL728)+SUMIF(negtgel!U$2:BL$2,'Tsalin uzuulelt'!J$3,negtgel!U728:BL728)+SUMIF(negtgel!U$2:BL$2,'Tsalin uzuulelt'!J$4,negtgel!U728:BL728)+SUMIF(negtgel!U$2:BL$2,'Tsalin uzuulelt'!J$5,negtgel!U728:BL728)</f>
      </c>
      <c r="K728">
        <f>SUMIF(negtgel!U$2:BL$2,'Tsalin uzuulelt'!L$1,negtgel!U728:BL728) + SUMIF(negtgel!U$2:BL$2,'Tsalin uzuulelt'!L$2,negtgel!U728:BL728)+SUMIF(negtgel!U$2:BL$2,'Tsalin uzuulelt'!L$3,negtgel!U728:BL728)+SUMIF(negtgel!U$2:BL$2,'Tsalin uzuulelt'!L$4,negtgel!U728:BL728)+SUMIF(negtgel!U$2:BL$2,'Tsalin uzuulelt'!L$5,negtgel!U728:BL728)</f>
      </c>
      <c r="L728">
        <f>SUMIF(negtgel!U$2:BL$2,'Tsalin uzuulelt'!N$1,negtgel!U728:BL728) + SUMIF(negtgel!U$2:BL$2,'Tsalin uzuulelt'!N$2,negtgel!U728:BL728)+SUMIF(negtgel!U$2:BL$2,'Tsalin uzuulelt'!N$3,negtgel!U728:BL728)+SUMIF(negtgel!U$2:BL$2,'Tsalin uzuulelt'!N$4,negtgel!U728:BL728)+SUMIF(negtgel!U$2:BL$2,'Tsalin uzuulelt'!N$5,negtgel!U728:BL728)</f>
      </c>
      <c r="M728">
        <f>SUMIF(negtgel!U$2:BL$2,'Tsalin uzuulelt'!P$1,negtgel!U728:BL728) + SUMIF(negtgel!U$2:BL$2,'Tsalin uzuulelt'!P$2,negtgel!U728:BL728)+ SUMIF(negtgel!U$2:BL$2,'Tsalin uzuulelt'!P$3,negtgel!U728:BL728)+ SUMIF(negtgel!U$2:BL$2,'Tsalin uzuulelt'!P$4,negtgel!U728:BL728)+ SUMIF(negtgel!U$2:BL$2,'Tsalin uzuulelt'!P$5,negtgel!U728:BL728)</f>
      </c>
      <c r="N728">
        <f>IF(ISNUMBER(U728*1)=CF728,0,K728-H728-G728)</f>
      </c>
      <c r="O728">
        <f>IF(ISNUMBER(U728*1)=CF728,0,L728)</f>
      </c>
      <c r="P728">
        <f>IF(ISNUMBER(U728*1)=CF728,0,M728)</f>
      </c>
      <c r="Q728">
        <f>IF(N728&gt;2400000,N728,0)</f>
      </c>
      <c r="R728">
        <f>IF(L728/Q728*100&lt;3,2,10)</f>
      </c>
      <c r="S728">
        <f>IF(CH728=0,0,IF(B728&gt;9,10,IF(B728&gt;8,B728,IF(B728&gt;7.7,7.8,IF(B728&gt;3,B728,IF(B728&gt;1.5,2))))))</f>
      </c>
      <c r="T728">
        <f>IF(Q728=0,S728,R728)</f>
      </c>
      <c r="U728" t="s">
        <v>3825</v>
      </c>
      <c r="V728"/>
      <c r="W728"/>
      <c r="X728"/>
      <c r="Y728"/>
      <c r="Z728"/>
      <c r="AA728"/>
      <c r="AB728"/>
      <c r="AC728"/>
      <c r="AD728"/>
      <c r="AE728"/>
      <c r="AF728"/>
      <c r="AG728"/>
      <c r="AH728"/>
      <c r="AI728"/>
      <c r="AJ728"/>
      <c r="AK728"/>
      <c r="AL728"/>
      <c r="AM728"/>
      <c r="AN728"/>
      <c r="AO728"/>
      <c r="AP728"/>
      <c r="AQ728"/>
      <c r="CH728">
        <f>IFERROR(U728*1,0)</f>
      </c>
    </row>
    <row r="729">
      <c r="A729" t="n">
        <v>11.0</v>
      </c>
      <c r="B729">
        <f>IF((K729-G729-H729&gt;2400000),10,(L729/(K729-G729-H729)*100))</f>
      </c>
      <c r="C729">
        <f>IF(N729&gt;2400000,240000,(N729*S729)/100)</f>
      </c>
      <c r="D729">
        <f>IF(S729=0,0,IF((N729-I729)&gt;2400000,((((((N729-I729-J729)-240000))*0.1+(I729+J729)*0.1)))-7000,((((((N729-I729-J729)-(N729-I729-J729)*S729/100)))*0.1+(I729+J729)*0.1)-7000)))</f>
      </c>
      <c r="E729">
        <f>C729-O729</f>
      </c>
      <c r="F729">
        <f>D729-P729</f>
      </c>
      <c r="G729">
        <f>SUMIF(negtgel!U$2:BL$2,'Tsalin uzuulelt'!B$1,negtgel!U729:BL729) + SUMIF(negtgel!U$2:BL$2,'Tsalin uzuulelt'!B$2,negtgel!U729:BL729)+SUMIF(negtgel!U$2:BL$2,'Tsalin uzuulelt'!B$3,negtgel!U729:BL729)+SUMIF(negtgel!U$2:BL$2,'Tsalin uzuulelt'!B$4,negtgel!U729:BL729)+SUMIF(negtgel!U$2:BL$2,'Tsalin uzuulelt'!B$5,negtgel!U729:BL729)</f>
      </c>
      <c r="H729">
        <f>SUMIF(negtgel!U$2:BL$2,'Tsalin uzuulelt'!F$1,negtgel!U729:BL729) + SUMIF(negtgel!U$2:BL$2,'Tsalin uzuulelt'!F$2,negtgel!U729:BL729)+SUMIF(negtgel!U$2:BL$2,'Tsalin uzuulelt'!F$3,negtgel!U729:BL729)+SUMIF(negtgel!U$2:BL$2,'Tsalin uzuulelt'!F$4,negtgel!U729:BL729)+SUMIF(negtgel!U$2:BL$2,'Tsalin uzuulelt'!F$5,negtgel!U729:BL729)</f>
      </c>
      <c r="I729">
        <f>SUMIF(negtgel!U$2:BL$2,'Tsalin uzuulelt'!H$1,negtgel!U729:BL729) + SUMIF(negtgel!U$2:BL$2,'Tsalin uzuulelt'!H$2,negtgel!U729:BL729)+SUMIF(negtgel!U$2:BL$2,'Tsalin uzuulelt'!H$3,negtgel!U729:BL729)+SUMIF(negtgel!U$2:BL$2,'Tsalin uzuulelt'!H$4,negtgel!U729:BL729)+SUMIF(negtgel!U$2:BL$2,'Tsalin uzuulelt'!H$5,negtgel!U729:BL729)</f>
      </c>
      <c r="J729">
        <f>SUMIF(negtgel!U$2:BL$2,'Tsalin uzuulelt'!J$1,negtgel!U729:BL729) + SUMIF(negtgel!U$2:BL$2,'Tsalin uzuulelt'!J$2,negtgel!U729:BL729)+SUMIF(negtgel!U$2:BL$2,'Tsalin uzuulelt'!J$3,negtgel!U729:BL729)+SUMIF(negtgel!U$2:BL$2,'Tsalin uzuulelt'!J$4,negtgel!U729:BL729)+SUMIF(negtgel!U$2:BL$2,'Tsalin uzuulelt'!J$5,negtgel!U729:BL729)</f>
      </c>
      <c r="K729">
        <f>SUMIF(negtgel!U$2:BL$2,'Tsalin uzuulelt'!L$1,negtgel!U729:BL729) + SUMIF(negtgel!U$2:BL$2,'Tsalin uzuulelt'!L$2,negtgel!U729:BL729)+SUMIF(negtgel!U$2:BL$2,'Tsalin uzuulelt'!L$3,negtgel!U729:BL729)+SUMIF(negtgel!U$2:BL$2,'Tsalin uzuulelt'!L$4,negtgel!U729:BL729)+SUMIF(negtgel!U$2:BL$2,'Tsalin uzuulelt'!L$5,negtgel!U729:BL729)</f>
      </c>
      <c r="L729">
        <f>SUMIF(negtgel!U$2:BL$2,'Tsalin uzuulelt'!N$1,negtgel!U729:BL729) + SUMIF(negtgel!U$2:BL$2,'Tsalin uzuulelt'!N$2,negtgel!U729:BL729)+SUMIF(negtgel!U$2:BL$2,'Tsalin uzuulelt'!N$3,negtgel!U729:BL729)+SUMIF(negtgel!U$2:BL$2,'Tsalin uzuulelt'!N$4,negtgel!U729:BL729)+SUMIF(negtgel!U$2:BL$2,'Tsalin uzuulelt'!N$5,negtgel!U729:BL729)</f>
      </c>
      <c r="M729">
        <f>SUMIF(negtgel!U$2:BL$2,'Tsalin uzuulelt'!P$1,negtgel!U729:BL729) + SUMIF(negtgel!U$2:BL$2,'Tsalin uzuulelt'!P$2,negtgel!U729:BL729)+ SUMIF(negtgel!U$2:BL$2,'Tsalin uzuulelt'!P$3,negtgel!U729:BL729)+ SUMIF(negtgel!U$2:BL$2,'Tsalin uzuulelt'!P$4,negtgel!U729:BL729)+ SUMIF(negtgel!U$2:BL$2,'Tsalin uzuulelt'!P$5,negtgel!U729:BL729)</f>
      </c>
      <c r="N729">
        <f>IF(ISNUMBER(U729*1)=CF729,0,K729-H729-G729)</f>
      </c>
      <c r="O729">
        <f>IF(ISNUMBER(U729*1)=CF729,0,L729)</f>
      </c>
      <c r="P729">
        <f>IF(ISNUMBER(U729*1)=CF729,0,M729)</f>
      </c>
      <c r="Q729">
        <f>IF(N729&gt;2400000,N729,0)</f>
      </c>
      <c r="R729">
        <f>IF(L729/Q729*100&lt;3,2,10)</f>
      </c>
      <c r="S729">
        <f>IF(CH729=0,0,IF(B729&gt;9,10,IF(B729&gt;8,B729,IF(B729&gt;7.7,7.8,IF(B729&gt;3,B729,IF(B729&gt;1.5,2))))))</f>
      </c>
      <c r="T729">
        <f>IF(Q729=0,S729,R729)</f>
      </c>
      <c r="U729" t="n">
        <v>75.0</v>
      </c>
      <c r="V729" t="s">
        <v>3827</v>
      </c>
      <c r="W729" t="s">
        <v>3790</v>
      </c>
      <c r="X729" t="n">
        <v>580710.0</v>
      </c>
      <c r="Y729" t="n">
        <v>580710.0</v>
      </c>
      <c r="Z729" t="n">
        <v>0.0</v>
      </c>
      <c r="AA729" t="n">
        <v>0.0</v>
      </c>
      <c r="AB729" t="n">
        <v>0.0</v>
      </c>
      <c r="AC729" t="n">
        <v>0.0</v>
      </c>
      <c r="AD729" t="n">
        <v>0.0</v>
      </c>
      <c r="AE729" t="n">
        <v>0.0</v>
      </c>
      <c r="AF729" t="n">
        <v>66000.0</v>
      </c>
      <c r="AG729" t="n">
        <v>0.0</v>
      </c>
      <c r="AH729" t="n">
        <v>0.0</v>
      </c>
      <c r="AI729" t="n">
        <v>0.0</v>
      </c>
      <c r="AJ729" t="n">
        <v>0.0</v>
      </c>
      <c r="AK729" t="n">
        <v>0.0</v>
      </c>
      <c r="AL729" t="n">
        <v>0.0</v>
      </c>
      <c r="AM729" t="n">
        <v>0.0</v>
      </c>
      <c r="AN729" t="n">
        <v>0.0</v>
      </c>
      <c r="AO729" t="n">
        <v>646710.0</v>
      </c>
      <c r="AP729" t="n">
        <v>64671.0</v>
      </c>
      <c r="AQ729" t="n">
        <v>51863.9</v>
      </c>
      <c r="CH729">
        <f>IFERROR(U729*1,0)</f>
      </c>
    </row>
    <row r="730">
      <c r="A730" t="n">
        <v>11.0</v>
      </c>
      <c r="B730">
        <f>IF((K730-G730-H730&gt;2400000),10,(L730/(K730-G730-H730)*100))</f>
      </c>
      <c r="C730">
        <f>IF(N730&gt;2400000,240000,(N730*S730)/100)</f>
      </c>
      <c r="D730">
        <f>IF(S730=0,0,IF((N730-I730)&gt;2400000,((((((N730-I730-J730)-240000))*0.1+(I730+J730)*0.1)))-7000,((((((N730-I730-J730)-(N730-I730-J730)*S730/100)))*0.1+(I730+J730)*0.1)-7000)))</f>
      </c>
      <c r="E730">
        <f>C730-O730</f>
      </c>
      <c r="F730">
        <f>D730-P730</f>
      </c>
      <c r="G730">
        <f>SUMIF(negtgel!U$2:BL$2,'Tsalin uzuulelt'!B$1,negtgel!U730:BL730) + SUMIF(negtgel!U$2:BL$2,'Tsalin uzuulelt'!B$2,negtgel!U730:BL730)+SUMIF(negtgel!U$2:BL$2,'Tsalin uzuulelt'!B$3,negtgel!U730:BL730)+SUMIF(negtgel!U$2:BL$2,'Tsalin uzuulelt'!B$4,negtgel!U730:BL730)+SUMIF(negtgel!U$2:BL$2,'Tsalin uzuulelt'!B$5,negtgel!U730:BL730)</f>
      </c>
      <c r="H730">
        <f>SUMIF(negtgel!U$2:BL$2,'Tsalin uzuulelt'!F$1,negtgel!U730:BL730) + SUMIF(negtgel!U$2:BL$2,'Tsalin uzuulelt'!F$2,negtgel!U730:BL730)+SUMIF(negtgel!U$2:BL$2,'Tsalin uzuulelt'!F$3,negtgel!U730:BL730)+SUMIF(negtgel!U$2:BL$2,'Tsalin uzuulelt'!F$4,negtgel!U730:BL730)+SUMIF(negtgel!U$2:BL$2,'Tsalin uzuulelt'!F$5,negtgel!U730:BL730)</f>
      </c>
      <c r="I730">
        <f>SUMIF(negtgel!U$2:BL$2,'Tsalin uzuulelt'!H$1,negtgel!U730:BL730) + SUMIF(negtgel!U$2:BL$2,'Tsalin uzuulelt'!H$2,negtgel!U730:BL730)+SUMIF(negtgel!U$2:BL$2,'Tsalin uzuulelt'!H$3,negtgel!U730:BL730)+SUMIF(negtgel!U$2:BL$2,'Tsalin uzuulelt'!H$4,negtgel!U730:BL730)+SUMIF(negtgel!U$2:BL$2,'Tsalin uzuulelt'!H$5,negtgel!U730:BL730)</f>
      </c>
      <c r="J730">
        <f>SUMIF(negtgel!U$2:BL$2,'Tsalin uzuulelt'!J$1,negtgel!U730:BL730) + SUMIF(negtgel!U$2:BL$2,'Tsalin uzuulelt'!J$2,negtgel!U730:BL730)+SUMIF(negtgel!U$2:BL$2,'Tsalin uzuulelt'!J$3,negtgel!U730:BL730)+SUMIF(negtgel!U$2:BL$2,'Tsalin uzuulelt'!J$4,negtgel!U730:BL730)+SUMIF(negtgel!U$2:BL$2,'Tsalin uzuulelt'!J$5,negtgel!U730:BL730)</f>
      </c>
      <c r="K730">
        <f>SUMIF(negtgel!U$2:BL$2,'Tsalin uzuulelt'!L$1,negtgel!U730:BL730) + SUMIF(negtgel!U$2:BL$2,'Tsalin uzuulelt'!L$2,negtgel!U730:BL730)+SUMIF(negtgel!U$2:BL$2,'Tsalin uzuulelt'!L$3,negtgel!U730:BL730)+SUMIF(negtgel!U$2:BL$2,'Tsalin uzuulelt'!L$4,negtgel!U730:BL730)+SUMIF(negtgel!U$2:BL$2,'Tsalin uzuulelt'!L$5,negtgel!U730:BL730)</f>
      </c>
      <c r="L730">
        <f>SUMIF(negtgel!U$2:BL$2,'Tsalin uzuulelt'!N$1,negtgel!U730:BL730) + SUMIF(negtgel!U$2:BL$2,'Tsalin uzuulelt'!N$2,negtgel!U730:BL730)+SUMIF(negtgel!U$2:BL$2,'Tsalin uzuulelt'!N$3,negtgel!U730:BL730)+SUMIF(negtgel!U$2:BL$2,'Tsalin uzuulelt'!N$4,negtgel!U730:BL730)+SUMIF(negtgel!U$2:BL$2,'Tsalin uzuulelt'!N$5,negtgel!U730:BL730)</f>
      </c>
      <c r="M730">
        <f>SUMIF(negtgel!U$2:BL$2,'Tsalin uzuulelt'!P$1,negtgel!U730:BL730) + SUMIF(negtgel!U$2:BL$2,'Tsalin uzuulelt'!P$2,negtgel!U730:BL730)+ SUMIF(negtgel!U$2:BL$2,'Tsalin uzuulelt'!P$3,negtgel!U730:BL730)+ SUMIF(negtgel!U$2:BL$2,'Tsalin uzuulelt'!P$4,negtgel!U730:BL730)+ SUMIF(negtgel!U$2:BL$2,'Tsalin uzuulelt'!P$5,negtgel!U730:BL730)</f>
      </c>
      <c r="N730">
        <f>IF(ISNUMBER(U730*1)=CF730,0,K730-H730-G730)</f>
      </c>
      <c r="O730">
        <f>IF(ISNUMBER(U730*1)=CF730,0,L730)</f>
      </c>
      <c r="P730">
        <f>IF(ISNUMBER(U730*1)=CF730,0,M730)</f>
      </c>
      <c r="Q730">
        <f>IF(N730&gt;2400000,N730,0)</f>
      </c>
      <c r="R730">
        <f>IF(L730/Q730*100&lt;3,2,10)</f>
      </c>
      <c r="S730">
        <f>IF(CH730=0,0,IF(B730&gt;9,10,IF(B730&gt;8,B730,IF(B730&gt;7.7,7.8,IF(B730&gt;3,B730,IF(B730&gt;1.5,2))))))</f>
      </c>
      <c r="T730">
        <f>IF(Q730=0,S730,R730)</f>
      </c>
      <c r="U730" t="n">
        <v>76.0</v>
      </c>
      <c r="V730" t="s">
        <v>3828</v>
      </c>
      <c r="W730" t="s">
        <v>3792</v>
      </c>
      <c r="X730" t="n">
        <v>500784.0</v>
      </c>
      <c r="Y730" t="n">
        <v>0.0</v>
      </c>
      <c r="Z730" t="n">
        <v>0.0</v>
      </c>
      <c r="AA730" t="n">
        <v>0.0</v>
      </c>
      <c r="AB730" t="n">
        <v>0.0</v>
      </c>
      <c r="AC730" t="n">
        <v>0.0</v>
      </c>
      <c r="AD730" t="n">
        <v>0.0</v>
      </c>
      <c r="AE730" t="n">
        <v>0.0</v>
      </c>
      <c r="AF730" t="n">
        <v>0.0</v>
      </c>
      <c r="AG730" t="n">
        <v>0.0</v>
      </c>
      <c r="AH730" t="n">
        <v>0.0</v>
      </c>
      <c r="AI730" t="n">
        <v>0.0</v>
      </c>
      <c r="AJ730" t="n">
        <v>0.0</v>
      </c>
      <c r="AK730" t="n">
        <v>0.0</v>
      </c>
      <c r="AL730" t="n">
        <v>0.0</v>
      </c>
      <c r="AM730" t="n">
        <v>0.0</v>
      </c>
      <c r="AN730" t="n">
        <v>0.0</v>
      </c>
      <c r="AO730" t="n">
        <v>0.0</v>
      </c>
      <c r="AP730" t="n">
        <v>0.0</v>
      </c>
      <c r="AQ730" t="n">
        <v>0.0</v>
      </c>
      <c r="CH730">
        <f>IFERROR(U730*1,0)</f>
      </c>
    </row>
    <row r="731">
      <c r="A731" t="n">
        <v>11.0</v>
      </c>
      <c r="B731">
        <f>IF((K731-G731-H731&gt;2400000),10,(L731/(K731-G731-H731)*100))</f>
      </c>
      <c r="C731">
        <f>IF(N731&gt;2400000,240000,(N731*S731)/100)</f>
      </c>
      <c r="D731">
        <f>IF(S731=0,0,IF((N731-I731)&gt;2400000,((((((N731-I731-J731)-240000))*0.1+(I731+J731)*0.1)))-7000,((((((N731-I731-J731)-(N731-I731-J731)*S731/100)))*0.1+(I731+J731)*0.1)-7000)))</f>
      </c>
      <c r="E731">
        <f>C731-O731</f>
      </c>
      <c r="F731">
        <f>D731-P731</f>
      </c>
      <c r="G731">
        <f>SUMIF(negtgel!U$2:BL$2,'Tsalin uzuulelt'!B$1,negtgel!U731:BL731) + SUMIF(negtgel!U$2:BL$2,'Tsalin uzuulelt'!B$2,negtgel!U731:BL731)+SUMIF(negtgel!U$2:BL$2,'Tsalin uzuulelt'!B$3,negtgel!U731:BL731)+SUMIF(negtgel!U$2:BL$2,'Tsalin uzuulelt'!B$4,negtgel!U731:BL731)+SUMIF(negtgel!U$2:BL$2,'Tsalin uzuulelt'!B$5,negtgel!U731:BL731)</f>
      </c>
      <c r="H731">
        <f>SUMIF(negtgel!U$2:BL$2,'Tsalin uzuulelt'!F$1,negtgel!U731:BL731) + SUMIF(negtgel!U$2:BL$2,'Tsalin uzuulelt'!F$2,negtgel!U731:BL731)+SUMIF(negtgel!U$2:BL$2,'Tsalin uzuulelt'!F$3,negtgel!U731:BL731)+SUMIF(negtgel!U$2:BL$2,'Tsalin uzuulelt'!F$4,negtgel!U731:BL731)+SUMIF(negtgel!U$2:BL$2,'Tsalin uzuulelt'!F$5,negtgel!U731:BL731)</f>
      </c>
      <c r="I731">
        <f>SUMIF(negtgel!U$2:BL$2,'Tsalin uzuulelt'!H$1,negtgel!U731:BL731) + SUMIF(negtgel!U$2:BL$2,'Tsalin uzuulelt'!H$2,negtgel!U731:BL731)+SUMIF(negtgel!U$2:BL$2,'Tsalin uzuulelt'!H$3,negtgel!U731:BL731)+SUMIF(negtgel!U$2:BL$2,'Tsalin uzuulelt'!H$4,negtgel!U731:BL731)+SUMIF(negtgel!U$2:BL$2,'Tsalin uzuulelt'!H$5,negtgel!U731:BL731)</f>
      </c>
      <c r="J731">
        <f>SUMIF(negtgel!U$2:BL$2,'Tsalin uzuulelt'!J$1,negtgel!U731:BL731) + SUMIF(negtgel!U$2:BL$2,'Tsalin uzuulelt'!J$2,negtgel!U731:BL731)+SUMIF(negtgel!U$2:BL$2,'Tsalin uzuulelt'!J$3,negtgel!U731:BL731)+SUMIF(negtgel!U$2:BL$2,'Tsalin uzuulelt'!J$4,negtgel!U731:BL731)+SUMIF(negtgel!U$2:BL$2,'Tsalin uzuulelt'!J$5,negtgel!U731:BL731)</f>
      </c>
      <c r="K731">
        <f>SUMIF(negtgel!U$2:BL$2,'Tsalin uzuulelt'!L$1,negtgel!U731:BL731) + SUMIF(negtgel!U$2:BL$2,'Tsalin uzuulelt'!L$2,negtgel!U731:BL731)+SUMIF(negtgel!U$2:BL$2,'Tsalin uzuulelt'!L$3,negtgel!U731:BL731)+SUMIF(negtgel!U$2:BL$2,'Tsalin uzuulelt'!L$4,negtgel!U731:BL731)+SUMIF(negtgel!U$2:BL$2,'Tsalin uzuulelt'!L$5,negtgel!U731:BL731)</f>
      </c>
      <c r="L731">
        <f>SUMIF(negtgel!U$2:BL$2,'Tsalin uzuulelt'!N$1,negtgel!U731:BL731) + SUMIF(negtgel!U$2:BL$2,'Tsalin uzuulelt'!N$2,negtgel!U731:BL731)+SUMIF(negtgel!U$2:BL$2,'Tsalin uzuulelt'!N$3,negtgel!U731:BL731)+SUMIF(negtgel!U$2:BL$2,'Tsalin uzuulelt'!N$4,negtgel!U731:BL731)+SUMIF(negtgel!U$2:BL$2,'Tsalin uzuulelt'!N$5,negtgel!U731:BL731)</f>
      </c>
      <c r="M731">
        <f>SUMIF(negtgel!U$2:BL$2,'Tsalin uzuulelt'!P$1,negtgel!U731:BL731) + SUMIF(negtgel!U$2:BL$2,'Tsalin uzuulelt'!P$2,negtgel!U731:BL731)+ SUMIF(negtgel!U$2:BL$2,'Tsalin uzuulelt'!P$3,negtgel!U731:BL731)+ SUMIF(negtgel!U$2:BL$2,'Tsalin uzuulelt'!P$4,negtgel!U731:BL731)+ SUMIF(negtgel!U$2:BL$2,'Tsalin uzuulelt'!P$5,negtgel!U731:BL731)</f>
      </c>
      <c r="N731">
        <f>IF(ISNUMBER(U731*1)=CF731,0,K731-H731-G731)</f>
      </c>
      <c r="O731">
        <f>IF(ISNUMBER(U731*1)=CF731,0,L731)</f>
      </c>
      <c r="P731">
        <f>IF(ISNUMBER(U731*1)=CF731,0,M731)</f>
      </c>
      <c r="Q731">
        <f>IF(N731&gt;2400000,N731,0)</f>
      </c>
      <c r="R731">
        <f>IF(L731/Q731*100&lt;3,2,10)</f>
      </c>
      <c r="S731">
        <f>IF(CH731=0,0,IF(B731&gt;9,10,IF(B731&gt;8,B731,IF(B731&gt;7.7,7.8,IF(B731&gt;3,B731,IF(B731&gt;1.5,2))))))</f>
      </c>
      <c r="T731">
        <f>IF(Q731=0,S731,R731)</f>
      </c>
      <c r="U731" t="n">
        <v>77.0</v>
      </c>
      <c r="V731" t="s">
        <v>3829</v>
      </c>
      <c r="W731" t="s">
        <v>3792</v>
      </c>
      <c r="X731" t="n">
        <v>496912.0</v>
      </c>
      <c r="Y731" t="n">
        <v>496912.0</v>
      </c>
      <c r="Z731" t="n">
        <v>0.0</v>
      </c>
      <c r="AA731" t="n">
        <v>0.0</v>
      </c>
      <c r="AB731" t="n">
        <v>49691.0</v>
      </c>
      <c r="AC731" t="n">
        <v>0.0</v>
      </c>
      <c r="AD731" t="n">
        <v>0.0</v>
      </c>
      <c r="AE731" t="n">
        <v>0.0</v>
      </c>
      <c r="AF731" t="n">
        <v>66000.0</v>
      </c>
      <c r="AG731" t="n">
        <v>0.0</v>
      </c>
      <c r="AH731" t="n">
        <v>0.0</v>
      </c>
      <c r="AI731" t="n">
        <v>0.0</v>
      </c>
      <c r="AJ731" t="n">
        <v>0.0</v>
      </c>
      <c r="AK731" t="n">
        <v>0.0</v>
      </c>
      <c r="AL731" t="n">
        <v>0.0</v>
      </c>
      <c r="AM731" t="n">
        <v>0.0</v>
      </c>
      <c r="AN731" t="n">
        <v>0.0</v>
      </c>
      <c r="AO731" t="n">
        <v>612603.0</v>
      </c>
      <c r="AP731" t="n">
        <v>61260.0</v>
      </c>
      <c r="AQ731" t="n">
        <v>48794.3</v>
      </c>
      <c r="CH731">
        <f>IFERROR(U731*1,0)</f>
      </c>
    </row>
    <row r="732">
      <c r="A732" t="n">
        <v>11.0</v>
      </c>
      <c r="B732">
        <f>IF((K732-G732-H732&gt;2400000),10,(L732/(K732-G732-H732)*100))</f>
      </c>
      <c r="C732">
        <f>IF(N732&gt;2400000,240000,(N732*S732)/100)</f>
      </c>
      <c r="D732">
        <f>IF(S732=0,0,IF((N732-I732)&gt;2400000,((((((N732-I732-J732)-240000))*0.1+(I732+J732)*0.1)))-7000,((((((N732-I732-J732)-(N732-I732-J732)*S732/100)))*0.1+(I732+J732)*0.1)-7000)))</f>
      </c>
      <c r="E732">
        <f>C732-O732</f>
      </c>
      <c r="F732">
        <f>D732-P732</f>
      </c>
      <c r="G732">
        <f>SUMIF(negtgel!U$2:BL$2,'Tsalin uzuulelt'!B$1,negtgel!U732:BL732) + SUMIF(negtgel!U$2:BL$2,'Tsalin uzuulelt'!B$2,negtgel!U732:BL732)+SUMIF(negtgel!U$2:BL$2,'Tsalin uzuulelt'!B$3,negtgel!U732:BL732)+SUMIF(negtgel!U$2:BL$2,'Tsalin uzuulelt'!B$4,negtgel!U732:BL732)+SUMIF(negtgel!U$2:BL$2,'Tsalin uzuulelt'!B$5,negtgel!U732:BL732)</f>
      </c>
      <c r="H732">
        <f>SUMIF(negtgel!U$2:BL$2,'Tsalin uzuulelt'!F$1,negtgel!U732:BL732) + SUMIF(negtgel!U$2:BL$2,'Tsalin uzuulelt'!F$2,negtgel!U732:BL732)+SUMIF(negtgel!U$2:BL$2,'Tsalin uzuulelt'!F$3,negtgel!U732:BL732)+SUMIF(negtgel!U$2:BL$2,'Tsalin uzuulelt'!F$4,negtgel!U732:BL732)+SUMIF(negtgel!U$2:BL$2,'Tsalin uzuulelt'!F$5,negtgel!U732:BL732)</f>
      </c>
      <c r="I732">
        <f>SUMIF(negtgel!U$2:BL$2,'Tsalin uzuulelt'!H$1,negtgel!U732:BL732) + SUMIF(negtgel!U$2:BL$2,'Tsalin uzuulelt'!H$2,negtgel!U732:BL732)+SUMIF(negtgel!U$2:BL$2,'Tsalin uzuulelt'!H$3,negtgel!U732:BL732)+SUMIF(negtgel!U$2:BL$2,'Tsalin uzuulelt'!H$4,negtgel!U732:BL732)+SUMIF(negtgel!U$2:BL$2,'Tsalin uzuulelt'!H$5,negtgel!U732:BL732)</f>
      </c>
      <c r="J732">
        <f>SUMIF(negtgel!U$2:BL$2,'Tsalin uzuulelt'!J$1,negtgel!U732:BL732) + SUMIF(negtgel!U$2:BL$2,'Tsalin uzuulelt'!J$2,negtgel!U732:BL732)+SUMIF(negtgel!U$2:BL$2,'Tsalin uzuulelt'!J$3,negtgel!U732:BL732)+SUMIF(negtgel!U$2:BL$2,'Tsalin uzuulelt'!J$4,negtgel!U732:BL732)+SUMIF(negtgel!U$2:BL$2,'Tsalin uzuulelt'!J$5,negtgel!U732:BL732)</f>
      </c>
      <c r="K732">
        <f>SUMIF(negtgel!U$2:BL$2,'Tsalin uzuulelt'!L$1,negtgel!U732:BL732) + SUMIF(negtgel!U$2:BL$2,'Tsalin uzuulelt'!L$2,negtgel!U732:BL732)+SUMIF(negtgel!U$2:BL$2,'Tsalin uzuulelt'!L$3,negtgel!U732:BL732)+SUMIF(negtgel!U$2:BL$2,'Tsalin uzuulelt'!L$4,negtgel!U732:BL732)+SUMIF(negtgel!U$2:BL$2,'Tsalin uzuulelt'!L$5,negtgel!U732:BL732)</f>
      </c>
      <c r="L732">
        <f>SUMIF(negtgel!U$2:BL$2,'Tsalin uzuulelt'!N$1,negtgel!U732:BL732) + SUMIF(negtgel!U$2:BL$2,'Tsalin uzuulelt'!N$2,negtgel!U732:BL732)+SUMIF(negtgel!U$2:BL$2,'Tsalin uzuulelt'!N$3,negtgel!U732:BL732)+SUMIF(negtgel!U$2:BL$2,'Tsalin uzuulelt'!N$4,negtgel!U732:BL732)+SUMIF(negtgel!U$2:BL$2,'Tsalin uzuulelt'!N$5,negtgel!U732:BL732)</f>
      </c>
      <c r="M732">
        <f>SUMIF(negtgel!U$2:BL$2,'Tsalin uzuulelt'!P$1,negtgel!U732:BL732) + SUMIF(negtgel!U$2:BL$2,'Tsalin uzuulelt'!P$2,negtgel!U732:BL732)+ SUMIF(negtgel!U$2:BL$2,'Tsalin uzuulelt'!P$3,negtgel!U732:BL732)+ SUMIF(negtgel!U$2:BL$2,'Tsalin uzuulelt'!P$4,negtgel!U732:BL732)+ SUMIF(negtgel!U$2:BL$2,'Tsalin uzuulelt'!P$5,negtgel!U732:BL732)</f>
      </c>
      <c r="N732">
        <f>IF(ISNUMBER(U732*1)=CF732,0,K732-H732-G732)</f>
      </c>
      <c r="O732">
        <f>IF(ISNUMBER(U732*1)=CF732,0,L732)</f>
      </c>
      <c r="P732">
        <f>IF(ISNUMBER(U732*1)=CF732,0,M732)</f>
      </c>
      <c r="Q732">
        <f>IF(N732&gt;2400000,N732,0)</f>
      </c>
      <c r="R732">
        <f>IF(L732/Q732*100&lt;3,2,10)</f>
      </c>
      <c r="S732">
        <f>IF(CH732=0,0,IF(B732&gt;9,10,IF(B732&gt;8,B732,IF(B732&gt;7.7,7.8,IF(B732&gt;3,B732,IF(B732&gt;1.5,2))))))</f>
      </c>
      <c r="T732">
        <f>IF(Q732=0,S732,R732)</f>
      </c>
      <c r="U732" t="n">
        <v>78.0</v>
      </c>
      <c r="V732" t="s">
        <v>3831</v>
      </c>
      <c r="W732" t="s">
        <v>3820</v>
      </c>
      <c r="X732" t="n">
        <v>663720.0</v>
      </c>
      <c r="Y732" t="n">
        <v>663720.0</v>
      </c>
      <c r="Z732" t="n">
        <v>66372.0</v>
      </c>
      <c r="AA732" t="n">
        <v>112832.0</v>
      </c>
      <c r="AB732" t="n">
        <v>0.0</v>
      </c>
      <c r="AC732" t="n">
        <v>0.0</v>
      </c>
      <c r="AD732" t="n">
        <v>0.0</v>
      </c>
      <c r="AE732" t="n">
        <v>0.0</v>
      </c>
      <c r="AF732" t="n">
        <v>66000.0</v>
      </c>
      <c r="AG732" t="n">
        <v>0.0</v>
      </c>
      <c r="AH732" t="n">
        <v>0.0</v>
      </c>
      <c r="AI732" t="n">
        <v>0.0</v>
      </c>
      <c r="AJ732" t="n">
        <v>0.0</v>
      </c>
      <c r="AK732" t="n">
        <v>0.0</v>
      </c>
      <c r="AL732" t="n">
        <v>0.0</v>
      </c>
      <c r="AM732" t="n">
        <v>0.0</v>
      </c>
      <c r="AN732" t="n">
        <v>0.0</v>
      </c>
      <c r="AO732" t="n">
        <v>908924.0</v>
      </c>
      <c r="AP732" t="n">
        <v>90892.0</v>
      </c>
      <c r="AQ732" t="n">
        <v>75463.2</v>
      </c>
      <c r="CH732">
        <f>IFERROR(U732*1,0)</f>
      </c>
    </row>
    <row r="733">
      <c r="A733" t="n">
        <v>11.0</v>
      </c>
      <c r="B733">
        <f>IF((K733-G733-H733&gt;2400000),10,(L733/(K733-G733-H733)*100))</f>
      </c>
      <c r="C733">
        <f>IF(N733&gt;2400000,240000,(N733*S733)/100)</f>
      </c>
      <c r="D733">
        <f>IF(S733=0,0,IF((N733-I733)&gt;2400000,((((((N733-I733-J733)-240000))*0.1+(I733+J733)*0.1)))-7000,((((((N733-I733-J733)-(N733-I733-J733)*S733/100)))*0.1+(I733+J733)*0.1)-7000)))</f>
      </c>
      <c r="E733">
        <f>C733-O733</f>
      </c>
      <c r="F733">
        <f>D733-P733</f>
      </c>
      <c r="G733">
        <f>SUMIF(negtgel!U$2:BL$2,'Tsalin uzuulelt'!B$1,negtgel!U733:BL733) + SUMIF(negtgel!U$2:BL$2,'Tsalin uzuulelt'!B$2,negtgel!U733:BL733)+SUMIF(negtgel!U$2:BL$2,'Tsalin uzuulelt'!B$3,negtgel!U733:BL733)+SUMIF(negtgel!U$2:BL$2,'Tsalin uzuulelt'!B$4,negtgel!U733:BL733)+SUMIF(negtgel!U$2:BL$2,'Tsalin uzuulelt'!B$5,negtgel!U733:BL733)</f>
      </c>
      <c r="H733">
        <f>SUMIF(negtgel!U$2:BL$2,'Tsalin uzuulelt'!F$1,negtgel!U733:BL733) + SUMIF(negtgel!U$2:BL$2,'Tsalin uzuulelt'!F$2,negtgel!U733:BL733)+SUMIF(negtgel!U$2:BL$2,'Tsalin uzuulelt'!F$3,negtgel!U733:BL733)+SUMIF(negtgel!U$2:BL$2,'Tsalin uzuulelt'!F$4,negtgel!U733:BL733)+SUMIF(negtgel!U$2:BL$2,'Tsalin uzuulelt'!F$5,negtgel!U733:BL733)</f>
      </c>
      <c r="I733">
        <f>SUMIF(negtgel!U$2:BL$2,'Tsalin uzuulelt'!H$1,negtgel!U733:BL733) + SUMIF(negtgel!U$2:BL$2,'Tsalin uzuulelt'!H$2,negtgel!U733:BL733)+SUMIF(negtgel!U$2:BL$2,'Tsalin uzuulelt'!H$3,negtgel!U733:BL733)+SUMIF(negtgel!U$2:BL$2,'Tsalin uzuulelt'!H$4,negtgel!U733:BL733)+SUMIF(negtgel!U$2:BL$2,'Tsalin uzuulelt'!H$5,negtgel!U733:BL733)</f>
      </c>
      <c r="J733">
        <f>SUMIF(negtgel!U$2:BL$2,'Tsalin uzuulelt'!J$1,negtgel!U733:BL733) + SUMIF(negtgel!U$2:BL$2,'Tsalin uzuulelt'!J$2,negtgel!U733:BL733)+SUMIF(negtgel!U$2:BL$2,'Tsalin uzuulelt'!J$3,negtgel!U733:BL733)+SUMIF(negtgel!U$2:BL$2,'Tsalin uzuulelt'!J$4,negtgel!U733:BL733)+SUMIF(negtgel!U$2:BL$2,'Tsalin uzuulelt'!J$5,negtgel!U733:BL733)</f>
      </c>
      <c r="K733">
        <f>SUMIF(negtgel!U$2:BL$2,'Tsalin uzuulelt'!L$1,negtgel!U733:BL733) + SUMIF(negtgel!U$2:BL$2,'Tsalin uzuulelt'!L$2,negtgel!U733:BL733)+SUMIF(negtgel!U$2:BL$2,'Tsalin uzuulelt'!L$3,negtgel!U733:BL733)+SUMIF(negtgel!U$2:BL$2,'Tsalin uzuulelt'!L$4,negtgel!U733:BL733)+SUMIF(negtgel!U$2:BL$2,'Tsalin uzuulelt'!L$5,negtgel!U733:BL733)</f>
      </c>
      <c r="L733">
        <f>SUMIF(negtgel!U$2:BL$2,'Tsalin uzuulelt'!N$1,negtgel!U733:BL733) + SUMIF(negtgel!U$2:BL$2,'Tsalin uzuulelt'!N$2,negtgel!U733:BL733)+SUMIF(negtgel!U$2:BL$2,'Tsalin uzuulelt'!N$3,negtgel!U733:BL733)+SUMIF(negtgel!U$2:BL$2,'Tsalin uzuulelt'!N$4,negtgel!U733:BL733)+SUMIF(negtgel!U$2:BL$2,'Tsalin uzuulelt'!N$5,negtgel!U733:BL733)</f>
      </c>
      <c r="M733">
        <f>SUMIF(negtgel!U$2:BL$2,'Tsalin uzuulelt'!P$1,negtgel!U733:BL733) + SUMIF(negtgel!U$2:BL$2,'Tsalin uzuulelt'!P$2,negtgel!U733:BL733)+ SUMIF(negtgel!U$2:BL$2,'Tsalin uzuulelt'!P$3,negtgel!U733:BL733)+ SUMIF(negtgel!U$2:BL$2,'Tsalin uzuulelt'!P$4,negtgel!U733:BL733)+ SUMIF(negtgel!U$2:BL$2,'Tsalin uzuulelt'!P$5,negtgel!U733:BL733)</f>
      </c>
      <c r="N733">
        <f>IF(ISNUMBER(U733*1)=CF733,0,K733-H733-G733)</f>
      </c>
      <c r="O733">
        <f>IF(ISNUMBER(U733*1)=CF733,0,L733)</f>
      </c>
      <c r="P733">
        <f>IF(ISNUMBER(U733*1)=CF733,0,M733)</f>
      </c>
      <c r="Q733">
        <f>IF(N733&gt;2400000,N733,0)</f>
      </c>
      <c r="R733">
        <f>IF(L733/Q733*100&lt;3,2,10)</f>
      </c>
      <c r="S733">
        <f>IF(CH733=0,0,IF(B733&gt;9,10,IF(B733&gt;8,B733,IF(B733&gt;7.7,7.8,IF(B733&gt;3,B733,IF(B733&gt;1.5,2))))))</f>
      </c>
      <c r="T733">
        <f>IF(Q733=0,S733,R733)</f>
      </c>
      <c r="U733" t="n">
        <v>79.0</v>
      </c>
      <c r="V733" t="s">
        <v>3868</v>
      </c>
      <c r="W733" t="s">
        <v>3790</v>
      </c>
      <c r="X733" t="n">
        <v>645556.0</v>
      </c>
      <c r="Y733" t="n">
        <v>381465.0</v>
      </c>
      <c r="Z733" t="n">
        <v>64849.0</v>
      </c>
      <c r="AA733" t="n">
        <v>57220.0</v>
      </c>
      <c r="AB733" t="n">
        <v>0.0</v>
      </c>
      <c r="AC733" t="n">
        <v>0.0</v>
      </c>
      <c r="AD733" t="n">
        <v>0.0</v>
      </c>
      <c r="AE733" t="n">
        <v>0.0</v>
      </c>
      <c r="AF733" t="n">
        <v>39000.0</v>
      </c>
      <c r="AG733" t="n">
        <v>0.0</v>
      </c>
      <c r="AH733" t="n">
        <v>0.0</v>
      </c>
      <c r="AI733" t="n">
        <v>0.0</v>
      </c>
      <c r="AJ733" t="n">
        <v>0.0</v>
      </c>
      <c r="AK733" t="n">
        <v>0.0</v>
      </c>
      <c r="AL733" t="n">
        <v>0.0</v>
      </c>
      <c r="AM733" t="n">
        <v>0.0</v>
      </c>
      <c r="AN733" t="n">
        <v>0.0</v>
      </c>
      <c r="AO733" t="n">
        <v>542534.0</v>
      </c>
      <c r="AP733" t="n">
        <v>54253.0</v>
      </c>
      <c r="AQ733" t="n">
        <v>42218.1</v>
      </c>
      <c r="CH733">
        <f>IFERROR(U733*1,0)</f>
      </c>
    </row>
    <row r="734">
      <c r="A734" t="n">
        <v>11.0</v>
      </c>
      <c r="B734">
        <f>IF((K734-G734-H734&gt;2400000),10,(L734/(K734-G734-H734)*100))</f>
      </c>
      <c r="C734">
        <f>IF(N734&gt;2400000,240000,(N734*S734)/100)</f>
      </c>
      <c r="D734">
        <f>IF(S734=0,0,IF((N734-I734)&gt;2400000,((((((N734-I734-J734)-240000))*0.1+(I734+J734)*0.1)))-7000,((((((N734-I734-J734)-(N734-I734-J734)*S734/100)))*0.1+(I734+J734)*0.1)-7000)))</f>
      </c>
      <c r="E734">
        <f>C734-O734</f>
      </c>
      <c r="F734">
        <f>D734-P734</f>
      </c>
      <c r="G734">
        <f>SUMIF(negtgel!U$2:BL$2,'Tsalin uzuulelt'!B$1,negtgel!U734:BL734) + SUMIF(negtgel!U$2:BL$2,'Tsalin uzuulelt'!B$2,negtgel!U734:BL734)+SUMIF(negtgel!U$2:BL$2,'Tsalin uzuulelt'!B$3,negtgel!U734:BL734)+SUMIF(negtgel!U$2:BL$2,'Tsalin uzuulelt'!B$4,negtgel!U734:BL734)+SUMIF(negtgel!U$2:BL$2,'Tsalin uzuulelt'!B$5,negtgel!U734:BL734)</f>
      </c>
      <c r="H734">
        <f>SUMIF(negtgel!U$2:BL$2,'Tsalin uzuulelt'!F$1,negtgel!U734:BL734) + SUMIF(negtgel!U$2:BL$2,'Tsalin uzuulelt'!F$2,negtgel!U734:BL734)+SUMIF(negtgel!U$2:BL$2,'Tsalin uzuulelt'!F$3,negtgel!U734:BL734)+SUMIF(negtgel!U$2:BL$2,'Tsalin uzuulelt'!F$4,negtgel!U734:BL734)+SUMIF(negtgel!U$2:BL$2,'Tsalin uzuulelt'!F$5,negtgel!U734:BL734)</f>
      </c>
      <c r="I734">
        <f>SUMIF(negtgel!U$2:BL$2,'Tsalin uzuulelt'!H$1,negtgel!U734:BL734) + SUMIF(negtgel!U$2:BL$2,'Tsalin uzuulelt'!H$2,negtgel!U734:BL734)+SUMIF(negtgel!U$2:BL$2,'Tsalin uzuulelt'!H$3,negtgel!U734:BL734)+SUMIF(negtgel!U$2:BL$2,'Tsalin uzuulelt'!H$4,negtgel!U734:BL734)+SUMIF(negtgel!U$2:BL$2,'Tsalin uzuulelt'!H$5,negtgel!U734:BL734)</f>
      </c>
      <c r="J734">
        <f>SUMIF(negtgel!U$2:BL$2,'Tsalin uzuulelt'!J$1,negtgel!U734:BL734) + SUMIF(negtgel!U$2:BL$2,'Tsalin uzuulelt'!J$2,negtgel!U734:BL734)+SUMIF(negtgel!U$2:BL$2,'Tsalin uzuulelt'!J$3,negtgel!U734:BL734)+SUMIF(negtgel!U$2:BL$2,'Tsalin uzuulelt'!J$4,negtgel!U734:BL734)+SUMIF(negtgel!U$2:BL$2,'Tsalin uzuulelt'!J$5,negtgel!U734:BL734)</f>
      </c>
      <c r="K734">
        <f>SUMIF(negtgel!U$2:BL$2,'Tsalin uzuulelt'!L$1,negtgel!U734:BL734) + SUMIF(negtgel!U$2:BL$2,'Tsalin uzuulelt'!L$2,negtgel!U734:BL734)+SUMIF(negtgel!U$2:BL$2,'Tsalin uzuulelt'!L$3,negtgel!U734:BL734)+SUMIF(negtgel!U$2:BL$2,'Tsalin uzuulelt'!L$4,negtgel!U734:BL734)+SUMIF(negtgel!U$2:BL$2,'Tsalin uzuulelt'!L$5,negtgel!U734:BL734)</f>
      </c>
      <c r="L734">
        <f>SUMIF(negtgel!U$2:BL$2,'Tsalin uzuulelt'!N$1,negtgel!U734:BL734) + SUMIF(negtgel!U$2:BL$2,'Tsalin uzuulelt'!N$2,negtgel!U734:BL734)+SUMIF(negtgel!U$2:BL$2,'Tsalin uzuulelt'!N$3,negtgel!U734:BL734)+SUMIF(negtgel!U$2:BL$2,'Tsalin uzuulelt'!N$4,negtgel!U734:BL734)+SUMIF(negtgel!U$2:BL$2,'Tsalin uzuulelt'!N$5,negtgel!U734:BL734)</f>
      </c>
      <c r="M734">
        <f>SUMIF(negtgel!U$2:BL$2,'Tsalin uzuulelt'!P$1,negtgel!U734:BL734) + SUMIF(negtgel!U$2:BL$2,'Tsalin uzuulelt'!P$2,negtgel!U734:BL734)+ SUMIF(negtgel!U$2:BL$2,'Tsalin uzuulelt'!P$3,negtgel!U734:BL734)+ SUMIF(negtgel!U$2:BL$2,'Tsalin uzuulelt'!P$4,negtgel!U734:BL734)+ SUMIF(negtgel!U$2:BL$2,'Tsalin uzuulelt'!P$5,negtgel!U734:BL734)</f>
      </c>
      <c r="N734">
        <f>IF(ISNUMBER(U734*1)=CF734,0,K734-H734-G734)</f>
      </c>
      <c r="O734">
        <f>IF(ISNUMBER(U734*1)=CF734,0,L734)</f>
      </c>
      <c r="P734">
        <f>IF(ISNUMBER(U734*1)=CF734,0,M734)</f>
      </c>
      <c r="Q734">
        <f>IF(N734&gt;2400000,N734,0)</f>
      </c>
      <c r="R734">
        <f>IF(L734/Q734*100&lt;3,2,10)</f>
      </c>
      <c r="S734">
        <f>IF(CH734=0,0,IF(B734&gt;9,10,IF(B734&gt;8,B734,IF(B734&gt;7.7,7.8,IF(B734&gt;3,B734,IF(B734&gt;1.5,2))))))</f>
      </c>
      <c r="T734">
        <f>IF(Q734=0,S734,R734)</f>
      </c>
      <c r="U734" t="n">
        <v>80.0</v>
      </c>
      <c r="V734" t="s">
        <v>3833</v>
      </c>
      <c r="W734" t="s">
        <v>3790</v>
      </c>
      <c r="X734" t="n">
        <v>645556.0</v>
      </c>
      <c r="Y734" t="n">
        <v>498839.0</v>
      </c>
      <c r="Z734" t="n">
        <v>74826.0</v>
      </c>
      <c r="AA734" t="n">
        <v>84803.0</v>
      </c>
      <c r="AB734" t="n">
        <v>0.0</v>
      </c>
      <c r="AC734" t="n">
        <v>0.0</v>
      </c>
      <c r="AD734" t="n">
        <v>0.0</v>
      </c>
      <c r="AE734" t="n">
        <v>0.0</v>
      </c>
      <c r="AF734" t="n">
        <v>51000.0</v>
      </c>
      <c r="AG734" t="n">
        <v>0.0</v>
      </c>
      <c r="AH734" t="n">
        <v>0.0</v>
      </c>
      <c r="AI734" t="n">
        <v>0.0</v>
      </c>
      <c r="AJ734" t="n">
        <v>0.0</v>
      </c>
      <c r="AK734" t="n">
        <v>0.0</v>
      </c>
      <c r="AL734" t="n">
        <v>134948.0</v>
      </c>
      <c r="AM734" t="n">
        <v>0.0</v>
      </c>
      <c r="AN734" t="n">
        <v>0.0</v>
      </c>
      <c r="AO734" t="n">
        <v>844416.0</v>
      </c>
      <c r="AP734" t="n">
        <v>70947.0</v>
      </c>
      <c r="AQ734" t="n">
        <v>57362.1</v>
      </c>
      <c r="CH734">
        <f>IFERROR(U734*1,0)</f>
      </c>
    </row>
    <row r="735">
      <c r="A735" t="n">
        <v>11.0</v>
      </c>
      <c r="B735">
        <f>IF((K735-G735-H735&gt;2400000),10,(L735/(K735-G735-H735)*100))</f>
      </c>
      <c r="C735">
        <f>IF(N735&gt;2400000,240000,(N735*S735)/100)</f>
      </c>
      <c r="D735">
        <f>IF(S735=0,0,IF((N735-I735)&gt;2400000,((((((N735-I735-J735)-240000))*0.1+(I735+J735)*0.1)))-7000,((((((N735-I735-J735)-(N735-I735-J735)*S735/100)))*0.1+(I735+J735)*0.1)-7000)))</f>
      </c>
      <c r="E735">
        <f>C735-O735</f>
      </c>
      <c r="F735">
        <f>D735-P735</f>
      </c>
      <c r="G735">
        <f>SUMIF(negtgel!U$2:BL$2,'Tsalin uzuulelt'!B$1,negtgel!U735:BL735) + SUMIF(negtgel!U$2:BL$2,'Tsalin uzuulelt'!B$2,negtgel!U735:BL735)+SUMIF(negtgel!U$2:BL$2,'Tsalin uzuulelt'!B$3,negtgel!U735:BL735)+SUMIF(negtgel!U$2:BL$2,'Tsalin uzuulelt'!B$4,negtgel!U735:BL735)+SUMIF(negtgel!U$2:BL$2,'Tsalin uzuulelt'!B$5,negtgel!U735:BL735)</f>
      </c>
      <c r="H735">
        <f>SUMIF(negtgel!U$2:BL$2,'Tsalin uzuulelt'!F$1,negtgel!U735:BL735) + SUMIF(negtgel!U$2:BL$2,'Tsalin uzuulelt'!F$2,negtgel!U735:BL735)+SUMIF(negtgel!U$2:BL$2,'Tsalin uzuulelt'!F$3,negtgel!U735:BL735)+SUMIF(negtgel!U$2:BL$2,'Tsalin uzuulelt'!F$4,negtgel!U735:BL735)+SUMIF(negtgel!U$2:BL$2,'Tsalin uzuulelt'!F$5,negtgel!U735:BL735)</f>
      </c>
      <c r="I735">
        <f>SUMIF(negtgel!U$2:BL$2,'Tsalin uzuulelt'!H$1,negtgel!U735:BL735) + SUMIF(negtgel!U$2:BL$2,'Tsalin uzuulelt'!H$2,negtgel!U735:BL735)+SUMIF(negtgel!U$2:BL$2,'Tsalin uzuulelt'!H$3,negtgel!U735:BL735)+SUMIF(negtgel!U$2:BL$2,'Tsalin uzuulelt'!H$4,negtgel!U735:BL735)+SUMIF(negtgel!U$2:BL$2,'Tsalin uzuulelt'!H$5,negtgel!U735:BL735)</f>
      </c>
      <c r="J735">
        <f>SUMIF(negtgel!U$2:BL$2,'Tsalin uzuulelt'!J$1,negtgel!U735:BL735) + SUMIF(negtgel!U$2:BL$2,'Tsalin uzuulelt'!J$2,negtgel!U735:BL735)+SUMIF(negtgel!U$2:BL$2,'Tsalin uzuulelt'!J$3,negtgel!U735:BL735)+SUMIF(negtgel!U$2:BL$2,'Tsalin uzuulelt'!J$4,negtgel!U735:BL735)+SUMIF(negtgel!U$2:BL$2,'Tsalin uzuulelt'!J$5,negtgel!U735:BL735)</f>
      </c>
      <c r="K735">
        <f>SUMIF(negtgel!U$2:BL$2,'Tsalin uzuulelt'!L$1,negtgel!U735:BL735) + SUMIF(negtgel!U$2:BL$2,'Tsalin uzuulelt'!L$2,negtgel!U735:BL735)+SUMIF(negtgel!U$2:BL$2,'Tsalin uzuulelt'!L$3,negtgel!U735:BL735)+SUMIF(negtgel!U$2:BL$2,'Tsalin uzuulelt'!L$4,negtgel!U735:BL735)+SUMIF(negtgel!U$2:BL$2,'Tsalin uzuulelt'!L$5,negtgel!U735:BL735)</f>
      </c>
      <c r="L735">
        <f>SUMIF(negtgel!U$2:BL$2,'Tsalin uzuulelt'!N$1,negtgel!U735:BL735) + SUMIF(negtgel!U$2:BL$2,'Tsalin uzuulelt'!N$2,negtgel!U735:BL735)+SUMIF(negtgel!U$2:BL$2,'Tsalin uzuulelt'!N$3,negtgel!U735:BL735)+SUMIF(negtgel!U$2:BL$2,'Tsalin uzuulelt'!N$4,negtgel!U735:BL735)+SUMIF(negtgel!U$2:BL$2,'Tsalin uzuulelt'!N$5,negtgel!U735:BL735)</f>
      </c>
      <c r="M735">
        <f>SUMIF(negtgel!U$2:BL$2,'Tsalin uzuulelt'!P$1,negtgel!U735:BL735) + SUMIF(negtgel!U$2:BL$2,'Tsalin uzuulelt'!P$2,negtgel!U735:BL735)+ SUMIF(negtgel!U$2:BL$2,'Tsalin uzuulelt'!P$3,negtgel!U735:BL735)+ SUMIF(negtgel!U$2:BL$2,'Tsalin uzuulelt'!P$4,negtgel!U735:BL735)+ SUMIF(negtgel!U$2:BL$2,'Tsalin uzuulelt'!P$5,negtgel!U735:BL735)</f>
      </c>
      <c r="N735">
        <f>IF(ISNUMBER(U735*1)=CF735,0,K735-H735-G735)</f>
      </c>
      <c r="O735">
        <f>IF(ISNUMBER(U735*1)=CF735,0,L735)</f>
      </c>
      <c r="P735">
        <f>IF(ISNUMBER(U735*1)=CF735,0,M735)</f>
      </c>
      <c r="Q735">
        <f>IF(N735&gt;2400000,N735,0)</f>
      </c>
      <c r="R735">
        <f>IF(L735/Q735*100&lt;3,2,10)</f>
      </c>
      <c r="S735">
        <f>IF(CH735=0,0,IF(B735&gt;9,10,IF(B735&gt;8,B735,IF(B735&gt;7.7,7.8,IF(B735&gt;3,B735,IF(B735&gt;1.5,2))))))</f>
      </c>
      <c r="T735">
        <f>IF(Q735=0,S735,R735)</f>
      </c>
      <c r="U735" t="n">
        <v>81.0</v>
      </c>
      <c r="V735" t="s">
        <v>3835</v>
      </c>
      <c r="W735" t="s">
        <v>3790</v>
      </c>
      <c r="X735" t="n">
        <v>613669.0</v>
      </c>
      <c r="Y735" t="n">
        <v>0.0</v>
      </c>
      <c r="Z735" t="n">
        <v>0.0</v>
      </c>
      <c r="AA735" t="n">
        <v>0.0</v>
      </c>
      <c r="AB735" t="n">
        <v>0.0</v>
      </c>
      <c r="AC735" t="n">
        <v>0.0</v>
      </c>
      <c r="AD735" t="n">
        <v>0.0</v>
      </c>
      <c r="AE735" t="n">
        <v>0.0</v>
      </c>
      <c r="AF735" t="n">
        <v>0.0</v>
      </c>
      <c r="AG735" t="n">
        <v>0.0</v>
      </c>
      <c r="AH735" t="n">
        <v>0.0</v>
      </c>
      <c r="AI735" t="n">
        <v>0.0</v>
      </c>
      <c r="AJ735" t="n">
        <v>0.0</v>
      </c>
      <c r="AK735" t="n">
        <v>0.0</v>
      </c>
      <c r="AL735" t="n">
        <v>185225.0</v>
      </c>
      <c r="AM735" t="n">
        <v>0.0</v>
      </c>
      <c r="AN735" t="n">
        <v>0.0</v>
      </c>
      <c r="AO735" t="n">
        <v>185225.0</v>
      </c>
      <c r="AP735" t="n">
        <v>0.0</v>
      </c>
      <c r="AQ735" t="n">
        <v>0.0</v>
      </c>
      <c r="CH735">
        <f>IFERROR(U735*1,0)</f>
      </c>
    </row>
    <row r="736">
      <c r="A736" t="n">
        <v>11.0</v>
      </c>
      <c r="B736">
        <f>IF((K736-G736-H736&gt;2400000),10,(L736/(K736-G736-H736)*100))</f>
      </c>
      <c r="C736">
        <f>IF(N736&gt;2400000,240000,(N736*S736)/100)</f>
      </c>
      <c r="D736">
        <f>IF(S736=0,0,IF((N736-I736)&gt;2400000,((((((N736-I736-J736)-240000))*0.1+(I736+J736)*0.1)))-7000,((((((N736-I736-J736)-(N736-I736-J736)*S736/100)))*0.1+(I736+J736)*0.1)-7000)))</f>
      </c>
      <c r="E736">
        <f>C736-O736</f>
      </c>
      <c r="F736">
        <f>D736-P736</f>
      </c>
      <c r="G736">
        <f>SUMIF(negtgel!U$2:BL$2,'Tsalin uzuulelt'!B$1,negtgel!U736:BL736) + SUMIF(negtgel!U$2:BL$2,'Tsalin uzuulelt'!B$2,negtgel!U736:BL736)+SUMIF(negtgel!U$2:BL$2,'Tsalin uzuulelt'!B$3,negtgel!U736:BL736)+SUMIF(negtgel!U$2:BL$2,'Tsalin uzuulelt'!B$4,negtgel!U736:BL736)+SUMIF(negtgel!U$2:BL$2,'Tsalin uzuulelt'!B$5,negtgel!U736:BL736)</f>
      </c>
      <c r="H736">
        <f>SUMIF(negtgel!U$2:BL$2,'Tsalin uzuulelt'!F$1,negtgel!U736:BL736) + SUMIF(negtgel!U$2:BL$2,'Tsalin uzuulelt'!F$2,negtgel!U736:BL736)+SUMIF(negtgel!U$2:BL$2,'Tsalin uzuulelt'!F$3,negtgel!U736:BL736)+SUMIF(negtgel!U$2:BL$2,'Tsalin uzuulelt'!F$4,negtgel!U736:BL736)+SUMIF(negtgel!U$2:BL$2,'Tsalin uzuulelt'!F$5,negtgel!U736:BL736)</f>
      </c>
      <c r="I736">
        <f>SUMIF(negtgel!U$2:BL$2,'Tsalin uzuulelt'!H$1,negtgel!U736:BL736) + SUMIF(negtgel!U$2:BL$2,'Tsalin uzuulelt'!H$2,negtgel!U736:BL736)+SUMIF(negtgel!U$2:BL$2,'Tsalin uzuulelt'!H$3,negtgel!U736:BL736)+SUMIF(negtgel!U$2:BL$2,'Tsalin uzuulelt'!H$4,negtgel!U736:BL736)+SUMIF(negtgel!U$2:BL$2,'Tsalin uzuulelt'!H$5,negtgel!U736:BL736)</f>
      </c>
      <c r="J736">
        <f>SUMIF(negtgel!U$2:BL$2,'Tsalin uzuulelt'!J$1,negtgel!U736:BL736) + SUMIF(negtgel!U$2:BL$2,'Tsalin uzuulelt'!J$2,negtgel!U736:BL736)+SUMIF(negtgel!U$2:BL$2,'Tsalin uzuulelt'!J$3,negtgel!U736:BL736)+SUMIF(negtgel!U$2:BL$2,'Tsalin uzuulelt'!J$4,negtgel!U736:BL736)+SUMIF(negtgel!U$2:BL$2,'Tsalin uzuulelt'!J$5,negtgel!U736:BL736)</f>
      </c>
      <c r="K736">
        <f>SUMIF(negtgel!U$2:BL$2,'Tsalin uzuulelt'!L$1,negtgel!U736:BL736) + SUMIF(negtgel!U$2:BL$2,'Tsalin uzuulelt'!L$2,negtgel!U736:BL736)+SUMIF(negtgel!U$2:BL$2,'Tsalin uzuulelt'!L$3,negtgel!U736:BL736)+SUMIF(negtgel!U$2:BL$2,'Tsalin uzuulelt'!L$4,negtgel!U736:BL736)+SUMIF(negtgel!U$2:BL$2,'Tsalin uzuulelt'!L$5,negtgel!U736:BL736)</f>
      </c>
      <c r="L736">
        <f>SUMIF(negtgel!U$2:BL$2,'Tsalin uzuulelt'!N$1,negtgel!U736:BL736) + SUMIF(negtgel!U$2:BL$2,'Tsalin uzuulelt'!N$2,negtgel!U736:BL736)+SUMIF(negtgel!U$2:BL$2,'Tsalin uzuulelt'!N$3,negtgel!U736:BL736)+SUMIF(negtgel!U$2:BL$2,'Tsalin uzuulelt'!N$4,negtgel!U736:BL736)+SUMIF(negtgel!U$2:BL$2,'Tsalin uzuulelt'!N$5,negtgel!U736:BL736)</f>
      </c>
      <c r="M736">
        <f>SUMIF(negtgel!U$2:BL$2,'Tsalin uzuulelt'!P$1,negtgel!U736:BL736) + SUMIF(negtgel!U$2:BL$2,'Tsalin uzuulelt'!P$2,negtgel!U736:BL736)+ SUMIF(negtgel!U$2:BL$2,'Tsalin uzuulelt'!P$3,negtgel!U736:BL736)+ SUMIF(negtgel!U$2:BL$2,'Tsalin uzuulelt'!P$4,negtgel!U736:BL736)+ SUMIF(negtgel!U$2:BL$2,'Tsalin uzuulelt'!P$5,negtgel!U736:BL736)</f>
      </c>
      <c r="N736">
        <f>IF(ISNUMBER(U736*1)=CF736,0,K736-H736-G736)</f>
      </c>
      <c r="O736">
        <f>IF(ISNUMBER(U736*1)=CF736,0,L736)</f>
      </c>
      <c r="P736">
        <f>IF(ISNUMBER(U736*1)=CF736,0,M736)</f>
      </c>
      <c r="Q736">
        <f>IF(N736&gt;2400000,N736,0)</f>
      </c>
      <c r="R736">
        <f>IF(L736/Q736*100&lt;3,2,10)</f>
      </c>
      <c r="S736">
        <f>IF(CH736=0,0,IF(B736&gt;9,10,IF(B736&gt;8,B736,IF(B736&gt;7.7,7.8,IF(B736&gt;3,B736,IF(B736&gt;1.5,2))))))</f>
      </c>
      <c r="T736">
        <f>IF(Q736=0,S736,R736)</f>
      </c>
      <c r="U736" t="s">
        <v>3787</v>
      </c>
      <c r="V736"/>
      <c r="W736"/>
      <c r="X736" t="n">
        <v>4146907.0</v>
      </c>
      <c r="Y736" t="n">
        <v>2621646.0</v>
      </c>
      <c r="Z736" t="n">
        <v>206047.0</v>
      </c>
      <c r="AA736" t="n">
        <v>254855.0</v>
      </c>
      <c r="AB736" t="n">
        <v>49691.0</v>
      </c>
      <c r="AC736" t="n">
        <v>0.0</v>
      </c>
      <c r="AD736" t="n">
        <v>0.0</v>
      </c>
      <c r="AE736" t="n">
        <v>0.0</v>
      </c>
      <c r="AF736" t="n">
        <v>288000.0</v>
      </c>
      <c r="AG736" t="n">
        <v>0.0</v>
      </c>
      <c r="AH736" t="n">
        <v>0.0</v>
      </c>
      <c r="AI736" t="n">
        <v>0.0</v>
      </c>
      <c r="AJ736" t="n">
        <v>0.0</v>
      </c>
      <c r="AK736" t="n">
        <v>0.0</v>
      </c>
      <c r="AL736" t="n">
        <v>320173.0</v>
      </c>
      <c r="AM736" t="n">
        <v>0.0</v>
      </c>
      <c r="AN736" t="n">
        <v>0.0</v>
      </c>
      <c r="AO736" t="n">
        <v>3740412.0</v>
      </c>
      <c r="AP736" t="n">
        <v>342023.0</v>
      </c>
      <c r="AQ736" t="n">
        <v>275701.6</v>
      </c>
      <c r="CH736">
        <f>IFERROR(U736*1,0)</f>
      </c>
    </row>
    <row r="737">
      <c r="A737" t="n">
        <v>11.0</v>
      </c>
      <c r="B737">
        <f>IF((K737-G737-H737&gt;2400000),10,(L737/(K737-G737-H737)*100))</f>
      </c>
      <c r="C737">
        <f>IF(N737&gt;2400000,240000,(N737*S737)/100)</f>
      </c>
      <c r="D737">
        <f>IF(S737=0,0,IF((N737-I737)&gt;2400000,((((((N737-I737-J737)-240000))*0.1+(I737+J737)*0.1)))-7000,((((((N737-I737-J737)-(N737-I737-J737)*S737/100)))*0.1+(I737+J737)*0.1)-7000)))</f>
      </c>
      <c r="E737">
        <f>C737-O737</f>
      </c>
      <c r="F737">
        <f>D737-P737</f>
      </c>
      <c r="G737">
        <f>SUMIF(negtgel!U$2:BL$2,'Tsalin uzuulelt'!B$1,negtgel!U737:BL737) + SUMIF(negtgel!U$2:BL$2,'Tsalin uzuulelt'!B$2,negtgel!U737:BL737)+SUMIF(negtgel!U$2:BL$2,'Tsalin uzuulelt'!B$3,negtgel!U737:BL737)+SUMIF(negtgel!U$2:BL$2,'Tsalin uzuulelt'!B$4,negtgel!U737:BL737)+SUMIF(negtgel!U$2:BL$2,'Tsalin uzuulelt'!B$5,negtgel!U737:BL737)</f>
      </c>
      <c r="H737">
        <f>SUMIF(negtgel!U$2:BL$2,'Tsalin uzuulelt'!F$1,negtgel!U737:BL737) + SUMIF(negtgel!U$2:BL$2,'Tsalin uzuulelt'!F$2,negtgel!U737:BL737)+SUMIF(negtgel!U$2:BL$2,'Tsalin uzuulelt'!F$3,negtgel!U737:BL737)+SUMIF(negtgel!U$2:BL$2,'Tsalin uzuulelt'!F$4,negtgel!U737:BL737)+SUMIF(negtgel!U$2:BL$2,'Tsalin uzuulelt'!F$5,negtgel!U737:BL737)</f>
      </c>
      <c r="I737">
        <f>SUMIF(negtgel!U$2:BL$2,'Tsalin uzuulelt'!H$1,negtgel!U737:BL737) + SUMIF(negtgel!U$2:BL$2,'Tsalin uzuulelt'!H$2,negtgel!U737:BL737)+SUMIF(negtgel!U$2:BL$2,'Tsalin uzuulelt'!H$3,negtgel!U737:BL737)+SUMIF(negtgel!U$2:BL$2,'Tsalin uzuulelt'!H$4,negtgel!U737:BL737)+SUMIF(negtgel!U$2:BL$2,'Tsalin uzuulelt'!H$5,negtgel!U737:BL737)</f>
      </c>
      <c r="J737">
        <f>SUMIF(negtgel!U$2:BL$2,'Tsalin uzuulelt'!J$1,negtgel!U737:BL737) + SUMIF(negtgel!U$2:BL$2,'Tsalin uzuulelt'!J$2,negtgel!U737:BL737)+SUMIF(negtgel!U$2:BL$2,'Tsalin uzuulelt'!J$3,negtgel!U737:BL737)+SUMIF(negtgel!U$2:BL$2,'Tsalin uzuulelt'!J$4,negtgel!U737:BL737)+SUMIF(negtgel!U$2:BL$2,'Tsalin uzuulelt'!J$5,negtgel!U737:BL737)</f>
      </c>
      <c r="K737">
        <f>SUMIF(negtgel!U$2:BL$2,'Tsalin uzuulelt'!L$1,negtgel!U737:BL737) + SUMIF(negtgel!U$2:BL$2,'Tsalin uzuulelt'!L$2,negtgel!U737:BL737)+SUMIF(negtgel!U$2:BL$2,'Tsalin uzuulelt'!L$3,negtgel!U737:BL737)+SUMIF(negtgel!U$2:BL$2,'Tsalin uzuulelt'!L$4,negtgel!U737:BL737)+SUMIF(negtgel!U$2:BL$2,'Tsalin uzuulelt'!L$5,negtgel!U737:BL737)</f>
      </c>
      <c r="L737">
        <f>SUMIF(negtgel!U$2:BL$2,'Tsalin uzuulelt'!N$1,negtgel!U737:BL737) + SUMIF(negtgel!U$2:BL$2,'Tsalin uzuulelt'!N$2,negtgel!U737:BL737)+SUMIF(negtgel!U$2:BL$2,'Tsalin uzuulelt'!N$3,negtgel!U737:BL737)+SUMIF(negtgel!U$2:BL$2,'Tsalin uzuulelt'!N$4,negtgel!U737:BL737)+SUMIF(negtgel!U$2:BL$2,'Tsalin uzuulelt'!N$5,negtgel!U737:BL737)</f>
      </c>
      <c r="M737">
        <f>SUMIF(negtgel!U$2:BL$2,'Tsalin uzuulelt'!P$1,negtgel!U737:BL737) + SUMIF(negtgel!U$2:BL$2,'Tsalin uzuulelt'!P$2,negtgel!U737:BL737)+ SUMIF(negtgel!U$2:BL$2,'Tsalin uzuulelt'!P$3,negtgel!U737:BL737)+ SUMIF(negtgel!U$2:BL$2,'Tsalin uzuulelt'!P$4,negtgel!U737:BL737)+ SUMIF(negtgel!U$2:BL$2,'Tsalin uzuulelt'!P$5,negtgel!U737:BL737)</f>
      </c>
      <c r="N737">
        <f>IF(ISNUMBER(U737*1)=CF737,0,K737-H737-G737)</f>
      </c>
      <c r="O737">
        <f>IF(ISNUMBER(U737*1)=CF737,0,L737)</f>
      </c>
      <c r="P737">
        <f>IF(ISNUMBER(U737*1)=CF737,0,M737)</f>
      </c>
      <c r="Q737">
        <f>IF(N737&gt;2400000,N737,0)</f>
      </c>
      <c r="R737">
        <f>IF(L737/Q737*100&lt;3,2,10)</f>
      </c>
      <c r="S737">
        <f>IF(CH737=0,0,IF(B737&gt;9,10,IF(B737&gt;8,B737,IF(B737&gt;7.7,7.8,IF(B737&gt;3,B737,IF(B737&gt;1.5,2))))))</f>
      </c>
      <c r="T737">
        <f>IF(Q737=0,S737,R737)</f>
      </c>
      <c r="U737" t="s">
        <v>3836</v>
      </c>
      <c r="V737"/>
      <c r="W737"/>
      <c r="X737"/>
      <c r="Y737"/>
      <c r="Z737"/>
      <c r="AA737"/>
      <c r="AB737"/>
      <c r="AC737"/>
      <c r="AD737"/>
      <c r="AE737"/>
      <c r="AF737"/>
      <c r="AG737"/>
      <c r="AH737"/>
      <c r="AI737"/>
      <c r="AJ737"/>
      <c r="AK737"/>
      <c r="AL737"/>
      <c r="AM737"/>
      <c r="AN737"/>
      <c r="AO737"/>
      <c r="AP737"/>
      <c r="AQ737"/>
      <c r="CH737">
        <f>IFERROR(U737*1,0)</f>
      </c>
    </row>
    <row r="738">
      <c r="A738" t="n">
        <v>11.0</v>
      </c>
      <c r="B738">
        <f>IF((K738-G738-H738&gt;2400000),10,(L738/(K738-G738-H738)*100))</f>
      </c>
      <c r="C738">
        <f>IF(N738&gt;2400000,240000,(N738*S738)/100)</f>
      </c>
      <c r="D738">
        <f>IF(S738=0,0,IF((N738-I738)&gt;2400000,((((((N738-I738-J738)-240000))*0.1+(I738+J738)*0.1)))-7000,((((((N738-I738-J738)-(N738-I738-J738)*S738/100)))*0.1+(I738+J738)*0.1)-7000)))</f>
      </c>
      <c r="E738">
        <f>C738-O738</f>
      </c>
      <c r="F738">
        <f>D738-P738</f>
      </c>
      <c r="G738">
        <f>SUMIF(negtgel!U$2:BL$2,'Tsalin uzuulelt'!B$1,negtgel!U738:BL738) + SUMIF(negtgel!U$2:BL$2,'Tsalin uzuulelt'!B$2,negtgel!U738:BL738)+SUMIF(negtgel!U$2:BL$2,'Tsalin uzuulelt'!B$3,negtgel!U738:BL738)+SUMIF(negtgel!U$2:BL$2,'Tsalin uzuulelt'!B$4,negtgel!U738:BL738)+SUMIF(negtgel!U$2:BL$2,'Tsalin uzuulelt'!B$5,negtgel!U738:BL738)</f>
      </c>
      <c r="H738">
        <f>SUMIF(negtgel!U$2:BL$2,'Tsalin uzuulelt'!F$1,negtgel!U738:BL738) + SUMIF(negtgel!U$2:BL$2,'Tsalin uzuulelt'!F$2,negtgel!U738:BL738)+SUMIF(negtgel!U$2:BL$2,'Tsalin uzuulelt'!F$3,negtgel!U738:BL738)+SUMIF(negtgel!U$2:BL$2,'Tsalin uzuulelt'!F$4,negtgel!U738:BL738)+SUMIF(negtgel!U$2:BL$2,'Tsalin uzuulelt'!F$5,negtgel!U738:BL738)</f>
      </c>
      <c r="I738">
        <f>SUMIF(negtgel!U$2:BL$2,'Tsalin uzuulelt'!H$1,negtgel!U738:BL738) + SUMIF(negtgel!U$2:BL$2,'Tsalin uzuulelt'!H$2,negtgel!U738:BL738)+SUMIF(negtgel!U$2:BL$2,'Tsalin uzuulelt'!H$3,negtgel!U738:BL738)+SUMIF(negtgel!U$2:BL$2,'Tsalin uzuulelt'!H$4,negtgel!U738:BL738)+SUMIF(negtgel!U$2:BL$2,'Tsalin uzuulelt'!H$5,negtgel!U738:BL738)</f>
      </c>
      <c r="J738">
        <f>SUMIF(negtgel!U$2:BL$2,'Tsalin uzuulelt'!J$1,negtgel!U738:BL738) + SUMIF(negtgel!U$2:BL$2,'Tsalin uzuulelt'!J$2,negtgel!U738:BL738)+SUMIF(negtgel!U$2:BL$2,'Tsalin uzuulelt'!J$3,negtgel!U738:BL738)+SUMIF(negtgel!U$2:BL$2,'Tsalin uzuulelt'!J$4,negtgel!U738:BL738)+SUMIF(negtgel!U$2:BL$2,'Tsalin uzuulelt'!J$5,negtgel!U738:BL738)</f>
      </c>
      <c r="K738">
        <f>SUMIF(negtgel!U$2:BL$2,'Tsalin uzuulelt'!L$1,negtgel!U738:BL738) + SUMIF(negtgel!U$2:BL$2,'Tsalin uzuulelt'!L$2,negtgel!U738:BL738)+SUMIF(negtgel!U$2:BL$2,'Tsalin uzuulelt'!L$3,negtgel!U738:BL738)+SUMIF(negtgel!U$2:BL$2,'Tsalin uzuulelt'!L$4,negtgel!U738:BL738)+SUMIF(negtgel!U$2:BL$2,'Tsalin uzuulelt'!L$5,negtgel!U738:BL738)</f>
      </c>
      <c r="L738">
        <f>SUMIF(negtgel!U$2:BL$2,'Tsalin uzuulelt'!N$1,negtgel!U738:BL738) + SUMIF(negtgel!U$2:BL$2,'Tsalin uzuulelt'!N$2,negtgel!U738:BL738)+SUMIF(negtgel!U$2:BL$2,'Tsalin uzuulelt'!N$3,negtgel!U738:BL738)+SUMIF(negtgel!U$2:BL$2,'Tsalin uzuulelt'!N$4,negtgel!U738:BL738)+SUMIF(negtgel!U$2:BL$2,'Tsalin uzuulelt'!N$5,negtgel!U738:BL738)</f>
      </c>
      <c r="M738">
        <f>SUMIF(negtgel!U$2:BL$2,'Tsalin uzuulelt'!P$1,negtgel!U738:BL738) + SUMIF(negtgel!U$2:BL$2,'Tsalin uzuulelt'!P$2,negtgel!U738:BL738)+ SUMIF(negtgel!U$2:BL$2,'Tsalin uzuulelt'!P$3,negtgel!U738:BL738)+ SUMIF(negtgel!U$2:BL$2,'Tsalin uzuulelt'!P$4,negtgel!U738:BL738)+ SUMIF(negtgel!U$2:BL$2,'Tsalin uzuulelt'!P$5,negtgel!U738:BL738)</f>
      </c>
      <c r="N738">
        <f>IF(ISNUMBER(U738*1)=CF738,0,K738-H738-G738)</f>
      </c>
      <c r="O738">
        <f>IF(ISNUMBER(U738*1)=CF738,0,L738)</f>
      </c>
      <c r="P738">
        <f>IF(ISNUMBER(U738*1)=CF738,0,M738)</f>
      </c>
      <c r="Q738">
        <f>IF(N738&gt;2400000,N738,0)</f>
      </c>
      <c r="R738">
        <f>IF(L738/Q738*100&lt;3,2,10)</f>
      </c>
      <c r="S738">
        <f>IF(CH738=0,0,IF(B738&gt;9,10,IF(B738&gt;8,B738,IF(B738&gt;7.7,7.8,IF(B738&gt;3,B738,IF(B738&gt;1.5,2))))))</f>
      </c>
      <c r="T738">
        <f>IF(Q738=0,S738,R738)</f>
      </c>
      <c r="U738" t="n">
        <v>82.0</v>
      </c>
      <c r="V738" t="s">
        <v>3837</v>
      </c>
      <c r="W738" t="s">
        <v>3820</v>
      </c>
      <c r="X738" t="n">
        <v>645556.0</v>
      </c>
      <c r="Y738" t="n">
        <v>645556.0</v>
      </c>
      <c r="Z738" t="n">
        <v>96833.0</v>
      </c>
      <c r="AA738" t="n">
        <v>129111.0</v>
      </c>
      <c r="AB738" t="n">
        <v>0.0</v>
      </c>
      <c r="AC738" t="n">
        <v>0.0</v>
      </c>
      <c r="AD738" t="n">
        <v>0.0</v>
      </c>
      <c r="AE738" t="n">
        <v>0.0</v>
      </c>
      <c r="AF738" t="n">
        <v>66000.0</v>
      </c>
      <c r="AG738" t="n">
        <v>0.0</v>
      </c>
      <c r="AH738" t="n">
        <v>0.0</v>
      </c>
      <c r="AI738" t="n">
        <v>0.0</v>
      </c>
      <c r="AJ738" t="n">
        <v>0.0</v>
      </c>
      <c r="AK738" t="n">
        <v>0.0</v>
      </c>
      <c r="AL738" t="n">
        <v>0.0</v>
      </c>
      <c r="AM738" t="n">
        <v>0.0</v>
      </c>
      <c r="AN738" t="n">
        <v>0.0</v>
      </c>
      <c r="AO738" t="n">
        <v>937500.0</v>
      </c>
      <c r="AP738" t="n">
        <v>93750.0</v>
      </c>
      <c r="AQ738" t="n">
        <v>78035.0</v>
      </c>
      <c r="CH738">
        <f>IFERROR(U738*1,0)</f>
      </c>
    </row>
    <row r="739">
      <c r="A739" t="n">
        <v>11.0</v>
      </c>
      <c r="B739">
        <f>IF((K739-G739-H739&gt;2400000),10,(L739/(K739-G739-H739)*100))</f>
      </c>
      <c r="C739">
        <f>IF(N739&gt;2400000,240000,(N739*S739)/100)</f>
      </c>
      <c r="D739">
        <f>IF(S739=0,0,IF((N739-I739)&gt;2400000,((((((N739-I739-J739)-240000))*0.1+(I739+J739)*0.1)))-7000,((((((N739-I739-J739)-(N739-I739-J739)*S739/100)))*0.1+(I739+J739)*0.1)-7000)))</f>
      </c>
      <c r="E739">
        <f>C739-O739</f>
      </c>
      <c r="F739">
        <f>D739-P739</f>
      </c>
      <c r="G739">
        <f>SUMIF(negtgel!U$2:BL$2,'Tsalin uzuulelt'!B$1,negtgel!U739:BL739) + SUMIF(negtgel!U$2:BL$2,'Tsalin uzuulelt'!B$2,negtgel!U739:BL739)+SUMIF(negtgel!U$2:BL$2,'Tsalin uzuulelt'!B$3,negtgel!U739:BL739)+SUMIF(negtgel!U$2:BL$2,'Tsalin uzuulelt'!B$4,negtgel!U739:BL739)+SUMIF(negtgel!U$2:BL$2,'Tsalin uzuulelt'!B$5,negtgel!U739:BL739)</f>
      </c>
      <c r="H739">
        <f>SUMIF(negtgel!U$2:BL$2,'Tsalin uzuulelt'!F$1,negtgel!U739:BL739) + SUMIF(negtgel!U$2:BL$2,'Tsalin uzuulelt'!F$2,negtgel!U739:BL739)+SUMIF(negtgel!U$2:BL$2,'Tsalin uzuulelt'!F$3,negtgel!U739:BL739)+SUMIF(negtgel!U$2:BL$2,'Tsalin uzuulelt'!F$4,negtgel!U739:BL739)+SUMIF(negtgel!U$2:BL$2,'Tsalin uzuulelt'!F$5,negtgel!U739:BL739)</f>
      </c>
      <c r="I739">
        <f>SUMIF(negtgel!U$2:BL$2,'Tsalin uzuulelt'!H$1,negtgel!U739:BL739) + SUMIF(negtgel!U$2:BL$2,'Tsalin uzuulelt'!H$2,negtgel!U739:BL739)+SUMIF(negtgel!U$2:BL$2,'Tsalin uzuulelt'!H$3,negtgel!U739:BL739)+SUMIF(negtgel!U$2:BL$2,'Tsalin uzuulelt'!H$4,negtgel!U739:BL739)+SUMIF(negtgel!U$2:BL$2,'Tsalin uzuulelt'!H$5,negtgel!U739:BL739)</f>
      </c>
      <c r="J739">
        <f>SUMIF(negtgel!U$2:BL$2,'Tsalin uzuulelt'!J$1,negtgel!U739:BL739) + SUMIF(negtgel!U$2:BL$2,'Tsalin uzuulelt'!J$2,negtgel!U739:BL739)+SUMIF(negtgel!U$2:BL$2,'Tsalin uzuulelt'!J$3,negtgel!U739:BL739)+SUMIF(negtgel!U$2:BL$2,'Tsalin uzuulelt'!J$4,negtgel!U739:BL739)+SUMIF(negtgel!U$2:BL$2,'Tsalin uzuulelt'!J$5,negtgel!U739:BL739)</f>
      </c>
      <c r="K739">
        <f>SUMIF(negtgel!U$2:BL$2,'Tsalin uzuulelt'!L$1,negtgel!U739:BL739) + SUMIF(negtgel!U$2:BL$2,'Tsalin uzuulelt'!L$2,negtgel!U739:BL739)+SUMIF(negtgel!U$2:BL$2,'Tsalin uzuulelt'!L$3,negtgel!U739:BL739)+SUMIF(negtgel!U$2:BL$2,'Tsalin uzuulelt'!L$4,negtgel!U739:BL739)+SUMIF(negtgel!U$2:BL$2,'Tsalin uzuulelt'!L$5,negtgel!U739:BL739)</f>
      </c>
      <c r="L739">
        <f>SUMIF(negtgel!U$2:BL$2,'Tsalin uzuulelt'!N$1,negtgel!U739:BL739) + SUMIF(negtgel!U$2:BL$2,'Tsalin uzuulelt'!N$2,negtgel!U739:BL739)+SUMIF(negtgel!U$2:BL$2,'Tsalin uzuulelt'!N$3,negtgel!U739:BL739)+SUMIF(negtgel!U$2:BL$2,'Tsalin uzuulelt'!N$4,negtgel!U739:BL739)+SUMIF(negtgel!U$2:BL$2,'Tsalin uzuulelt'!N$5,negtgel!U739:BL739)</f>
      </c>
      <c r="M739">
        <f>SUMIF(negtgel!U$2:BL$2,'Tsalin uzuulelt'!P$1,negtgel!U739:BL739) + SUMIF(negtgel!U$2:BL$2,'Tsalin uzuulelt'!P$2,negtgel!U739:BL739)+ SUMIF(negtgel!U$2:BL$2,'Tsalin uzuulelt'!P$3,negtgel!U739:BL739)+ SUMIF(negtgel!U$2:BL$2,'Tsalin uzuulelt'!P$4,negtgel!U739:BL739)+ SUMIF(negtgel!U$2:BL$2,'Tsalin uzuulelt'!P$5,negtgel!U739:BL739)</f>
      </c>
      <c r="N739">
        <f>IF(ISNUMBER(U739*1)=CF739,0,K739-H739-G739)</f>
      </c>
      <c r="O739">
        <f>IF(ISNUMBER(U739*1)=CF739,0,L739)</f>
      </c>
      <c r="P739">
        <f>IF(ISNUMBER(U739*1)=CF739,0,M739)</f>
      </c>
      <c r="Q739">
        <f>IF(N739&gt;2400000,N739,0)</f>
      </c>
      <c r="R739">
        <f>IF(L739/Q739*100&lt;3,2,10)</f>
      </c>
      <c r="S739">
        <f>IF(CH739=0,0,IF(B739&gt;9,10,IF(B739&gt;8,B739,IF(B739&gt;7.7,7.8,IF(B739&gt;3,B739,IF(B739&gt;1.5,2))))))</f>
      </c>
      <c r="T739">
        <f>IF(Q739=0,S739,R739)</f>
      </c>
      <c r="U739" t="n">
        <v>83.0</v>
      </c>
      <c r="V739" t="s">
        <v>3838</v>
      </c>
      <c r="W739" t="s">
        <v>3790</v>
      </c>
      <c r="X739" t="n">
        <v>677436.0</v>
      </c>
      <c r="Y739" t="n">
        <v>646643.0</v>
      </c>
      <c r="Z739" t="n">
        <v>161661.0</v>
      </c>
      <c r="AA739" t="n">
        <v>129329.0</v>
      </c>
      <c r="AB739" t="n">
        <v>0.0</v>
      </c>
      <c r="AC739" t="n">
        <v>0.0</v>
      </c>
      <c r="AD739" t="n">
        <v>0.0</v>
      </c>
      <c r="AE739" t="n">
        <v>0.0</v>
      </c>
      <c r="AF739" t="n">
        <v>63000.0</v>
      </c>
      <c r="AG739" t="n">
        <v>0.0</v>
      </c>
      <c r="AH739" t="n">
        <v>0.0</v>
      </c>
      <c r="AI739" t="n">
        <v>0.0</v>
      </c>
      <c r="AJ739" t="n">
        <v>0.0</v>
      </c>
      <c r="AK739" t="n">
        <v>0.0</v>
      </c>
      <c r="AL739" t="n">
        <v>0.0</v>
      </c>
      <c r="AM739" t="n">
        <v>0.0</v>
      </c>
      <c r="AN739" t="n">
        <v>0.0</v>
      </c>
      <c r="AO739" t="n">
        <v>1000633.0</v>
      </c>
      <c r="AP739" t="n">
        <v>100063.0</v>
      </c>
      <c r="AQ739" t="n">
        <v>83687.0</v>
      </c>
      <c r="CH739">
        <f>IFERROR(U739*1,0)</f>
      </c>
    </row>
    <row r="740">
      <c r="A740" t="n">
        <v>11.0</v>
      </c>
      <c r="B740">
        <f>IF((K740-G740-H740&gt;2400000),10,(L740/(K740-G740-H740)*100))</f>
      </c>
      <c r="C740">
        <f>IF(N740&gt;2400000,240000,(N740*S740)/100)</f>
      </c>
      <c r="D740">
        <f>IF(S740=0,0,IF((N740-I740)&gt;2400000,((((((N740-I740-J740)-240000))*0.1+(I740+J740)*0.1)))-7000,((((((N740-I740-J740)-(N740-I740-J740)*S740/100)))*0.1+(I740+J740)*0.1)-7000)))</f>
      </c>
      <c r="E740">
        <f>C740-O740</f>
      </c>
      <c r="F740">
        <f>D740-P740</f>
      </c>
      <c r="G740">
        <f>SUMIF(negtgel!U$2:BL$2,'Tsalin uzuulelt'!B$1,negtgel!U740:BL740) + SUMIF(negtgel!U$2:BL$2,'Tsalin uzuulelt'!B$2,negtgel!U740:BL740)+SUMIF(negtgel!U$2:BL$2,'Tsalin uzuulelt'!B$3,negtgel!U740:BL740)+SUMIF(negtgel!U$2:BL$2,'Tsalin uzuulelt'!B$4,negtgel!U740:BL740)+SUMIF(negtgel!U$2:BL$2,'Tsalin uzuulelt'!B$5,negtgel!U740:BL740)</f>
      </c>
      <c r="H740">
        <f>SUMIF(negtgel!U$2:BL$2,'Tsalin uzuulelt'!F$1,negtgel!U740:BL740) + SUMIF(negtgel!U$2:BL$2,'Tsalin uzuulelt'!F$2,negtgel!U740:BL740)+SUMIF(negtgel!U$2:BL$2,'Tsalin uzuulelt'!F$3,negtgel!U740:BL740)+SUMIF(negtgel!U$2:BL$2,'Tsalin uzuulelt'!F$4,negtgel!U740:BL740)+SUMIF(negtgel!U$2:BL$2,'Tsalin uzuulelt'!F$5,negtgel!U740:BL740)</f>
      </c>
      <c r="I740">
        <f>SUMIF(negtgel!U$2:BL$2,'Tsalin uzuulelt'!H$1,negtgel!U740:BL740) + SUMIF(negtgel!U$2:BL$2,'Tsalin uzuulelt'!H$2,negtgel!U740:BL740)+SUMIF(negtgel!U$2:BL$2,'Tsalin uzuulelt'!H$3,negtgel!U740:BL740)+SUMIF(negtgel!U$2:BL$2,'Tsalin uzuulelt'!H$4,negtgel!U740:BL740)+SUMIF(negtgel!U$2:BL$2,'Tsalin uzuulelt'!H$5,negtgel!U740:BL740)</f>
      </c>
      <c r="J740">
        <f>SUMIF(negtgel!U$2:BL$2,'Tsalin uzuulelt'!J$1,negtgel!U740:BL740) + SUMIF(negtgel!U$2:BL$2,'Tsalin uzuulelt'!J$2,negtgel!U740:BL740)+SUMIF(negtgel!U$2:BL$2,'Tsalin uzuulelt'!J$3,negtgel!U740:BL740)+SUMIF(negtgel!U$2:BL$2,'Tsalin uzuulelt'!J$4,negtgel!U740:BL740)+SUMIF(negtgel!U$2:BL$2,'Tsalin uzuulelt'!J$5,negtgel!U740:BL740)</f>
      </c>
      <c r="K740">
        <f>SUMIF(negtgel!U$2:BL$2,'Tsalin uzuulelt'!L$1,negtgel!U740:BL740) + SUMIF(negtgel!U$2:BL$2,'Tsalin uzuulelt'!L$2,negtgel!U740:BL740)+SUMIF(negtgel!U$2:BL$2,'Tsalin uzuulelt'!L$3,negtgel!U740:BL740)+SUMIF(negtgel!U$2:BL$2,'Tsalin uzuulelt'!L$4,negtgel!U740:BL740)+SUMIF(negtgel!U$2:BL$2,'Tsalin uzuulelt'!L$5,negtgel!U740:BL740)</f>
      </c>
      <c r="L740">
        <f>SUMIF(negtgel!U$2:BL$2,'Tsalin uzuulelt'!N$1,negtgel!U740:BL740) + SUMIF(negtgel!U$2:BL$2,'Tsalin uzuulelt'!N$2,negtgel!U740:BL740)+SUMIF(negtgel!U$2:BL$2,'Tsalin uzuulelt'!N$3,negtgel!U740:BL740)+SUMIF(negtgel!U$2:BL$2,'Tsalin uzuulelt'!N$4,negtgel!U740:BL740)+SUMIF(negtgel!U$2:BL$2,'Tsalin uzuulelt'!N$5,negtgel!U740:BL740)</f>
      </c>
      <c r="M740">
        <f>SUMIF(negtgel!U$2:BL$2,'Tsalin uzuulelt'!P$1,negtgel!U740:BL740) + SUMIF(negtgel!U$2:BL$2,'Tsalin uzuulelt'!P$2,negtgel!U740:BL740)+ SUMIF(negtgel!U$2:BL$2,'Tsalin uzuulelt'!P$3,negtgel!U740:BL740)+ SUMIF(negtgel!U$2:BL$2,'Tsalin uzuulelt'!P$4,negtgel!U740:BL740)+ SUMIF(negtgel!U$2:BL$2,'Tsalin uzuulelt'!P$5,negtgel!U740:BL740)</f>
      </c>
      <c r="N740">
        <f>IF(ISNUMBER(U740*1)=CF740,0,K740-H740-G740)</f>
      </c>
      <c r="O740">
        <f>IF(ISNUMBER(U740*1)=CF740,0,L740)</f>
      </c>
      <c r="P740">
        <f>IF(ISNUMBER(U740*1)=CF740,0,M740)</f>
      </c>
      <c r="Q740">
        <f>IF(N740&gt;2400000,N740,0)</f>
      </c>
      <c r="R740">
        <f>IF(L740/Q740*100&lt;3,2,10)</f>
      </c>
      <c r="S740">
        <f>IF(CH740=0,0,IF(B740&gt;9,10,IF(B740&gt;8,B740,IF(B740&gt;7.7,7.8,IF(B740&gt;3,B740,IF(B740&gt;1.5,2))))))</f>
      </c>
      <c r="T740">
        <f>IF(Q740=0,S740,R740)</f>
      </c>
      <c r="U740" t="n">
        <v>84.0</v>
      </c>
      <c r="V740" t="s">
        <v>3839</v>
      </c>
      <c r="W740" t="s">
        <v>3790</v>
      </c>
      <c r="X740" t="n">
        <v>677436.0</v>
      </c>
      <c r="Y740" t="n">
        <v>677436.0</v>
      </c>
      <c r="Z740" t="n">
        <v>135487.0</v>
      </c>
      <c r="AA740" t="n">
        <v>149036.0</v>
      </c>
      <c r="AB740" t="n">
        <v>0.0</v>
      </c>
      <c r="AC740" t="n">
        <v>0.0</v>
      </c>
      <c r="AD740" t="n">
        <v>0.0</v>
      </c>
      <c r="AE740" t="n">
        <v>0.0</v>
      </c>
      <c r="AF740" t="n">
        <v>66000.0</v>
      </c>
      <c r="AG740" t="n">
        <v>0.0</v>
      </c>
      <c r="AH740" t="n">
        <v>0.0</v>
      </c>
      <c r="AI740" t="n">
        <v>0.0</v>
      </c>
      <c r="AJ740" t="n">
        <v>0.0</v>
      </c>
      <c r="AK740" t="n">
        <v>0.0</v>
      </c>
      <c r="AL740" t="n">
        <v>0.0</v>
      </c>
      <c r="AM740" t="n">
        <v>0.0</v>
      </c>
      <c r="AN740" t="n">
        <v>0.0</v>
      </c>
      <c r="AO740" t="n">
        <v>1027959.0</v>
      </c>
      <c r="AP740" t="n">
        <v>102796.0</v>
      </c>
      <c r="AQ740" t="n">
        <v>86176.3</v>
      </c>
      <c r="CH740">
        <f>IFERROR(U740*1,0)</f>
      </c>
    </row>
    <row r="741">
      <c r="A741" t="n">
        <v>11.0</v>
      </c>
      <c r="B741">
        <f>IF((K741-G741-H741&gt;2400000),10,(L741/(K741-G741-H741)*100))</f>
      </c>
      <c r="C741">
        <f>IF(N741&gt;2400000,240000,(N741*S741)/100)</f>
      </c>
      <c r="D741">
        <f>IF(S741=0,0,IF((N741-I741)&gt;2400000,((((((N741-I741-J741)-240000))*0.1+(I741+J741)*0.1)))-7000,((((((N741-I741-J741)-(N741-I741-J741)*S741/100)))*0.1+(I741+J741)*0.1)-7000)))</f>
      </c>
      <c r="E741">
        <f>C741-O741</f>
      </c>
      <c r="F741">
        <f>D741-P741</f>
      </c>
      <c r="G741">
        <f>SUMIF(negtgel!U$2:BL$2,'Tsalin uzuulelt'!B$1,negtgel!U741:BL741) + SUMIF(negtgel!U$2:BL$2,'Tsalin uzuulelt'!B$2,negtgel!U741:BL741)+SUMIF(negtgel!U$2:BL$2,'Tsalin uzuulelt'!B$3,negtgel!U741:BL741)+SUMIF(negtgel!U$2:BL$2,'Tsalin uzuulelt'!B$4,negtgel!U741:BL741)+SUMIF(negtgel!U$2:BL$2,'Tsalin uzuulelt'!B$5,negtgel!U741:BL741)</f>
      </c>
      <c r="H741">
        <f>SUMIF(negtgel!U$2:BL$2,'Tsalin uzuulelt'!F$1,negtgel!U741:BL741) + SUMIF(negtgel!U$2:BL$2,'Tsalin uzuulelt'!F$2,negtgel!U741:BL741)+SUMIF(negtgel!U$2:BL$2,'Tsalin uzuulelt'!F$3,negtgel!U741:BL741)+SUMIF(negtgel!U$2:BL$2,'Tsalin uzuulelt'!F$4,negtgel!U741:BL741)+SUMIF(negtgel!U$2:BL$2,'Tsalin uzuulelt'!F$5,negtgel!U741:BL741)</f>
      </c>
      <c r="I741">
        <f>SUMIF(negtgel!U$2:BL$2,'Tsalin uzuulelt'!H$1,negtgel!U741:BL741) + SUMIF(negtgel!U$2:BL$2,'Tsalin uzuulelt'!H$2,negtgel!U741:BL741)+SUMIF(negtgel!U$2:BL$2,'Tsalin uzuulelt'!H$3,negtgel!U741:BL741)+SUMIF(negtgel!U$2:BL$2,'Tsalin uzuulelt'!H$4,negtgel!U741:BL741)+SUMIF(negtgel!U$2:BL$2,'Tsalin uzuulelt'!H$5,negtgel!U741:BL741)</f>
      </c>
      <c r="J741">
        <f>SUMIF(negtgel!U$2:BL$2,'Tsalin uzuulelt'!J$1,negtgel!U741:BL741) + SUMIF(negtgel!U$2:BL$2,'Tsalin uzuulelt'!J$2,negtgel!U741:BL741)+SUMIF(negtgel!U$2:BL$2,'Tsalin uzuulelt'!J$3,negtgel!U741:BL741)+SUMIF(negtgel!U$2:BL$2,'Tsalin uzuulelt'!J$4,negtgel!U741:BL741)+SUMIF(negtgel!U$2:BL$2,'Tsalin uzuulelt'!J$5,negtgel!U741:BL741)</f>
      </c>
      <c r="K741">
        <f>SUMIF(negtgel!U$2:BL$2,'Tsalin uzuulelt'!L$1,negtgel!U741:BL741) + SUMIF(negtgel!U$2:BL$2,'Tsalin uzuulelt'!L$2,negtgel!U741:BL741)+SUMIF(negtgel!U$2:BL$2,'Tsalin uzuulelt'!L$3,negtgel!U741:BL741)+SUMIF(negtgel!U$2:BL$2,'Tsalin uzuulelt'!L$4,negtgel!U741:BL741)+SUMIF(negtgel!U$2:BL$2,'Tsalin uzuulelt'!L$5,negtgel!U741:BL741)</f>
      </c>
      <c r="L741">
        <f>SUMIF(negtgel!U$2:BL$2,'Tsalin uzuulelt'!N$1,negtgel!U741:BL741) + SUMIF(negtgel!U$2:BL$2,'Tsalin uzuulelt'!N$2,negtgel!U741:BL741)+SUMIF(negtgel!U$2:BL$2,'Tsalin uzuulelt'!N$3,negtgel!U741:BL741)+SUMIF(negtgel!U$2:BL$2,'Tsalin uzuulelt'!N$4,negtgel!U741:BL741)+SUMIF(negtgel!U$2:BL$2,'Tsalin uzuulelt'!N$5,negtgel!U741:BL741)</f>
      </c>
      <c r="M741">
        <f>SUMIF(negtgel!U$2:BL$2,'Tsalin uzuulelt'!P$1,negtgel!U741:BL741) + SUMIF(negtgel!U$2:BL$2,'Tsalin uzuulelt'!P$2,negtgel!U741:BL741)+ SUMIF(negtgel!U$2:BL$2,'Tsalin uzuulelt'!P$3,negtgel!U741:BL741)+ SUMIF(negtgel!U$2:BL$2,'Tsalin uzuulelt'!P$4,negtgel!U741:BL741)+ SUMIF(negtgel!U$2:BL$2,'Tsalin uzuulelt'!P$5,negtgel!U741:BL741)</f>
      </c>
      <c r="N741">
        <f>IF(ISNUMBER(U741*1)=CF741,0,K741-H741-G741)</f>
      </c>
      <c r="O741">
        <f>IF(ISNUMBER(U741*1)=CF741,0,L741)</f>
      </c>
      <c r="P741">
        <f>IF(ISNUMBER(U741*1)=CF741,0,M741)</f>
      </c>
      <c r="Q741">
        <f>IF(N741&gt;2400000,N741,0)</f>
      </c>
      <c r="R741">
        <f>IF(L741/Q741*100&lt;3,2,10)</f>
      </c>
      <c r="S741">
        <f>IF(CH741=0,0,IF(B741&gt;9,10,IF(B741&gt;8,B741,IF(B741&gt;7.7,7.8,IF(B741&gt;3,B741,IF(B741&gt;1.5,2))))))</f>
      </c>
      <c r="T741">
        <f>IF(Q741=0,S741,R741)</f>
      </c>
      <c r="U741" t="n">
        <v>85.0</v>
      </c>
      <c r="V741" t="s">
        <v>3840</v>
      </c>
      <c r="W741" t="s">
        <v>3820</v>
      </c>
      <c r="X741" t="n">
        <v>677436.0</v>
      </c>
      <c r="Y741" t="n">
        <v>677436.0</v>
      </c>
      <c r="Z741" t="n">
        <v>135487.0</v>
      </c>
      <c r="AA741" t="n">
        <v>135487.0</v>
      </c>
      <c r="AB741" t="n">
        <v>33872.0</v>
      </c>
      <c r="AC741" t="n">
        <v>0.0</v>
      </c>
      <c r="AD741" t="n">
        <v>0.0</v>
      </c>
      <c r="AE741" t="n">
        <v>0.0</v>
      </c>
      <c r="AF741" t="n">
        <v>66000.0</v>
      </c>
      <c r="AG741" t="n">
        <v>0.0</v>
      </c>
      <c r="AH741" t="n">
        <v>0.0</v>
      </c>
      <c r="AI741" t="n">
        <v>0.0</v>
      </c>
      <c r="AJ741" t="n">
        <v>0.0</v>
      </c>
      <c r="AK741" t="n">
        <v>0.0</v>
      </c>
      <c r="AL741" t="n">
        <v>0.0</v>
      </c>
      <c r="AM741" t="n">
        <v>0.0</v>
      </c>
      <c r="AN741" t="n">
        <v>0.0</v>
      </c>
      <c r="AO741" t="n">
        <v>1048282.0</v>
      </c>
      <c r="AP741" t="n">
        <v>104829.0</v>
      </c>
      <c r="AQ741" t="n">
        <v>88005.4</v>
      </c>
      <c r="CH741">
        <f>IFERROR(U741*1,0)</f>
      </c>
    </row>
    <row r="742">
      <c r="A742" t="n">
        <v>11.0</v>
      </c>
      <c r="B742">
        <f>IF((K742-G742-H742&gt;2400000),10,(L742/(K742-G742-H742)*100))</f>
      </c>
      <c r="C742">
        <f>IF(N742&gt;2400000,240000,(N742*S742)/100)</f>
      </c>
      <c r="D742">
        <f>IF(S742=0,0,IF((N742-I742)&gt;2400000,((((((N742-I742-J742)-240000))*0.1+(I742+J742)*0.1)))-7000,((((((N742-I742-J742)-(N742-I742-J742)*S742/100)))*0.1+(I742+J742)*0.1)-7000)))</f>
      </c>
      <c r="E742">
        <f>C742-O742</f>
      </c>
      <c r="F742">
        <f>D742-P742</f>
      </c>
      <c r="G742">
        <f>SUMIF(negtgel!U$2:BL$2,'Tsalin uzuulelt'!B$1,negtgel!U742:BL742) + SUMIF(negtgel!U$2:BL$2,'Tsalin uzuulelt'!B$2,negtgel!U742:BL742)+SUMIF(negtgel!U$2:BL$2,'Tsalin uzuulelt'!B$3,negtgel!U742:BL742)+SUMIF(negtgel!U$2:BL$2,'Tsalin uzuulelt'!B$4,negtgel!U742:BL742)+SUMIF(negtgel!U$2:BL$2,'Tsalin uzuulelt'!B$5,negtgel!U742:BL742)</f>
      </c>
      <c r="H742">
        <f>SUMIF(negtgel!U$2:BL$2,'Tsalin uzuulelt'!F$1,negtgel!U742:BL742) + SUMIF(negtgel!U$2:BL$2,'Tsalin uzuulelt'!F$2,negtgel!U742:BL742)+SUMIF(negtgel!U$2:BL$2,'Tsalin uzuulelt'!F$3,negtgel!U742:BL742)+SUMIF(negtgel!U$2:BL$2,'Tsalin uzuulelt'!F$4,negtgel!U742:BL742)+SUMIF(negtgel!U$2:BL$2,'Tsalin uzuulelt'!F$5,negtgel!U742:BL742)</f>
      </c>
      <c r="I742">
        <f>SUMIF(negtgel!U$2:BL$2,'Tsalin uzuulelt'!H$1,negtgel!U742:BL742) + SUMIF(negtgel!U$2:BL$2,'Tsalin uzuulelt'!H$2,negtgel!U742:BL742)+SUMIF(negtgel!U$2:BL$2,'Tsalin uzuulelt'!H$3,negtgel!U742:BL742)+SUMIF(negtgel!U$2:BL$2,'Tsalin uzuulelt'!H$4,negtgel!U742:BL742)+SUMIF(negtgel!U$2:BL$2,'Tsalin uzuulelt'!H$5,negtgel!U742:BL742)</f>
      </c>
      <c r="J742">
        <f>SUMIF(negtgel!U$2:BL$2,'Tsalin uzuulelt'!J$1,negtgel!U742:BL742) + SUMIF(negtgel!U$2:BL$2,'Tsalin uzuulelt'!J$2,negtgel!U742:BL742)+SUMIF(negtgel!U$2:BL$2,'Tsalin uzuulelt'!J$3,negtgel!U742:BL742)+SUMIF(negtgel!U$2:BL$2,'Tsalin uzuulelt'!J$4,negtgel!U742:BL742)+SUMIF(negtgel!U$2:BL$2,'Tsalin uzuulelt'!J$5,negtgel!U742:BL742)</f>
      </c>
      <c r="K742">
        <f>SUMIF(negtgel!U$2:BL$2,'Tsalin uzuulelt'!L$1,negtgel!U742:BL742) + SUMIF(negtgel!U$2:BL$2,'Tsalin uzuulelt'!L$2,negtgel!U742:BL742)+SUMIF(negtgel!U$2:BL$2,'Tsalin uzuulelt'!L$3,negtgel!U742:BL742)+SUMIF(negtgel!U$2:BL$2,'Tsalin uzuulelt'!L$4,negtgel!U742:BL742)+SUMIF(negtgel!U$2:BL$2,'Tsalin uzuulelt'!L$5,negtgel!U742:BL742)</f>
      </c>
      <c r="L742">
        <f>SUMIF(negtgel!U$2:BL$2,'Tsalin uzuulelt'!N$1,negtgel!U742:BL742) + SUMIF(negtgel!U$2:BL$2,'Tsalin uzuulelt'!N$2,negtgel!U742:BL742)+SUMIF(negtgel!U$2:BL$2,'Tsalin uzuulelt'!N$3,negtgel!U742:BL742)+SUMIF(negtgel!U$2:BL$2,'Tsalin uzuulelt'!N$4,negtgel!U742:BL742)+SUMIF(negtgel!U$2:BL$2,'Tsalin uzuulelt'!N$5,negtgel!U742:BL742)</f>
      </c>
      <c r="M742">
        <f>SUMIF(negtgel!U$2:BL$2,'Tsalin uzuulelt'!P$1,negtgel!U742:BL742) + SUMIF(negtgel!U$2:BL$2,'Tsalin uzuulelt'!P$2,negtgel!U742:BL742)+ SUMIF(negtgel!U$2:BL$2,'Tsalin uzuulelt'!P$3,negtgel!U742:BL742)+ SUMIF(negtgel!U$2:BL$2,'Tsalin uzuulelt'!P$4,negtgel!U742:BL742)+ SUMIF(negtgel!U$2:BL$2,'Tsalin uzuulelt'!P$5,negtgel!U742:BL742)</f>
      </c>
      <c r="N742">
        <f>IF(ISNUMBER(U742*1)=CF742,0,K742-H742-G742)</f>
      </c>
      <c r="O742">
        <f>IF(ISNUMBER(U742*1)=CF742,0,L742)</f>
      </c>
      <c r="P742">
        <f>IF(ISNUMBER(U742*1)=CF742,0,M742)</f>
      </c>
      <c r="Q742">
        <f>IF(N742&gt;2400000,N742,0)</f>
      </c>
      <c r="R742">
        <f>IF(L742/Q742*100&lt;3,2,10)</f>
      </c>
      <c r="S742">
        <f>IF(CH742=0,0,IF(B742&gt;9,10,IF(B742&gt;8,B742,IF(B742&gt;7.7,7.8,IF(B742&gt;3,B742,IF(B742&gt;1.5,2))))))</f>
      </c>
      <c r="T742">
        <f>IF(Q742=0,S742,R742)</f>
      </c>
      <c r="U742" t="n">
        <v>86.0</v>
      </c>
      <c r="V742" t="s">
        <v>3841</v>
      </c>
      <c r="W742" t="s">
        <v>3790</v>
      </c>
      <c r="X742" t="n">
        <v>613669.0</v>
      </c>
      <c r="Y742" t="n">
        <v>613669.0</v>
      </c>
      <c r="Z742" t="n">
        <v>30683.0</v>
      </c>
      <c r="AA742" t="n">
        <v>110460.0</v>
      </c>
      <c r="AB742" t="n">
        <v>0.0</v>
      </c>
      <c r="AC742" t="n">
        <v>0.0</v>
      </c>
      <c r="AD742" t="n">
        <v>0.0</v>
      </c>
      <c r="AE742" t="n">
        <v>0.0</v>
      </c>
      <c r="AF742" t="n">
        <v>66000.0</v>
      </c>
      <c r="AG742" t="n">
        <v>0.0</v>
      </c>
      <c r="AH742" t="n">
        <v>0.0</v>
      </c>
      <c r="AI742" t="n">
        <v>0.0</v>
      </c>
      <c r="AJ742" t="n">
        <v>0.0</v>
      </c>
      <c r="AK742" t="n">
        <v>0.0</v>
      </c>
      <c r="AL742" t="n">
        <v>0.0</v>
      </c>
      <c r="AM742" t="n">
        <v>0.0</v>
      </c>
      <c r="AN742" t="n">
        <v>0.0</v>
      </c>
      <c r="AO742" t="n">
        <v>820812.0</v>
      </c>
      <c r="AP742" t="n">
        <v>82081.0</v>
      </c>
      <c r="AQ742" t="n">
        <v>67533.1</v>
      </c>
      <c r="CH742">
        <f>IFERROR(U742*1,0)</f>
      </c>
    </row>
    <row r="743">
      <c r="A743" t="n">
        <v>11.0</v>
      </c>
      <c r="B743">
        <f>IF((K743-G743-H743&gt;2400000),10,(L743/(K743-G743-H743)*100))</f>
      </c>
      <c r="C743">
        <f>IF(N743&gt;2400000,240000,(N743*S743)/100)</f>
      </c>
      <c r="D743">
        <f>IF(S743=0,0,IF((N743-I743)&gt;2400000,((((((N743-I743-J743)-240000))*0.1+(I743+J743)*0.1)))-7000,((((((N743-I743-J743)-(N743-I743-J743)*S743/100)))*0.1+(I743+J743)*0.1)-7000)))</f>
      </c>
      <c r="E743">
        <f>C743-O743</f>
      </c>
      <c r="F743">
        <f>D743-P743</f>
      </c>
      <c r="G743">
        <f>SUMIF(negtgel!U$2:BL$2,'Tsalin uzuulelt'!B$1,negtgel!U743:BL743) + SUMIF(negtgel!U$2:BL$2,'Tsalin uzuulelt'!B$2,negtgel!U743:BL743)+SUMIF(negtgel!U$2:BL$2,'Tsalin uzuulelt'!B$3,negtgel!U743:BL743)+SUMIF(negtgel!U$2:BL$2,'Tsalin uzuulelt'!B$4,negtgel!U743:BL743)+SUMIF(negtgel!U$2:BL$2,'Tsalin uzuulelt'!B$5,negtgel!U743:BL743)</f>
      </c>
      <c r="H743">
        <f>SUMIF(negtgel!U$2:BL$2,'Tsalin uzuulelt'!F$1,negtgel!U743:BL743) + SUMIF(negtgel!U$2:BL$2,'Tsalin uzuulelt'!F$2,negtgel!U743:BL743)+SUMIF(negtgel!U$2:BL$2,'Tsalin uzuulelt'!F$3,negtgel!U743:BL743)+SUMIF(negtgel!U$2:BL$2,'Tsalin uzuulelt'!F$4,negtgel!U743:BL743)+SUMIF(negtgel!U$2:BL$2,'Tsalin uzuulelt'!F$5,negtgel!U743:BL743)</f>
      </c>
      <c r="I743">
        <f>SUMIF(negtgel!U$2:BL$2,'Tsalin uzuulelt'!H$1,negtgel!U743:BL743) + SUMIF(negtgel!U$2:BL$2,'Tsalin uzuulelt'!H$2,negtgel!U743:BL743)+SUMIF(negtgel!U$2:BL$2,'Tsalin uzuulelt'!H$3,negtgel!U743:BL743)+SUMIF(negtgel!U$2:BL$2,'Tsalin uzuulelt'!H$4,negtgel!U743:BL743)+SUMIF(negtgel!U$2:BL$2,'Tsalin uzuulelt'!H$5,negtgel!U743:BL743)</f>
      </c>
      <c r="J743">
        <f>SUMIF(negtgel!U$2:BL$2,'Tsalin uzuulelt'!J$1,negtgel!U743:BL743) + SUMIF(negtgel!U$2:BL$2,'Tsalin uzuulelt'!J$2,negtgel!U743:BL743)+SUMIF(negtgel!U$2:BL$2,'Tsalin uzuulelt'!J$3,negtgel!U743:BL743)+SUMIF(negtgel!U$2:BL$2,'Tsalin uzuulelt'!J$4,negtgel!U743:BL743)+SUMIF(negtgel!U$2:BL$2,'Tsalin uzuulelt'!J$5,negtgel!U743:BL743)</f>
      </c>
      <c r="K743">
        <f>SUMIF(negtgel!U$2:BL$2,'Tsalin uzuulelt'!L$1,negtgel!U743:BL743) + SUMIF(negtgel!U$2:BL$2,'Tsalin uzuulelt'!L$2,negtgel!U743:BL743)+SUMIF(negtgel!U$2:BL$2,'Tsalin uzuulelt'!L$3,negtgel!U743:BL743)+SUMIF(negtgel!U$2:BL$2,'Tsalin uzuulelt'!L$4,negtgel!U743:BL743)+SUMIF(negtgel!U$2:BL$2,'Tsalin uzuulelt'!L$5,negtgel!U743:BL743)</f>
      </c>
      <c r="L743">
        <f>SUMIF(negtgel!U$2:BL$2,'Tsalin uzuulelt'!N$1,negtgel!U743:BL743) + SUMIF(negtgel!U$2:BL$2,'Tsalin uzuulelt'!N$2,negtgel!U743:BL743)+SUMIF(negtgel!U$2:BL$2,'Tsalin uzuulelt'!N$3,negtgel!U743:BL743)+SUMIF(negtgel!U$2:BL$2,'Tsalin uzuulelt'!N$4,negtgel!U743:BL743)+SUMIF(negtgel!U$2:BL$2,'Tsalin uzuulelt'!N$5,negtgel!U743:BL743)</f>
      </c>
      <c r="M743">
        <f>SUMIF(negtgel!U$2:BL$2,'Tsalin uzuulelt'!P$1,negtgel!U743:BL743) + SUMIF(negtgel!U$2:BL$2,'Tsalin uzuulelt'!P$2,negtgel!U743:BL743)+ SUMIF(negtgel!U$2:BL$2,'Tsalin uzuulelt'!P$3,negtgel!U743:BL743)+ SUMIF(negtgel!U$2:BL$2,'Tsalin uzuulelt'!P$4,negtgel!U743:BL743)+ SUMIF(negtgel!U$2:BL$2,'Tsalin uzuulelt'!P$5,negtgel!U743:BL743)</f>
      </c>
      <c r="N743">
        <f>IF(ISNUMBER(U743*1)=CF743,0,K743-H743-G743)</f>
      </c>
      <c r="O743">
        <f>IF(ISNUMBER(U743*1)=CF743,0,L743)</f>
      </c>
      <c r="P743">
        <f>IF(ISNUMBER(U743*1)=CF743,0,M743)</f>
      </c>
      <c r="Q743">
        <f>IF(N743&gt;2400000,N743,0)</f>
      </c>
      <c r="R743">
        <f>IF(L743/Q743*100&lt;3,2,10)</f>
      </c>
      <c r="S743">
        <f>IF(CH743=0,0,IF(B743&gt;9,10,IF(B743&gt;8,B743,IF(B743&gt;7.7,7.8,IF(B743&gt;3,B743,IF(B743&gt;1.5,2))))))</f>
      </c>
      <c r="T743">
        <f>IF(Q743=0,S743,R743)</f>
      </c>
      <c r="U743" t="n">
        <v>87.0</v>
      </c>
      <c r="V743" t="s">
        <v>3842</v>
      </c>
      <c r="W743" t="s">
        <v>3790</v>
      </c>
      <c r="X743" t="n">
        <v>645556.0</v>
      </c>
      <c r="Y743" t="n">
        <v>645556.0</v>
      </c>
      <c r="Z743" t="n">
        <v>109745.0</v>
      </c>
      <c r="AA743" t="n">
        <v>116200.0</v>
      </c>
      <c r="AB743" t="n">
        <v>0.0</v>
      </c>
      <c r="AC743" t="n">
        <v>0.0</v>
      </c>
      <c r="AD743" t="n">
        <v>0.0</v>
      </c>
      <c r="AE743" t="n">
        <v>0.0</v>
      </c>
      <c r="AF743" t="n">
        <v>66000.0</v>
      </c>
      <c r="AG743" t="n">
        <v>0.0</v>
      </c>
      <c r="AH743" t="n">
        <v>0.0</v>
      </c>
      <c r="AI743" t="n">
        <v>0.0</v>
      </c>
      <c r="AJ743" t="n">
        <v>0.0</v>
      </c>
      <c r="AK743" t="n">
        <v>0.0</v>
      </c>
      <c r="AL743" t="n">
        <v>0.0</v>
      </c>
      <c r="AM743" t="n">
        <v>0.0</v>
      </c>
      <c r="AN743" t="n">
        <v>0.0</v>
      </c>
      <c r="AO743" t="n">
        <v>937501.0</v>
      </c>
      <c r="AP743" t="n">
        <v>93750.0</v>
      </c>
      <c r="AQ743" t="n">
        <v>78035.1</v>
      </c>
      <c r="CH743">
        <f>IFERROR(U743*1,0)</f>
      </c>
    </row>
    <row r="744">
      <c r="A744" t="n">
        <v>11.0</v>
      </c>
      <c r="B744">
        <f>IF((K744-G744-H744&gt;2400000),10,(L744/(K744-G744-H744)*100))</f>
      </c>
      <c r="C744">
        <f>IF(N744&gt;2400000,240000,(N744*S744)/100)</f>
      </c>
      <c r="D744">
        <f>IF(S744=0,0,IF((N744-I744)&gt;2400000,((((((N744-I744-J744)-240000))*0.1+(I744+J744)*0.1)))-7000,((((((N744-I744-J744)-(N744-I744-J744)*S744/100)))*0.1+(I744+J744)*0.1)-7000)))</f>
      </c>
      <c r="E744">
        <f>C744-O744</f>
      </c>
      <c r="F744">
        <f>D744-P744</f>
      </c>
      <c r="G744">
        <f>SUMIF(negtgel!U$2:BL$2,'Tsalin uzuulelt'!B$1,negtgel!U744:BL744) + SUMIF(negtgel!U$2:BL$2,'Tsalin uzuulelt'!B$2,negtgel!U744:BL744)+SUMIF(negtgel!U$2:BL$2,'Tsalin uzuulelt'!B$3,negtgel!U744:BL744)+SUMIF(negtgel!U$2:BL$2,'Tsalin uzuulelt'!B$4,negtgel!U744:BL744)+SUMIF(negtgel!U$2:BL$2,'Tsalin uzuulelt'!B$5,negtgel!U744:BL744)</f>
      </c>
      <c r="H744">
        <f>SUMIF(negtgel!U$2:BL$2,'Tsalin uzuulelt'!F$1,negtgel!U744:BL744) + SUMIF(negtgel!U$2:BL$2,'Tsalin uzuulelt'!F$2,negtgel!U744:BL744)+SUMIF(negtgel!U$2:BL$2,'Tsalin uzuulelt'!F$3,negtgel!U744:BL744)+SUMIF(negtgel!U$2:BL$2,'Tsalin uzuulelt'!F$4,negtgel!U744:BL744)+SUMIF(negtgel!U$2:BL$2,'Tsalin uzuulelt'!F$5,negtgel!U744:BL744)</f>
      </c>
      <c r="I744">
        <f>SUMIF(negtgel!U$2:BL$2,'Tsalin uzuulelt'!H$1,negtgel!U744:BL744) + SUMIF(negtgel!U$2:BL$2,'Tsalin uzuulelt'!H$2,negtgel!U744:BL744)+SUMIF(negtgel!U$2:BL$2,'Tsalin uzuulelt'!H$3,negtgel!U744:BL744)+SUMIF(negtgel!U$2:BL$2,'Tsalin uzuulelt'!H$4,negtgel!U744:BL744)+SUMIF(negtgel!U$2:BL$2,'Tsalin uzuulelt'!H$5,negtgel!U744:BL744)</f>
      </c>
      <c r="J744">
        <f>SUMIF(negtgel!U$2:BL$2,'Tsalin uzuulelt'!J$1,negtgel!U744:BL744) + SUMIF(negtgel!U$2:BL$2,'Tsalin uzuulelt'!J$2,negtgel!U744:BL744)+SUMIF(negtgel!U$2:BL$2,'Tsalin uzuulelt'!J$3,negtgel!U744:BL744)+SUMIF(negtgel!U$2:BL$2,'Tsalin uzuulelt'!J$4,negtgel!U744:BL744)+SUMIF(negtgel!U$2:BL$2,'Tsalin uzuulelt'!J$5,negtgel!U744:BL744)</f>
      </c>
      <c r="K744">
        <f>SUMIF(negtgel!U$2:BL$2,'Tsalin uzuulelt'!L$1,negtgel!U744:BL744) + SUMIF(negtgel!U$2:BL$2,'Tsalin uzuulelt'!L$2,negtgel!U744:BL744)+SUMIF(negtgel!U$2:BL$2,'Tsalin uzuulelt'!L$3,negtgel!U744:BL744)+SUMIF(negtgel!U$2:BL$2,'Tsalin uzuulelt'!L$4,negtgel!U744:BL744)+SUMIF(negtgel!U$2:BL$2,'Tsalin uzuulelt'!L$5,negtgel!U744:BL744)</f>
      </c>
      <c r="L744">
        <f>SUMIF(negtgel!U$2:BL$2,'Tsalin uzuulelt'!N$1,negtgel!U744:BL744) + SUMIF(negtgel!U$2:BL$2,'Tsalin uzuulelt'!N$2,negtgel!U744:BL744)+SUMIF(negtgel!U$2:BL$2,'Tsalin uzuulelt'!N$3,negtgel!U744:BL744)+SUMIF(negtgel!U$2:BL$2,'Tsalin uzuulelt'!N$4,negtgel!U744:BL744)+SUMIF(negtgel!U$2:BL$2,'Tsalin uzuulelt'!N$5,negtgel!U744:BL744)</f>
      </c>
      <c r="M744">
        <f>SUMIF(negtgel!U$2:BL$2,'Tsalin uzuulelt'!P$1,negtgel!U744:BL744) + SUMIF(negtgel!U$2:BL$2,'Tsalin uzuulelt'!P$2,negtgel!U744:BL744)+ SUMIF(negtgel!U$2:BL$2,'Tsalin uzuulelt'!P$3,negtgel!U744:BL744)+ SUMIF(negtgel!U$2:BL$2,'Tsalin uzuulelt'!P$4,negtgel!U744:BL744)+ SUMIF(negtgel!U$2:BL$2,'Tsalin uzuulelt'!P$5,negtgel!U744:BL744)</f>
      </c>
      <c r="N744">
        <f>IF(ISNUMBER(U744*1)=CF744,0,K744-H744-G744)</f>
      </c>
      <c r="O744">
        <f>IF(ISNUMBER(U744*1)=CF744,0,L744)</f>
      </c>
      <c r="P744">
        <f>IF(ISNUMBER(U744*1)=CF744,0,M744)</f>
      </c>
      <c r="Q744">
        <f>IF(N744&gt;2400000,N744,0)</f>
      </c>
      <c r="R744">
        <f>IF(L744/Q744*100&lt;3,2,10)</f>
      </c>
      <c r="S744">
        <f>IF(CH744=0,0,IF(B744&gt;9,10,IF(B744&gt;8,B744,IF(B744&gt;7.7,7.8,IF(B744&gt;3,B744,IF(B744&gt;1.5,2))))))</f>
      </c>
      <c r="T744">
        <f>IF(Q744=0,S744,R744)</f>
      </c>
      <c r="U744" t="n">
        <v>88.0</v>
      </c>
      <c r="V744" t="s">
        <v>3843</v>
      </c>
      <c r="W744" t="s">
        <v>3820</v>
      </c>
      <c r="X744" t="n">
        <v>698795.0</v>
      </c>
      <c r="Y744" t="n">
        <v>698795.0</v>
      </c>
      <c r="Z744" t="n">
        <v>139759.0</v>
      </c>
      <c r="AA744" t="n">
        <v>139759.0</v>
      </c>
      <c r="AB744" t="n">
        <v>0.0</v>
      </c>
      <c r="AC744" t="n">
        <v>0.0</v>
      </c>
      <c r="AD744" t="n">
        <v>0.0</v>
      </c>
      <c r="AE744" t="n">
        <v>0.0</v>
      </c>
      <c r="AF744" t="n">
        <v>66000.0</v>
      </c>
      <c r="AG744" t="n">
        <v>0.0</v>
      </c>
      <c r="AH744" t="n">
        <v>0.0</v>
      </c>
      <c r="AI744" t="n">
        <v>0.0</v>
      </c>
      <c r="AJ744" t="n">
        <v>0.0</v>
      </c>
      <c r="AK744" t="n">
        <v>0.0</v>
      </c>
      <c r="AL744" t="n">
        <v>0.0</v>
      </c>
      <c r="AM744" t="n">
        <v>0.0</v>
      </c>
      <c r="AN744" t="n">
        <v>0.0</v>
      </c>
      <c r="AO744" t="n">
        <v>1044313.0</v>
      </c>
      <c r="AP744" t="n">
        <v>104432.0</v>
      </c>
      <c r="AQ744" t="n">
        <v>87648.2</v>
      </c>
      <c r="CH744">
        <f>IFERROR(U744*1,0)</f>
      </c>
    </row>
    <row r="745">
      <c r="A745" t="n">
        <v>11.0</v>
      </c>
      <c r="B745">
        <f>IF((K745-G745-H745&gt;2400000),10,(L745/(K745-G745-H745)*100))</f>
      </c>
      <c r="C745">
        <f>IF(N745&gt;2400000,240000,(N745*S745)/100)</f>
      </c>
      <c r="D745">
        <f>IF(S745=0,0,IF((N745-I745)&gt;2400000,((((((N745-I745-J745)-240000))*0.1+(I745+J745)*0.1)))-7000,((((((N745-I745-J745)-(N745-I745-J745)*S745/100)))*0.1+(I745+J745)*0.1)-7000)))</f>
      </c>
      <c r="E745">
        <f>C745-O745</f>
      </c>
      <c r="F745">
        <f>D745-P745</f>
      </c>
      <c r="G745">
        <f>SUMIF(negtgel!U$2:BL$2,'Tsalin uzuulelt'!B$1,negtgel!U745:BL745) + SUMIF(negtgel!U$2:BL$2,'Tsalin uzuulelt'!B$2,negtgel!U745:BL745)+SUMIF(negtgel!U$2:BL$2,'Tsalin uzuulelt'!B$3,negtgel!U745:BL745)+SUMIF(negtgel!U$2:BL$2,'Tsalin uzuulelt'!B$4,negtgel!U745:BL745)+SUMIF(negtgel!U$2:BL$2,'Tsalin uzuulelt'!B$5,negtgel!U745:BL745)</f>
      </c>
      <c r="H745">
        <f>SUMIF(negtgel!U$2:BL$2,'Tsalin uzuulelt'!F$1,negtgel!U745:BL745) + SUMIF(negtgel!U$2:BL$2,'Tsalin uzuulelt'!F$2,negtgel!U745:BL745)+SUMIF(negtgel!U$2:BL$2,'Tsalin uzuulelt'!F$3,negtgel!U745:BL745)+SUMIF(negtgel!U$2:BL$2,'Tsalin uzuulelt'!F$4,negtgel!U745:BL745)+SUMIF(negtgel!U$2:BL$2,'Tsalin uzuulelt'!F$5,negtgel!U745:BL745)</f>
      </c>
      <c r="I745">
        <f>SUMIF(negtgel!U$2:BL$2,'Tsalin uzuulelt'!H$1,negtgel!U745:BL745) + SUMIF(negtgel!U$2:BL$2,'Tsalin uzuulelt'!H$2,negtgel!U745:BL745)+SUMIF(negtgel!U$2:BL$2,'Tsalin uzuulelt'!H$3,negtgel!U745:BL745)+SUMIF(negtgel!U$2:BL$2,'Tsalin uzuulelt'!H$4,negtgel!U745:BL745)+SUMIF(negtgel!U$2:BL$2,'Tsalin uzuulelt'!H$5,negtgel!U745:BL745)</f>
      </c>
      <c r="J745">
        <f>SUMIF(negtgel!U$2:BL$2,'Tsalin uzuulelt'!J$1,negtgel!U745:BL745) + SUMIF(negtgel!U$2:BL$2,'Tsalin uzuulelt'!J$2,negtgel!U745:BL745)+SUMIF(negtgel!U$2:BL$2,'Tsalin uzuulelt'!J$3,negtgel!U745:BL745)+SUMIF(negtgel!U$2:BL$2,'Tsalin uzuulelt'!J$4,negtgel!U745:BL745)+SUMIF(negtgel!U$2:BL$2,'Tsalin uzuulelt'!J$5,negtgel!U745:BL745)</f>
      </c>
      <c r="K745">
        <f>SUMIF(negtgel!U$2:BL$2,'Tsalin uzuulelt'!L$1,negtgel!U745:BL745) + SUMIF(negtgel!U$2:BL$2,'Tsalin uzuulelt'!L$2,negtgel!U745:BL745)+SUMIF(negtgel!U$2:BL$2,'Tsalin uzuulelt'!L$3,negtgel!U745:BL745)+SUMIF(negtgel!U$2:BL$2,'Tsalin uzuulelt'!L$4,negtgel!U745:BL745)+SUMIF(negtgel!U$2:BL$2,'Tsalin uzuulelt'!L$5,negtgel!U745:BL745)</f>
      </c>
      <c r="L745">
        <f>SUMIF(negtgel!U$2:BL$2,'Tsalin uzuulelt'!N$1,negtgel!U745:BL745) + SUMIF(negtgel!U$2:BL$2,'Tsalin uzuulelt'!N$2,negtgel!U745:BL745)+SUMIF(negtgel!U$2:BL$2,'Tsalin uzuulelt'!N$3,negtgel!U745:BL745)+SUMIF(negtgel!U$2:BL$2,'Tsalin uzuulelt'!N$4,negtgel!U745:BL745)+SUMIF(negtgel!U$2:BL$2,'Tsalin uzuulelt'!N$5,negtgel!U745:BL745)</f>
      </c>
      <c r="M745">
        <f>SUMIF(negtgel!U$2:BL$2,'Tsalin uzuulelt'!P$1,negtgel!U745:BL745) + SUMIF(negtgel!U$2:BL$2,'Tsalin uzuulelt'!P$2,negtgel!U745:BL745)+ SUMIF(negtgel!U$2:BL$2,'Tsalin uzuulelt'!P$3,negtgel!U745:BL745)+ SUMIF(negtgel!U$2:BL$2,'Tsalin uzuulelt'!P$4,negtgel!U745:BL745)+ SUMIF(negtgel!U$2:BL$2,'Tsalin uzuulelt'!P$5,negtgel!U745:BL745)</f>
      </c>
      <c r="N745">
        <f>IF(ISNUMBER(U745*1)=CF745,0,K745-H745-G745)</f>
      </c>
      <c r="O745">
        <f>IF(ISNUMBER(U745*1)=CF745,0,L745)</f>
      </c>
      <c r="P745">
        <f>IF(ISNUMBER(U745*1)=CF745,0,M745)</f>
      </c>
      <c r="Q745">
        <f>IF(N745&gt;2400000,N745,0)</f>
      </c>
      <c r="R745">
        <f>IF(L745/Q745*100&lt;3,2,10)</f>
      </c>
      <c r="S745">
        <f>IF(CH745=0,0,IF(B745&gt;9,10,IF(B745&gt;8,B745,IF(B745&gt;7.7,7.8,IF(B745&gt;3,B745,IF(B745&gt;1.5,2))))))</f>
      </c>
      <c r="T745">
        <f>IF(Q745=0,S745,R745)</f>
      </c>
      <c r="U745" t="n">
        <v>89.0</v>
      </c>
      <c r="V745" t="s">
        <v>3853</v>
      </c>
      <c r="W745" t="s">
        <v>3790</v>
      </c>
      <c r="X745" t="n">
        <v>613669.0</v>
      </c>
      <c r="Y745" t="n">
        <v>613669.0</v>
      </c>
      <c r="Z745" t="n">
        <v>30683.0</v>
      </c>
      <c r="AA745" t="n">
        <v>92050.0</v>
      </c>
      <c r="AB745" t="n">
        <v>0.0</v>
      </c>
      <c r="AC745" t="n">
        <v>0.0</v>
      </c>
      <c r="AD745" t="n">
        <v>0.0</v>
      </c>
      <c r="AE745" t="n">
        <v>0.0</v>
      </c>
      <c r="AF745" t="n">
        <v>66000.0</v>
      </c>
      <c r="AG745" t="n">
        <v>0.0</v>
      </c>
      <c r="AH745" t="n">
        <v>0.0</v>
      </c>
      <c r="AI745" t="n">
        <v>0.0</v>
      </c>
      <c r="AJ745" t="n">
        <v>0.0</v>
      </c>
      <c r="AK745" t="n">
        <v>0.0</v>
      </c>
      <c r="AL745" t="n">
        <v>0.0</v>
      </c>
      <c r="AM745" t="n">
        <v>0.0</v>
      </c>
      <c r="AN745" t="n">
        <v>0.0</v>
      </c>
      <c r="AO745" t="n">
        <v>802402.0</v>
      </c>
      <c r="AP745" t="n">
        <v>80240.0</v>
      </c>
      <c r="AQ745" t="n">
        <v>65876.2</v>
      </c>
      <c r="CH745">
        <f>IFERROR(U745*1,0)</f>
      </c>
    </row>
    <row r="746">
      <c r="A746" t="n">
        <v>11.0</v>
      </c>
      <c r="B746">
        <f>IF((K746-G746-H746&gt;2400000),10,(L746/(K746-G746-H746)*100))</f>
      </c>
      <c r="C746">
        <f>IF(N746&gt;2400000,240000,(N746*S746)/100)</f>
      </c>
      <c r="D746">
        <f>IF(S746=0,0,IF((N746-I746)&gt;2400000,((((((N746-I746-J746)-240000))*0.1+(I746+J746)*0.1)))-7000,((((((N746-I746-J746)-(N746-I746-J746)*S746/100)))*0.1+(I746+J746)*0.1)-7000)))</f>
      </c>
      <c r="E746">
        <f>C746-O746</f>
      </c>
      <c r="F746">
        <f>D746-P746</f>
      </c>
      <c r="G746">
        <f>SUMIF(negtgel!U$2:BL$2,'Tsalin uzuulelt'!B$1,negtgel!U746:BL746) + SUMIF(negtgel!U$2:BL$2,'Tsalin uzuulelt'!B$2,negtgel!U746:BL746)+SUMIF(negtgel!U$2:BL$2,'Tsalin uzuulelt'!B$3,negtgel!U746:BL746)+SUMIF(negtgel!U$2:BL$2,'Tsalin uzuulelt'!B$4,negtgel!U746:BL746)+SUMIF(negtgel!U$2:BL$2,'Tsalin uzuulelt'!B$5,negtgel!U746:BL746)</f>
      </c>
      <c r="H746">
        <f>SUMIF(negtgel!U$2:BL$2,'Tsalin uzuulelt'!F$1,negtgel!U746:BL746) + SUMIF(negtgel!U$2:BL$2,'Tsalin uzuulelt'!F$2,negtgel!U746:BL746)+SUMIF(negtgel!U$2:BL$2,'Tsalin uzuulelt'!F$3,negtgel!U746:BL746)+SUMIF(negtgel!U$2:BL$2,'Tsalin uzuulelt'!F$4,negtgel!U746:BL746)+SUMIF(negtgel!U$2:BL$2,'Tsalin uzuulelt'!F$5,negtgel!U746:BL746)</f>
      </c>
      <c r="I746">
        <f>SUMIF(negtgel!U$2:BL$2,'Tsalin uzuulelt'!H$1,negtgel!U746:BL746) + SUMIF(negtgel!U$2:BL$2,'Tsalin uzuulelt'!H$2,negtgel!U746:BL746)+SUMIF(negtgel!U$2:BL$2,'Tsalin uzuulelt'!H$3,negtgel!U746:BL746)+SUMIF(negtgel!U$2:BL$2,'Tsalin uzuulelt'!H$4,negtgel!U746:BL746)+SUMIF(negtgel!U$2:BL$2,'Tsalin uzuulelt'!H$5,negtgel!U746:BL746)</f>
      </c>
      <c r="J746">
        <f>SUMIF(negtgel!U$2:BL$2,'Tsalin uzuulelt'!J$1,negtgel!U746:BL746) + SUMIF(negtgel!U$2:BL$2,'Tsalin uzuulelt'!J$2,negtgel!U746:BL746)+SUMIF(negtgel!U$2:BL$2,'Tsalin uzuulelt'!J$3,negtgel!U746:BL746)+SUMIF(negtgel!U$2:BL$2,'Tsalin uzuulelt'!J$4,negtgel!U746:BL746)+SUMIF(negtgel!U$2:BL$2,'Tsalin uzuulelt'!J$5,negtgel!U746:BL746)</f>
      </c>
      <c r="K746">
        <f>SUMIF(negtgel!U$2:BL$2,'Tsalin uzuulelt'!L$1,negtgel!U746:BL746) + SUMIF(negtgel!U$2:BL$2,'Tsalin uzuulelt'!L$2,negtgel!U746:BL746)+SUMIF(negtgel!U$2:BL$2,'Tsalin uzuulelt'!L$3,negtgel!U746:BL746)+SUMIF(negtgel!U$2:BL$2,'Tsalin uzuulelt'!L$4,negtgel!U746:BL746)+SUMIF(negtgel!U$2:BL$2,'Tsalin uzuulelt'!L$5,negtgel!U746:BL746)</f>
      </c>
      <c r="L746">
        <f>SUMIF(negtgel!U$2:BL$2,'Tsalin uzuulelt'!N$1,negtgel!U746:BL746) + SUMIF(negtgel!U$2:BL$2,'Tsalin uzuulelt'!N$2,negtgel!U746:BL746)+SUMIF(negtgel!U$2:BL$2,'Tsalin uzuulelt'!N$3,negtgel!U746:BL746)+SUMIF(negtgel!U$2:BL$2,'Tsalin uzuulelt'!N$4,negtgel!U746:BL746)+SUMIF(negtgel!U$2:BL$2,'Tsalin uzuulelt'!N$5,negtgel!U746:BL746)</f>
      </c>
      <c r="M746">
        <f>SUMIF(negtgel!U$2:BL$2,'Tsalin uzuulelt'!P$1,negtgel!U746:BL746) + SUMIF(negtgel!U$2:BL$2,'Tsalin uzuulelt'!P$2,negtgel!U746:BL746)+ SUMIF(negtgel!U$2:BL$2,'Tsalin uzuulelt'!P$3,negtgel!U746:BL746)+ SUMIF(negtgel!U$2:BL$2,'Tsalin uzuulelt'!P$4,negtgel!U746:BL746)+ SUMIF(negtgel!U$2:BL$2,'Tsalin uzuulelt'!P$5,negtgel!U746:BL746)</f>
      </c>
      <c r="N746">
        <f>IF(ISNUMBER(U746*1)=CF746,0,K746-H746-G746)</f>
      </c>
      <c r="O746">
        <f>IF(ISNUMBER(U746*1)=CF746,0,L746)</f>
      </c>
      <c r="P746">
        <f>IF(ISNUMBER(U746*1)=CF746,0,M746)</f>
      </c>
      <c r="Q746">
        <f>IF(N746&gt;2400000,N746,0)</f>
      </c>
      <c r="R746">
        <f>IF(L746/Q746*100&lt;3,2,10)</f>
      </c>
      <c r="S746">
        <f>IF(CH746=0,0,IF(B746&gt;9,10,IF(B746&gt;8,B746,IF(B746&gt;7.7,7.8,IF(B746&gt;3,B746,IF(B746&gt;1.5,2))))))</f>
      </c>
      <c r="T746">
        <f>IF(Q746=0,S746,R746)</f>
      </c>
      <c r="U746" t="n">
        <v>90.0</v>
      </c>
      <c r="V746" t="s">
        <v>3854</v>
      </c>
      <c r="W746" t="s">
        <v>3785</v>
      </c>
      <c r="X746" t="n">
        <v>795935.0</v>
      </c>
      <c r="Y746" t="n">
        <v>795935.0</v>
      </c>
      <c r="Z746" t="n">
        <v>159187.0</v>
      </c>
      <c r="AA746" t="n">
        <v>175106.0</v>
      </c>
      <c r="AB746" t="n">
        <v>0.0</v>
      </c>
      <c r="AC746" t="n">
        <v>0.0</v>
      </c>
      <c r="AD746" t="n">
        <v>0.0</v>
      </c>
      <c r="AE746" t="n">
        <v>0.0</v>
      </c>
      <c r="AF746" t="n">
        <v>66000.0</v>
      </c>
      <c r="AG746" t="n">
        <v>0.0</v>
      </c>
      <c r="AH746" t="n">
        <v>0.0</v>
      </c>
      <c r="AI746" t="n">
        <v>0.0</v>
      </c>
      <c r="AJ746" t="n">
        <v>0.0</v>
      </c>
      <c r="AK746" t="n">
        <v>0.0</v>
      </c>
      <c r="AL746" t="n">
        <v>0.0</v>
      </c>
      <c r="AM746" t="n">
        <v>0.0</v>
      </c>
      <c r="AN746" t="n">
        <v>0.0</v>
      </c>
      <c r="AO746" t="n">
        <v>1196228.0</v>
      </c>
      <c r="AP746" t="n">
        <v>119623.0</v>
      </c>
      <c r="AQ746" t="n">
        <v>101320.5</v>
      </c>
      <c r="CH746">
        <f>IFERROR(U746*1,0)</f>
      </c>
    </row>
    <row r="747">
      <c r="A747" t="n">
        <v>11.0</v>
      </c>
      <c r="B747">
        <f>IF((K747-G747-H747&gt;2400000),10,(L747/(K747-G747-H747)*100))</f>
      </c>
      <c r="C747">
        <f>IF(N747&gt;2400000,240000,(N747*S747)/100)</f>
      </c>
      <c r="D747">
        <f>IF(S747=0,0,IF((N747-I747)&gt;2400000,((((((N747-I747-J747)-240000))*0.1+(I747+J747)*0.1)))-7000,((((((N747-I747-J747)-(N747-I747-J747)*S747/100)))*0.1+(I747+J747)*0.1)-7000)))</f>
      </c>
      <c r="E747">
        <f>C747-O747</f>
      </c>
      <c r="F747">
        <f>D747-P747</f>
      </c>
      <c r="G747">
        <f>SUMIF(negtgel!U$2:BL$2,'Tsalin uzuulelt'!B$1,negtgel!U747:BL747) + SUMIF(negtgel!U$2:BL$2,'Tsalin uzuulelt'!B$2,negtgel!U747:BL747)+SUMIF(negtgel!U$2:BL$2,'Tsalin uzuulelt'!B$3,negtgel!U747:BL747)+SUMIF(negtgel!U$2:BL$2,'Tsalin uzuulelt'!B$4,negtgel!U747:BL747)+SUMIF(negtgel!U$2:BL$2,'Tsalin uzuulelt'!B$5,negtgel!U747:BL747)</f>
      </c>
      <c r="H747">
        <f>SUMIF(negtgel!U$2:BL$2,'Tsalin uzuulelt'!F$1,negtgel!U747:BL747) + SUMIF(negtgel!U$2:BL$2,'Tsalin uzuulelt'!F$2,negtgel!U747:BL747)+SUMIF(negtgel!U$2:BL$2,'Tsalin uzuulelt'!F$3,negtgel!U747:BL747)+SUMIF(negtgel!U$2:BL$2,'Tsalin uzuulelt'!F$4,negtgel!U747:BL747)+SUMIF(negtgel!U$2:BL$2,'Tsalin uzuulelt'!F$5,negtgel!U747:BL747)</f>
      </c>
      <c r="I747">
        <f>SUMIF(negtgel!U$2:BL$2,'Tsalin uzuulelt'!H$1,negtgel!U747:BL747) + SUMIF(negtgel!U$2:BL$2,'Tsalin uzuulelt'!H$2,negtgel!U747:BL747)+SUMIF(negtgel!U$2:BL$2,'Tsalin uzuulelt'!H$3,negtgel!U747:BL747)+SUMIF(negtgel!U$2:BL$2,'Tsalin uzuulelt'!H$4,negtgel!U747:BL747)+SUMIF(negtgel!U$2:BL$2,'Tsalin uzuulelt'!H$5,negtgel!U747:BL747)</f>
      </c>
      <c r="J747">
        <f>SUMIF(negtgel!U$2:BL$2,'Tsalin uzuulelt'!J$1,negtgel!U747:BL747) + SUMIF(negtgel!U$2:BL$2,'Tsalin uzuulelt'!J$2,negtgel!U747:BL747)+SUMIF(negtgel!U$2:BL$2,'Tsalin uzuulelt'!J$3,negtgel!U747:BL747)+SUMIF(negtgel!U$2:BL$2,'Tsalin uzuulelt'!J$4,negtgel!U747:BL747)+SUMIF(negtgel!U$2:BL$2,'Tsalin uzuulelt'!J$5,negtgel!U747:BL747)</f>
      </c>
      <c r="K747">
        <f>SUMIF(negtgel!U$2:BL$2,'Tsalin uzuulelt'!L$1,negtgel!U747:BL747) + SUMIF(negtgel!U$2:BL$2,'Tsalin uzuulelt'!L$2,negtgel!U747:BL747)+SUMIF(negtgel!U$2:BL$2,'Tsalin uzuulelt'!L$3,negtgel!U747:BL747)+SUMIF(negtgel!U$2:BL$2,'Tsalin uzuulelt'!L$4,negtgel!U747:BL747)+SUMIF(negtgel!U$2:BL$2,'Tsalin uzuulelt'!L$5,negtgel!U747:BL747)</f>
      </c>
      <c r="L747">
        <f>SUMIF(negtgel!U$2:BL$2,'Tsalin uzuulelt'!N$1,negtgel!U747:BL747) + SUMIF(negtgel!U$2:BL$2,'Tsalin uzuulelt'!N$2,negtgel!U747:BL747)+SUMIF(negtgel!U$2:BL$2,'Tsalin uzuulelt'!N$3,negtgel!U747:BL747)+SUMIF(negtgel!U$2:BL$2,'Tsalin uzuulelt'!N$4,negtgel!U747:BL747)+SUMIF(negtgel!U$2:BL$2,'Tsalin uzuulelt'!N$5,negtgel!U747:BL747)</f>
      </c>
      <c r="M747">
        <f>SUMIF(negtgel!U$2:BL$2,'Tsalin uzuulelt'!P$1,negtgel!U747:BL747) + SUMIF(negtgel!U$2:BL$2,'Tsalin uzuulelt'!P$2,negtgel!U747:BL747)+ SUMIF(negtgel!U$2:BL$2,'Tsalin uzuulelt'!P$3,negtgel!U747:BL747)+ SUMIF(negtgel!U$2:BL$2,'Tsalin uzuulelt'!P$4,negtgel!U747:BL747)+ SUMIF(negtgel!U$2:BL$2,'Tsalin uzuulelt'!P$5,negtgel!U747:BL747)</f>
      </c>
      <c r="N747">
        <f>IF(ISNUMBER(U747*1)=CF747,0,K747-H747-G747)</f>
      </c>
      <c r="O747">
        <f>IF(ISNUMBER(U747*1)=CF747,0,L747)</f>
      </c>
      <c r="P747">
        <f>IF(ISNUMBER(U747*1)=CF747,0,M747)</f>
      </c>
      <c r="Q747">
        <f>IF(N747&gt;2400000,N747,0)</f>
      </c>
      <c r="R747">
        <f>IF(L747/Q747*100&lt;3,2,10)</f>
      </c>
      <c r="S747">
        <f>IF(CH747=0,0,IF(B747&gt;9,10,IF(B747&gt;8,B747,IF(B747&gt;7.7,7.8,IF(B747&gt;3,B747,IF(B747&gt;1.5,2))))))</f>
      </c>
      <c r="T747">
        <f>IF(Q747=0,S747,R747)</f>
      </c>
      <c r="U747" t="n">
        <v>91.0</v>
      </c>
      <c r="V747" t="s">
        <v>3856</v>
      </c>
      <c r="W747" t="s">
        <v>3820</v>
      </c>
      <c r="X747" t="n">
        <v>613669.0</v>
      </c>
      <c r="Y747" t="n">
        <v>278940.0</v>
      </c>
      <c r="Z747" t="n">
        <v>27894.0</v>
      </c>
      <c r="AA747" t="n">
        <v>50209.0</v>
      </c>
      <c r="AB747" t="n">
        <v>0.0</v>
      </c>
      <c r="AC747" t="n">
        <v>0.0</v>
      </c>
      <c r="AD747" t="n">
        <v>0.0</v>
      </c>
      <c r="AE747" t="n">
        <v>0.0</v>
      </c>
      <c r="AF747" t="n">
        <v>30000.0</v>
      </c>
      <c r="AG747" t="n">
        <v>0.0</v>
      </c>
      <c r="AH747" t="n">
        <v>0.0</v>
      </c>
      <c r="AI747" t="n">
        <v>0.0</v>
      </c>
      <c r="AJ747" t="n">
        <v>0.0</v>
      </c>
      <c r="AK747" t="n">
        <v>0.0</v>
      </c>
      <c r="AL747" t="n">
        <v>257911.0</v>
      </c>
      <c r="AM747" t="n">
        <v>0.0</v>
      </c>
      <c r="AN747" t="n">
        <v>0.0</v>
      </c>
      <c r="AO747" t="n">
        <v>644954.0</v>
      </c>
      <c r="AP747" t="n">
        <v>38704.0</v>
      </c>
      <c r="AQ747" t="n">
        <v>28133.9</v>
      </c>
      <c r="CH747">
        <f>IFERROR(U747*1,0)</f>
      </c>
    </row>
    <row r="748">
      <c r="A748" t="n">
        <v>11.0</v>
      </c>
      <c r="B748">
        <f>IF((K748-G748-H748&gt;2400000),10,(L748/(K748-G748-H748)*100))</f>
      </c>
      <c r="C748">
        <f>IF(N748&gt;2400000,240000,(N748*S748)/100)</f>
      </c>
      <c r="D748">
        <f>IF(S748=0,0,IF((N748-I748)&gt;2400000,((((((N748-I748-J748)-240000))*0.1+(I748+J748)*0.1)))-7000,((((((N748-I748-J748)-(N748-I748-J748)*S748/100)))*0.1+(I748+J748)*0.1)-7000)))</f>
      </c>
      <c r="E748">
        <f>C748-O748</f>
      </c>
      <c r="F748">
        <f>D748-P748</f>
      </c>
      <c r="G748">
        <f>SUMIF(negtgel!U$2:BL$2,'Tsalin uzuulelt'!B$1,negtgel!U748:BL748) + SUMIF(negtgel!U$2:BL$2,'Tsalin uzuulelt'!B$2,negtgel!U748:BL748)+SUMIF(negtgel!U$2:BL$2,'Tsalin uzuulelt'!B$3,negtgel!U748:BL748)+SUMIF(negtgel!U$2:BL$2,'Tsalin uzuulelt'!B$4,negtgel!U748:BL748)+SUMIF(negtgel!U$2:BL$2,'Tsalin uzuulelt'!B$5,negtgel!U748:BL748)</f>
      </c>
      <c r="H748">
        <f>SUMIF(negtgel!U$2:BL$2,'Tsalin uzuulelt'!F$1,negtgel!U748:BL748) + SUMIF(negtgel!U$2:BL$2,'Tsalin uzuulelt'!F$2,negtgel!U748:BL748)+SUMIF(negtgel!U$2:BL$2,'Tsalin uzuulelt'!F$3,negtgel!U748:BL748)+SUMIF(negtgel!U$2:BL$2,'Tsalin uzuulelt'!F$4,negtgel!U748:BL748)+SUMIF(negtgel!U$2:BL$2,'Tsalin uzuulelt'!F$5,negtgel!U748:BL748)</f>
      </c>
      <c r="I748">
        <f>SUMIF(negtgel!U$2:BL$2,'Tsalin uzuulelt'!H$1,negtgel!U748:BL748) + SUMIF(negtgel!U$2:BL$2,'Tsalin uzuulelt'!H$2,negtgel!U748:BL748)+SUMIF(negtgel!U$2:BL$2,'Tsalin uzuulelt'!H$3,negtgel!U748:BL748)+SUMIF(negtgel!U$2:BL$2,'Tsalin uzuulelt'!H$4,negtgel!U748:BL748)+SUMIF(negtgel!U$2:BL$2,'Tsalin uzuulelt'!H$5,negtgel!U748:BL748)</f>
      </c>
      <c r="J748">
        <f>SUMIF(negtgel!U$2:BL$2,'Tsalin uzuulelt'!J$1,negtgel!U748:BL748) + SUMIF(negtgel!U$2:BL$2,'Tsalin uzuulelt'!J$2,negtgel!U748:BL748)+SUMIF(negtgel!U$2:BL$2,'Tsalin uzuulelt'!J$3,negtgel!U748:BL748)+SUMIF(negtgel!U$2:BL$2,'Tsalin uzuulelt'!J$4,negtgel!U748:BL748)+SUMIF(negtgel!U$2:BL$2,'Tsalin uzuulelt'!J$5,negtgel!U748:BL748)</f>
      </c>
      <c r="K748">
        <f>SUMIF(negtgel!U$2:BL$2,'Tsalin uzuulelt'!L$1,negtgel!U748:BL748) + SUMIF(negtgel!U$2:BL$2,'Tsalin uzuulelt'!L$2,negtgel!U748:BL748)+SUMIF(negtgel!U$2:BL$2,'Tsalin uzuulelt'!L$3,negtgel!U748:BL748)+SUMIF(negtgel!U$2:BL$2,'Tsalin uzuulelt'!L$4,negtgel!U748:BL748)+SUMIF(negtgel!U$2:BL$2,'Tsalin uzuulelt'!L$5,negtgel!U748:BL748)</f>
      </c>
      <c r="L748">
        <f>SUMIF(negtgel!U$2:BL$2,'Tsalin uzuulelt'!N$1,negtgel!U748:BL748) + SUMIF(negtgel!U$2:BL$2,'Tsalin uzuulelt'!N$2,negtgel!U748:BL748)+SUMIF(negtgel!U$2:BL$2,'Tsalin uzuulelt'!N$3,negtgel!U748:BL748)+SUMIF(negtgel!U$2:BL$2,'Tsalin uzuulelt'!N$4,negtgel!U748:BL748)+SUMIF(negtgel!U$2:BL$2,'Tsalin uzuulelt'!N$5,negtgel!U748:BL748)</f>
      </c>
      <c r="M748">
        <f>SUMIF(negtgel!U$2:BL$2,'Tsalin uzuulelt'!P$1,negtgel!U748:BL748) + SUMIF(negtgel!U$2:BL$2,'Tsalin uzuulelt'!P$2,negtgel!U748:BL748)+ SUMIF(negtgel!U$2:BL$2,'Tsalin uzuulelt'!P$3,negtgel!U748:BL748)+ SUMIF(negtgel!U$2:BL$2,'Tsalin uzuulelt'!P$4,negtgel!U748:BL748)+ SUMIF(negtgel!U$2:BL$2,'Tsalin uzuulelt'!P$5,negtgel!U748:BL748)</f>
      </c>
      <c r="N748">
        <f>IF(ISNUMBER(U748*1)=CF748,0,K748-H748-G748)</f>
      </c>
      <c r="O748">
        <f>IF(ISNUMBER(U748*1)=CF748,0,L748)</f>
      </c>
      <c r="P748">
        <f>IF(ISNUMBER(U748*1)=CF748,0,M748)</f>
      </c>
      <c r="Q748">
        <f>IF(N748&gt;2400000,N748,0)</f>
      </c>
      <c r="R748">
        <f>IF(L748/Q748*100&lt;3,2,10)</f>
      </c>
      <c r="S748">
        <f>IF(CH748=0,0,IF(B748&gt;9,10,IF(B748&gt;8,B748,IF(B748&gt;7.7,7.8,IF(B748&gt;3,B748,IF(B748&gt;1.5,2))))))</f>
      </c>
      <c r="T748">
        <f>IF(Q748=0,S748,R748)</f>
      </c>
      <c r="U748" t="n">
        <v>92.0</v>
      </c>
      <c r="V748" t="s">
        <v>3857</v>
      </c>
      <c r="W748" t="s">
        <v>3790</v>
      </c>
      <c r="X748" t="n">
        <v>613669.0</v>
      </c>
      <c r="Y748" t="n">
        <v>613669.0</v>
      </c>
      <c r="Z748" t="n">
        <v>61367.0</v>
      </c>
      <c r="AA748" t="n">
        <v>104324.0</v>
      </c>
      <c r="AB748" t="n">
        <v>0.0</v>
      </c>
      <c r="AC748" t="n">
        <v>0.0</v>
      </c>
      <c r="AD748" t="n">
        <v>0.0</v>
      </c>
      <c r="AE748" t="n">
        <v>0.0</v>
      </c>
      <c r="AF748" t="n">
        <v>66000.0</v>
      </c>
      <c r="AG748" t="n">
        <v>0.0</v>
      </c>
      <c r="AH748" t="n">
        <v>0.0</v>
      </c>
      <c r="AI748" t="n">
        <v>0.0</v>
      </c>
      <c r="AJ748" t="n">
        <v>0.0</v>
      </c>
      <c r="AK748" t="n">
        <v>0.0</v>
      </c>
      <c r="AL748" t="n">
        <v>0.0</v>
      </c>
      <c r="AM748" t="n">
        <v>0.0</v>
      </c>
      <c r="AN748" t="n">
        <v>0.0</v>
      </c>
      <c r="AO748" t="n">
        <v>845360.0</v>
      </c>
      <c r="AP748" t="n">
        <v>84536.0</v>
      </c>
      <c r="AQ748" t="n">
        <v>69742.4</v>
      </c>
      <c r="CH748">
        <f>IFERROR(U748*1,0)</f>
      </c>
    </row>
    <row r="749">
      <c r="A749" t="n">
        <v>11.0</v>
      </c>
      <c r="B749">
        <f>IF((K749-G749-H749&gt;2400000),10,(L749/(K749-G749-H749)*100))</f>
      </c>
      <c r="C749">
        <f>IF(N749&gt;2400000,240000,(N749*S749)/100)</f>
      </c>
      <c r="D749">
        <f>IF(S749=0,0,IF((N749-I749)&gt;2400000,((((((N749-I749-J749)-240000))*0.1+(I749+J749)*0.1)))-7000,((((((N749-I749-J749)-(N749-I749-J749)*S749/100)))*0.1+(I749+J749)*0.1)-7000)))</f>
      </c>
      <c r="E749">
        <f>C749-O749</f>
      </c>
      <c r="F749">
        <f>D749-P749</f>
      </c>
      <c r="G749">
        <f>SUMIF(negtgel!U$2:BL$2,'Tsalin uzuulelt'!B$1,negtgel!U749:BL749) + SUMIF(negtgel!U$2:BL$2,'Tsalin uzuulelt'!B$2,negtgel!U749:BL749)+SUMIF(negtgel!U$2:BL$2,'Tsalin uzuulelt'!B$3,negtgel!U749:BL749)+SUMIF(negtgel!U$2:BL$2,'Tsalin uzuulelt'!B$4,negtgel!U749:BL749)+SUMIF(negtgel!U$2:BL$2,'Tsalin uzuulelt'!B$5,negtgel!U749:BL749)</f>
      </c>
      <c r="H749">
        <f>SUMIF(negtgel!U$2:BL$2,'Tsalin uzuulelt'!F$1,negtgel!U749:BL749) + SUMIF(negtgel!U$2:BL$2,'Tsalin uzuulelt'!F$2,negtgel!U749:BL749)+SUMIF(negtgel!U$2:BL$2,'Tsalin uzuulelt'!F$3,negtgel!U749:BL749)+SUMIF(negtgel!U$2:BL$2,'Tsalin uzuulelt'!F$4,negtgel!U749:BL749)+SUMIF(negtgel!U$2:BL$2,'Tsalin uzuulelt'!F$5,negtgel!U749:BL749)</f>
      </c>
      <c r="I749">
        <f>SUMIF(negtgel!U$2:BL$2,'Tsalin uzuulelt'!H$1,negtgel!U749:BL749) + SUMIF(negtgel!U$2:BL$2,'Tsalin uzuulelt'!H$2,negtgel!U749:BL749)+SUMIF(negtgel!U$2:BL$2,'Tsalin uzuulelt'!H$3,negtgel!U749:BL749)+SUMIF(negtgel!U$2:BL$2,'Tsalin uzuulelt'!H$4,negtgel!U749:BL749)+SUMIF(negtgel!U$2:BL$2,'Tsalin uzuulelt'!H$5,negtgel!U749:BL749)</f>
      </c>
      <c r="J749">
        <f>SUMIF(negtgel!U$2:BL$2,'Tsalin uzuulelt'!J$1,negtgel!U749:BL749) + SUMIF(negtgel!U$2:BL$2,'Tsalin uzuulelt'!J$2,negtgel!U749:BL749)+SUMIF(negtgel!U$2:BL$2,'Tsalin uzuulelt'!J$3,negtgel!U749:BL749)+SUMIF(negtgel!U$2:BL$2,'Tsalin uzuulelt'!J$4,negtgel!U749:BL749)+SUMIF(negtgel!U$2:BL$2,'Tsalin uzuulelt'!J$5,negtgel!U749:BL749)</f>
      </c>
      <c r="K749">
        <f>SUMIF(negtgel!U$2:BL$2,'Tsalin uzuulelt'!L$1,negtgel!U749:BL749) + SUMIF(negtgel!U$2:BL$2,'Tsalin uzuulelt'!L$2,negtgel!U749:BL749)+SUMIF(negtgel!U$2:BL$2,'Tsalin uzuulelt'!L$3,negtgel!U749:BL749)+SUMIF(negtgel!U$2:BL$2,'Tsalin uzuulelt'!L$4,negtgel!U749:BL749)+SUMIF(negtgel!U$2:BL$2,'Tsalin uzuulelt'!L$5,negtgel!U749:BL749)</f>
      </c>
      <c r="L749">
        <f>SUMIF(negtgel!U$2:BL$2,'Tsalin uzuulelt'!N$1,negtgel!U749:BL749) + SUMIF(negtgel!U$2:BL$2,'Tsalin uzuulelt'!N$2,negtgel!U749:BL749)+SUMIF(negtgel!U$2:BL$2,'Tsalin uzuulelt'!N$3,negtgel!U749:BL749)+SUMIF(negtgel!U$2:BL$2,'Tsalin uzuulelt'!N$4,negtgel!U749:BL749)+SUMIF(negtgel!U$2:BL$2,'Tsalin uzuulelt'!N$5,negtgel!U749:BL749)</f>
      </c>
      <c r="M749">
        <f>SUMIF(negtgel!U$2:BL$2,'Tsalin uzuulelt'!P$1,negtgel!U749:BL749) + SUMIF(negtgel!U$2:BL$2,'Tsalin uzuulelt'!P$2,negtgel!U749:BL749)+ SUMIF(negtgel!U$2:BL$2,'Tsalin uzuulelt'!P$3,negtgel!U749:BL749)+ SUMIF(negtgel!U$2:BL$2,'Tsalin uzuulelt'!P$4,negtgel!U749:BL749)+ SUMIF(negtgel!U$2:BL$2,'Tsalin uzuulelt'!P$5,negtgel!U749:BL749)</f>
      </c>
      <c r="N749">
        <f>IF(ISNUMBER(U749*1)=CF749,0,K749-H749-G749)</f>
      </c>
      <c r="O749">
        <f>IF(ISNUMBER(U749*1)=CF749,0,L749)</f>
      </c>
      <c r="P749">
        <f>IF(ISNUMBER(U749*1)=CF749,0,M749)</f>
      </c>
      <c r="Q749">
        <f>IF(N749&gt;2400000,N749,0)</f>
      </c>
      <c r="R749">
        <f>IF(L749/Q749*100&lt;3,2,10)</f>
      </c>
      <c r="S749">
        <f>IF(CH749=0,0,IF(B749&gt;9,10,IF(B749&gt;8,B749,IF(B749&gt;7.7,7.8,IF(B749&gt;3,B749,IF(B749&gt;1.5,2))))))</f>
      </c>
      <c r="T749">
        <f>IF(Q749=0,S749,R749)</f>
      </c>
      <c r="U749" t="s">
        <v>3787</v>
      </c>
      <c r="V749"/>
      <c r="W749"/>
      <c r="X749" t="n">
        <v>7272826.0</v>
      </c>
      <c r="Y749" t="n">
        <v>6907304.0</v>
      </c>
      <c r="Z749" t="n">
        <v>1088786.0</v>
      </c>
      <c r="AA749" t="n">
        <v>1331071.0</v>
      </c>
      <c r="AB749" t="n">
        <v>33872.0</v>
      </c>
      <c r="AC749" t="n">
        <v>0.0</v>
      </c>
      <c r="AD749" t="n">
        <v>0.0</v>
      </c>
      <c r="AE749" t="n">
        <v>0.0</v>
      </c>
      <c r="AF749" t="n">
        <v>687000.0</v>
      </c>
      <c r="AG749" t="n">
        <v>0.0</v>
      </c>
      <c r="AH749" t="n">
        <v>0.0</v>
      </c>
      <c r="AI749" t="n">
        <v>0.0</v>
      </c>
      <c r="AJ749" t="n">
        <v>0.0</v>
      </c>
      <c r="AK749" t="n">
        <v>0.0</v>
      </c>
      <c r="AL749" t="n">
        <v>257911.0</v>
      </c>
      <c r="AM749" t="n">
        <v>0.0</v>
      </c>
      <c r="AN749" t="n">
        <v>0.0</v>
      </c>
      <c r="AO749" t="n">
        <v>1.0305944E7</v>
      </c>
      <c r="AP749" t="n">
        <v>1004804.0</v>
      </c>
      <c r="AQ749" t="n">
        <v>834193.1</v>
      </c>
      <c r="CH749">
        <f>IFERROR(U749*1,0)</f>
      </c>
    </row>
    <row r="750">
      <c r="A750" t="n">
        <v>11.0</v>
      </c>
      <c r="B750">
        <f>IF((K750-G750-H750&gt;2400000),10,(L750/(K750-G750-H750)*100))</f>
      </c>
      <c r="C750">
        <f>IF(N750&gt;2400000,240000,(N750*S750)/100)</f>
      </c>
      <c r="D750">
        <f>IF(S750=0,0,IF((N750-I750)&gt;2400000,((((((N750-I750-J750)-240000))*0.1+(I750+J750)*0.1)))-7000,((((((N750-I750-J750)-(N750-I750-J750)*S750/100)))*0.1+(I750+J750)*0.1)-7000)))</f>
      </c>
      <c r="E750">
        <f>C750-O750</f>
      </c>
      <c r="F750">
        <f>D750-P750</f>
      </c>
      <c r="G750">
        <f>SUMIF(negtgel!U$2:BL$2,'Tsalin uzuulelt'!B$1,negtgel!U750:BL750) + SUMIF(negtgel!U$2:BL$2,'Tsalin uzuulelt'!B$2,negtgel!U750:BL750)+SUMIF(negtgel!U$2:BL$2,'Tsalin uzuulelt'!B$3,negtgel!U750:BL750)+SUMIF(negtgel!U$2:BL$2,'Tsalin uzuulelt'!B$4,negtgel!U750:BL750)+SUMIF(negtgel!U$2:BL$2,'Tsalin uzuulelt'!B$5,negtgel!U750:BL750)</f>
      </c>
      <c r="H750">
        <f>SUMIF(negtgel!U$2:BL$2,'Tsalin uzuulelt'!F$1,negtgel!U750:BL750) + SUMIF(negtgel!U$2:BL$2,'Tsalin uzuulelt'!F$2,negtgel!U750:BL750)+SUMIF(negtgel!U$2:BL$2,'Tsalin uzuulelt'!F$3,negtgel!U750:BL750)+SUMIF(negtgel!U$2:BL$2,'Tsalin uzuulelt'!F$4,negtgel!U750:BL750)+SUMIF(negtgel!U$2:BL$2,'Tsalin uzuulelt'!F$5,negtgel!U750:BL750)</f>
      </c>
      <c r="I750">
        <f>SUMIF(negtgel!U$2:BL$2,'Tsalin uzuulelt'!H$1,negtgel!U750:BL750) + SUMIF(negtgel!U$2:BL$2,'Tsalin uzuulelt'!H$2,negtgel!U750:BL750)+SUMIF(negtgel!U$2:BL$2,'Tsalin uzuulelt'!H$3,negtgel!U750:BL750)+SUMIF(negtgel!U$2:BL$2,'Tsalin uzuulelt'!H$4,negtgel!U750:BL750)+SUMIF(negtgel!U$2:BL$2,'Tsalin uzuulelt'!H$5,negtgel!U750:BL750)</f>
      </c>
      <c r="J750">
        <f>SUMIF(negtgel!U$2:BL$2,'Tsalin uzuulelt'!J$1,negtgel!U750:BL750) + SUMIF(negtgel!U$2:BL$2,'Tsalin uzuulelt'!J$2,negtgel!U750:BL750)+SUMIF(negtgel!U$2:BL$2,'Tsalin uzuulelt'!J$3,negtgel!U750:BL750)+SUMIF(negtgel!U$2:BL$2,'Tsalin uzuulelt'!J$4,negtgel!U750:BL750)+SUMIF(negtgel!U$2:BL$2,'Tsalin uzuulelt'!J$5,negtgel!U750:BL750)</f>
      </c>
      <c r="K750">
        <f>SUMIF(negtgel!U$2:BL$2,'Tsalin uzuulelt'!L$1,negtgel!U750:BL750) + SUMIF(negtgel!U$2:BL$2,'Tsalin uzuulelt'!L$2,negtgel!U750:BL750)+SUMIF(negtgel!U$2:BL$2,'Tsalin uzuulelt'!L$3,negtgel!U750:BL750)+SUMIF(negtgel!U$2:BL$2,'Tsalin uzuulelt'!L$4,negtgel!U750:BL750)+SUMIF(negtgel!U$2:BL$2,'Tsalin uzuulelt'!L$5,negtgel!U750:BL750)</f>
      </c>
      <c r="L750">
        <f>SUMIF(negtgel!U$2:BL$2,'Tsalin uzuulelt'!N$1,negtgel!U750:BL750) + SUMIF(negtgel!U$2:BL$2,'Tsalin uzuulelt'!N$2,negtgel!U750:BL750)+SUMIF(negtgel!U$2:BL$2,'Tsalin uzuulelt'!N$3,negtgel!U750:BL750)+SUMIF(negtgel!U$2:BL$2,'Tsalin uzuulelt'!N$4,negtgel!U750:BL750)+SUMIF(negtgel!U$2:BL$2,'Tsalin uzuulelt'!N$5,negtgel!U750:BL750)</f>
      </c>
      <c r="M750">
        <f>SUMIF(negtgel!U$2:BL$2,'Tsalin uzuulelt'!P$1,negtgel!U750:BL750) + SUMIF(negtgel!U$2:BL$2,'Tsalin uzuulelt'!P$2,negtgel!U750:BL750)+ SUMIF(negtgel!U$2:BL$2,'Tsalin uzuulelt'!P$3,negtgel!U750:BL750)+ SUMIF(negtgel!U$2:BL$2,'Tsalin uzuulelt'!P$4,negtgel!U750:BL750)+ SUMIF(negtgel!U$2:BL$2,'Tsalin uzuulelt'!P$5,negtgel!U750:BL750)</f>
      </c>
      <c r="N750">
        <f>IF(ISNUMBER(U750*1)=CF750,0,K750-H750-G750)</f>
      </c>
      <c r="O750">
        <f>IF(ISNUMBER(U750*1)=CF750,0,L750)</f>
      </c>
      <c r="P750">
        <f>IF(ISNUMBER(U750*1)=CF750,0,M750)</f>
      </c>
      <c r="Q750">
        <f>IF(N750&gt;2400000,N750,0)</f>
      </c>
      <c r="R750">
        <f>IF(L750/Q750*100&lt;3,2,10)</f>
      </c>
      <c r="S750">
        <f>IF(CH750=0,0,IF(B750&gt;9,10,IF(B750&gt;8,B750,IF(B750&gt;7.7,7.8,IF(B750&gt;3,B750,IF(B750&gt;1.5,2))))))</f>
      </c>
      <c r="T750">
        <f>IF(Q750=0,S750,R750)</f>
      </c>
      <c r="U750" t="s">
        <v>3858</v>
      </c>
      <c r="V750"/>
      <c r="W750"/>
      <c r="X750"/>
      <c r="Y750"/>
      <c r="Z750"/>
      <c r="AA750"/>
      <c r="AB750"/>
      <c r="AC750"/>
      <c r="AD750"/>
      <c r="AE750"/>
      <c r="AF750"/>
      <c r="AG750"/>
      <c r="AH750"/>
      <c r="AI750"/>
      <c r="AJ750"/>
      <c r="AK750"/>
      <c r="AL750"/>
      <c r="AM750"/>
      <c r="AN750"/>
      <c r="AO750"/>
      <c r="AP750"/>
      <c r="AQ750"/>
      <c r="CH750">
        <f>IFERROR(U750*1,0)</f>
      </c>
    </row>
    <row r="751">
      <c r="A751" t="n">
        <v>11.0</v>
      </c>
      <c r="B751">
        <f>IF((K751-G751-H751&gt;2400000),10,(L751/(K751-G751-H751)*100))</f>
      </c>
      <c r="C751">
        <f>IF(N751&gt;2400000,240000,(N751*S751)/100)</f>
      </c>
      <c r="D751">
        <f>IF(S751=0,0,IF((N751-I751)&gt;2400000,((((((N751-I751-J751)-240000))*0.1+(I751+J751)*0.1)))-7000,((((((N751-I751-J751)-(N751-I751-J751)*S751/100)))*0.1+(I751+J751)*0.1)-7000)))</f>
      </c>
      <c r="E751">
        <f>C751-O751</f>
      </c>
      <c r="F751">
        <f>D751-P751</f>
      </c>
      <c r="G751">
        <f>SUMIF(negtgel!U$2:BL$2,'Tsalin uzuulelt'!B$1,negtgel!U751:BL751) + SUMIF(negtgel!U$2:BL$2,'Tsalin uzuulelt'!B$2,negtgel!U751:BL751)+SUMIF(negtgel!U$2:BL$2,'Tsalin uzuulelt'!B$3,negtgel!U751:BL751)+SUMIF(negtgel!U$2:BL$2,'Tsalin uzuulelt'!B$4,negtgel!U751:BL751)+SUMIF(negtgel!U$2:BL$2,'Tsalin uzuulelt'!B$5,negtgel!U751:BL751)</f>
      </c>
      <c r="H751">
        <f>SUMIF(negtgel!U$2:BL$2,'Tsalin uzuulelt'!F$1,negtgel!U751:BL751) + SUMIF(negtgel!U$2:BL$2,'Tsalin uzuulelt'!F$2,negtgel!U751:BL751)+SUMIF(negtgel!U$2:BL$2,'Tsalin uzuulelt'!F$3,negtgel!U751:BL751)+SUMIF(negtgel!U$2:BL$2,'Tsalin uzuulelt'!F$4,negtgel!U751:BL751)+SUMIF(negtgel!U$2:BL$2,'Tsalin uzuulelt'!F$5,negtgel!U751:BL751)</f>
      </c>
      <c r="I751">
        <f>SUMIF(negtgel!U$2:BL$2,'Tsalin uzuulelt'!H$1,negtgel!U751:BL751) + SUMIF(negtgel!U$2:BL$2,'Tsalin uzuulelt'!H$2,negtgel!U751:BL751)+SUMIF(negtgel!U$2:BL$2,'Tsalin uzuulelt'!H$3,negtgel!U751:BL751)+SUMIF(negtgel!U$2:BL$2,'Tsalin uzuulelt'!H$4,negtgel!U751:BL751)+SUMIF(negtgel!U$2:BL$2,'Tsalin uzuulelt'!H$5,negtgel!U751:BL751)</f>
      </c>
      <c r="J751">
        <f>SUMIF(negtgel!U$2:BL$2,'Tsalin uzuulelt'!J$1,negtgel!U751:BL751) + SUMIF(negtgel!U$2:BL$2,'Tsalin uzuulelt'!J$2,negtgel!U751:BL751)+SUMIF(negtgel!U$2:BL$2,'Tsalin uzuulelt'!J$3,negtgel!U751:BL751)+SUMIF(negtgel!U$2:BL$2,'Tsalin uzuulelt'!J$4,negtgel!U751:BL751)+SUMIF(negtgel!U$2:BL$2,'Tsalin uzuulelt'!J$5,negtgel!U751:BL751)</f>
      </c>
      <c r="K751">
        <f>SUMIF(negtgel!U$2:BL$2,'Tsalin uzuulelt'!L$1,negtgel!U751:BL751) + SUMIF(negtgel!U$2:BL$2,'Tsalin uzuulelt'!L$2,negtgel!U751:BL751)+SUMIF(negtgel!U$2:BL$2,'Tsalin uzuulelt'!L$3,negtgel!U751:BL751)+SUMIF(negtgel!U$2:BL$2,'Tsalin uzuulelt'!L$4,negtgel!U751:BL751)+SUMIF(negtgel!U$2:BL$2,'Tsalin uzuulelt'!L$5,negtgel!U751:BL751)</f>
      </c>
      <c r="L751">
        <f>SUMIF(negtgel!U$2:BL$2,'Tsalin uzuulelt'!N$1,negtgel!U751:BL751) + SUMIF(negtgel!U$2:BL$2,'Tsalin uzuulelt'!N$2,negtgel!U751:BL751)+SUMIF(negtgel!U$2:BL$2,'Tsalin uzuulelt'!N$3,negtgel!U751:BL751)+SUMIF(negtgel!U$2:BL$2,'Tsalin uzuulelt'!N$4,negtgel!U751:BL751)+SUMIF(negtgel!U$2:BL$2,'Tsalin uzuulelt'!N$5,negtgel!U751:BL751)</f>
      </c>
      <c r="M751">
        <f>SUMIF(negtgel!U$2:BL$2,'Tsalin uzuulelt'!P$1,negtgel!U751:BL751) + SUMIF(negtgel!U$2:BL$2,'Tsalin uzuulelt'!P$2,negtgel!U751:BL751)+ SUMIF(negtgel!U$2:BL$2,'Tsalin uzuulelt'!P$3,negtgel!U751:BL751)+ SUMIF(negtgel!U$2:BL$2,'Tsalin uzuulelt'!P$4,negtgel!U751:BL751)+ SUMIF(negtgel!U$2:BL$2,'Tsalin uzuulelt'!P$5,negtgel!U751:BL751)</f>
      </c>
      <c r="N751">
        <f>IF(ISNUMBER(U751*1)=CF751,0,K751-H751-G751)</f>
      </c>
      <c r="O751">
        <f>IF(ISNUMBER(U751*1)=CF751,0,L751)</f>
      </c>
      <c r="P751">
        <f>IF(ISNUMBER(U751*1)=CF751,0,M751)</f>
      </c>
      <c r="Q751">
        <f>IF(N751&gt;2400000,N751,0)</f>
      </c>
      <c r="R751">
        <f>IF(L751/Q751*100&lt;3,2,10)</f>
      </c>
      <c r="S751">
        <f>IF(CH751=0,0,IF(B751&gt;9,10,IF(B751&gt;8,B751,IF(B751&gt;7.7,7.8,IF(B751&gt;3,B751,IF(B751&gt;1.5,2))))))</f>
      </c>
      <c r="T751">
        <f>IF(Q751=0,S751,R751)</f>
      </c>
      <c r="U751" t="n">
        <v>93.0</v>
      </c>
      <c r="V751" t="s">
        <v>3859</v>
      </c>
      <c r="W751" t="s">
        <v>3790</v>
      </c>
      <c r="X751" t="n">
        <v>580710.0</v>
      </c>
      <c r="Y751" t="n">
        <v>0.0</v>
      </c>
      <c r="Z751" t="n">
        <v>0.0</v>
      </c>
      <c r="AA751" t="n">
        <v>0.0</v>
      </c>
      <c r="AB751" t="n">
        <v>0.0</v>
      </c>
      <c r="AC751" t="n">
        <v>0.0</v>
      </c>
      <c r="AD751" t="n">
        <v>0.0</v>
      </c>
      <c r="AE751" t="n">
        <v>0.0</v>
      </c>
      <c r="AF751" t="n">
        <v>0.0</v>
      </c>
      <c r="AG751" t="n">
        <v>0.0</v>
      </c>
      <c r="AH751" t="n">
        <v>0.0</v>
      </c>
      <c r="AI751" t="n">
        <v>0.0</v>
      </c>
      <c r="AJ751" t="n">
        <v>0.0</v>
      </c>
      <c r="AK751" t="n">
        <v>0.0</v>
      </c>
      <c r="AL751" t="n">
        <v>0.0</v>
      </c>
      <c r="AM751" t="n">
        <v>0.0</v>
      </c>
      <c r="AN751" t="n">
        <v>0.0</v>
      </c>
      <c r="AO751" t="n">
        <v>0.0</v>
      </c>
      <c r="AP751" t="n">
        <v>0.0</v>
      </c>
      <c r="AQ751" t="n">
        <v>0.0</v>
      </c>
      <c r="CH751">
        <f>IFERROR(U751*1,0)</f>
      </c>
    </row>
    <row r="752">
      <c r="A752" t="n">
        <v>11.0</v>
      </c>
      <c r="B752">
        <f>IF((K752-G752-H752&gt;2400000),10,(L752/(K752-G752-H752)*100))</f>
      </c>
      <c r="C752">
        <f>IF(N752&gt;2400000,240000,(N752*S752)/100)</f>
      </c>
      <c r="D752">
        <f>IF(S752=0,0,IF((N752-I752)&gt;2400000,((((((N752-I752-J752)-240000))*0.1+(I752+J752)*0.1)))-7000,((((((N752-I752-J752)-(N752-I752-J752)*S752/100)))*0.1+(I752+J752)*0.1)-7000)))</f>
      </c>
      <c r="E752">
        <f>C752-O752</f>
      </c>
      <c r="F752">
        <f>D752-P752</f>
      </c>
      <c r="G752">
        <f>SUMIF(negtgel!U$2:BL$2,'Tsalin uzuulelt'!B$1,negtgel!U752:BL752) + SUMIF(negtgel!U$2:BL$2,'Tsalin uzuulelt'!B$2,negtgel!U752:BL752)+SUMIF(negtgel!U$2:BL$2,'Tsalin uzuulelt'!B$3,negtgel!U752:BL752)+SUMIF(negtgel!U$2:BL$2,'Tsalin uzuulelt'!B$4,negtgel!U752:BL752)+SUMIF(negtgel!U$2:BL$2,'Tsalin uzuulelt'!B$5,negtgel!U752:BL752)</f>
      </c>
      <c r="H752">
        <f>SUMIF(negtgel!U$2:BL$2,'Tsalin uzuulelt'!F$1,negtgel!U752:BL752) + SUMIF(negtgel!U$2:BL$2,'Tsalin uzuulelt'!F$2,negtgel!U752:BL752)+SUMIF(negtgel!U$2:BL$2,'Tsalin uzuulelt'!F$3,negtgel!U752:BL752)+SUMIF(negtgel!U$2:BL$2,'Tsalin uzuulelt'!F$4,negtgel!U752:BL752)+SUMIF(negtgel!U$2:BL$2,'Tsalin uzuulelt'!F$5,negtgel!U752:BL752)</f>
      </c>
      <c r="I752">
        <f>SUMIF(negtgel!U$2:BL$2,'Tsalin uzuulelt'!H$1,negtgel!U752:BL752) + SUMIF(negtgel!U$2:BL$2,'Tsalin uzuulelt'!H$2,negtgel!U752:BL752)+SUMIF(negtgel!U$2:BL$2,'Tsalin uzuulelt'!H$3,negtgel!U752:BL752)+SUMIF(negtgel!U$2:BL$2,'Tsalin uzuulelt'!H$4,negtgel!U752:BL752)+SUMIF(negtgel!U$2:BL$2,'Tsalin uzuulelt'!H$5,negtgel!U752:BL752)</f>
      </c>
      <c r="J752">
        <f>SUMIF(negtgel!U$2:BL$2,'Tsalin uzuulelt'!J$1,negtgel!U752:BL752) + SUMIF(negtgel!U$2:BL$2,'Tsalin uzuulelt'!J$2,negtgel!U752:BL752)+SUMIF(negtgel!U$2:BL$2,'Tsalin uzuulelt'!J$3,negtgel!U752:BL752)+SUMIF(negtgel!U$2:BL$2,'Tsalin uzuulelt'!J$4,negtgel!U752:BL752)+SUMIF(negtgel!U$2:BL$2,'Tsalin uzuulelt'!J$5,negtgel!U752:BL752)</f>
      </c>
      <c r="K752">
        <f>SUMIF(negtgel!U$2:BL$2,'Tsalin uzuulelt'!L$1,negtgel!U752:BL752) + SUMIF(negtgel!U$2:BL$2,'Tsalin uzuulelt'!L$2,negtgel!U752:BL752)+SUMIF(negtgel!U$2:BL$2,'Tsalin uzuulelt'!L$3,negtgel!U752:BL752)+SUMIF(negtgel!U$2:BL$2,'Tsalin uzuulelt'!L$4,negtgel!U752:BL752)+SUMIF(negtgel!U$2:BL$2,'Tsalin uzuulelt'!L$5,negtgel!U752:BL752)</f>
      </c>
      <c r="L752">
        <f>SUMIF(negtgel!U$2:BL$2,'Tsalin uzuulelt'!N$1,negtgel!U752:BL752) + SUMIF(negtgel!U$2:BL$2,'Tsalin uzuulelt'!N$2,negtgel!U752:BL752)+SUMIF(negtgel!U$2:BL$2,'Tsalin uzuulelt'!N$3,negtgel!U752:BL752)+SUMIF(negtgel!U$2:BL$2,'Tsalin uzuulelt'!N$4,negtgel!U752:BL752)+SUMIF(negtgel!U$2:BL$2,'Tsalin uzuulelt'!N$5,negtgel!U752:BL752)</f>
      </c>
      <c r="M752">
        <f>SUMIF(negtgel!U$2:BL$2,'Tsalin uzuulelt'!P$1,negtgel!U752:BL752) + SUMIF(negtgel!U$2:BL$2,'Tsalin uzuulelt'!P$2,negtgel!U752:BL752)+ SUMIF(negtgel!U$2:BL$2,'Tsalin uzuulelt'!P$3,negtgel!U752:BL752)+ SUMIF(negtgel!U$2:BL$2,'Tsalin uzuulelt'!P$4,negtgel!U752:BL752)+ SUMIF(negtgel!U$2:BL$2,'Tsalin uzuulelt'!P$5,negtgel!U752:BL752)</f>
      </c>
      <c r="N752">
        <f>IF(ISNUMBER(U752*1)=CF752,0,K752-H752-G752)</f>
      </c>
      <c r="O752">
        <f>IF(ISNUMBER(U752*1)=CF752,0,L752)</f>
      </c>
      <c r="P752">
        <f>IF(ISNUMBER(U752*1)=CF752,0,M752)</f>
      </c>
      <c r="Q752">
        <f>IF(N752&gt;2400000,N752,0)</f>
      </c>
      <c r="R752">
        <f>IF(L752/Q752*100&lt;3,2,10)</f>
      </c>
      <c r="S752">
        <f>IF(CH752=0,0,IF(B752&gt;9,10,IF(B752&gt;8,B752,IF(B752&gt;7.7,7.8,IF(B752&gt;3,B752,IF(B752&gt;1.5,2))))))</f>
      </c>
      <c r="T752">
        <f>IF(Q752=0,S752,R752)</f>
      </c>
      <c r="U752" t="n">
        <v>94.0</v>
      </c>
      <c r="V752" t="s">
        <v>3873</v>
      </c>
      <c r="W752" t="s">
        <v>3792</v>
      </c>
      <c r="X752" t="n">
        <v>496912.0</v>
      </c>
      <c r="Y752" t="n">
        <v>0.0</v>
      </c>
      <c r="Z752" t="n">
        <v>0.0</v>
      </c>
      <c r="AA752" t="n">
        <v>0.0</v>
      </c>
      <c r="AB752" t="n">
        <v>0.0</v>
      </c>
      <c r="AC752" t="n">
        <v>0.0</v>
      </c>
      <c r="AD752" t="n">
        <v>0.0</v>
      </c>
      <c r="AE752" t="n">
        <v>0.0</v>
      </c>
      <c r="AF752" t="n">
        <v>0.0</v>
      </c>
      <c r="AG752" t="n">
        <v>0.0</v>
      </c>
      <c r="AH752" t="n">
        <v>0.0</v>
      </c>
      <c r="AI752" t="n">
        <v>0.0</v>
      </c>
      <c r="AJ752" t="n">
        <v>0.0</v>
      </c>
      <c r="AK752" t="n">
        <v>0.0</v>
      </c>
      <c r="AL752" t="n">
        <v>0.0</v>
      </c>
      <c r="AM752" t="n">
        <v>0.0</v>
      </c>
      <c r="AN752" t="n">
        <v>0.0</v>
      </c>
      <c r="AO752" t="n">
        <v>0.0</v>
      </c>
      <c r="AP752" t="n">
        <v>0.0</v>
      </c>
      <c r="AQ752" t="n">
        <v>0.0</v>
      </c>
      <c r="CH752">
        <f>IFERROR(U752*1,0)</f>
      </c>
    </row>
    <row r="753">
      <c r="A753" t="n">
        <v>11.0</v>
      </c>
      <c r="B753">
        <f>IF((K753-G753-H753&gt;2400000),10,(L753/(K753-G753-H753)*100))</f>
      </c>
      <c r="C753">
        <f>IF(N753&gt;2400000,240000,(N753*S753)/100)</f>
      </c>
      <c r="D753">
        <f>IF(S753=0,0,IF((N753-I753)&gt;2400000,((((((N753-I753-J753)-240000))*0.1+(I753+J753)*0.1)))-7000,((((((N753-I753-J753)-(N753-I753-J753)*S753/100)))*0.1+(I753+J753)*0.1)-7000)))</f>
      </c>
      <c r="E753">
        <f>C753-O753</f>
      </c>
      <c r="F753">
        <f>D753-P753</f>
      </c>
      <c r="G753">
        <f>SUMIF(negtgel!U$2:BL$2,'Tsalin uzuulelt'!B$1,negtgel!U753:BL753) + SUMIF(negtgel!U$2:BL$2,'Tsalin uzuulelt'!B$2,negtgel!U753:BL753)+SUMIF(negtgel!U$2:BL$2,'Tsalin uzuulelt'!B$3,negtgel!U753:BL753)+SUMIF(negtgel!U$2:BL$2,'Tsalin uzuulelt'!B$4,negtgel!U753:BL753)+SUMIF(negtgel!U$2:BL$2,'Tsalin uzuulelt'!B$5,negtgel!U753:BL753)</f>
      </c>
      <c r="H753">
        <f>SUMIF(negtgel!U$2:BL$2,'Tsalin uzuulelt'!F$1,negtgel!U753:BL753) + SUMIF(negtgel!U$2:BL$2,'Tsalin uzuulelt'!F$2,negtgel!U753:BL753)+SUMIF(negtgel!U$2:BL$2,'Tsalin uzuulelt'!F$3,negtgel!U753:BL753)+SUMIF(negtgel!U$2:BL$2,'Tsalin uzuulelt'!F$4,negtgel!U753:BL753)+SUMIF(negtgel!U$2:BL$2,'Tsalin uzuulelt'!F$5,negtgel!U753:BL753)</f>
      </c>
      <c r="I753">
        <f>SUMIF(negtgel!U$2:BL$2,'Tsalin uzuulelt'!H$1,negtgel!U753:BL753) + SUMIF(negtgel!U$2:BL$2,'Tsalin uzuulelt'!H$2,negtgel!U753:BL753)+SUMIF(negtgel!U$2:BL$2,'Tsalin uzuulelt'!H$3,negtgel!U753:BL753)+SUMIF(negtgel!U$2:BL$2,'Tsalin uzuulelt'!H$4,negtgel!U753:BL753)+SUMIF(negtgel!U$2:BL$2,'Tsalin uzuulelt'!H$5,negtgel!U753:BL753)</f>
      </c>
      <c r="J753">
        <f>SUMIF(negtgel!U$2:BL$2,'Tsalin uzuulelt'!J$1,negtgel!U753:BL753) + SUMIF(negtgel!U$2:BL$2,'Tsalin uzuulelt'!J$2,negtgel!U753:BL753)+SUMIF(negtgel!U$2:BL$2,'Tsalin uzuulelt'!J$3,negtgel!U753:BL753)+SUMIF(negtgel!U$2:BL$2,'Tsalin uzuulelt'!J$4,negtgel!U753:BL753)+SUMIF(negtgel!U$2:BL$2,'Tsalin uzuulelt'!J$5,negtgel!U753:BL753)</f>
      </c>
      <c r="K753">
        <f>SUMIF(negtgel!U$2:BL$2,'Tsalin uzuulelt'!L$1,negtgel!U753:BL753) + SUMIF(negtgel!U$2:BL$2,'Tsalin uzuulelt'!L$2,negtgel!U753:BL753)+SUMIF(negtgel!U$2:BL$2,'Tsalin uzuulelt'!L$3,negtgel!U753:BL753)+SUMIF(negtgel!U$2:BL$2,'Tsalin uzuulelt'!L$4,negtgel!U753:BL753)+SUMIF(negtgel!U$2:BL$2,'Tsalin uzuulelt'!L$5,negtgel!U753:BL753)</f>
      </c>
      <c r="L753">
        <f>SUMIF(negtgel!U$2:BL$2,'Tsalin uzuulelt'!N$1,negtgel!U753:BL753) + SUMIF(negtgel!U$2:BL$2,'Tsalin uzuulelt'!N$2,negtgel!U753:BL753)+SUMIF(negtgel!U$2:BL$2,'Tsalin uzuulelt'!N$3,negtgel!U753:BL753)+SUMIF(negtgel!U$2:BL$2,'Tsalin uzuulelt'!N$4,negtgel!U753:BL753)+SUMIF(negtgel!U$2:BL$2,'Tsalin uzuulelt'!N$5,negtgel!U753:BL753)</f>
      </c>
      <c r="M753">
        <f>SUMIF(negtgel!U$2:BL$2,'Tsalin uzuulelt'!P$1,negtgel!U753:BL753) + SUMIF(negtgel!U$2:BL$2,'Tsalin uzuulelt'!P$2,negtgel!U753:BL753)+ SUMIF(negtgel!U$2:BL$2,'Tsalin uzuulelt'!P$3,negtgel!U753:BL753)+ SUMIF(negtgel!U$2:BL$2,'Tsalin uzuulelt'!P$4,negtgel!U753:BL753)+ SUMIF(negtgel!U$2:BL$2,'Tsalin uzuulelt'!P$5,negtgel!U753:BL753)</f>
      </c>
      <c r="N753">
        <f>IF(ISNUMBER(U753*1)=CF753,0,K753-H753-G753)</f>
      </c>
      <c r="O753">
        <f>IF(ISNUMBER(U753*1)=CF753,0,L753)</f>
      </c>
      <c r="P753">
        <f>IF(ISNUMBER(U753*1)=CF753,0,M753)</f>
      </c>
      <c r="Q753">
        <f>IF(N753&gt;2400000,N753,0)</f>
      </c>
      <c r="R753">
        <f>IF(L753/Q753*100&lt;3,2,10)</f>
      </c>
      <c r="S753">
        <f>IF(CH753=0,0,IF(B753&gt;9,10,IF(B753&gt;8,B753,IF(B753&gt;7.7,7.8,IF(B753&gt;3,B753,IF(B753&gt;1.5,2))))))</f>
      </c>
      <c r="T753">
        <f>IF(Q753=0,S753,R753)</f>
      </c>
      <c r="U753" t="n">
        <v>95.0</v>
      </c>
      <c r="V753" t="s">
        <v>3874</v>
      </c>
      <c r="W753" t="s">
        <v>3790</v>
      </c>
      <c r="X753" t="n">
        <v>677436.0</v>
      </c>
      <c r="Y753" t="n">
        <v>0.0</v>
      </c>
      <c r="Z753" t="n">
        <v>0.0</v>
      </c>
      <c r="AA753" t="n">
        <v>0.0</v>
      </c>
      <c r="AB753" t="n">
        <v>0.0</v>
      </c>
      <c r="AC753" t="n">
        <v>0.0</v>
      </c>
      <c r="AD753" t="n">
        <v>0.0</v>
      </c>
      <c r="AE753" t="n">
        <v>0.0</v>
      </c>
      <c r="AF753" t="n">
        <v>0.0</v>
      </c>
      <c r="AG753" t="n">
        <v>0.0</v>
      </c>
      <c r="AH753" t="n">
        <v>0.0</v>
      </c>
      <c r="AI753" t="n">
        <v>0.0</v>
      </c>
      <c r="AJ753" t="n">
        <v>0.0</v>
      </c>
      <c r="AK753" t="n">
        <v>0.0</v>
      </c>
      <c r="AL753" t="n">
        <v>0.0</v>
      </c>
      <c r="AM753" t="n">
        <v>0.0</v>
      </c>
      <c r="AN753" t="n">
        <v>0.0</v>
      </c>
      <c r="AO753" t="n">
        <v>0.0</v>
      </c>
      <c r="AP753" t="n">
        <v>0.0</v>
      </c>
      <c r="AQ753" t="n">
        <v>0.0</v>
      </c>
      <c r="CH753">
        <f>IFERROR(U753*1,0)</f>
      </c>
    </row>
    <row r="754">
      <c r="A754" t="n">
        <v>11.0</v>
      </c>
      <c r="B754">
        <f>IF((K754-G754-H754&gt;2400000),10,(L754/(K754-G754-H754)*100))</f>
      </c>
      <c r="C754">
        <f>IF(N754&gt;2400000,240000,(N754*S754)/100)</f>
      </c>
      <c r="D754">
        <f>IF(S754=0,0,IF((N754-I754)&gt;2400000,((((((N754-I754-J754)-240000))*0.1+(I754+J754)*0.1)))-7000,((((((N754-I754-J754)-(N754-I754-J754)*S754/100)))*0.1+(I754+J754)*0.1)-7000)))</f>
      </c>
      <c r="E754">
        <f>C754-O754</f>
      </c>
      <c r="F754">
        <f>D754-P754</f>
      </c>
      <c r="G754">
        <f>SUMIF(negtgel!U$2:BL$2,'Tsalin uzuulelt'!B$1,negtgel!U754:BL754) + SUMIF(negtgel!U$2:BL$2,'Tsalin uzuulelt'!B$2,negtgel!U754:BL754)+SUMIF(negtgel!U$2:BL$2,'Tsalin uzuulelt'!B$3,negtgel!U754:BL754)+SUMIF(negtgel!U$2:BL$2,'Tsalin uzuulelt'!B$4,negtgel!U754:BL754)+SUMIF(negtgel!U$2:BL$2,'Tsalin uzuulelt'!B$5,negtgel!U754:BL754)</f>
      </c>
      <c r="H754">
        <f>SUMIF(negtgel!U$2:BL$2,'Tsalin uzuulelt'!F$1,negtgel!U754:BL754) + SUMIF(negtgel!U$2:BL$2,'Tsalin uzuulelt'!F$2,negtgel!U754:BL754)+SUMIF(negtgel!U$2:BL$2,'Tsalin uzuulelt'!F$3,negtgel!U754:BL754)+SUMIF(negtgel!U$2:BL$2,'Tsalin uzuulelt'!F$4,negtgel!U754:BL754)+SUMIF(negtgel!U$2:BL$2,'Tsalin uzuulelt'!F$5,negtgel!U754:BL754)</f>
      </c>
      <c r="I754">
        <f>SUMIF(negtgel!U$2:BL$2,'Tsalin uzuulelt'!H$1,negtgel!U754:BL754) + SUMIF(negtgel!U$2:BL$2,'Tsalin uzuulelt'!H$2,negtgel!U754:BL754)+SUMIF(negtgel!U$2:BL$2,'Tsalin uzuulelt'!H$3,negtgel!U754:BL754)+SUMIF(negtgel!U$2:BL$2,'Tsalin uzuulelt'!H$4,negtgel!U754:BL754)+SUMIF(negtgel!U$2:BL$2,'Tsalin uzuulelt'!H$5,negtgel!U754:BL754)</f>
      </c>
      <c r="J754">
        <f>SUMIF(negtgel!U$2:BL$2,'Tsalin uzuulelt'!J$1,negtgel!U754:BL754) + SUMIF(negtgel!U$2:BL$2,'Tsalin uzuulelt'!J$2,negtgel!U754:BL754)+SUMIF(negtgel!U$2:BL$2,'Tsalin uzuulelt'!J$3,negtgel!U754:BL754)+SUMIF(negtgel!U$2:BL$2,'Tsalin uzuulelt'!J$4,negtgel!U754:BL754)+SUMIF(negtgel!U$2:BL$2,'Tsalin uzuulelt'!J$5,negtgel!U754:BL754)</f>
      </c>
      <c r="K754">
        <f>SUMIF(negtgel!U$2:BL$2,'Tsalin uzuulelt'!L$1,negtgel!U754:BL754) + SUMIF(negtgel!U$2:BL$2,'Tsalin uzuulelt'!L$2,negtgel!U754:BL754)+SUMIF(negtgel!U$2:BL$2,'Tsalin uzuulelt'!L$3,negtgel!U754:BL754)+SUMIF(negtgel!U$2:BL$2,'Tsalin uzuulelt'!L$4,negtgel!U754:BL754)+SUMIF(negtgel!U$2:BL$2,'Tsalin uzuulelt'!L$5,negtgel!U754:BL754)</f>
      </c>
      <c r="L754">
        <f>SUMIF(negtgel!U$2:BL$2,'Tsalin uzuulelt'!N$1,negtgel!U754:BL754) + SUMIF(negtgel!U$2:BL$2,'Tsalin uzuulelt'!N$2,negtgel!U754:BL754)+SUMIF(negtgel!U$2:BL$2,'Tsalin uzuulelt'!N$3,negtgel!U754:BL754)+SUMIF(negtgel!U$2:BL$2,'Tsalin uzuulelt'!N$4,negtgel!U754:BL754)+SUMIF(negtgel!U$2:BL$2,'Tsalin uzuulelt'!N$5,negtgel!U754:BL754)</f>
      </c>
      <c r="M754">
        <f>SUMIF(negtgel!U$2:BL$2,'Tsalin uzuulelt'!P$1,negtgel!U754:BL754) + SUMIF(negtgel!U$2:BL$2,'Tsalin uzuulelt'!P$2,negtgel!U754:BL754)+ SUMIF(negtgel!U$2:BL$2,'Tsalin uzuulelt'!P$3,negtgel!U754:BL754)+ SUMIF(negtgel!U$2:BL$2,'Tsalin uzuulelt'!P$4,negtgel!U754:BL754)+ SUMIF(negtgel!U$2:BL$2,'Tsalin uzuulelt'!P$5,negtgel!U754:BL754)</f>
      </c>
      <c r="N754">
        <f>IF(ISNUMBER(U754*1)=CF754,0,K754-H754-G754)</f>
      </c>
      <c r="O754">
        <f>IF(ISNUMBER(U754*1)=CF754,0,L754)</f>
      </c>
      <c r="P754">
        <f>IF(ISNUMBER(U754*1)=CF754,0,M754)</f>
      </c>
      <c r="Q754">
        <f>IF(N754&gt;2400000,N754,0)</f>
      </c>
      <c r="R754">
        <f>IF(L754/Q754*100&lt;3,2,10)</f>
      </c>
      <c r="S754">
        <f>IF(CH754=0,0,IF(B754&gt;9,10,IF(B754&gt;8,B754,IF(B754&gt;7.7,7.8,IF(B754&gt;3,B754,IF(B754&gt;1.5,2))))))</f>
      </c>
      <c r="T754">
        <f>IF(Q754=0,S754,R754)</f>
      </c>
      <c r="U754" t="n">
        <v>96.0</v>
      </c>
      <c r="V754" t="s">
        <v>3875</v>
      </c>
      <c r="W754" t="s">
        <v>3790</v>
      </c>
      <c r="X754" t="n">
        <v>580710.0</v>
      </c>
      <c r="Y754" t="n">
        <v>0.0</v>
      </c>
      <c r="Z754" t="n">
        <v>0.0</v>
      </c>
      <c r="AA754" t="n">
        <v>0.0</v>
      </c>
      <c r="AB754" t="n">
        <v>0.0</v>
      </c>
      <c r="AC754" t="n">
        <v>0.0</v>
      </c>
      <c r="AD754" t="n">
        <v>0.0</v>
      </c>
      <c r="AE754" t="n">
        <v>0.0</v>
      </c>
      <c r="AF754" t="n">
        <v>0.0</v>
      </c>
      <c r="AG754" t="n">
        <v>0.0</v>
      </c>
      <c r="AH754" t="n">
        <v>0.0</v>
      </c>
      <c r="AI754" t="n">
        <v>0.0</v>
      </c>
      <c r="AJ754" t="n">
        <v>0.0</v>
      </c>
      <c r="AK754" t="n">
        <v>0.0</v>
      </c>
      <c r="AL754" t="n">
        <v>0.0</v>
      </c>
      <c r="AM754" t="n">
        <v>0.0</v>
      </c>
      <c r="AN754" t="n">
        <v>0.0</v>
      </c>
      <c r="AO754" t="n">
        <v>0.0</v>
      </c>
      <c r="AP754" t="n">
        <v>0.0</v>
      </c>
      <c r="AQ754" t="n">
        <v>0.0</v>
      </c>
      <c r="CH754">
        <f>IFERROR(U754*1,0)</f>
      </c>
    </row>
    <row r="755">
      <c r="A755" t="n">
        <v>11.0</v>
      </c>
      <c r="B755">
        <f>IF((K755-G755-H755&gt;2400000),10,(L755/(K755-G755-H755)*100))</f>
      </c>
      <c r="C755">
        <f>IF(N755&gt;2400000,240000,(N755*S755)/100)</f>
      </c>
      <c r="D755">
        <f>IF(S755=0,0,IF((N755-I755)&gt;2400000,((((((N755-I755-J755)-240000))*0.1+(I755+J755)*0.1)))-7000,((((((N755-I755-J755)-(N755-I755-J755)*S755/100)))*0.1+(I755+J755)*0.1)-7000)))</f>
      </c>
      <c r="E755">
        <f>C755-O755</f>
      </c>
      <c r="F755">
        <f>D755-P755</f>
      </c>
      <c r="G755">
        <f>SUMIF(negtgel!U$2:BL$2,'Tsalin uzuulelt'!B$1,negtgel!U755:BL755) + SUMIF(negtgel!U$2:BL$2,'Tsalin uzuulelt'!B$2,negtgel!U755:BL755)+SUMIF(negtgel!U$2:BL$2,'Tsalin uzuulelt'!B$3,negtgel!U755:BL755)+SUMIF(negtgel!U$2:BL$2,'Tsalin uzuulelt'!B$4,negtgel!U755:BL755)+SUMIF(negtgel!U$2:BL$2,'Tsalin uzuulelt'!B$5,negtgel!U755:BL755)</f>
      </c>
      <c r="H755">
        <f>SUMIF(negtgel!U$2:BL$2,'Tsalin uzuulelt'!F$1,negtgel!U755:BL755) + SUMIF(negtgel!U$2:BL$2,'Tsalin uzuulelt'!F$2,negtgel!U755:BL755)+SUMIF(negtgel!U$2:BL$2,'Tsalin uzuulelt'!F$3,negtgel!U755:BL755)+SUMIF(negtgel!U$2:BL$2,'Tsalin uzuulelt'!F$4,negtgel!U755:BL755)+SUMIF(negtgel!U$2:BL$2,'Tsalin uzuulelt'!F$5,negtgel!U755:BL755)</f>
      </c>
      <c r="I755">
        <f>SUMIF(negtgel!U$2:BL$2,'Tsalin uzuulelt'!H$1,negtgel!U755:BL755) + SUMIF(negtgel!U$2:BL$2,'Tsalin uzuulelt'!H$2,negtgel!U755:BL755)+SUMIF(negtgel!U$2:BL$2,'Tsalin uzuulelt'!H$3,negtgel!U755:BL755)+SUMIF(negtgel!U$2:BL$2,'Tsalin uzuulelt'!H$4,negtgel!U755:BL755)+SUMIF(negtgel!U$2:BL$2,'Tsalin uzuulelt'!H$5,negtgel!U755:BL755)</f>
      </c>
      <c r="J755">
        <f>SUMIF(negtgel!U$2:BL$2,'Tsalin uzuulelt'!J$1,negtgel!U755:BL755) + SUMIF(negtgel!U$2:BL$2,'Tsalin uzuulelt'!J$2,negtgel!U755:BL755)+SUMIF(negtgel!U$2:BL$2,'Tsalin uzuulelt'!J$3,negtgel!U755:BL755)+SUMIF(negtgel!U$2:BL$2,'Tsalin uzuulelt'!J$4,negtgel!U755:BL755)+SUMIF(negtgel!U$2:BL$2,'Tsalin uzuulelt'!J$5,negtgel!U755:BL755)</f>
      </c>
      <c r="K755">
        <f>SUMIF(negtgel!U$2:BL$2,'Tsalin uzuulelt'!L$1,negtgel!U755:BL755) + SUMIF(negtgel!U$2:BL$2,'Tsalin uzuulelt'!L$2,negtgel!U755:BL755)+SUMIF(negtgel!U$2:BL$2,'Tsalin uzuulelt'!L$3,negtgel!U755:BL755)+SUMIF(negtgel!U$2:BL$2,'Tsalin uzuulelt'!L$4,negtgel!U755:BL755)+SUMIF(negtgel!U$2:BL$2,'Tsalin uzuulelt'!L$5,negtgel!U755:BL755)</f>
      </c>
      <c r="L755">
        <f>SUMIF(negtgel!U$2:BL$2,'Tsalin uzuulelt'!N$1,negtgel!U755:BL755) + SUMIF(negtgel!U$2:BL$2,'Tsalin uzuulelt'!N$2,negtgel!U755:BL755)+SUMIF(negtgel!U$2:BL$2,'Tsalin uzuulelt'!N$3,negtgel!U755:BL755)+SUMIF(negtgel!U$2:BL$2,'Tsalin uzuulelt'!N$4,negtgel!U755:BL755)+SUMIF(negtgel!U$2:BL$2,'Tsalin uzuulelt'!N$5,negtgel!U755:BL755)</f>
      </c>
      <c r="M755">
        <f>SUMIF(negtgel!U$2:BL$2,'Tsalin uzuulelt'!P$1,negtgel!U755:BL755) + SUMIF(negtgel!U$2:BL$2,'Tsalin uzuulelt'!P$2,negtgel!U755:BL755)+ SUMIF(negtgel!U$2:BL$2,'Tsalin uzuulelt'!P$3,negtgel!U755:BL755)+ SUMIF(negtgel!U$2:BL$2,'Tsalin uzuulelt'!P$4,negtgel!U755:BL755)+ SUMIF(negtgel!U$2:BL$2,'Tsalin uzuulelt'!P$5,negtgel!U755:BL755)</f>
      </c>
      <c r="N755">
        <f>IF(ISNUMBER(U755*1)=CF755,0,K755-H755-G755)</f>
      </c>
      <c r="O755">
        <f>IF(ISNUMBER(U755*1)=CF755,0,L755)</f>
      </c>
      <c r="P755">
        <f>IF(ISNUMBER(U755*1)=CF755,0,M755)</f>
      </c>
      <c r="Q755">
        <f>IF(N755&gt;2400000,N755,0)</f>
      </c>
      <c r="R755">
        <f>IF(L755/Q755*100&lt;3,2,10)</f>
      </c>
      <c r="S755">
        <f>IF(CH755=0,0,IF(B755&gt;9,10,IF(B755&gt;8,B755,IF(B755&gt;7.7,7.8,IF(B755&gt;3,B755,IF(B755&gt;1.5,2))))))</f>
      </c>
      <c r="T755">
        <f>IF(Q755=0,S755,R755)</f>
      </c>
      <c r="U755" t="n">
        <v>97.0</v>
      </c>
      <c r="V755" t="s">
        <v>3876</v>
      </c>
      <c r="W755" t="s">
        <v>3790</v>
      </c>
      <c r="X755" t="n">
        <v>613669.0</v>
      </c>
      <c r="Y755" t="n">
        <v>0.0</v>
      </c>
      <c r="Z755" t="n">
        <v>0.0</v>
      </c>
      <c r="AA755" t="n">
        <v>0.0</v>
      </c>
      <c r="AB755" t="n">
        <v>0.0</v>
      </c>
      <c r="AC755" t="n">
        <v>0.0</v>
      </c>
      <c r="AD755" t="n">
        <v>0.0</v>
      </c>
      <c r="AE755" t="n">
        <v>0.0</v>
      </c>
      <c r="AF755" t="n">
        <v>0.0</v>
      </c>
      <c r="AG755" t="n">
        <v>0.0</v>
      </c>
      <c r="AH755" t="n">
        <v>0.0</v>
      </c>
      <c r="AI755" t="n">
        <v>0.0</v>
      </c>
      <c r="AJ755" t="n">
        <v>0.0</v>
      </c>
      <c r="AK755" t="n">
        <v>0.0</v>
      </c>
      <c r="AL755" t="n">
        <v>0.0</v>
      </c>
      <c r="AM755" t="n">
        <v>0.0</v>
      </c>
      <c r="AN755" t="n">
        <v>0.0</v>
      </c>
      <c r="AO755" t="n">
        <v>0.0</v>
      </c>
      <c r="AP755" t="n">
        <v>0.0</v>
      </c>
      <c r="AQ755" t="n">
        <v>0.0</v>
      </c>
      <c r="CH755">
        <f>IFERROR(U755*1,0)</f>
      </c>
    </row>
    <row r="756">
      <c r="A756" t="n">
        <v>11.0</v>
      </c>
      <c r="B756">
        <f>IF((K756-G756-H756&gt;2400000),10,(L756/(K756-G756-H756)*100))</f>
      </c>
      <c r="C756">
        <f>IF(N756&gt;2400000,240000,(N756*S756)/100)</f>
      </c>
      <c r="D756">
        <f>IF(S756=0,0,IF((N756-I756)&gt;2400000,((((((N756-I756-J756)-240000))*0.1+(I756+J756)*0.1)))-7000,((((((N756-I756-J756)-(N756-I756-J756)*S756/100)))*0.1+(I756+J756)*0.1)-7000)))</f>
      </c>
      <c r="E756">
        <f>C756-O756</f>
      </c>
      <c r="F756">
        <f>D756-P756</f>
      </c>
      <c r="G756">
        <f>SUMIF(negtgel!U$2:BL$2,'Tsalin uzuulelt'!B$1,negtgel!U756:BL756) + SUMIF(negtgel!U$2:BL$2,'Tsalin uzuulelt'!B$2,negtgel!U756:BL756)+SUMIF(negtgel!U$2:BL$2,'Tsalin uzuulelt'!B$3,negtgel!U756:BL756)+SUMIF(negtgel!U$2:BL$2,'Tsalin uzuulelt'!B$4,negtgel!U756:BL756)+SUMIF(negtgel!U$2:BL$2,'Tsalin uzuulelt'!B$5,negtgel!U756:BL756)</f>
      </c>
      <c r="H756">
        <f>SUMIF(negtgel!U$2:BL$2,'Tsalin uzuulelt'!F$1,negtgel!U756:BL756) + SUMIF(negtgel!U$2:BL$2,'Tsalin uzuulelt'!F$2,negtgel!U756:BL756)+SUMIF(negtgel!U$2:BL$2,'Tsalin uzuulelt'!F$3,negtgel!U756:BL756)+SUMIF(negtgel!U$2:BL$2,'Tsalin uzuulelt'!F$4,negtgel!U756:BL756)+SUMIF(negtgel!U$2:BL$2,'Tsalin uzuulelt'!F$5,negtgel!U756:BL756)</f>
      </c>
      <c r="I756">
        <f>SUMIF(negtgel!U$2:BL$2,'Tsalin uzuulelt'!H$1,negtgel!U756:BL756) + SUMIF(negtgel!U$2:BL$2,'Tsalin uzuulelt'!H$2,negtgel!U756:BL756)+SUMIF(negtgel!U$2:BL$2,'Tsalin uzuulelt'!H$3,negtgel!U756:BL756)+SUMIF(negtgel!U$2:BL$2,'Tsalin uzuulelt'!H$4,negtgel!U756:BL756)+SUMIF(negtgel!U$2:BL$2,'Tsalin uzuulelt'!H$5,negtgel!U756:BL756)</f>
      </c>
      <c r="J756">
        <f>SUMIF(negtgel!U$2:BL$2,'Tsalin uzuulelt'!J$1,negtgel!U756:BL756) + SUMIF(negtgel!U$2:BL$2,'Tsalin uzuulelt'!J$2,negtgel!U756:BL756)+SUMIF(negtgel!U$2:BL$2,'Tsalin uzuulelt'!J$3,negtgel!U756:BL756)+SUMIF(negtgel!U$2:BL$2,'Tsalin uzuulelt'!J$4,negtgel!U756:BL756)+SUMIF(negtgel!U$2:BL$2,'Tsalin uzuulelt'!J$5,negtgel!U756:BL756)</f>
      </c>
      <c r="K756">
        <f>SUMIF(negtgel!U$2:BL$2,'Tsalin uzuulelt'!L$1,negtgel!U756:BL756) + SUMIF(negtgel!U$2:BL$2,'Tsalin uzuulelt'!L$2,negtgel!U756:BL756)+SUMIF(negtgel!U$2:BL$2,'Tsalin uzuulelt'!L$3,negtgel!U756:BL756)+SUMIF(negtgel!U$2:BL$2,'Tsalin uzuulelt'!L$4,negtgel!U756:BL756)+SUMIF(negtgel!U$2:BL$2,'Tsalin uzuulelt'!L$5,negtgel!U756:BL756)</f>
      </c>
      <c r="L756">
        <f>SUMIF(negtgel!U$2:BL$2,'Tsalin uzuulelt'!N$1,negtgel!U756:BL756) + SUMIF(negtgel!U$2:BL$2,'Tsalin uzuulelt'!N$2,negtgel!U756:BL756)+SUMIF(negtgel!U$2:BL$2,'Tsalin uzuulelt'!N$3,negtgel!U756:BL756)+SUMIF(negtgel!U$2:BL$2,'Tsalin uzuulelt'!N$4,negtgel!U756:BL756)+SUMIF(negtgel!U$2:BL$2,'Tsalin uzuulelt'!N$5,negtgel!U756:BL756)</f>
      </c>
      <c r="M756">
        <f>SUMIF(negtgel!U$2:BL$2,'Tsalin uzuulelt'!P$1,negtgel!U756:BL756) + SUMIF(negtgel!U$2:BL$2,'Tsalin uzuulelt'!P$2,negtgel!U756:BL756)+ SUMIF(negtgel!U$2:BL$2,'Tsalin uzuulelt'!P$3,negtgel!U756:BL756)+ SUMIF(negtgel!U$2:BL$2,'Tsalin uzuulelt'!P$4,negtgel!U756:BL756)+ SUMIF(negtgel!U$2:BL$2,'Tsalin uzuulelt'!P$5,negtgel!U756:BL756)</f>
      </c>
      <c r="N756">
        <f>IF(ISNUMBER(U756*1)=CF756,0,K756-H756-G756)</f>
      </c>
      <c r="O756">
        <f>IF(ISNUMBER(U756*1)=CF756,0,L756)</f>
      </c>
      <c r="P756">
        <f>IF(ISNUMBER(U756*1)=CF756,0,M756)</f>
      </c>
      <c r="Q756">
        <f>IF(N756&gt;2400000,N756,0)</f>
      </c>
      <c r="R756">
        <f>IF(L756/Q756*100&lt;3,2,10)</f>
      </c>
      <c r="S756">
        <f>IF(CH756=0,0,IF(B756&gt;9,10,IF(B756&gt;8,B756,IF(B756&gt;7.7,7.8,IF(B756&gt;3,B756,IF(B756&gt;1.5,2))))))</f>
      </c>
      <c r="T756">
        <f>IF(Q756=0,S756,R756)</f>
      </c>
      <c r="U756" t="n">
        <v>151.0</v>
      </c>
      <c r="V756" t="s">
        <v>3869</v>
      </c>
      <c r="W756" t="s">
        <v>3790</v>
      </c>
      <c r="X756" t="n">
        <v>613669.0</v>
      </c>
      <c r="Y756" t="n">
        <v>0.0</v>
      </c>
      <c r="Z756" t="n">
        <v>0.0</v>
      </c>
      <c r="AA756" t="n">
        <v>0.0</v>
      </c>
      <c r="AB756" t="n">
        <v>0.0</v>
      </c>
      <c r="AC756" t="n">
        <v>0.0</v>
      </c>
      <c r="AD756" t="n">
        <v>0.0</v>
      </c>
      <c r="AE756" t="n">
        <v>0.0</v>
      </c>
      <c r="AF756" t="n">
        <v>0.0</v>
      </c>
      <c r="AG756" t="n">
        <v>0.0</v>
      </c>
      <c r="AH756" t="n">
        <v>0.0</v>
      </c>
      <c r="AI756" t="n">
        <v>0.0</v>
      </c>
      <c r="AJ756" t="n">
        <v>0.0</v>
      </c>
      <c r="AK756" t="n">
        <v>0.0</v>
      </c>
      <c r="AL756" t="n">
        <v>0.0</v>
      </c>
      <c r="AM756" t="n">
        <v>0.0</v>
      </c>
      <c r="AN756" t="n">
        <v>0.0</v>
      </c>
      <c r="AO756" t="n">
        <v>0.0</v>
      </c>
      <c r="AP756" t="n">
        <v>0.0</v>
      </c>
      <c r="AQ756" t="n">
        <v>0.0</v>
      </c>
      <c r="CH756">
        <f>IFERROR(U756*1,0)</f>
      </c>
    </row>
    <row r="757">
      <c r="A757" t="n">
        <v>11.0</v>
      </c>
      <c r="B757">
        <f>IF((K757-G757-H757&gt;2400000),10,(L757/(K757-G757-H757)*100))</f>
      </c>
      <c r="C757">
        <f>IF(N757&gt;2400000,240000,(N757*S757)/100)</f>
      </c>
      <c r="D757">
        <f>IF(S757=0,0,IF((N757-I757)&gt;2400000,((((((N757-I757-J757)-240000))*0.1+(I757+J757)*0.1)))-7000,((((((N757-I757-J757)-(N757-I757-J757)*S757/100)))*0.1+(I757+J757)*0.1)-7000)))</f>
      </c>
      <c r="E757">
        <f>C757-O757</f>
      </c>
      <c r="F757">
        <f>D757-P757</f>
      </c>
      <c r="G757">
        <f>SUMIF(negtgel!U$2:BL$2,'Tsalin uzuulelt'!B$1,negtgel!U757:BL757) + SUMIF(negtgel!U$2:BL$2,'Tsalin uzuulelt'!B$2,negtgel!U757:BL757)+SUMIF(negtgel!U$2:BL$2,'Tsalin uzuulelt'!B$3,negtgel!U757:BL757)+SUMIF(negtgel!U$2:BL$2,'Tsalin uzuulelt'!B$4,negtgel!U757:BL757)+SUMIF(negtgel!U$2:BL$2,'Tsalin uzuulelt'!B$5,negtgel!U757:BL757)</f>
      </c>
      <c r="H757">
        <f>SUMIF(negtgel!U$2:BL$2,'Tsalin uzuulelt'!F$1,negtgel!U757:BL757) + SUMIF(negtgel!U$2:BL$2,'Tsalin uzuulelt'!F$2,negtgel!U757:BL757)+SUMIF(negtgel!U$2:BL$2,'Tsalin uzuulelt'!F$3,negtgel!U757:BL757)+SUMIF(negtgel!U$2:BL$2,'Tsalin uzuulelt'!F$4,negtgel!U757:BL757)+SUMIF(negtgel!U$2:BL$2,'Tsalin uzuulelt'!F$5,negtgel!U757:BL757)</f>
      </c>
      <c r="I757">
        <f>SUMIF(negtgel!U$2:BL$2,'Tsalin uzuulelt'!H$1,negtgel!U757:BL757) + SUMIF(negtgel!U$2:BL$2,'Tsalin uzuulelt'!H$2,negtgel!U757:BL757)+SUMIF(negtgel!U$2:BL$2,'Tsalin uzuulelt'!H$3,negtgel!U757:BL757)+SUMIF(negtgel!U$2:BL$2,'Tsalin uzuulelt'!H$4,negtgel!U757:BL757)+SUMIF(negtgel!U$2:BL$2,'Tsalin uzuulelt'!H$5,negtgel!U757:BL757)</f>
      </c>
      <c r="J757">
        <f>SUMIF(negtgel!U$2:BL$2,'Tsalin uzuulelt'!J$1,negtgel!U757:BL757) + SUMIF(negtgel!U$2:BL$2,'Tsalin uzuulelt'!J$2,negtgel!U757:BL757)+SUMIF(negtgel!U$2:BL$2,'Tsalin uzuulelt'!J$3,negtgel!U757:BL757)+SUMIF(negtgel!U$2:BL$2,'Tsalin uzuulelt'!J$4,negtgel!U757:BL757)+SUMIF(negtgel!U$2:BL$2,'Tsalin uzuulelt'!J$5,negtgel!U757:BL757)</f>
      </c>
      <c r="K757">
        <f>SUMIF(negtgel!U$2:BL$2,'Tsalin uzuulelt'!L$1,negtgel!U757:BL757) + SUMIF(negtgel!U$2:BL$2,'Tsalin uzuulelt'!L$2,negtgel!U757:BL757)+SUMIF(negtgel!U$2:BL$2,'Tsalin uzuulelt'!L$3,negtgel!U757:BL757)+SUMIF(negtgel!U$2:BL$2,'Tsalin uzuulelt'!L$4,negtgel!U757:BL757)+SUMIF(negtgel!U$2:BL$2,'Tsalin uzuulelt'!L$5,negtgel!U757:BL757)</f>
      </c>
      <c r="L757">
        <f>SUMIF(negtgel!U$2:BL$2,'Tsalin uzuulelt'!N$1,negtgel!U757:BL757) + SUMIF(negtgel!U$2:BL$2,'Tsalin uzuulelt'!N$2,negtgel!U757:BL757)+SUMIF(negtgel!U$2:BL$2,'Tsalin uzuulelt'!N$3,negtgel!U757:BL757)+SUMIF(negtgel!U$2:BL$2,'Tsalin uzuulelt'!N$4,negtgel!U757:BL757)+SUMIF(negtgel!U$2:BL$2,'Tsalin uzuulelt'!N$5,negtgel!U757:BL757)</f>
      </c>
      <c r="M757">
        <f>SUMIF(negtgel!U$2:BL$2,'Tsalin uzuulelt'!P$1,negtgel!U757:BL757) + SUMIF(negtgel!U$2:BL$2,'Tsalin uzuulelt'!P$2,negtgel!U757:BL757)+ SUMIF(negtgel!U$2:BL$2,'Tsalin uzuulelt'!P$3,negtgel!U757:BL757)+ SUMIF(negtgel!U$2:BL$2,'Tsalin uzuulelt'!P$4,negtgel!U757:BL757)+ SUMIF(negtgel!U$2:BL$2,'Tsalin uzuulelt'!P$5,negtgel!U757:BL757)</f>
      </c>
      <c r="N757">
        <f>IF(ISNUMBER(U757*1)=CF757,0,K757-H757-G757)</f>
      </c>
      <c r="O757">
        <f>IF(ISNUMBER(U757*1)=CF757,0,L757)</f>
      </c>
      <c r="P757">
        <f>IF(ISNUMBER(U757*1)=CF757,0,M757)</f>
      </c>
      <c r="Q757">
        <f>IF(N757&gt;2400000,N757,0)</f>
      </c>
      <c r="R757">
        <f>IF(L757/Q757*100&lt;3,2,10)</f>
      </c>
      <c r="S757">
        <f>IF(CH757=0,0,IF(B757&gt;9,10,IF(B757&gt;8,B757,IF(B757&gt;7.7,7.8,IF(B757&gt;3,B757,IF(B757&gt;1.5,2))))))</f>
      </c>
      <c r="T757">
        <f>IF(Q757=0,S757,R757)</f>
      </c>
      <c r="U757" t="n">
        <v>152.0</v>
      </c>
      <c r="V757" t="s">
        <v>3870</v>
      </c>
      <c r="W757" t="s">
        <v>3790</v>
      </c>
      <c r="X757" t="n">
        <v>580710.0</v>
      </c>
      <c r="Y757" t="n">
        <v>0.0</v>
      </c>
      <c r="Z757" t="n">
        <v>0.0</v>
      </c>
      <c r="AA757" t="n">
        <v>0.0</v>
      </c>
      <c r="AB757" t="n">
        <v>0.0</v>
      </c>
      <c r="AC757" t="n">
        <v>0.0</v>
      </c>
      <c r="AD757" t="n">
        <v>0.0</v>
      </c>
      <c r="AE757" t="n">
        <v>0.0</v>
      </c>
      <c r="AF757" t="n">
        <v>0.0</v>
      </c>
      <c r="AG757" t="n">
        <v>0.0</v>
      </c>
      <c r="AH757" t="n">
        <v>0.0</v>
      </c>
      <c r="AI757" t="n">
        <v>0.0</v>
      </c>
      <c r="AJ757" t="n">
        <v>0.0</v>
      </c>
      <c r="AK757" t="n">
        <v>0.0</v>
      </c>
      <c r="AL757" t="n">
        <v>0.0</v>
      </c>
      <c r="AM757" t="n">
        <v>0.0</v>
      </c>
      <c r="AN757" t="n">
        <v>0.0</v>
      </c>
      <c r="AO757" t="n">
        <v>0.0</v>
      </c>
      <c r="AP757" t="n">
        <v>0.0</v>
      </c>
      <c r="AQ757" t="n">
        <v>0.0</v>
      </c>
      <c r="CH757">
        <f>IFERROR(U757*1,0)</f>
      </c>
    </row>
    <row r="758">
      <c r="A758" t="n">
        <v>11.0</v>
      </c>
      <c r="B758">
        <f>IF((K758-G758-H758&gt;2400000),10,(L758/(K758-G758-H758)*100))</f>
      </c>
      <c r="C758">
        <f>IF(N758&gt;2400000,240000,(N758*S758)/100)</f>
      </c>
      <c r="D758">
        <f>IF(S758=0,0,IF((N758-I758)&gt;2400000,((((((N758-I758-J758)-240000))*0.1+(I758+J758)*0.1)))-7000,((((((N758-I758-J758)-(N758-I758-J758)*S758/100)))*0.1+(I758+J758)*0.1)-7000)))</f>
      </c>
      <c r="E758">
        <f>C758-O758</f>
      </c>
      <c r="F758">
        <f>D758-P758</f>
      </c>
      <c r="G758">
        <f>SUMIF(negtgel!U$2:BL$2,'Tsalin uzuulelt'!B$1,negtgel!U758:BL758) + SUMIF(negtgel!U$2:BL$2,'Tsalin uzuulelt'!B$2,negtgel!U758:BL758)+SUMIF(negtgel!U$2:BL$2,'Tsalin uzuulelt'!B$3,negtgel!U758:BL758)+SUMIF(negtgel!U$2:BL$2,'Tsalin uzuulelt'!B$4,negtgel!U758:BL758)+SUMIF(negtgel!U$2:BL$2,'Tsalin uzuulelt'!B$5,negtgel!U758:BL758)</f>
      </c>
      <c r="H758">
        <f>SUMIF(negtgel!U$2:BL$2,'Tsalin uzuulelt'!F$1,negtgel!U758:BL758) + SUMIF(negtgel!U$2:BL$2,'Tsalin uzuulelt'!F$2,negtgel!U758:BL758)+SUMIF(negtgel!U$2:BL$2,'Tsalin uzuulelt'!F$3,negtgel!U758:BL758)+SUMIF(negtgel!U$2:BL$2,'Tsalin uzuulelt'!F$4,negtgel!U758:BL758)+SUMIF(negtgel!U$2:BL$2,'Tsalin uzuulelt'!F$5,negtgel!U758:BL758)</f>
      </c>
      <c r="I758">
        <f>SUMIF(negtgel!U$2:BL$2,'Tsalin uzuulelt'!H$1,negtgel!U758:BL758) + SUMIF(negtgel!U$2:BL$2,'Tsalin uzuulelt'!H$2,negtgel!U758:BL758)+SUMIF(negtgel!U$2:BL$2,'Tsalin uzuulelt'!H$3,negtgel!U758:BL758)+SUMIF(negtgel!U$2:BL$2,'Tsalin uzuulelt'!H$4,negtgel!U758:BL758)+SUMIF(negtgel!U$2:BL$2,'Tsalin uzuulelt'!H$5,negtgel!U758:BL758)</f>
      </c>
      <c r="J758">
        <f>SUMIF(negtgel!U$2:BL$2,'Tsalin uzuulelt'!J$1,negtgel!U758:BL758) + SUMIF(negtgel!U$2:BL$2,'Tsalin uzuulelt'!J$2,negtgel!U758:BL758)+SUMIF(negtgel!U$2:BL$2,'Tsalin uzuulelt'!J$3,negtgel!U758:BL758)+SUMIF(negtgel!U$2:BL$2,'Tsalin uzuulelt'!J$4,negtgel!U758:BL758)+SUMIF(negtgel!U$2:BL$2,'Tsalin uzuulelt'!J$5,negtgel!U758:BL758)</f>
      </c>
      <c r="K758">
        <f>SUMIF(negtgel!U$2:BL$2,'Tsalin uzuulelt'!L$1,negtgel!U758:BL758) + SUMIF(negtgel!U$2:BL$2,'Tsalin uzuulelt'!L$2,negtgel!U758:BL758)+SUMIF(negtgel!U$2:BL$2,'Tsalin uzuulelt'!L$3,negtgel!U758:BL758)+SUMIF(negtgel!U$2:BL$2,'Tsalin uzuulelt'!L$4,negtgel!U758:BL758)+SUMIF(negtgel!U$2:BL$2,'Tsalin uzuulelt'!L$5,negtgel!U758:BL758)</f>
      </c>
      <c r="L758">
        <f>SUMIF(negtgel!U$2:BL$2,'Tsalin uzuulelt'!N$1,negtgel!U758:BL758) + SUMIF(negtgel!U$2:BL$2,'Tsalin uzuulelt'!N$2,negtgel!U758:BL758)+SUMIF(negtgel!U$2:BL$2,'Tsalin uzuulelt'!N$3,negtgel!U758:BL758)+SUMIF(negtgel!U$2:BL$2,'Tsalin uzuulelt'!N$4,negtgel!U758:BL758)+SUMIF(negtgel!U$2:BL$2,'Tsalin uzuulelt'!N$5,negtgel!U758:BL758)</f>
      </c>
      <c r="M758">
        <f>SUMIF(negtgel!U$2:BL$2,'Tsalin uzuulelt'!P$1,negtgel!U758:BL758) + SUMIF(negtgel!U$2:BL$2,'Tsalin uzuulelt'!P$2,negtgel!U758:BL758)+ SUMIF(negtgel!U$2:BL$2,'Tsalin uzuulelt'!P$3,negtgel!U758:BL758)+ SUMIF(negtgel!U$2:BL$2,'Tsalin uzuulelt'!P$4,negtgel!U758:BL758)+ SUMIF(negtgel!U$2:BL$2,'Tsalin uzuulelt'!P$5,negtgel!U758:BL758)</f>
      </c>
      <c r="N758">
        <f>IF(ISNUMBER(U758*1)=CF758,0,K758-H758-G758)</f>
      </c>
      <c r="O758">
        <f>IF(ISNUMBER(U758*1)=CF758,0,L758)</f>
      </c>
      <c r="P758">
        <f>IF(ISNUMBER(U758*1)=CF758,0,M758)</f>
      </c>
      <c r="Q758">
        <f>IF(N758&gt;2400000,N758,0)</f>
      </c>
      <c r="R758">
        <f>IF(L758/Q758*100&lt;3,2,10)</f>
      </c>
      <c r="S758">
        <f>IF(CH758=0,0,IF(B758&gt;9,10,IF(B758&gt;8,B758,IF(B758&gt;7.7,7.8,IF(B758&gt;3,B758,IF(B758&gt;1.5,2))))))</f>
      </c>
      <c r="T758">
        <f>IF(Q758=0,S758,R758)</f>
      </c>
      <c r="U758" t="n">
        <v>153.0</v>
      </c>
      <c r="V758" t="s">
        <v>3871</v>
      </c>
      <c r="W758" t="s">
        <v>3790</v>
      </c>
      <c r="X758" t="n">
        <v>613669.0</v>
      </c>
      <c r="Y758" t="n">
        <v>0.0</v>
      </c>
      <c r="Z758" t="n">
        <v>0.0</v>
      </c>
      <c r="AA758" t="n">
        <v>0.0</v>
      </c>
      <c r="AB758" t="n">
        <v>0.0</v>
      </c>
      <c r="AC758" t="n">
        <v>0.0</v>
      </c>
      <c r="AD758" t="n">
        <v>0.0</v>
      </c>
      <c r="AE758" t="n">
        <v>0.0</v>
      </c>
      <c r="AF758" t="n">
        <v>0.0</v>
      </c>
      <c r="AG758" t="n">
        <v>0.0</v>
      </c>
      <c r="AH758" t="n">
        <v>0.0</v>
      </c>
      <c r="AI758" t="n">
        <v>0.0</v>
      </c>
      <c r="AJ758" t="n">
        <v>0.0</v>
      </c>
      <c r="AK758" t="n">
        <v>0.0</v>
      </c>
      <c r="AL758" t="n">
        <v>0.0</v>
      </c>
      <c r="AM758" t="n">
        <v>0.0</v>
      </c>
      <c r="AN758" t="n">
        <v>0.0</v>
      </c>
      <c r="AO758" t="n">
        <v>0.0</v>
      </c>
      <c r="AP758" t="n">
        <v>0.0</v>
      </c>
      <c r="AQ758" t="n">
        <v>0.0</v>
      </c>
      <c r="CH758">
        <f>IFERROR(U758*1,0)</f>
      </c>
    </row>
    <row r="759">
      <c r="A759" t="n">
        <v>11.0</v>
      </c>
      <c r="B759">
        <f>IF((K759-G759-H759&gt;2400000),10,(L759/(K759-G759-H759)*100))</f>
      </c>
      <c r="C759">
        <f>IF(N759&gt;2400000,240000,(N759*S759)/100)</f>
      </c>
      <c r="D759">
        <f>IF(S759=0,0,IF((N759-I759)&gt;2400000,((((((N759-I759-J759)-240000))*0.1+(I759+J759)*0.1)))-7000,((((((N759-I759-J759)-(N759-I759-J759)*S759/100)))*0.1+(I759+J759)*0.1)-7000)))</f>
      </c>
      <c r="E759">
        <f>C759-O759</f>
      </c>
      <c r="F759">
        <f>D759-P759</f>
      </c>
      <c r="G759">
        <f>SUMIF(negtgel!U$2:BL$2,'Tsalin uzuulelt'!B$1,negtgel!U759:BL759) + SUMIF(negtgel!U$2:BL$2,'Tsalin uzuulelt'!B$2,negtgel!U759:BL759)+SUMIF(negtgel!U$2:BL$2,'Tsalin uzuulelt'!B$3,negtgel!U759:BL759)+SUMIF(negtgel!U$2:BL$2,'Tsalin uzuulelt'!B$4,negtgel!U759:BL759)+SUMIF(negtgel!U$2:BL$2,'Tsalin uzuulelt'!B$5,negtgel!U759:BL759)</f>
      </c>
      <c r="H759">
        <f>SUMIF(negtgel!U$2:BL$2,'Tsalin uzuulelt'!F$1,negtgel!U759:BL759) + SUMIF(negtgel!U$2:BL$2,'Tsalin uzuulelt'!F$2,negtgel!U759:BL759)+SUMIF(negtgel!U$2:BL$2,'Tsalin uzuulelt'!F$3,negtgel!U759:BL759)+SUMIF(negtgel!U$2:BL$2,'Tsalin uzuulelt'!F$4,negtgel!U759:BL759)+SUMIF(negtgel!U$2:BL$2,'Tsalin uzuulelt'!F$5,negtgel!U759:BL759)</f>
      </c>
      <c r="I759">
        <f>SUMIF(negtgel!U$2:BL$2,'Tsalin uzuulelt'!H$1,negtgel!U759:BL759) + SUMIF(negtgel!U$2:BL$2,'Tsalin uzuulelt'!H$2,negtgel!U759:BL759)+SUMIF(negtgel!U$2:BL$2,'Tsalin uzuulelt'!H$3,negtgel!U759:BL759)+SUMIF(negtgel!U$2:BL$2,'Tsalin uzuulelt'!H$4,negtgel!U759:BL759)+SUMIF(negtgel!U$2:BL$2,'Tsalin uzuulelt'!H$5,negtgel!U759:BL759)</f>
      </c>
      <c r="J759">
        <f>SUMIF(negtgel!U$2:BL$2,'Tsalin uzuulelt'!J$1,negtgel!U759:BL759) + SUMIF(negtgel!U$2:BL$2,'Tsalin uzuulelt'!J$2,negtgel!U759:BL759)+SUMIF(negtgel!U$2:BL$2,'Tsalin uzuulelt'!J$3,negtgel!U759:BL759)+SUMIF(negtgel!U$2:BL$2,'Tsalin uzuulelt'!J$4,negtgel!U759:BL759)+SUMIF(negtgel!U$2:BL$2,'Tsalin uzuulelt'!J$5,negtgel!U759:BL759)</f>
      </c>
      <c r="K759">
        <f>SUMIF(negtgel!U$2:BL$2,'Tsalin uzuulelt'!L$1,negtgel!U759:BL759) + SUMIF(negtgel!U$2:BL$2,'Tsalin uzuulelt'!L$2,negtgel!U759:BL759)+SUMIF(negtgel!U$2:BL$2,'Tsalin uzuulelt'!L$3,negtgel!U759:BL759)+SUMIF(negtgel!U$2:BL$2,'Tsalin uzuulelt'!L$4,negtgel!U759:BL759)+SUMIF(negtgel!U$2:BL$2,'Tsalin uzuulelt'!L$5,negtgel!U759:BL759)</f>
      </c>
      <c r="L759">
        <f>SUMIF(negtgel!U$2:BL$2,'Tsalin uzuulelt'!N$1,negtgel!U759:BL759) + SUMIF(negtgel!U$2:BL$2,'Tsalin uzuulelt'!N$2,negtgel!U759:BL759)+SUMIF(negtgel!U$2:BL$2,'Tsalin uzuulelt'!N$3,negtgel!U759:BL759)+SUMIF(negtgel!U$2:BL$2,'Tsalin uzuulelt'!N$4,negtgel!U759:BL759)+SUMIF(negtgel!U$2:BL$2,'Tsalin uzuulelt'!N$5,negtgel!U759:BL759)</f>
      </c>
      <c r="M759">
        <f>SUMIF(negtgel!U$2:BL$2,'Tsalin uzuulelt'!P$1,negtgel!U759:BL759) + SUMIF(negtgel!U$2:BL$2,'Tsalin uzuulelt'!P$2,negtgel!U759:BL759)+ SUMIF(negtgel!U$2:BL$2,'Tsalin uzuulelt'!P$3,negtgel!U759:BL759)+ SUMIF(negtgel!U$2:BL$2,'Tsalin uzuulelt'!P$4,negtgel!U759:BL759)+ SUMIF(negtgel!U$2:BL$2,'Tsalin uzuulelt'!P$5,negtgel!U759:BL759)</f>
      </c>
      <c r="N759">
        <f>IF(ISNUMBER(U759*1)=CF759,0,K759-H759-G759)</f>
      </c>
      <c r="O759">
        <f>IF(ISNUMBER(U759*1)=CF759,0,L759)</f>
      </c>
      <c r="P759">
        <f>IF(ISNUMBER(U759*1)=CF759,0,M759)</f>
      </c>
      <c r="Q759">
        <f>IF(N759&gt;2400000,N759,0)</f>
      </c>
      <c r="R759">
        <f>IF(L759/Q759*100&lt;3,2,10)</f>
      </c>
      <c r="S759">
        <f>IF(CH759=0,0,IF(B759&gt;9,10,IF(B759&gt;8,B759,IF(B759&gt;7.7,7.8,IF(B759&gt;3,B759,IF(B759&gt;1.5,2))))))</f>
      </c>
      <c r="T759">
        <f>IF(Q759=0,S759,R759)</f>
      </c>
      <c r="U759" t="n">
        <v>154.0</v>
      </c>
      <c r="V759" t="s">
        <v>3855</v>
      </c>
      <c r="W759" t="s">
        <v>3790</v>
      </c>
      <c r="X759" t="n">
        <v>580710.0</v>
      </c>
      <c r="Y759" t="n">
        <v>0.0</v>
      </c>
      <c r="Z759" t="n">
        <v>0.0</v>
      </c>
      <c r="AA759" t="n">
        <v>0.0</v>
      </c>
      <c r="AB759" t="n">
        <v>0.0</v>
      </c>
      <c r="AC759" t="n">
        <v>0.0</v>
      </c>
      <c r="AD759" t="n">
        <v>0.0</v>
      </c>
      <c r="AE759" t="n">
        <v>0.0</v>
      </c>
      <c r="AF759" t="n">
        <v>0.0</v>
      </c>
      <c r="AG759" t="n">
        <v>0.0</v>
      </c>
      <c r="AH759" t="n">
        <v>0.0</v>
      </c>
      <c r="AI759" t="n">
        <v>0.0</v>
      </c>
      <c r="AJ759" t="n">
        <v>0.0</v>
      </c>
      <c r="AK759" t="n">
        <v>0.0</v>
      </c>
      <c r="AL759" t="n">
        <v>0.0</v>
      </c>
      <c r="AM759" t="n">
        <v>0.0</v>
      </c>
      <c r="AN759" t="n">
        <v>0.0</v>
      </c>
      <c r="AO759" t="n">
        <v>0.0</v>
      </c>
      <c r="AP759" t="n">
        <v>0.0</v>
      </c>
      <c r="AQ759" t="n">
        <v>0.0</v>
      </c>
      <c r="CH759">
        <f>IFERROR(U759*1,0)</f>
      </c>
    </row>
    <row r="760">
      <c r="A760" t="n">
        <v>11.0</v>
      </c>
      <c r="B760">
        <f>IF((K760-G760-H760&gt;2400000),10,(L760/(K760-G760-H760)*100))</f>
      </c>
      <c r="C760">
        <f>IF(N760&gt;2400000,240000,(N760*S760)/100)</f>
      </c>
      <c r="D760">
        <f>IF(S760=0,0,IF((N760-I760)&gt;2400000,((((((N760-I760-J760)-240000))*0.1+(I760+J760)*0.1)))-7000,((((((N760-I760-J760)-(N760-I760-J760)*S760/100)))*0.1+(I760+J760)*0.1)-7000)))</f>
      </c>
      <c r="E760">
        <f>C760-O760</f>
      </c>
      <c r="F760">
        <f>D760-P760</f>
      </c>
      <c r="G760">
        <f>SUMIF(negtgel!U$2:BL$2,'Tsalin uzuulelt'!B$1,negtgel!U760:BL760) + SUMIF(negtgel!U$2:BL$2,'Tsalin uzuulelt'!B$2,negtgel!U760:BL760)+SUMIF(negtgel!U$2:BL$2,'Tsalin uzuulelt'!B$3,negtgel!U760:BL760)+SUMIF(negtgel!U$2:BL$2,'Tsalin uzuulelt'!B$4,negtgel!U760:BL760)+SUMIF(negtgel!U$2:BL$2,'Tsalin uzuulelt'!B$5,negtgel!U760:BL760)</f>
      </c>
      <c r="H760">
        <f>SUMIF(negtgel!U$2:BL$2,'Tsalin uzuulelt'!F$1,negtgel!U760:BL760) + SUMIF(negtgel!U$2:BL$2,'Tsalin uzuulelt'!F$2,negtgel!U760:BL760)+SUMIF(negtgel!U$2:BL$2,'Tsalin uzuulelt'!F$3,negtgel!U760:BL760)+SUMIF(negtgel!U$2:BL$2,'Tsalin uzuulelt'!F$4,negtgel!U760:BL760)+SUMIF(negtgel!U$2:BL$2,'Tsalin uzuulelt'!F$5,negtgel!U760:BL760)</f>
      </c>
      <c r="I760">
        <f>SUMIF(negtgel!U$2:BL$2,'Tsalin uzuulelt'!H$1,negtgel!U760:BL760) + SUMIF(negtgel!U$2:BL$2,'Tsalin uzuulelt'!H$2,negtgel!U760:BL760)+SUMIF(negtgel!U$2:BL$2,'Tsalin uzuulelt'!H$3,negtgel!U760:BL760)+SUMIF(negtgel!U$2:BL$2,'Tsalin uzuulelt'!H$4,negtgel!U760:BL760)+SUMIF(negtgel!U$2:BL$2,'Tsalin uzuulelt'!H$5,negtgel!U760:BL760)</f>
      </c>
      <c r="J760">
        <f>SUMIF(negtgel!U$2:BL$2,'Tsalin uzuulelt'!J$1,negtgel!U760:BL760) + SUMIF(negtgel!U$2:BL$2,'Tsalin uzuulelt'!J$2,negtgel!U760:BL760)+SUMIF(negtgel!U$2:BL$2,'Tsalin uzuulelt'!J$3,negtgel!U760:BL760)+SUMIF(negtgel!U$2:BL$2,'Tsalin uzuulelt'!J$4,negtgel!U760:BL760)+SUMIF(negtgel!U$2:BL$2,'Tsalin uzuulelt'!J$5,negtgel!U760:BL760)</f>
      </c>
      <c r="K760">
        <f>SUMIF(negtgel!U$2:BL$2,'Tsalin uzuulelt'!L$1,negtgel!U760:BL760) + SUMIF(negtgel!U$2:BL$2,'Tsalin uzuulelt'!L$2,negtgel!U760:BL760)+SUMIF(negtgel!U$2:BL$2,'Tsalin uzuulelt'!L$3,negtgel!U760:BL760)+SUMIF(negtgel!U$2:BL$2,'Tsalin uzuulelt'!L$4,negtgel!U760:BL760)+SUMIF(negtgel!U$2:BL$2,'Tsalin uzuulelt'!L$5,negtgel!U760:BL760)</f>
      </c>
      <c r="L760">
        <f>SUMIF(negtgel!U$2:BL$2,'Tsalin uzuulelt'!N$1,negtgel!U760:BL760) + SUMIF(negtgel!U$2:BL$2,'Tsalin uzuulelt'!N$2,negtgel!U760:BL760)+SUMIF(negtgel!U$2:BL$2,'Tsalin uzuulelt'!N$3,negtgel!U760:BL760)+SUMIF(negtgel!U$2:BL$2,'Tsalin uzuulelt'!N$4,negtgel!U760:BL760)+SUMIF(negtgel!U$2:BL$2,'Tsalin uzuulelt'!N$5,negtgel!U760:BL760)</f>
      </c>
      <c r="M760">
        <f>SUMIF(negtgel!U$2:BL$2,'Tsalin uzuulelt'!P$1,negtgel!U760:BL760) + SUMIF(negtgel!U$2:BL$2,'Tsalin uzuulelt'!P$2,negtgel!U760:BL760)+ SUMIF(negtgel!U$2:BL$2,'Tsalin uzuulelt'!P$3,negtgel!U760:BL760)+ SUMIF(negtgel!U$2:BL$2,'Tsalin uzuulelt'!P$4,negtgel!U760:BL760)+ SUMIF(negtgel!U$2:BL$2,'Tsalin uzuulelt'!P$5,negtgel!U760:BL760)</f>
      </c>
      <c r="N760">
        <f>IF(ISNUMBER(U760*1)=CF760,0,K760-H760-G760)</f>
      </c>
      <c r="O760">
        <f>IF(ISNUMBER(U760*1)=CF760,0,L760)</f>
      </c>
      <c r="P760">
        <f>IF(ISNUMBER(U760*1)=CF760,0,M760)</f>
      </c>
      <c r="Q760">
        <f>IF(N760&gt;2400000,N760,0)</f>
      </c>
      <c r="R760">
        <f>IF(L760/Q760*100&lt;3,2,10)</f>
      </c>
      <c r="S760">
        <f>IF(CH760=0,0,IF(B760&gt;9,10,IF(B760&gt;8,B760,IF(B760&gt;7.7,7.8,IF(B760&gt;3,B760,IF(B760&gt;1.5,2))))))</f>
      </c>
      <c r="T760">
        <f>IF(Q760=0,S760,R760)</f>
      </c>
      <c r="U760" t="n">
        <v>155.0</v>
      </c>
      <c r="V760" t="s">
        <v>3863</v>
      </c>
      <c r="W760" t="s">
        <v>3790</v>
      </c>
      <c r="X760" t="n">
        <v>577826.0</v>
      </c>
      <c r="Y760" t="n">
        <v>0.0</v>
      </c>
      <c r="Z760" t="n">
        <v>0.0</v>
      </c>
      <c r="AA760" t="n">
        <v>0.0</v>
      </c>
      <c r="AB760" t="n">
        <v>0.0</v>
      </c>
      <c r="AC760" t="n">
        <v>0.0</v>
      </c>
      <c r="AD760" t="n">
        <v>0.0</v>
      </c>
      <c r="AE760" t="n">
        <v>0.0</v>
      </c>
      <c r="AF760" t="n">
        <v>0.0</v>
      </c>
      <c r="AG760" t="n">
        <v>0.0</v>
      </c>
      <c r="AH760" t="n">
        <v>0.0</v>
      </c>
      <c r="AI760" t="n">
        <v>0.0</v>
      </c>
      <c r="AJ760" t="n">
        <v>0.0</v>
      </c>
      <c r="AK760" t="n">
        <v>0.0</v>
      </c>
      <c r="AL760" t="n">
        <v>0.0</v>
      </c>
      <c r="AM760" t="n">
        <v>0.0</v>
      </c>
      <c r="AN760" t="n">
        <v>0.0</v>
      </c>
      <c r="AO760" t="n">
        <v>0.0</v>
      </c>
      <c r="AP760" t="n">
        <v>0.0</v>
      </c>
      <c r="AQ760" t="n">
        <v>0.0</v>
      </c>
      <c r="CH760">
        <f>IFERROR(U760*1,0)</f>
      </c>
    </row>
    <row r="761">
      <c r="A761" t="n">
        <v>11.0</v>
      </c>
      <c r="B761">
        <f>IF((K761-G761-H761&gt;2400000),10,(L761/(K761-G761-H761)*100))</f>
      </c>
      <c r="C761">
        <f>IF(N761&gt;2400000,240000,(N761*S761)/100)</f>
      </c>
      <c r="D761">
        <f>IF(S761=0,0,IF((N761-I761)&gt;2400000,((((((N761-I761-J761)-240000))*0.1+(I761+J761)*0.1)))-7000,((((((N761-I761-J761)-(N761-I761-J761)*S761/100)))*0.1+(I761+J761)*0.1)-7000)))</f>
      </c>
      <c r="E761">
        <f>C761-O761</f>
      </c>
      <c r="F761">
        <f>D761-P761</f>
      </c>
      <c r="G761">
        <f>SUMIF(negtgel!U$2:BL$2,'Tsalin uzuulelt'!B$1,negtgel!U761:BL761) + SUMIF(negtgel!U$2:BL$2,'Tsalin uzuulelt'!B$2,negtgel!U761:BL761)+SUMIF(negtgel!U$2:BL$2,'Tsalin uzuulelt'!B$3,negtgel!U761:BL761)+SUMIF(negtgel!U$2:BL$2,'Tsalin uzuulelt'!B$4,negtgel!U761:BL761)+SUMIF(negtgel!U$2:BL$2,'Tsalin uzuulelt'!B$5,negtgel!U761:BL761)</f>
      </c>
      <c r="H761">
        <f>SUMIF(negtgel!U$2:BL$2,'Tsalin uzuulelt'!F$1,negtgel!U761:BL761) + SUMIF(negtgel!U$2:BL$2,'Tsalin uzuulelt'!F$2,negtgel!U761:BL761)+SUMIF(negtgel!U$2:BL$2,'Tsalin uzuulelt'!F$3,negtgel!U761:BL761)+SUMIF(negtgel!U$2:BL$2,'Tsalin uzuulelt'!F$4,negtgel!U761:BL761)+SUMIF(negtgel!U$2:BL$2,'Tsalin uzuulelt'!F$5,negtgel!U761:BL761)</f>
      </c>
      <c r="I761">
        <f>SUMIF(negtgel!U$2:BL$2,'Tsalin uzuulelt'!H$1,negtgel!U761:BL761) + SUMIF(negtgel!U$2:BL$2,'Tsalin uzuulelt'!H$2,negtgel!U761:BL761)+SUMIF(negtgel!U$2:BL$2,'Tsalin uzuulelt'!H$3,negtgel!U761:BL761)+SUMIF(negtgel!U$2:BL$2,'Tsalin uzuulelt'!H$4,negtgel!U761:BL761)+SUMIF(negtgel!U$2:BL$2,'Tsalin uzuulelt'!H$5,negtgel!U761:BL761)</f>
      </c>
      <c r="J761">
        <f>SUMIF(negtgel!U$2:BL$2,'Tsalin uzuulelt'!J$1,negtgel!U761:BL761) + SUMIF(negtgel!U$2:BL$2,'Tsalin uzuulelt'!J$2,negtgel!U761:BL761)+SUMIF(negtgel!U$2:BL$2,'Tsalin uzuulelt'!J$3,negtgel!U761:BL761)+SUMIF(negtgel!U$2:BL$2,'Tsalin uzuulelt'!J$4,negtgel!U761:BL761)+SUMIF(negtgel!U$2:BL$2,'Tsalin uzuulelt'!J$5,negtgel!U761:BL761)</f>
      </c>
      <c r="K761">
        <f>SUMIF(negtgel!U$2:BL$2,'Tsalin uzuulelt'!L$1,negtgel!U761:BL761) + SUMIF(negtgel!U$2:BL$2,'Tsalin uzuulelt'!L$2,negtgel!U761:BL761)+SUMIF(negtgel!U$2:BL$2,'Tsalin uzuulelt'!L$3,negtgel!U761:BL761)+SUMIF(negtgel!U$2:BL$2,'Tsalin uzuulelt'!L$4,negtgel!U761:BL761)+SUMIF(negtgel!U$2:BL$2,'Tsalin uzuulelt'!L$5,negtgel!U761:BL761)</f>
      </c>
      <c r="L761">
        <f>SUMIF(negtgel!U$2:BL$2,'Tsalin uzuulelt'!N$1,negtgel!U761:BL761) + SUMIF(negtgel!U$2:BL$2,'Tsalin uzuulelt'!N$2,negtgel!U761:BL761)+SUMIF(negtgel!U$2:BL$2,'Tsalin uzuulelt'!N$3,negtgel!U761:BL761)+SUMIF(negtgel!U$2:BL$2,'Tsalin uzuulelt'!N$4,negtgel!U761:BL761)+SUMIF(negtgel!U$2:BL$2,'Tsalin uzuulelt'!N$5,negtgel!U761:BL761)</f>
      </c>
      <c r="M761">
        <f>SUMIF(negtgel!U$2:BL$2,'Tsalin uzuulelt'!P$1,negtgel!U761:BL761) + SUMIF(negtgel!U$2:BL$2,'Tsalin uzuulelt'!P$2,negtgel!U761:BL761)+ SUMIF(negtgel!U$2:BL$2,'Tsalin uzuulelt'!P$3,negtgel!U761:BL761)+ SUMIF(negtgel!U$2:BL$2,'Tsalin uzuulelt'!P$4,negtgel!U761:BL761)+ SUMIF(negtgel!U$2:BL$2,'Tsalin uzuulelt'!P$5,negtgel!U761:BL761)</f>
      </c>
      <c r="N761">
        <f>IF(ISNUMBER(U761*1)=CF761,0,K761-H761-G761)</f>
      </c>
      <c r="O761">
        <f>IF(ISNUMBER(U761*1)=CF761,0,L761)</f>
      </c>
      <c r="P761">
        <f>IF(ISNUMBER(U761*1)=CF761,0,M761)</f>
      </c>
      <c r="Q761">
        <f>IF(N761&gt;2400000,N761,0)</f>
      </c>
      <c r="R761">
        <f>IF(L761/Q761*100&lt;3,2,10)</f>
      </c>
      <c r="S761">
        <f>IF(CH761=0,0,IF(B761&gt;9,10,IF(B761&gt;8,B761,IF(B761&gt;7.7,7.8,IF(B761&gt;3,B761,IF(B761&gt;1.5,2))))))</f>
      </c>
      <c r="T761">
        <f>IF(Q761=0,S761,R761)</f>
      </c>
      <c r="U761" t="n">
        <v>156.0</v>
      </c>
      <c r="V761" t="s">
        <v>3786</v>
      </c>
      <c r="W761" t="s">
        <v>3785</v>
      </c>
      <c r="X761" t="n">
        <v>627465.0</v>
      </c>
      <c r="Y761" t="n">
        <v>0.0</v>
      </c>
      <c r="Z761" t="n">
        <v>0.0</v>
      </c>
      <c r="AA761" t="n">
        <v>0.0</v>
      </c>
      <c r="AB761" t="n">
        <v>0.0</v>
      </c>
      <c r="AC761" t="n">
        <v>0.0</v>
      </c>
      <c r="AD761" t="n">
        <v>0.0</v>
      </c>
      <c r="AE761" t="n">
        <v>0.0</v>
      </c>
      <c r="AF761" t="n">
        <v>0.0</v>
      </c>
      <c r="AG761" t="n">
        <v>0.0</v>
      </c>
      <c r="AH761" t="n">
        <v>0.0</v>
      </c>
      <c r="AI761" t="n">
        <v>0.0</v>
      </c>
      <c r="AJ761" t="n">
        <v>0.0</v>
      </c>
      <c r="AK761" t="n">
        <v>0.0</v>
      </c>
      <c r="AL761" t="n">
        <v>0.0</v>
      </c>
      <c r="AM761" t="n">
        <v>0.0</v>
      </c>
      <c r="AN761" t="n">
        <v>0.0</v>
      </c>
      <c r="AO761" t="n">
        <v>0.0</v>
      </c>
      <c r="AP761" t="n">
        <v>0.0</v>
      </c>
      <c r="AQ761" t="n">
        <v>0.0</v>
      </c>
      <c r="CH761">
        <f>IFERROR(U761*1,0)</f>
      </c>
    </row>
    <row r="762">
      <c r="A762" t="n">
        <v>11.0</v>
      </c>
      <c r="B762">
        <f>IF((K762-G762-H762&gt;2400000),10,(L762/(K762-G762-H762)*100))</f>
      </c>
      <c r="C762">
        <f>IF(N762&gt;2400000,240000,(N762*S762)/100)</f>
      </c>
      <c r="D762">
        <f>IF(S762=0,0,IF((N762-I762)&gt;2400000,((((((N762-I762-J762)-240000))*0.1+(I762+J762)*0.1)))-7000,((((((N762-I762-J762)-(N762-I762-J762)*S762/100)))*0.1+(I762+J762)*0.1)-7000)))</f>
      </c>
      <c r="E762">
        <f>C762-O762</f>
      </c>
      <c r="F762">
        <f>D762-P762</f>
      </c>
      <c r="G762">
        <f>SUMIF(negtgel!U$2:BL$2,'Tsalin uzuulelt'!B$1,negtgel!U762:BL762) + SUMIF(negtgel!U$2:BL$2,'Tsalin uzuulelt'!B$2,negtgel!U762:BL762)+SUMIF(negtgel!U$2:BL$2,'Tsalin uzuulelt'!B$3,negtgel!U762:BL762)+SUMIF(negtgel!U$2:BL$2,'Tsalin uzuulelt'!B$4,negtgel!U762:BL762)+SUMIF(negtgel!U$2:BL$2,'Tsalin uzuulelt'!B$5,negtgel!U762:BL762)</f>
      </c>
      <c r="H762">
        <f>SUMIF(negtgel!U$2:BL$2,'Tsalin uzuulelt'!F$1,negtgel!U762:BL762) + SUMIF(negtgel!U$2:BL$2,'Tsalin uzuulelt'!F$2,negtgel!U762:BL762)+SUMIF(negtgel!U$2:BL$2,'Tsalin uzuulelt'!F$3,negtgel!U762:BL762)+SUMIF(negtgel!U$2:BL$2,'Tsalin uzuulelt'!F$4,negtgel!U762:BL762)+SUMIF(negtgel!U$2:BL$2,'Tsalin uzuulelt'!F$5,negtgel!U762:BL762)</f>
      </c>
      <c r="I762">
        <f>SUMIF(negtgel!U$2:BL$2,'Tsalin uzuulelt'!H$1,negtgel!U762:BL762) + SUMIF(negtgel!U$2:BL$2,'Tsalin uzuulelt'!H$2,negtgel!U762:BL762)+SUMIF(negtgel!U$2:BL$2,'Tsalin uzuulelt'!H$3,negtgel!U762:BL762)+SUMIF(negtgel!U$2:BL$2,'Tsalin uzuulelt'!H$4,negtgel!U762:BL762)+SUMIF(negtgel!U$2:BL$2,'Tsalin uzuulelt'!H$5,negtgel!U762:BL762)</f>
      </c>
      <c r="J762">
        <f>SUMIF(negtgel!U$2:BL$2,'Tsalin uzuulelt'!J$1,negtgel!U762:BL762) + SUMIF(negtgel!U$2:BL$2,'Tsalin uzuulelt'!J$2,negtgel!U762:BL762)+SUMIF(negtgel!U$2:BL$2,'Tsalin uzuulelt'!J$3,negtgel!U762:BL762)+SUMIF(negtgel!U$2:BL$2,'Tsalin uzuulelt'!J$4,negtgel!U762:BL762)+SUMIF(negtgel!U$2:BL$2,'Tsalin uzuulelt'!J$5,negtgel!U762:BL762)</f>
      </c>
      <c r="K762">
        <f>SUMIF(negtgel!U$2:BL$2,'Tsalin uzuulelt'!L$1,negtgel!U762:BL762) + SUMIF(negtgel!U$2:BL$2,'Tsalin uzuulelt'!L$2,negtgel!U762:BL762)+SUMIF(negtgel!U$2:BL$2,'Tsalin uzuulelt'!L$3,negtgel!U762:BL762)+SUMIF(negtgel!U$2:BL$2,'Tsalin uzuulelt'!L$4,negtgel!U762:BL762)+SUMIF(negtgel!U$2:BL$2,'Tsalin uzuulelt'!L$5,negtgel!U762:BL762)</f>
      </c>
      <c r="L762">
        <f>SUMIF(negtgel!U$2:BL$2,'Tsalin uzuulelt'!N$1,negtgel!U762:BL762) + SUMIF(negtgel!U$2:BL$2,'Tsalin uzuulelt'!N$2,negtgel!U762:BL762)+SUMIF(negtgel!U$2:BL$2,'Tsalin uzuulelt'!N$3,negtgel!U762:BL762)+SUMIF(negtgel!U$2:BL$2,'Tsalin uzuulelt'!N$4,negtgel!U762:BL762)+SUMIF(negtgel!U$2:BL$2,'Tsalin uzuulelt'!N$5,negtgel!U762:BL762)</f>
      </c>
      <c r="M762">
        <f>SUMIF(negtgel!U$2:BL$2,'Tsalin uzuulelt'!P$1,negtgel!U762:BL762) + SUMIF(negtgel!U$2:BL$2,'Tsalin uzuulelt'!P$2,negtgel!U762:BL762)+ SUMIF(negtgel!U$2:BL$2,'Tsalin uzuulelt'!P$3,negtgel!U762:BL762)+ SUMIF(negtgel!U$2:BL$2,'Tsalin uzuulelt'!P$4,negtgel!U762:BL762)+ SUMIF(negtgel!U$2:BL$2,'Tsalin uzuulelt'!P$5,negtgel!U762:BL762)</f>
      </c>
      <c r="N762">
        <f>IF(ISNUMBER(U762*1)=CF762,0,K762-H762-G762)</f>
      </c>
      <c r="O762">
        <f>IF(ISNUMBER(U762*1)=CF762,0,L762)</f>
      </c>
      <c r="P762">
        <f>IF(ISNUMBER(U762*1)=CF762,0,M762)</f>
      </c>
      <c r="Q762">
        <f>IF(N762&gt;2400000,N762,0)</f>
      </c>
      <c r="R762">
        <f>IF(L762/Q762*100&lt;3,2,10)</f>
      </c>
      <c r="S762">
        <f>IF(CH762=0,0,IF(B762&gt;9,10,IF(B762&gt;8,B762,IF(B762&gt;7.7,7.8,IF(B762&gt;3,B762,IF(B762&gt;1.5,2))))))</f>
      </c>
      <c r="T762">
        <f>IF(Q762=0,S762,R762)</f>
      </c>
      <c r="U762" t="n">
        <v>157.0</v>
      </c>
      <c r="V762" t="s">
        <v>3860</v>
      </c>
      <c r="W762" t="s">
        <v>3790</v>
      </c>
      <c r="X762" t="n">
        <v>547759.0</v>
      </c>
      <c r="Y762" t="n">
        <v>0.0</v>
      </c>
      <c r="Z762" t="n">
        <v>0.0</v>
      </c>
      <c r="AA762" t="n">
        <v>0.0</v>
      </c>
      <c r="AB762" t="n">
        <v>0.0</v>
      </c>
      <c r="AC762" t="n">
        <v>0.0</v>
      </c>
      <c r="AD762" t="n">
        <v>0.0</v>
      </c>
      <c r="AE762" t="n">
        <v>0.0</v>
      </c>
      <c r="AF762" t="n">
        <v>0.0</v>
      </c>
      <c r="AG762" t="n">
        <v>0.0</v>
      </c>
      <c r="AH762" t="n">
        <v>0.0</v>
      </c>
      <c r="AI762" t="n">
        <v>0.0</v>
      </c>
      <c r="AJ762" t="n">
        <v>0.0</v>
      </c>
      <c r="AK762" t="n">
        <v>0.0</v>
      </c>
      <c r="AL762" t="n">
        <v>0.0</v>
      </c>
      <c r="AM762" t="n">
        <v>0.0</v>
      </c>
      <c r="AN762" t="n">
        <v>0.0</v>
      </c>
      <c r="AO762" t="n">
        <v>0.0</v>
      </c>
      <c r="AP762" t="n">
        <v>0.0</v>
      </c>
      <c r="AQ762" t="n">
        <v>0.0</v>
      </c>
      <c r="CH762">
        <f>IFERROR(U762*1,0)</f>
      </c>
    </row>
    <row r="765">
      <c r="A765" t="n">
        <v>12.0</v>
      </c>
      <c r="B765">
        <f>IF((K765-G765-H765&gt;2400000),10,(L765/(K765-G765-H765)*100))</f>
      </c>
      <c r="C765">
        <f>IF(N765&gt;2400000,240000,(N765*S765)/100)</f>
      </c>
      <c r="D765">
        <f>IF(S765=0,0,IF((N765-I765)&gt;2400000,((((((N765-I765-J765)-240000))*0.1+(I765+J765)*0.1)))-7000,((((((N765-I765-J765)-(N765-I765-J765)*S765/100)))*0.1+(I765+J765)*0.1)-7000)))</f>
      </c>
      <c r="E765">
        <f>C765-O765</f>
      </c>
      <c r="F765">
        <f>D765-P765</f>
      </c>
      <c r="G765">
        <f>SUMIF(negtgel!U$2:BL$2,'Tsalin uzuulelt'!B$1,negtgel!U765:BL765) + SUMIF(negtgel!U$2:BL$2,'Tsalin uzuulelt'!B$2,negtgel!U765:BL765)+SUMIF(negtgel!U$2:BL$2,'Tsalin uzuulelt'!B$3,negtgel!U765:BL765)+SUMIF(negtgel!U$2:BL$2,'Tsalin uzuulelt'!B$4,negtgel!U765:BL765)+SUMIF(negtgel!U$2:BL$2,'Tsalin uzuulelt'!B$5,negtgel!U765:BL765)</f>
      </c>
      <c r="H765">
        <f>SUMIF(negtgel!U$2:BL$2,'Tsalin uzuulelt'!F$1,negtgel!U765:BL765) + SUMIF(negtgel!U$2:BL$2,'Tsalin uzuulelt'!F$2,negtgel!U765:BL765)+SUMIF(negtgel!U$2:BL$2,'Tsalin uzuulelt'!F$3,negtgel!U765:BL765)+SUMIF(negtgel!U$2:BL$2,'Tsalin uzuulelt'!F$4,negtgel!U765:BL765)+SUMIF(negtgel!U$2:BL$2,'Tsalin uzuulelt'!F$5,negtgel!U765:BL765)</f>
      </c>
      <c r="I765">
        <f>SUMIF(negtgel!U$2:BL$2,'Tsalin uzuulelt'!H$1,negtgel!U765:BL765) + SUMIF(negtgel!U$2:BL$2,'Tsalin uzuulelt'!H$2,negtgel!U765:BL765)+SUMIF(negtgel!U$2:BL$2,'Tsalin uzuulelt'!H$3,negtgel!U765:BL765)+SUMIF(negtgel!U$2:BL$2,'Tsalin uzuulelt'!H$4,negtgel!U765:BL765)+SUMIF(negtgel!U$2:BL$2,'Tsalin uzuulelt'!H$5,negtgel!U765:BL765)</f>
      </c>
      <c r="J765">
        <f>SUMIF(negtgel!U$2:BL$2,'Tsalin uzuulelt'!J$1,negtgel!U765:BL765) + SUMIF(negtgel!U$2:BL$2,'Tsalin uzuulelt'!J$2,negtgel!U765:BL765)+SUMIF(negtgel!U$2:BL$2,'Tsalin uzuulelt'!J$3,negtgel!U765:BL765)+SUMIF(negtgel!U$2:BL$2,'Tsalin uzuulelt'!J$4,negtgel!U765:BL765)+SUMIF(negtgel!U$2:BL$2,'Tsalin uzuulelt'!J$5,negtgel!U765:BL765)</f>
      </c>
      <c r="K765">
        <f>SUMIF(negtgel!U$2:BL$2,'Tsalin uzuulelt'!L$1,negtgel!U765:BL765) + SUMIF(negtgel!U$2:BL$2,'Tsalin uzuulelt'!L$2,negtgel!U765:BL765)+SUMIF(negtgel!U$2:BL$2,'Tsalin uzuulelt'!L$3,negtgel!U765:BL765)+SUMIF(negtgel!U$2:BL$2,'Tsalin uzuulelt'!L$4,negtgel!U765:BL765)+SUMIF(negtgel!U$2:BL$2,'Tsalin uzuulelt'!L$5,negtgel!U765:BL765)</f>
      </c>
      <c r="L765">
        <f>SUMIF(negtgel!U$2:BL$2,'Tsalin uzuulelt'!N$1,negtgel!U765:BL765) + SUMIF(negtgel!U$2:BL$2,'Tsalin uzuulelt'!N$2,negtgel!U765:BL765)+SUMIF(negtgel!U$2:BL$2,'Tsalin uzuulelt'!N$3,negtgel!U765:BL765)+SUMIF(negtgel!U$2:BL$2,'Tsalin uzuulelt'!N$4,negtgel!U765:BL765)+SUMIF(negtgel!U$2:BL$2,'Tsalin uzuulelt'!N$5,negtgel!U765:BL765)</f>
      </c>
      <c r="M765">
        <f>SUMIF(negtgel!U$2:BL$2,'Tsalin uzuulelt'!P$1,negtgel!U765:BL765) + SUMIF(negtgel!U$2:BL$2,'Tsalin uzuulelt'!P$2,negtgel!U765:BL765)+ SUMIF(negtgel!U$2:BL$2,'Tsalin uzuulelt'!P$3,negtgel!U765:BL765)+ SUMIF(negtgel!U$2:BL$2,'Tsalin uzuulelt'!P$4,negtgel!U765:BL765)+ SUMIF(negtgel!U$2:BL$2,'Tsalin uzuulelt'!P$5,negtgel!U765:BL765)</f>
      </c>
      <c r="N765">
        <f>IF(ISNUMBER(U765*1)=CF765,0,K765-H765-G765)</f>
      </c>
      <c r="O765">
        <f>IF(ISNUMBER(U765*1)=CF765,0,L765)</f>
      </c>
      <c r="P765">
        <f>IF(ISNUMBER(U765*1)=CF765,0,M765)</f>
      </c>
      <c r="Q765">
        <f>IF(N765&gt;2400000,N765,0)</f>
      </c>
      <c r="R765">
        <f>IF(L765/Q765*100&lt;3,2,10)</f>
      </c>
      <c r="S765">
        <f>IF(CH765=0,0,IF(B765&gt;9,10,IF(B765&gt;8,B765,IF(B765&gt;7.7,7.8,IF(B765&gt;3,B765,IF(B765&gt;1.5,2))))))</f>
      </c>
      <c r="T765">
        <f>IF(Q765=0,S765,R765)</f>
      </c>
      <c r="U765" t="s">
        <v>3781</v>
      </c>
      <c r="V765"/>
      <c r="W765"/>
      <c r="X765"/>
      <c r="Y765"/>
      <c r="Z765"/>
      <c r="AA765"/>
      <c r="AB765"/>
      <c r="AC765"/>
      <c r="AD765"/>
      <c r="AE765"/>
      <c r="AF765"/>
      <c r="AG765"/>
      <c r="AH765"/>
      <c r="AI765"/>
      <c r="AJ765"/>
      <c r="AK765"/>
      <c r="AL765"/>
      <c r="AM765"/>
      <c r="AN765"/>
      <c r="AO765"/>
      <c r="AP765"/>
      <c r="AQ765"/>
      <c r="CH765">
        <f>IFERROR(U765*1,0)</f>
      </c>
    </row>
    <row r="766">
      <c r="A766" t="n">
        <v>12.0</v>
      </c>
      <c r="B766">
        <f>IF((K766-G766-H766&gt;2400000),10,(L766/(K766-G766-H766)*100))</f>
      </c>
      <c r="C766">
        <f>IF(N766&gt;2400000,240000,(N766*S766)/100)</f>
      </c>
      <c r="D766">
        <f>IF(S766=0,0,IF((N766-I766)&gt;2400000,((((((N766-I766-J766)-240000))*0.1+(I766+J766)*0.1)))-7000,((((((N766-I766-J766)-(N766-I766-J766)*S766/100)))*0.1+(I766+J766)*0.1)-7000)))</f>
      </c>
      <c r="E766">
        <f>C766-O766</f>
      </c>
      <c r="F766">
        <f>D766-P766</f>
      </c>
      <c r="G766">
        <f>SUMIF(negtgel!U$2:BL$2,'Tsalin uzuulelt'!B$1,negtgel!U766:BL766) + SUMIF(negtgel!U$2:BL$2,'Tsalin uzuulelt'!B$2,negtgel!U766:BL766)+SUMIF(negtgel!U$2:BL$2,'Tsalin uzuulelt'!B$3,negtgel!U766:BL766)+SUMIF(negtgel!U$2:BL$2,'Tsalin uzuulelt'!B$4,negtgel!U766:BL766)+SUMIF(negtgel!U$2:BL$2,'Tsalin uzuulelt'!B$5,negtgel!U766:BL766)</f>
      </c>
      <c r="H766">
        <f>SUMIF(negtgel!U$2:BL$2,'Tsalin uzuulelt'!F$1,negtgel!U766:BL766) + SUMIF(negtgel!U$2:BL$2,'Tsalin uzuulelt'!F$2,negtgel!U766:BL766)+SUMIF(negtgel!U$2:BL$2,'Tsalin uzuulelt'!F$3,negtgel!U766:BL766)+SUMIF(negtgel!U$2:BL$2,'Tsalin uzuulelt'!F$4,negtgel!U766:BL766)+SUMIF(negtgel!U$2:BL$2,'Tsalin uzuulelt'!F$5,negtgel!U766:BL766)</f>
      </c>
      <c r="I766">
        <f>SUMIF(negtgel!U$2:BL$2,'Tsalin uzuulelt'!H$1,negtgel!U766:BL766) + SUMIF(negtgel!U$2:BL$2,'Tsalin uzuulelt'!H$2,negtgel!U766:BL766)+SUMIF(negtgel!U$2:BL$2,'Tsalin uzuulelt'!H$3,negtgel!U766:BL766)+SUMIF(negtgel!U$2:BL$2,'Tsalin uzuulelt'!H$4,negtgel!U766:BL766)+SUMIF(negtgel!U$2:BL$2,'Tsalin uzuulelt'!H$5,negtgel!U766:BL766)</f>
      </c>
      <c r="J766">
        <f>SUMIF(negtgel!U$2:BL$2,'Tsalin uzuulelt'!J$1,negtgel!U766:BL766) + SUMIF(negtgel!U$2:BL$2,'Tsalin uzuulelt'!J$2,negtgel!U766:BL766)+SUMIF(negtgel!U$2:BL$2,'Tsalin uzuulelt'!J$3,negtgel!U766:BL766)+SUMIF(negtgel!U$2:BL$2,'Tsalin uzuulelt'!J$4,negtgel!U766:BL766)+SUMIF(negtgel!U$2:BL$2,'Tsalin uzuulelt'!J$5,negtgel!U766:BL766)</f>
      </c>
      <c r="K766">
        <f>SUMIF(negtgel!U$2:BL$2,'Tsalin uzuulelt'!L$1,negtgel!U766:BL766) + SUMIF(negtgel!U$2:BL$2,'Tsalin uzuulelt'!L$2,negtgel!U766:BL766)+SUMIF(negtgel!U$2:BL$2,'Tsalin uzuulelt'!L$3,negtgel!U766:BL766)+SUMIF(negtgel!U$2:BL$2,'Tsalin uzuulelt'!L$4,negtgel!U766:BL766)+SUMIF(negtgel!U$2:BL$2,'Tsalin uzuulelt'!L$5,negtgel!U766:BL766)</f>
      </c>
      <c r="L766">
        <f>SUMIF(negtgel!U$2:BL$2,'Tsalin uzuulelt'!N$1,negtgel!U766:BL766) + SUMIF(negtgel!U$2:BL$2,'Tsalin uzuulelt'!N$2,negtgel!U766:BL766)+SUMIF(negtgel!U$2:BL$2,'Tsalin uzuulelt'!N$3,negtgel!U766:BL766)+SUMIF(negtgel!U$2:BL$2,'Tsalin uzuulelt'!N$4,negtgel!U766:BL766)+SUMIF(negtgel!U$2:BL$2,'Tsalin uzuulelt'!N$5,negtgel!U766:BL766)</f>
      </c>
      <c r="M766">
        <f>SUMIF(negtgel!U$2:BL$2,'Tsalin uzuulelt'!P$1,negtgel!U766:BL766) + SUMIF(negtgel!U$2:BL$2,'Tsalin uzuulelt'!P$2,negtgel!U766:BL766)+ SUMIF(negtgel!U$2:BL$2,'Tsalin uzuulelt'!P$3,negtgel!U766:BL766)+ SUMIF(negtgel!U$2:BL$2,'Tsalin uzuulelt'!P$4,negtgel!U766:BL766)+ SUMIF(negtgel!U$2:BL$2,'Tsalin uzuulelt'!P$5,negtgel!U766:BL766)</f>
      </c>
      <c r="N766">
        <f>IF(ISNUMBER(U766*1)=CF766,0,K766-H766-G766)</f>
      </c>
      <c r="O766">
        <f>IF(ISNUMBER(U766*1)=CF766,0,L766)</f>
      </c>
      <c r="P766">
        <f>IF(ISNUMBER(U766*1)=CF766,0,M766)</f>
      </c>
      <c r="Q766">
        <f>IF(N766&gt;2400000,N766,0)</f>
      </c>
      <c r="R766">
        <f>IF(L766/Q766*100&lt;3,2,10)</f>
      </c>
      <c r="S766">
        <f>IF(CH766=0,0,IF(B766&gt;9,10,IF(B766&gt;8,B766,IF(B766&gt;7.7,7.8,IF(B766&gt;3,B766,IF(B766&gt;1.5,2))))))</f>
      </c>
      <c r="T766">
        <f>IF(Q766=0,S766,R766)</f>
      </c>
      <c r="U766" t="n">
        <v>20.0</v>
      </c>
      <c r="V766" t="s">
        <v>3784</v>
      </c>
      <c r="W766" t="s">
        <v>3785</v>
      </c>
      <c r="X766" t="n">
        <v>757359.0</v>
      </c>
      <c r="Y766" t="n">
        <v>757359.0</v>
      </c>
      <c r="Z766" t="n">
        <v>113604.0</v>
      </c>
      <c r="AA766" t="n">
        <v>166619.0</v>
      </c>
      <c r="AB766" t="n">
        <v>0.0</v>
      </c>
      <c r="AC766" t="n">
        <v>113604.0</v>
      </c>
      <c r="AD766" t="n">
        <v>0.0</v>
      </c>
      <c r="AE766" t="n">
        <v>378680.0</v>
      </c>
      <c r="AF766" t="n">
        <v>60000.0</v>
      </c>
      <c r="AG766" t="n">
        <v>0.0</v>
      </c>
      <c r="AH766" t="n">
        <v>0.0</v>
      </c>
      <c r="AI766" t="n">
        <v>0.0</v>
      </c>
      <c r="AJ766" t="n">
        <v>0.0</v>
      </c>
      <c r="AK766" t="n">
        <v>0.0</v>
      </c>
      <c r="AL766" t="n">
        <v>0.0</v>
      </c>
      <c r="AM766" t="n">
        <v>0.0</v>
      </c>
      <c r="AN766" t="n">
        <v>0.0</v>
      </c>
      <c r="AO766" t="n">
        <v>1589866.0</v>
      </c>
      <c r="AP766" t="n">
        <v>158987.0</v>
      </c>
      <c r="AQ766" t="n">
        <v>136687.9</v>
      </c>
      <c r="CH766">
        <f>IFERROR(U766*1,0)</f>
      </c>
    </row>
    <row r="767">
      <c r="A767" t="n">
        <v>12.0</v>
      </c>
      <c r="B767">
        <f>IF((K767-G767-H767&gt;2400000),10,(L767/(K767-G767-H767)*100))</f>
      </c>
      <c r="C767">
        <f>IF(N767&gt;2400000,240000,(N767*S767)/100)</f>
      </c>
      <c r="D767">
        <f>IF(S767=0,0,IF((N767-I767)&gt;2400000,((((((N767-I767-J767)-240000))*0.1+(I767+J767)*0.1)))-7000,((((((N767-I767-J767)-(N767-I767-J767)*S767/100)))*0.1+(I767+J767)*0.1)-7000)))</f>
      </c>
      <c r="E767">
        <f>C767-O767</f>
      </c>
      <c r="F767">
        <f>D767-P767</f>
      </c>
      <c r="G767">
        <f>SUMIF(negtgel!U$2:BL$2,'Tsalin uzuulelt'!B$1,negtgel!U767:BL767) + SUMIF(negtgel!U$2:BL$2,'Tsalin uzuulelt'!B$2,negtgel!U767:BL767)+SUMIF(negtgel!U$2:BL$2,'Tsalin uzuulelt'!B$3,negtgel!U767:BL767)+SUMIF(negtgel!U$2:BL$2,'Tsalin uzuulelt'!B$4,negtgel!U767:BL767)+SUMIF(negtgel!U$2:BL$2,'Tsalin uzuulelt'!B$5,negtgel!U767:BL767)</f>
      </c>
      <c r="H767">
        <f>SUMIF(negtgel!U$2:BL$2,'Tsalin uzuulelt'!F$1,negtgel!U767:BL767) + SUMIF(negtgel!U$2:BL$2,'Tsalin uzuulelt'!F$2,negtgel!U767:BL767)+SUMIF(negtgel!U$2:BL$2,'Tsalin uzuulelt'!F$3,negtgel!U767:BL767)+SUMIF(negtgel!U$2:BL$2,'Tsalin uzuulelt'!F$4,negtgel!U767:BL767)+SUMIF(negtgel!U$2:BL$2,'Tsalin uzuulelt'!F$5,negtgel!U767:BL767)</f>
      </c>
      <c r="I767">
        <f>SUMIF(negtgel!U$2:BL$2,'Tsalin uzuulelt'!H$1,negtgel!U767:BL767) + SUMIF(negtgel!U$2:BL$2,'Tsalin uzuulelt'!H$2,negtgel!U767:BL767)+SUMIF(negtgel!U$2:BL$2,'Tsalin uzuulelt'!H$3,negtgel!U767:BL767)+SUMIF(negtgel!U$2:BL$2,'Tsalin uzuulelt'!H$4,negtgel!U767:BL767)+SUMIF(negtgel!U$2:BL$2,'Tsalin uzuulelt'!H$5,negtgel!U767:BL767)</f>
      </c>
      <c r="J767">
        <f>SUMIF(negtgel!U$2:BL$2,'Tsalin uzuulelt'!J$1,negtgel!U767:BL767) + SUMIF(negtgel!U$2:BL$2,'Tsalin uzuulelt'!J$2,negtgel!U767:BL767)+SUMIF(negtgel!U$2:BL$2,'Tsalin uzuulelt'!J$3,negtgel!U767:BL767)+SUMIF(negtgel!U$2:BL$2,'Tsalin uzuulelt'!J$4,negtgel!U767:BL767)+SUMIF(negtgel!U$2:BL$2,'Tsalin uzuulelt'!J$5,negtgel!U767:BL767)</f>
      </c>
      <c r="K767">
        <f>SUMIF(negtgel!U$2:BL$2,'Tsalin uzuulelt'!L$1,negtgel!U767:BL767) + SUMIF(negtgel!U$2:BL$2,'Tsalin uzuulelt'!L$2,negtgel!U767:BL767)+SUMIF(negtgel!U$2:BL$2,'Tsalin uzuulelt'!L$3,negtgel!U767:BL767)+SUMIF(negtgel!U$2:BL$2,'Tsalin uzuulelt'!L$4,negtgel!U767:BL767)+SUMIF(negtgel!U$2:BL$2,'Tsalin uzuulelt'!L$5,negtgel!U767:BL767)</f>
      </c>
      <c r="L767">
        <f>SUMIF(negtgel!U$2:BL$2,'Tsalin uzuulelt'!N$1,negtgel!U767:BL767) + SUMIF(negtgel!U$2:BL$2,'Tsalin uzuulelt'!N$2,negtgel!U767:BL767)+SUMIF(negtgel!U$2:BL$2,'Tsalin uzuulelt'!N$3,negtgel!U767:BL767)+SUMIF(negtgel!U$2:BL$2,'Tsalin uzuulelt'!N$4,negtgel!U767:BL767)+SUMIF(negtgel!U$2:BL$2,'Tsalin uzuulelt'!N$5,negtgel!U767:BL767)</f>
      </c>
      <c r="M767">
        <f>SUMIF(negtgel!U$2:BL$2,'Tsalin uzuulelt'!P$1,negtgel!U767:BL767) + SUMIF(negtgel!U$2:BL$2,'Tsalin uzuulelt'!P$2,negtgel!U767:BL767)+ SUMIF(negtgel!U$2:BL$2,'Tsalin uzuulelt'!P$3,negtgel!U767:BL767)+ SUMIF(negtgel!U$2:BL$2,'Tsalin uzuulelt'!P$4,negtgel!U767:BL767)+ SUMIF(negtgel!U$2:BL$2,'Tsalin uzuulelt'!P$5,negtgel!U767:BL767)</f>
      </c>
      <c r="N767">
        <f>IF(ISNUMBER(U767*1)=CF767,0,K767-H767-G767)</f>
      </c>
      <c r="O767">
        <f>IF(ISNUMBER(U767*1)=CF767,0,L767)</f>
      </c>
      <c r="P767">
        <f>IF(ISNUMBER(U767*1)=CF767,0,M767)</f>
      </c>
      <c r="Q767">
        <f>IF(N767&gt;2400000,N767,0)</f>
      </c>
      <c r="R767">
        <f>IF(L767/Q767*100&lt;3,2,10)</f>
      </c>
      <c r="S767">
        <f>IF(CH767=0,0,IF(B767&gt;9,10,IF(B767&gt;8,B767,IF(B767&gt;7.7,7.8,IF(B767&gt;3,B767,IF(B767&gt;1.5,2))))))</f>
      </c>
      <c r="T767">
        <f>IF(Q767=0,S767,R767)</f>
      </c>
      <c r="U767" t="n">
        <v>21.0</v>
      </c>
      <c r="V767" t="s">
        <v>3864</v>
      </c>
      <c r="W767" t="s">
        <v>3865</v>
      </c>
      <c r="X767" t="n">
        <v>371016.0</v>
      </c>
      <c r="Y767" t="n">
        <v>371016.0</v>
      </c>
      <c r="Z767" t="n">
        <v>0.0</v>
      </c>
      <c r="AA767" t="n">
        <v>0.0</v>
      </c>
      <c r="AB767" t="n">
        <v>0.0</v>
      </c>
      <c r="AC767" t="n">
        <v>0.0</v>
      </c>
      <c r="AD767" t="n">
        <v>0.0</v>
      </c>
      <c r="AE767" t="n">
        <v>185508.0</v>
      </c>
      <c r="AF767" t="n">
        <v>60000.0</v>
      </c>
      <c r="AG767" t="n">
        <v>0.0</v>
      </c>
      <c r="AH767" t="n">
        <v>0.0</v>
      </c>
      <c r="AI767" t="n">
        <v>0.0</v>
      </c>
      <c r="AJ767" t="n">
        <v>0.0</v>
      </c>
      <c r="AK767" t="n">
        <v>0.0</v>
      </c>
      <c r="AL767" t="n">
        <v>0.0</v>
      </c>
      <c r="AM767" t="n">
        <v>0.0</v>
      </c>
      <c r="AN767" t="n">
        <v>0.0</v>
      </c>
      <c r="AO767" t="n">
        <v>616524.0</v>
      </c>
      <c r="AP767" t="n">
        <v>61652.0</v>
      </c>
      <c r="AQ767" t="n">
        <v>49087.2</v>
      </c>
      <c r="CH767">
        <f>IFERROR(U767*1,0)</f>
      </c>
    </row>
    <row r="768">
      <c r="A768" t="n">
        <v>12.0</v>
      </c>
      <c r="B768">
        <f>IF((K768-G768-H768&gt;2400000),10,(L768/(K768-G768-H768)*100))</f>
      </c>
      <c r="C768">
        <f>IF(N768&gt;2400000,240000,(N768*S768)/100)</f>
      </c>
      <c r="D768">
        <f>IF(S768=0,0,IF((N768-I768)&gt;2400000,((((((N768-I768-J768)-240000))*0.1+(I768+J768)*0.1)))-7000,((((((N768-I768-J768)-(N768-I768-J768)*S768/100)))*0.1+(I768+J768)*0.1)-7000)))</f>
      </c>
      <c r="E768">
        <f>C768-O768</f>
      </c>
      <c r="F768">
        <f>D768-P768</f>
      </c>
      <c r="G768">
        <f>SUMIF(negtgel!U$2:BL$2,'Tsalin uzuulelt'!B$1,negtgel!U768:BL768) + SUMIF(negtgel!U$2:BL$2,'Tsalin uzuulelt'!B$2,negtgel!U768:BL768)+SUMIF(negtgel!U$2:BL$2,'Tsalin uzuulelt'!B$3,negtgel!U768:BL768)+SUMIF(negtgel!U$2:BL$2,'Tsalin uzuulelt'!B$4,negtgel!U768:BL768)+SUMIF(negtgel!U$2:BL$2,'Tsalin uzuulelt'!B$5,negtgel!U768:BL768)</f>
      </c>
      <c r="H768">
        <f>SUMIF(negtgel!U$2:BL$2,'Tsalin uzuulelt'!F$1,negtgel!U768:BL768) + SUMIF(negtgel!U$2:BL$2,'Tsalin uzuulelt'!F$2,negtgel!U768:BL768)+SUMIF(negtgel!U$2:BL$2,'Tsalin uzuulelt'!F$3,negtgel!U768:BL768)+SUMIF(negtgel!U$2:BL$2,'Tsalin uzuulelt'!F$4,negtgel!U768:BL768)+SUMIF(negtgel!U$2:BL$2,'Tsalin uzuulelt'!F$5,negtgel!U768:BL768)</f>
      </c>
      <c r="I768">
        <f>SUMIF(negtgel!U$2:BL$2,'Tsalin uzuulelt'!H$1,negtgel!U768:BL768) + SUMIF(negtgel!U$2:BL$2,'Tsalin uzuulelt'!H$2,negtgel!U768:BL768)+SUMIF(negtgel!U$2:BL$2,'Tsalin uzuulelt'!H$3,negtgel!U768:BL768)+SUMIF(negtgel!U$2:BL$2,'Tsalin uzuulelt'!H$4,negtgel!U768:BL768)+SUMIF(negtgel!U$2:BL$2,'Tsalin uzuulelt'!H$5,negtgel!U768:BL768)</f>
      </c>
      <c r="J768">
        <f>SUMIF(negtgel!U$2:BL$2,'Tsalin uzuulelt'!J$1,negtgel!U768:BL768) + SUMIF(negtgel!U$2:BL$2,'Tsalin uzuulelt'!J$2,negtgel!U768:BL768)+SUMIF(negtgel!U$2:BL$2,'Tsalin uzuulelt'!J$3,negtgel!U768:BL768)+SUMIF(negtgel!U$2:BL$2,'Tsalin uzuulelt'!J$4,negtgel!U768:BL768)+SUMIF(negtgel!U$2:BL$2,'Tsalin uzuulelt'!J$5,negtgel!U768:BL768)</f>
      </c>
      <c r="K768">
        <f>SUMIF(negtgel!U$2:BL$2,'Tsalin uzuulelt'!L$1,negtgel!U768:BL768) + SUMIF(negtgel!U$2:BL$2,'Tsalin uzuulelt'!L$2,negtgel!U768:BL768)+SUMIF(negtgel!U$2:BL$2,'Tsalin uzuulelt'!L$3,negtgel!U768:BL768)+SUMIF(negtgel!U$2:BL$2,'Tsalin uzuulelt'!L$4,negtgel!U768:BL768)+SUMIF(negtgel!U$2:BL$2,'Tsalin uzuulelt'!L$5,negtgel!U768:BL768)</f>
      </c>
      <c r="L768">
        <f>SUMIF(negtgel!U$2:BL$2,'Tsalin uzuulelt'!N$1,negtgel!U768:BL768) + SUMIF(negtgel!U$2:BL$2,'Tsalin uzuulelt'!N$2,negtgel!U768:BL768)+SUMIF(negtgel!U$2:BL$2,'Tsalin uzuulelt'!N$3,negtgel!U768:BL768)+SUMIF(negtgel!U$2:BL$2,'Tsalin uzuulelt'!N$4,negtgel!U768:BL768)+SUMIF(negtgel!U$2:BL$2,'Tsalin uzuulelt'!N$5,negtgel!U768:BL768)</f>
      </c>
      <c r="M768">
        <f>SUMIF(negtgel!U$2:BL$2,'Tsalin uzuulelt'!P$1,negtgel!U768:BL768) + SUMIF(negtgel!U$2:BL$2,'Tsalin uzuulelt'!P$2,negtgel!U768:BL768)+ SUMIF(negtgel!U$2:BL$2,'Tsalin uzuulelt'!P$3,negtgel!U768:BL768)+ SUMIF(negtgel!U$2:BL$2,'Tsalin uzuulelt'!P$4,negtgel!U768:BL768)+ SUMIF(negtgel!U$2:BL$2,'Tsalin uzuulelt'!P$5,negtgel!U768:BL768)</f>
      </c>
      <c r="N768">
        <f>IF(ISNUMBER(U768*1)=CF768,0,K768-H768-G768)</f>
      </c>
      <c r="O768">
        <f>IF(ISNUMBER(U768*1)=CF768,0,L768)</f>
      </c>
      <c r="P768">
        <f>IF(ISNUMBER(U768*1)=CF768,0,M768)</f>
      </c>
      <c r="Q768">
        <f>IF(N768&gt;2400000,N768,0)</f>
      </c>
      <c r="R768">
        <f>IF(L768/Q768*100&lt;3,2,10)</f>
      </c>
      <c r="S768">
        <f>IF(CH768=0,0,IF(B768&gt;9,10,IF(B768&gt;8,B768,IF(B768&gt;7.7,7.8,IF(B768&gt;3,B768,IF(B768&gt;1.5,2))))))</f>
      </c>
      <c r="T768">
        <f>IF(Q768=0,S768,R768)</f>
      </c>
      <c r="U768" t="n">
        <v>22.0</v>
      </c>
      <c r="V768" t="s">
        <v>3861</v>
      </c>
      <c r="W768" t="s">
        <v>3790</v>
      </c>
      <c r="X768" t="n">
        <v>645556.0</v>
      </c>
      <c r="Y768" t="n">
        <v>258222.0</v>
      </c>
      <c r="Z768" t="n">
        <v>38733.0</v>
      </c>
      <c r="AA768" t="n">
        <v>51644.0</v>
      </c>
      <c r="AB768" t="n">
        <v>0.0</v>
      </c>
      <c r="AC768" t="n">
        <v>38733.0</v>
      </c>
      <c r="AD768" t="n">
        <v>0.0</v>
      </c>
      <c r="AE768" t="n">
        <v>322778.0</v>
      </c>
      <c r="AF768" t="n">
        <v>24000.0</v>
      </c>
      <c r="AG768" t="n">
        <v>0.0</v>
      </c>
      <c r="AH768" t="n">
        <v>0.0</v>
      </c>
      <c r="AI768" t="n">
        <v>0.0</v>
      </c>
      <c r="AJ768" t="n">
        <v>0.0</v>
      </c>
      <c r="AK768" t="n">
        <v>0.0</v>
      </c>
      <c r="AL768" t="n">
        <v>0.0</v>
      </c>
      <c r="AM768" t="n">
        <v>0.0</v>
      </c>
      <c r="AN768" t="n">
        <v>0.0</v>
      </c>
      <c r="AO768" t="n">
        <v>734110.0</v>
      </c>
      <c r="AP768" t="n">
        <v>73411.0</v>
      </c>
      <c r="AQ768" t="n">
        <v>59309.9</v>
      </c>
      <c r="CH768">
        <f>IFERROR(U768*1,0)</f>
      </c>
    </row>
    <row r="769">
      <c r="A769" t="n">
        <v>12.0</v>
      </c>
      <c r="B769">
        <f>IF((K769-G769-H769&gt;2400000),10,(L769/(K769-G769-H769)*100))</f>
      </c>
      <c r="C769">
        <f>IF(N769&gt;2400000,240000,(N769*S769)/100)</f>
      </c>
      <c r="D769">
        <f>IF(S769=0,0,IF((N769-I769)&gt;2400000,((((((N769-I769-J769)-240000))*0.1+(I769+J769)*0.1)))-7000,((((((N769-I769-J769)-(N769-I769-J769)*S769/100)))*0.1+(I769+J769)*0.1)-7000)))</f>
      </c>
      <c r="E769">
        <f>C769-O769</f>
      </c>
      <c r="F769">
        <f>D769-P769</f>
      </c>
      <c r="G769">
        <f>SUMIF(negtgel!U$2:BL$2,'Tsalin uzuulelt'!B$1,negtgel!U769:BL769) + SUMIF(negtgel!U$2:BL$2,'Tsalin uzuulelt'!B$2,negtgel!U769:BL769)+SUMIF(negtgel!U$2:BL$2,'Tsalin uzuulelt'!B$3,negtgel!U769:BL769)+SUMIF(negtgel!U$2:BL$2,'Tsalin uzuulelt'!B$4,negtgel!U769:BL769)+SUMIF(negtgel!U$2:BL$2,'Tsalin uzuulelt'!B$5,negtgel!U769:BL769)</f>
      </c>
      <c r="H769">
        <f>SUMIF(negtgel!U$2:BL$2,'Tsalin uzuulelt'!F$1,negtgel!U769:BL769) + SUMIF(negtgel!U$2:BL$2,'Tsalin uzuulelt'!F$2,negtgel!U769:BL769)+SUMIF(negtgel!U$2:BL$2,'Tsalin uzuulelt'!F$3,negtgel!U769:BL769)+SUMIF(negtgel!U$2:BL$2,'Tsalin uzuulelt'!F$4,negtgel!U769:BL769)+SUMIF(negtgel!U$2:BL$2,'Tsalin uzuulelt'!F$5,negtgel!U769:BL769)</f>
      </c>
      <c r="I769">
        <f>SUMIF(negtgel!U$2:BL$2,'Tsalin uzuulelt'!H$1,negtgel!U769:BL769) + SUMIF(negtgel!U$2:BL$2,'Tsalin uzuulelt'!H$2,negtgel!U769:BL769)+SUMIF(negtgel!U$2:BL$2,'Tsalin uzuulelt'!H$3,negtgel!U769:BL769)+SUMIF(negtgel!U$2:BL$2,'Tsalin uzuulelt'!H$4,negtgel!U769:BL769)+SUMIF(negtgel!U$2:BL$2,'Tsalin uzuulelt'!H$5,negtgel!U769:BL769)</f>
      </c>
      <c r="J769">
        <f>SUMIF(negtgel!U$2:BL$2,'Tsalin uzuulelt'!J$1,negtgel!U769:BL769) + SUMIF(negtgel!U$2:BL$2,'Tsalin uzuulelt'!J$2,negtgel!U769:BL769)+SUMIF(negtgel!U$2:BL$2,'Tsalin uzuulelt'!J$3,negtgel!U769:BL769)+SUMIF(negtgel!U$2:BL$2,'Tsalin uzuulelt'!J$4,negtgel!U769:BL769)+SUMIF(negtgel!U$2:BL$2,'Tsalin uzuulelt'!J$5,negtgel!U769:BL769)</f>
      </c>
      <c r="K769">
        <f>SUMIF(negtgel!U$2:BL$2,'Tsalin uzuulelt'!L$1,negtgel!U769:BL769) + SUMIF(negtgel!U$2:BL$2,'Tsalin uzuulelt'!L$2,negtgel!U769:BL769)+SUMIF(negtgel!U$2:BL$2,'Tsalin uzuulelt'!L$3,negtgel!U769:BL769)+SUMIF(negtgel!U$2:BL$2,'Tsalin uzuulelt'!L$4,negtgel!U769:BL769)+SUMIF(negtgel!U$2:BL$2,'Tsalin uzuulelt'!L$5,negtgel!U769:BL769)</f>
      </c>
      <c r="L769">
        <f>SUMIF(negtgel!U$2:BL$2,'Tsalin uzuulelt'!N$1,negtgel!U769:BL769) + SUMIF(negtgel!U$2:BL$2,'Tsalin uzuulelt'!N$2,negtgel!U769:BL769)+SUMIF(negtgel!U$2:BL$2,'Tsalin uzuulelt'!N$3,negtgel!U769:BL769)+SUMIF(negtgel!U$2:BL$2,'Tsalin uzuulelt'!N$4,negtgel!U769:BL769)+SUMIF(negtgel!U$2:BL$2,'Tsalin uzuulelt'!N$5,negtgel!U769:BL769)</f>
      </c>
      <c r="M769">
        <f>SUMIF(negtgel!U$2:BL$2,'Tsalin uzuulelt'!P$1,negtgel!U769:BL769) + SUMIF(negtgel!U$2:BL$2,'Tsalin uzuulelt'!P$2,negtgel!U769:BL769)+ SUMIF(negtgel!U$2:BL$2,'Tsalin uzuulelt'!P$3,negtgel!U769:BL769)+ SUMIF(negtgel!U$2:BL$2,'Tsalin uzuulelt'!P$4,negtgel!U769:BL769)+ SUMIF(negtgel!U$2:BL$2,'Tsalin uzuulelt'!P$5,negtgel!U769:BL769)</f>
      </c>
      <c r="N769">
        <f>IF(ISNUMBER(U769*1)=CF769,0,K769-H769-G769)</f>
      </c>
      <c r="O769">
        <f>IF(ISNUMBER(U769*1)=CF769,0,L769)</f>
      </c>
      <c r="P769">
        <f>IF(ISNUMBER(U769*1)=CF769,0,M769)</f>
      </c>
      <c r="Q769">
        <f>IF(N769&gt;2400000,N769,0)</f>
      </c>
      <c r="R769">
        <f>IF(L769/Q769*100&lt;3,2,10)</f>
      </c>
      <c r="S769">
        <f>IF(CH769=0,0,IF(B769&gt;9,10,IF(B769&gt;8,B769,IF(B769&gt;7.7,7.8,IF(B769&gt;3,B769,IF(B769&gt;1.5,2))))))</f>
      </c>
      <c r="T769">
        <f>IF(Q769=0,S769,R769)</f>
      </c>
      <c r="U769" t="s">
        <v>3787</v>
      </c>
      <c r="V769"/>
      <c r="W769"/>
      <c r="X769" t="n">
        <v>1.3070972E7</v>
      </c>
      <c r="Y769" t="n">
        <v>1.160973E7</v>
      </c>
      <c r="Z769" t="n">
        <v>1369396.0</v>
      </c>
      <c r="AA769" t="n">
        <v>1473102.0</v>
      </c>
      <c r="AB769" t="n">
        <v>659485.0</v>
      </c>
      <c r="AC769" t="n">
        <v>364031.0</v>
      </c>
      <c r="AD769" t="n">
        <v>798492.0</v>
      </c>
      <c r="AE769" t="n">
        <v>5266058.0</v>
      </c>
      <c r="AF769" t="n">
        <v>1164000.0</v>
      </c>
      <c r="AG769" t="n">
        <v>0.0</v>
      </c>
      <c r="AH769" t="n">
        <v>0.0</v>
      </c>
      <c r="AI769" t="n">
        <v>0.0</v>
      </c>
      <c r="AJ769" t="n">
        <v>0.0</v>
      </c>
      <c r="AK769" t="n">
        <v>0.0</v>
      </c>
      <c r="AL769" t="n">
        <v>0.0</v>
      </c>
      <c r="AM769" t="n">
        <v>0.0</v>
      </c>
      <c r="AN769" t="n">
        <v>0.0</v>
      </c>
      <c r="AO769" t="n">
        <v>2.2761944E7</v>
      </c>
      <c r="AP769" t="n">
        <v>2276193.0</v>
      </c>
      <c r="AQ769" t="n">
        <v>1906215.2</v>
      </c>
      <c r="CH769">
        <f>IFERROR(U769*1,0)</f>
      </c>
    </row>
    <row r="770">
      <c r="A770" t="n">
        <v>12.0</v>
      </c>
      <c r="B770">
        <f>IF((K770-G770-H770&gt;2400000),10,(L770/(K770-G770-H770)*100))</f>
      </c>
      <c r="C770">
        <f>IF(N770&gt;2400000,240000,(N770*S770)/100)</f>
      </c>
      <c r="D770">
        <f>IF(S770=0,0,IF((N770-I770)&gt;2400000,((((((N770-I770-J770)-240000))*0.1+(I770+J770)*0.1)))-7000,((((((N770-I770-J770)-(N770-I770-J770)*S770/100)))*0.1+(I770+J770)*0.1)-7000)))</f>
      </c>
      <c r="E770">
        <f>C770-O770</f>
      </c>
      <c r="F770">
        <f>D770-P770</f>
      </c>
      <c r="G770">
        <f>SUMIF(negtgel!U$2:BL$2,'Tsalin uzuulelt'!B$1,negtgel!U770:BL770) + SUMIF(negtgel!U$2:BL$2,'Tsalin uzuulelt'!B$2,negtgel!U770:BL770)+SUMIF(negtgel!U$2:BL$2,'Tsalin uzuulelt'!B$3,negtgel!U770:BL770)+SUMIF(negtgel!U$2:BL$2,'Tsalin uzuulelt'!B$4,negtgel!U770:BL770)+SUMIF(negtgel!U$2:BL$2,'Tsalin uzuulelt'!B$5,negtgel!U770:BL770)</f>
      </c>
      <c r="H770">
        <f>SUMIF(negtgel!U$2:BL$2,'Tsalin uzuulelt'!F$1,negtgel!U770:BL770) + SUMIF(negtgel!U$2:BL$2,'Tsalin uzuulelt'!F$2,negtgel!U770:BL770)+SUMIF(negtgel!U$2:BL$2,'Tsalin uzuulelt'!F$3,negtgel!U770:BL770)+SUMIF(negtgel!U$2:BL$2,'Tsalin uzuulelt'!F$4,negtgel!U770:BL770)+SUMIF(negtgel!U$2:BL$2,'Tsalin uzuulelt'!F$5,negtgel!U770:BL770)</f>
      </c>
      <c r="I770">
        <f>SUMIF(negtgel!U$2:BL$2,'Tsalin uzuulelt'!H$1,negtgel!U770:BL770) + SUMIF(negtgel!U$2:BL$2,'Tsalin uzuulelt'!H$2,negtgel!U770:BL770)+SUMIF(negtgel!U$2:BL$2,'Tsalin uzuulelt'!H$3,negtgel!U770:BL770)+SUMIF(negtgel!U$2:BL$2,'Tsalin uzuulelt'!H$4,negtgel!U770:BL770)+SUMIF(negtgel!U$2:BL$2,'Tsalin uzuulelt'!H$5,negtgel!U770:BL770)</f>
      </c>
      <c r="J770">
        <f>SUMIF(negtgel!U$2:BL$2,'Tsalin uzuulelt'!J$1,negtgel!U770:BL770) + SUMIF(negtgel!U$2:BL$2,'Tsalin uzuulelt'!J$2,negtgel!U770:BL770)+SUMIF(negtgel!U$2:BL$2,'Tsalin uzuulelt'!J$3,negtgel!U770:BL770)+SUMIF(negtgel!U$2:BL$2,'Tsalin uzuulelt'!J$4,negtgel!U770:BL770)+SUMIF(negtgel!U$2:BL$2,'Tsalin uzuulelt'!J$5,negtgel!U770:BL770)</f>
      </c>
      <c r="K770">
        <f>SUMIF(negtgel!U$2:BL$2,'Tsalin uzuulelt'!L$1,negtgel!U770:BL770) + SUMIF(negtgel!U$2:BL$2,'Tsalin uzuulelt'!L$2,negtgel!U770:BL770)+SUMIF(negtgel!U$2:BL$2,'Tsalin uzuulelt'!L$3,negtgel!U770:BL770)+SUMIF(negtgel!U$2:BL$2,'Tsalin uzuulelt'!L$4,negtgel!U770:BL770)+SUMIF(negtgel!U$2:BL$2,'Tsalin uzuulelt'!L$5,negtgel!U770:BL770)</f>
      </c>
      <c r="L770">
        <f>SUMIF(negtgel!U$2:BL$2,'Tsalin uzuulelt'!N$1,negtgel!U770:BL770) + SUMIF(negtgel!U$2:BL$2,'Tsalin uzuulelt'!N$2,negtgel!U770:BL770)+SUMIF(negtgel!U$2:BL$2,'Tsalin uzuulelt'!N$3,negtgel!U770:BL770)+SUMIF(negtgel!U$2:BL$2,'Tsalin uzuulelt'!N$4,negtgel!U770:BL770)+SUMIF(negtgel!U$2:BL$2,'Tsalin uzuulelt'!N$5,negtgel!U770:BL770)</f>
      </c>
      <c r="M770">
        <f>SUMIF(negtgel!U$2:BL$2,'Tsalin uzuulelt'!P$1,negtgel!U770:BL770) + SUMIF(negtgel!U$2:BL$2,'Tsalin uzuulelt'!P$2,negtgel!U770:BL770)+ SUMIF(negtgel!U$2:BL$2,'Tsalin uzuulelt'!P$3,negtgel!U770:BL770)+ SUMIF(negtgel!U$2:BL$2,'Tsalin uzuulelt'!P$4,negtgel!U770:BL770)+ SUMIF(negtgel!U$2:BL$2,'Tsalin uzuulelt'!P$5,negtgel!U770:BL770)</f>
      </c>
      <c r="N770">
        <f>IF(ISNUMBER(U770*1)=CF770,0,K770-H770-G770)</f>
      </c>
      <c r="O770">
        <f>IF(ISNUMBER(U770*1)=CF770,0,L770)</f>
      </c>
      <c r="P770">
        <f>IF(ISNUMBER(U770*1)=CF770,0,M770)</f>
      </c>
      <c r="Q770">
        <f>IF(N770&gt;2400000,N770,0)</f>
      </c>
      <c r="R770">
        <f>IF(L770/Q770*100&lt;3,2,10)</f>
      </c>
      <c r="S770">
        <f>IF(CH770=0,0,IF(B770&gt;9,10,IF(B770&gt;8,B770,IF(B770&gt;7.7,7.8,IF(B770&gt;3,B770,IF(B770&gt;1.5,2))))))</f>
      </c>
      <c r="T770">
        <f>IF(Q770=0,S770,R770)</f>
      </c>
      <c r="U770" t="s">
        <v>3788</v>
      </c>
      <c r="V770"/>
      <c r="W770"/>
      <c r="X770"/>
      <c r="Y770"/>
      <c r="Z770"/>
      <c r="AA770"/>
      <c r="AB770"/>
      <c r="AC770"/>
      <c r="AD770"/>
      <c r="AE770"/>
      <c r="AF770"/>
      <c r="AG770"/>
      <c r="AH770"/>
      <c r="AI770"/>
      <c r="AJ770"/>
      <c r="AK770"/>
      <c r="AL770"/>
      <c r="AM770"/>
      <c r="AN770"/>
      <c r="AO770"/>
      <c r="AP770"/>
      <c r="AQ770"/>
      <c r="CH770">
        <f>IFERROR(U770*1,0)</f>
      </c>
    </row>
    <row r="771">
      <c r="A771" t="n">
        <v>12.0</v>
      </c>
      <c r="B771">
        <f>IF((K771-G771-H771&gt;2400000),10,(L771/(K771-G771-H771)*100))</f>
      </c>
      <c r="C771">
        <f>IF(N771&gt;2400000,240000,(N771*S771)/100)</f>
      </c>
      <c r="D771">
        <f>IF(S771=0,0,IF((N771-I771)&gt;2400000,((((((N771-I771-J771)-240000))*0.1+(I771+J771)*0.1)))-7000,((((((N771-I771-J771)-(N771-I771-J771)*S771/100)))*0.1+(I771+J771)*0.1)-7000)))</f>
      </c>
      <c r="E771">
        <f>C771-O771</f>
      </c>
      <c r="F771">
        <f>D771-P771</f>
      </c>
      <c r="G771">
        <f>SUMIF(negtgel!U$2:BL$2,'Tsalin uzuulelt'!B$1,negtgel!U771:BL771) + SUMIF(negtgel!U$2:BL$2,'Tsalin uzuulelt'!B$2,negtgel!U771:BL771)+SUMIF(negtgel!U$2:BL$2,'Tsalin uzuulelt'!B$3,negtgel!U771:BL771)+SUMIF(negtgel!U$2:BL$2,'Tsalin uzuulelt'!B$4,negtgel!U771:BL771)+SUMIF(negtgel!U$2:BL$2,'Tsalin uzuulelt'!B$5,negtgel!U771:BL771)</f>
      </c>
      <c r="H771">
        <f>SUMIF(negtgel!U$2:BL$2,'Tsalin uzuulelt'!F$1,negtgel!U771:BL771) + SUMIF(negtgel!U$2:BL$2,'Tsalin uzuulelt'!F$2,negtgel!U771:BL771)+SUMIF(negtgel!U$2:BL$2,'Tsalin uzuulelt'!F$3,negtgel!U771:BL771)+SUMIF(negtgel!U$2:BL$2,'Tsalin uzuulelt'!F$4,negtgel!U771:BL771)+SUMIF(negtgel!U$2:BL$2,'Tsalin uzuulelt'!F$5,negtgel!U771:BL771)</f>
      </c>
      <c r="I771">
        <f>SUMIF(negtgel!U$2:BL$2,'Tsalin uzuulelt'!H$1,negtgel!U771:BL771) + SUMIF(negtgel!U$2:BL$2,'Tsalin uzuulelt'!H$2,negtgel!U771:BL771)+SUMIF(negtgel!U$2:BL$2,'Tsalin uzuulelt'!H$3,negtgel!U771:BL771)+SUMIF(negtgel!U$2:BL$2,'Tsalin uzuulelt'!H$4,negtgel!U771:BL771)+SUMIF(negtgel!U$2:BL$2,'Tsalin uzuulelt'!H$5,negtgel!U771:BL771)</f>
      </c>
      <c r="J771">
        <f>SUMIF(negtgel!U$2:BL$2,'Tsalin uzuulelt'!J$1,negtgel!U771:BL771) + SUMIF(negtgel!U$2:BL$2,'Tsalin uzuulelt'!J$2,negtgel!U771:BL771)+SUMIF(negtgel!U$2:BL$2,'Tsalin uzuulelt'!J$3,negtgel!U771:BL771)+SUMIF(negtgel!U$2:BL$2,'Tsalin uzuulelt'!J$4,negtgel!U771:BL771)+SUMIF(negtgel!U$2:BL$2,'Tsalin uzuulelt'!J$5,negtgel!U771:BL771)</f>
      </c>
      <c r="K771">
        <f>SUMIF(negtgel!U$2:BL$2,'Tsalin uzuulelt'!L$1,negtgel!U771:BL771) + SUMIF(negtgel!U$2:BL$2,'Tsalin uzuulelt'!L$2,negtgel!U771:BL771)+SUMIF(negtgel!U$2:BL$2,'Tsalin uzuulelt'!L$3,negtgel!U771:BL771)+SUMIF(negtgel!U$2:BL$2,'Tsalin uzuulelt'!L$4,negtgel!U771:BL771)+SUMIF(negtgel!U$2:BL$2,'Tsalin uzuulelt'!L$5,negtgel!U771:BL771)</f>
      </c>
      <c r="L771">
        <f>SUMIF(negtgel!U$2:BL$2,'Tsalin uzuulelt'!N$1,negtgel!U771:BL771) + SUMIF(negtgel!U$2:BL$2,'Tsalin uzuulelt'!N$2,negtgel!U771:BL771)+SUMIF(negtgel!U$2:BL$2,'Tsalin uzuulelt'!N$3,negtgel!U771:BL771)+SUMIF(negtgel!U$2:BL$2,'Tsalin uzuulelt'!N$4,negtgel!U771:BL771)+SUMIF(negtgel!U$2:BL$2,'Tsalin uzuulelt'!N$5,negtgel!U771:BL771)</f>
      </c>
      <c r="M771">
        <f>SUMIF(negtgel!U$2:BL$2,'Tsalin uzuulelt'!P$1,negtgel!U771:BL771) + SUMIF(negtgel!U$2:BL$2,'Tsalin uzuulelt'!P$2,negtgel!U771:BL771)+ SUMIF(negtgel!U$2:BL$2,'Tsalin uzuulelt'!P$3,negtgel!U771:BL771)+ SUMIF(negtgel!U$2:BL$2,'Tsalin uzuulelt'!P$4,negtgel!U771:BL771)+ SUMIF(negtgel!U$2:BL$2,'Tsalin uzuulelt'!P$5,negtgel!U771:BL771)</f>
      </c>
      <c r="N771">
        <f>IF(ISNUMBER(U771*1)=CF771,0,K771-H771-G771)</f>
      </c>
      <c r="O771">
        <f>IF(ISNUMBER(U771*1)=CF771,0,L771)</f>
      </c>
      <c r="P771">
        <f>IF(ISNUMBER(U771*1)=CF771,0,M771)</f>
      </c>
      <c r="Q771">
        <f>IF(N771&gt;2400000,N771,0)</f>
      </c>
      <c r="R771">
        <f>IF(L771/Q771*100&lt;3,2,10)</f>
      </c>
      <c r="S771">
        <f>IF(CH771=0,0,IF(B771&gt;9,10,IF(B771&gt;8,B771,IF(B771&gt;7.7,7.8,IF(B771&gt;3,B771,IF(B771&gt;1.5,2))))))</f>
      </c>
      <c r="T771">
        <f>IF(Q771=0,S771,R771)</f>
      </c>
      <c r="U771" t="n">
        <v>23.0</v>
      </c>
      <c r="V771" t="s">
        <v>3789</v>
      </c>
      <c r="W771" t="s">
        <v>3790</v>
      </c>
      <c r="X771" t="n">
        <v>613669.0</v>
      </c>
      <c r="Y771" t="n">
        <v>582986.0</v>
      </c>
      <c r="Z771" t="n">
        <v>58299.0</v>
      </c>
      <c r="AA771" t="n">
        <v>87448.0</v>
      </c>
      <c r="AB771" t="n">
        <v>0.0</v>
      </c>
      <c r="AC771" t="n">
        <v>0.0</v>
      </c>
      <c r="AD771" t="n">
        <v>0.0</v>
      </c>
      <c r="AE771" t="n">
        <v>306834.0</v>
      </c>
      <c r="AF771" t="n">
        <v>57000.0</v>
      </c>
      <c r="AG771" t="n">
        <v>0.0</v>
      </c>
      <c r="AH771" t="n">
        <v>0.0</v>
      </c>
      <c r="AI771" t="n">
        <v>0.0</v>
      </c>
      <c r="AJ771" t="n">
        <v>0.0</v>
      </c>
      <c r="AK771" t="n">
        <v>0.0</v>
      </c>
      <c r="AL771" t="n">
        <v>0.0</v>
      </c>
      <c r="AM771" t="n">
        <v>0.0</v>
      </c>
      <c r="AN771" t="n">
        <v>0.0</v>
      </c>
      <c r="AO771" t="n">
        <v>1092567.0</v>
      </c>
      <c r="AP771" t="n">
        <v>109257.0</v>
      </c>
      <c r="AQ771" t="n">
        <v>91901.0</v>
      </c>
      <c r="CH771">
        <f>IFERROR(U771*1,0)</f>
      </c>
    </row>
    <row r="772">
      <c r="A772" t="n">
        <v>12.0</v>
      </c>
      <c r="B772">
        <f>IF((K772-G772-H772&gt;2400000),10,(L772/(K772-G772-H772)*100))</f>
      </c>
      <c r="C772">
        <f>IF(N772&gt;2400000,240000,(N772*S772)/100)</f>
      </c>
      <c r="D772">
        <f>IF(S772=0,0,IF((N772-I772)&gt;2400000,((((((N772-I772-J772)-240000))*0.1+(I772+J772)*0.1)))-7000,((((((N772-I772-J772)-(N772-I772-J772)*S772/100)))*0.1+(I772+J772)*0.1)-7000)))</f>
      </c>
      <c r="E772">
        <f>C772-O772</f>
      </c>
      <c r="F772">
        <f>D772-P772</f>
      </c>
      <c r="G772">
        <f>SUMIF(negtgel!U$2:BL$2,'Tsalin uzuulelt'!B$1,negtgel!U772:BL772) + SUMIF(negtgel!U$2:BL$2,'Tsalin uzuulelt'!B$2,negtgel!U772:BL772)+SUMIF(negtgel!U$2:BL$2,'Tsalin uzuulelt'!B$3,negtgel!U772:BL772)+SUMIF(negtgel!U$2:BL$2,'Tsalin uzuulelt'!B$4,negtgel!U772:BL772)+SUMIF(negtgel!U$2:BL$2,'Tsalin uzuulelt'!B$5,negtgel!U772:BL772)</f>
      </c>
      <c r="H772">
        <f>SUMIF(negtgel!U$2:BL$2,'Tsalin uzuulelt'!F$1,negtgel!U772:BL772) + SUMIF(negtgel!U$2:BL$2,'Tsalin uzuulelt'!F$2,negtgel!U772:BL772)+SUMIF(negtgel!U$2:BL$2,'Tsalin uzuulelt'!F$3,negtgel!U772:BL772)+SUMIF(negtgel!U$2:BL$2,'Tsalin uzuulelt'!F$4,negtgel!U772:BL772)+SUMIF(negtgel!U$2:BL$2,'Tsalin uzuulelt'!F$5,negtgel!U772:BL772)</f>
      </c>
      <c r="I772">
        <f>SUMIF(negtgel!U$2:BL$2,'Tsalin uzuulelt'!H$1,negtgel!U772:BL772) + SUMIF(negtgel!U$2:BL$2,'Tsalin uzuulelt'!H$2,negtgel!U772:BL772)+SUMIF(negtgel!U$2:BL$2,'Tsalin uzuulelt'!H$3,negtgel!U772:BL772)+SUMIF(negtgel!U$2:BL$2,'Tsalin uzuulelt'!H$4,negtgel!U772:BL772)+SUMIF(negtgel!U$2:BL$2,'Tsalin uzuulelt'!H$5,negtgel!U772:BL772)</f>
      </c>
      <c r="J772">
        <f>SUMIF(negtgel!U$2:BL$2,'Tsalin uzuulelt'!J$1,negtgel!U772:BL772) + SUMIF(negtgel!U$2:BL$2,'Tsalin uzuulelt'!J$2,negtgel!U772:BL772)+SUMIF(negtgel!U$2:BL$2,'Tsalin uzuulelt'!J$3,negtgel!U772:BL772)+SUMIF(negtgel!U$2:BL$2,'Tsalin uzuulelt'!J$4,negtgel!U772:BL772)+SUMIF(negtgel!U$2:BL$2,'Tsalin uzuulelt'!J$5,negtgel!U772:BL772)</f>
      </c>
      <c r="K772">
        <f>SUMIF(negtgel!U$2:BL$2,'Tsalin uzuulelt'!L$1,negtgel!U772:BL772) + SUMIF(negtgel!U$2:BL$2,'Tsalin uzuulelt'!L$2,negtgel!U772:BL772)+SUMIF(negtgel!U$2:BL$2,'Tsalin uzuulelt'!L$3,negtgel!U772:BL772)+SUMIF(negtgel!U$2:BL$2,'Tsalin uzuulelt'!L$4,negtgel!U772:BL772)+SUMIF(negtgel!U$2:BL$2,'Tsalin uzuulelt'!L$5,negtgel!U772:BL772)</f>
      </c>
      <c r="L772">
        <f>SUMIF(negtgel!U$2:BL$2,'Tsalin uzuulelt'!N$1,negtgel!U772:BL772) + SUMIF(negtgel!U$2:BL$2,'Tsalin uzuulelt'!N$2,negtgel!U772:BL772)+SUMIF(negtgel!U$2:BL$2,'Tsalin uzuulelt'!N$3,negtgel!U772:BL772)+SUMIF(negtgel!U$2:BL$2,'Tsalin uzuulelt'!N$4,negtgel!U772:BL772)+SUMIF(negtgel!U$2:BL$2,'Tsalin uzuulelt'!N$5,negtgel!U772:BL772)</f>
      </c>
      <c r="M772">
        <f>SUMIF(negtgel!U$2:BL$2,'Tsalin uzuulelt'!P$1,negtgel!U772:BL772) + SUMIF(negtgel!U$2:BL$2,'Tsalin uzuulelt'!P$2,negtgel!U772:BL772)+ SUMIF(negtgel!U$2:BL$2,'Tsalin uzuulelt'!P$3,negtgel!U772:BL772)+ SUMIF(negtgel!U$2:BL$2,'Tsalin uzuulelt'!P$4,negtgel!U772:BL772)+ SUMIF(negtgel!U$2:BL$2,'Tsalin uzuulelt'!P$5,negtgel!U772:BL772)</f>
      </c>
      <c r="N772">
        <f>IF(ISNUMBER(U772*1)=CF772,0,K772-H772-G772)</f>
      </c>
      <c r="O772">
        <f>IF(ISNUMBER(U772*1)=CF772,0,L772)</f>
      </c>
      <c r="P772">
        <f>IF(ISNUMBER(U772*1)=CF772,0,M772)</f>
      </c>
      <c r="Q772">
        <f>IF(N772&gt;2400000,N772,0)</f>
      </c>
      <c r="R772">
        <f>IF(L772/Q772*100&lt;3,2,10)</f>
      </c>
      <c r="S772">
        <f>IF(CH772=0,0,IF(B772&gt;9,10,IF(B772&gt;8,B772,IF(B772&gt;7.7,7.8,IF(B772&gt;3,B772,IF(B772&gt;1.5,2))))))</f>
      </c>
      <c r="T772">
        <f>IF(Q772=0,S772,R772)</f>
      </c>
      <c r="U772" t="n">
        <v>24.0</v>
      </c>
      <c r="V772" t="s">
        <v>3791</v>
      </c>
      <c r="W772" t="s">
        <v>3792</v>
      </c>
      <c r="X772" t="n">
        <v>535584.0</v>
      </c>
      <c r="Y772" t="n">
        <v>508805.0</v>
      </c>
      <c r="Z772" t="n">
        <v>0.0</v>
      </c>
      <c r="AA772" t="n">
        <v>0.0</v>
      </c>
      <c r="AB772" t="n">
        <v>0.0</v>
      </c>
      <c r="AC772" t="n">
        <v>0.0</v>
      </c>
      <c r="AD772" t="n">
        <v>0.0</v>
      </c>
      <c r="AE772" t="n">
        <v>267792.0</v>
      </c>
      <c r="AF772" t="n">
        <v>57000.0</v>
      </c>
      <c r="AG772" t="n">
        <v>0.0</v>
      </c>
      <c r="AH772" t="n">
        <v>0.0</v>
      </c>
      <c r="AI772" t="n">
        <v>0.0</v>
      </c>
      <c r="AJ772" t="n">
        <v>0.0</v>
      </c>
      <c r="AK772" t="n">
        <v>0.0</v>
      </c>
      <c r="AL772" t="n">
        <v>0.0</v>
      </c>
      <c r="AM772" t="n">
        <v>0.0</v>
      </c>
      <c r="AN772" t="n">
        <v>0.0</v>
      </c>
      <c r="AO772" t="n">
        <v>833597.0</v>
      </c>
      <c r="AP772" t="n">
        <v>83360.0</v>
      </c>
      <c r="AQ772" t="n">
        <v>68593.7</v>
      </c>
      <c r="CH772">
        <f>IFERROR(U772*1,0)</f>
      </c>
    </row>
    <row r="773">
      <c r="A773" t="n">
        <v>12.0</v>
      </c>
      <c r="B773">
        <f>IF((K773-G773-H773&gt;2400000),10,(L773/(K773-G773-H773)*100))</f>
      </c>
      <c r="C773">
        <f>IF(N773&gt;2400000,240000,(N773*S773)/100)</f>
      </c>
      <c r="D773">
        <f>IF(S773=0,0,IF((N773-I773)&gt;2400000,((((((N773-I773-J773)-240000))*0.1+(I773+J773)*0.1)))-7000,((((((N773-I773-J773)-(N773-I773-J773)*S773/100)))*0.1+(I773+J773)*0.1)-7000)))</f>
      </c>
      <c r="E773">
        <f>C773-O773</f>
      </c>
      <c r="F773">
        <f>D773-P773</f>
      </c>
      <c r="G773">
        <f>SUMIF(negtgel!U$2:BL$2,'Tsalin uzuulelt'!B$1,negtgel!U773:BL773) + SUMIF(negtgel!U$2:BL$2,'Tsalin uzuulelt'!B$2,negtgel!U773:BL773)+SUMIF(negtgel!U$2:BL$2,'Tsalin uzuulelt'!B$3,negtgel!U773:BL773)+SUMIF(negtgel!U$2:BL$2,'Tsalin uzuulelt'!B$4,negtgel!U773:BL773)+SUMIF(negtgel!U$2:BL$2,'Tsalin uzuulelt'!B$5,negtgel!U773:BL773)</f>
      </c>
      <c r="H773">
        <f>SUMIF(negtgel!U$2:BL$2,'Tsalin uzuulelt'!F$1,negtgel!U773:BL773) + SUMIF(negtgel!U$2:BL$2,'Tsalin uzuulelt'!F$2,negtgel!U773:BL773)+SUMIF(negtgel!U$2:BL$2,'Tsalin uzuulelt'!F$3,negtgel!U773:BL773)+SUMIF(negtgel!U$2:BL$2,'Tsalin uzuulelt'!F$4,negtgel!U773:BL773)+SUMIF(negtgel!U$2:BL$2,'Tsalin uzuulelt'!F$5,negtgel!U773:BL773)</f>
      </c>
      <c r="I773">
        <f>SUMIF(negtgel!U$2:BL$2,'Tsalin uzuulelt'!H$1,negtgel!U773:BL773) + SUMIF(negtgel!U$2:BL$2,'Tsalin uzuulelt'!H$2,negtgel!U773:BL773)+SUMIF(negtgel!U$2:BL$2,'Tsalin uzuulelt'!H$3,negtgel!U773:BL773)+SUMIF(negtgel!U$2:BL$2,'Tsalin uzuulelt'!H$4,negtgel!U773:BL773)+SUMIF(negtgel!U$2:BL$2,'Tsalin uzuulelt'!H$5,negtgel!U773:BL773)</f>
      </c>
      <c r="J773">
        <f>SUMIF(negtgel!U$2:BL$2,'Tsalin uzuulelt'!J$1,negtgel!U773:BL773) + SUMIF(negtgel!U$2:BL$2,'Tsalin uzuulelt'!J$2,negtgel!U773:BL773)+SUMIF(negtgel!U$2:BL$2,'Tsalin uzuulelt'!J$3,negtgel!U773:BL773)+SUMIF(negtgel!U$2:BL$2,'Tsalin uzuulelt'!J$4,negtgel!U773:BL773)+SUMIF(negtgel!U$2:BL$2,'Tsalin uzuulelt'!J$5,negtgel!U773:BL773)</f>
      </c>
      <c r="K773">
        <f>SUMIF(negtgel!U$2:BL$2,'Tsalin uzuulelt'!L$1,negtgel!U773:BL773) + SUMIF(negtgel!U$2:BL$2,'Tsalin uzuulelt'!L$2,negtgel!U773:BL773)+SUMIF(negtgel!U$2:BL$2,'Tsalin uzuulelt'!L$3,negtgel!U773:BL773)+SUMIF(negtgel!U$2:BL$2,'Tsalin uzuulelt'!L$4,negtgel!U773:BL773)+SUMIF(negtgel!U$2:BL$2,'Tsalin uzuulelt'!L$5,negtgel!U773:BL773)</f>
      </c>
      <c r="L773">
        <f>SUMIF(negtgel!U$2:BL$2,'Tsalin uzuulelt'!N$1,negtgel!U773:BL773) + SUMIF(negtgel!U$2:BL$2,'Tsalin uzuulelt'!N$2,negtgel!U773:BL773)+SUMIF(negtgel!U$2:BL$2,'Tsalin uzuulelt'!N$3,negtgel!U773:BL773)+SUMIF(negtgel!U$2:BL$2,'Tsalin uzuulelt'!N$4,negtgel!U773:BL773)+SUMIF(negtgel!U$2:BL$2,'Tsalin uzuulelt'!N$5,negtgel!U773:BL773)</f>
      </c>
      <c r="M773">
        <f>SUMIF(negtgel!U$2:BL$2,'Tsalin uzuulelt'!P$1,negtgel!U773:BL773) + SUMIF(negtgel!U$2:BL$2,'Tsalin uzuulelt'!P$2,negtgel!U773:BL773)+ SUMIF(negtgel!U$2:BL$2,'Tsalin uzuulelt'!P$3,negtgel!U773:BL773)+ SUMIF(negtgel!U$2:BL$2,'Tsalin uzuulelt'!P$4,negtgel!U773:BL773)+ SUMIF(negtgel!U$2:BL$2,'Tsalin uzuulelt'!P$5,negtgel!U773:BL773)</f>
      </c>
      <c r="N773">
        <f>IF(ISNUMBER(U773*1)=CF773,0,K773-H773-G773)</f>
      </c>
      <c r="O773">
        <f>IF(ISNUMBER(U773*1)=CF773,0,L773)</f>
      </c>
      <c r="P773">
        <f>IF(ISNUMBER(U773*1)=CF773,0,M773)</f>
      </c>
      <c r="Q773">
        <f>IF(N773&gt;2400000,N773,0)</f>
      </c>
      <c r="R773">
        <f>IF(L773/Q773*100&lt;3,2,10)</f>
      </c>
      <c r="S773">
        <f>IF(CH773=0,0,IF(B773&gt;9,10,IF(B773&gt;8,B773,IF(B773&gt;7.7,7.8,IF(B773&gt;3,B773,IF(B773&gt;1.5,2))))))</f>
      </c>
      <c r="T773">
        <f>IF(Q773=0,S773,R773)</f>
      </c>
      <c r="U773" t="n">
        <v>25.0</v>
      </c>
      <c r="V773" t="s">
        <v>3793</v>
      </c>
      <c r="W773" t="s">
        <v>3790</v>
      </c>
      <c r="X773" t="n">
        <v>645556.0</v>
      </c>
      <c r="Y773" t="n">
        <v>645556.0</v>
      </c>
      <c r="Z773" t="n">
        <v>96833.0</v>
      </c>
      <c r="AA773" t="n">
        <v>0.0</v>
      </c>
      <c r="AB773" t="n">
        <v>0.0</v>
      </c>
      <c r="AC773" t="n">
        <v>0.0</v>
      </c>
      <c r="AD773" t="n">
        <v>0.0</v>
      </c>
      <c r="AE773" t="n">
        <v>322778.0</v>
      </c>
      <c r="AF773" t="n">
        <v>60000.0</v>
      </c>
      <c r="AG773" t="n">
        <v>0.0</v>
      </c>
      <c r="AH773" t="n">
        <v>0.0</v>
      </c>
      <c r="AI773" t="n">
        <v>0.0</v>
      </c>
      <c r="AJ773" t="n">
        <v>0.0</v>
      </c>
      <c r="AK773" t="n">
        <v>0.0</v>
      </c>
      <c r="AL773" t="n">
        <v>0.0</v>
      </c>
      <c r="AM773" t="n">
        <v>0.0</v>
      </c>
      <c r="AN773" t="n">
        <v>0.0</v>
      </c>
      <c r="AO773" t="n">
        <v>1125167.0</v>
      </c>
      <c r="AP773" t="n">
        <v>112516.0</v>
      </c>
      <c r="AQ773" t="n">
        <v>94865.0</v>
      </c>
      <c r="CH773">
        <f>IFERROR(U773*1,0)</f>
      </c>
    </row>
    <row r="774">
      <c r="A774" t="n">
        <v>12.0</v>
      </c>
      <c r="B774">
        <f>IF((K774-G774-H774&gt;2400000),10,(L774/(K774-G774-H774)*100))</f>
      </c>
      <c r="C774">
        <f>IF(N774&gt;2400000,240000,(N774*S774)/100)</f>
      </c>
      <c r="D774">
        <f>IF(S774=0,0,IF((N774-I774)&gt;2400000,((((((N774-I774-J774)-240000))*0.1+(I774+J774)*0.1)))-7000,((((((N774-I774-J774)-(N774-I774-J774)*S774/100)))*0.1+(I774+J774)*0.1)-7000)))</f>
      </c>
      <c r="E774">
        <f>C774-O774</f>
      </c>
      <c r="F774">
        <f>D774-P774</f>
      </c>
      <c r="G774">
        <f>SUMIF(negtgel!U$2:BL$2,'Tsalin uzuulelt'!B$1,negtgel!U774:BL774) + SUMIF(negtgel!U$2:BL$2,'Tsalin uzuulelt'!B$2,negtgel!U774:BL774)+SUMIF(negtgel!U$2:BL$2,'Tsalin uzuulelt'!B$3,negtgel!U774:BL774)+SUMIF(negtgel!U$2:BL$2,'Tsalin uzuulelt'!B$4,negtgel!U774:BL774)+SUMIF(negtgel!U$2:BL$2,'Tsalin uzuulelt'!B$5,negtgel!U774:BL774)</f>
      </c>
      <c r="H774">
        <f>SUMIF(negtgel!U$2:BL$2,'Tsalin uzuulelt'!F$1,negtgel!U774:BL774) + SUMIF(negtgel!U$2:BL$2,'Tsalin uzuulelt'!F$2,negtgel!U774:BL774)+SUMIF(negtgel!U$2:BL$2,'Tsalin uzuulelt'!F$3,negtgel!U774:BL774)+SUMIF(negtgel!U$2:BL$2,'Tsalin uzuulelt'!F$4,negtgel!U774:BL774)+SUMIF(negtgel!U$2:BL$2,'Tsalin uzuulelt'!F$5,negtgel!U774:BL774)</f>
      </c>
      <c r="I774">
        <f>SUMIF(negtgel!U$2:BL$2,'Tsalin uzuulelt'!H$1,negtgel!U774:BL774) + SUMIF(negtgel!U$2:BL$2,'Tsalin uzuulelt'!H$2,negtgel!U774:BL774)+SUMIF(negtgel!U$2:BL$2,'Tsalin uzuulelt'!H$3,negtgel!U774:BL774)+SUMIF(negtgel!U$2:BL$2,'Tsalin uzuulelt'!H$4,negtgel!U774:BL774)+SUMIF(negtgel!U$2:BL$2,'Tsalin uzuulelt'!H$5,negtgel!U774:BL774)</f>
      </c>
      <c r="J774">
        <f>SUMIF(negtgel!U$2:BL$2,'Tsalin uzuulelt'!J$1,negtgel!U774:BL774) + SUMIF(negtgel!U$2:BL$2,'Tsalin uzuulelt'!J$2,negtgel!U774:BL774)+SUMIF(negtgel!U$2:BL$2,'Tsalin uzuulelt'!J$3,negtgel!U774:BL774)+SUMIF(negtgel!U$2:BL$2,'Tsalin uzuulelt'!J$4,negtgel!U774:BL774)+SUMIF(negtgel!U$2:BL$2,'Tsalin uzuulelt'!J$5,negtgel!U774:BL774)</f>
      </c>
      <c r="K774">
        <f>SUMIF(negtgel!U$2:BL$2,'Tsalin uzuulelt'!L$1,negtgel!U774:BL774) + SUMIF(negtgel!U$2:BL$2,'Tsalin uzuulelt'!L$2,negtgel!U774:BL774)+SUMIF(negtgel!U$2:BL$2,'Tsalin uzuulelt'!L$3,negtgel!U774:BL774)+SUMIF(negtgel!U$2:BL$2,'Tsalin uzuulelt'!L$4,negtgel!U774:BL774)+SUMIF(negtgel!U$2:BL$2,'Tsalin uzuulelt'!L$5,negtgel!U774:BL774)</f>
      </c>
      <c r="L774">
        <f>SUMIF(negtgel!U$2:BL$2,'Tsalin uzuulelt'!N$1,negtgel!U774:BL774) + SUMIF(negtgel!U$2:BL$2,'Tsalin uzuulelt'!N$2,negtgel!U774:BL774)+SUMIF(negtgel!U$2:BL$2,'Tsalin uzuulelt'!N$3,negtgel!U774:BL774)+SUMIF(negtgel!U$2:BL$2,'Tsalin uzuulelt'!N$4,negtgel!U774:BL774)+SUMIF(negtgel!U$2:BL$2,'Tsalin uzuulelt'!N$5,negtgel!U774:BL774)</f>
      </c>
      <c r="M774">
        <f>SUMIF(negtgel!U$2:BL$2,'Tsalin uzuulelt'!P$1,negtgel!U774:BL774) + SUMIF(negtgel!U$2:BL$2,'Tsalin uzuulelt'!P$2,negtgel!U774:BL774)+ SUMIF(negtgel!U$2:BL$2,'Tsalin uzuulelt'!P$3,negtgel!U774:BL774)+ SUMIF(negtgel!U$2:BL$2,'Tsalin uzuulelt'!P$4,negtgel!U774:BL774)+ SUMIF(negtgel!U$2:BL$2,'Tsalin uzuulelt'!P$5,negtgel!U774:BL774)</f>
      </c>
      <c r="N774">
        <f>IF(ISNUMBER(U774*1)=CF774,0,K774-H774-G774)</f>
      </c>
      <c r="O774">
        <f>IF(ISNUMBER(U774*1)=CF774,0,L774)</f>
      </c>
      <c r="P774">
        <f>IF(ISNUMBER(U774*1)=CF774,0,M774)</f>
      </c>
      <c r="Q774">
        <f>IF(N774&gt;2400000,N774,0)</f>
      </c>
      <c r="R774">
        <f>IF(L774/Q774*100&lt;3,2,10)</f>
      </c>
      <c r="S774">
        <f>IF(CH774=0,0,IF(B774&gt;9,10,IF(B774&gt;8,B774,IF(B774&gt;7.7,7.8,IF(B774&gt;3,B774,IF(B774&gt;1.5,2))))))</f>
      </c>
      <c r="T774">
        <f>IF(Q774=0,S774,R774)</f>
      </c>
      <c r="U774" t="n">
        <v>26.0</v>
      </c>
      <c r="V774" t="s">
        <v>3794</v>
      </c>
      <c r="W774" t="s">
        <v>3792</v>
      </c>
      <c r="X774" t="n">
        <v>496912.0</v>
      </c>
      <c r="Y774" t="n">
        <v>496912.0</v>
      </c>
      <c r="Z774" t="n">
        <v>0.0</v>
      </c>
      <c r="AA774" t="n">
        <v>0.0</v>
      </c>
      <c r="AB774" t="n">
        <v>0.0</v>
      </c>
      <c r="AC774" t="n">
        <v>0.0</v>
      </c>
      <c r="AD774" t="n">
        <v>0.0</v>
      </c>
      <c r="AE774" t="n">
        <v>248456.0</v>
      </c>
      <c r="AF774" t="n">
        <v>60000.0</v>
      </c>
      <c r="AG774" t="n">
        <v>0.0</v>
      </c>
      <c r="AH774" t="n">
        <v>0.0</v>
      </c>
      <c r="AI774" t="n">
        <v>0.0</v>
      </c>
      <c r="AJ774" t="n">
        <v>0.0</v>
      </c>
      <c r="AK774" t="n">
        <v>0.0</v>
      </c>
      <c r="AL774" t="n">
        <v>0.0</v>
      </c>
      <c r="AM774" t="n">
        <v>0.0</v>
      </c>
      <c r="AN774" t="n">
        <v>0.0</v>
      </c>
      <c r="AO774" t="n">
        <v>805368.0</v>
      </c>
      <c r="AP774" t="n">
        <v>80537.0</v>
      </c>
      <c r="AQ774" t="n">
        <v>66083.1</v>
      </c>
      <c r="CH774">
        <f>IFERROR(U774*1,0)</f>
      </c>
    </row>
    <row r="775">
      <c r="A775" t="n">
        <v>12.0</v>
      </c>
      <c r="B775">
        <f>IF((K775-G775-H775&gt;2400000),10,(L775/(K775-G775-H775)*100))</f>
      </c>
      <c r="C775">
        <f>IF(N775&gt;2400000,240000,(N775*S775)/100)</f>
      </c>
      <c r="D775">
        <f>IF(S775=0,0,IF((N775-I775)&gt;2400000,((((((N775-I775-J775)-240000))*0.1+(I775+J775)*0.1)))-7000,((((((N775-I775-J775)-(N775-I775-J775)*S775/100)))*0.1+(I775+J775)*0.1)-7000)))</f>
      </c>
      <c r="E775">
        <f>C775-O775</f>
      </c>
      <c r="F775">
        <f>D775-P775</f>
      </c>
      <c r="G775">
        <f>SUMIF(negtgel!U$2:BL$2,'Tsalin uzuulelt'!B$1,negtgel!U775:BL775) + SUMIF(negtgel!U$2:BL$2,'Tsalin uzuulelt'!B$2,negtgel!U775:BL775)+SUMIF(negtgel!U$2:BL$2,'Tsalin uzuulelt'!B$3,negtgel!U775:BL775)+SUMIF(negtgel!U$2:BL$2,'Tsalin uzuulelt'!B$4,negtgel!U775:BL775)+SUMIF(negtgel!U$2:BL$2,'Tsalin uzuulelt'!B$5,negtgel!U775:BL775)</f>
      </c>
      <c r="H775">
        <f>SUMIF(negtgel!U$2:BL$2,'Tsalin uzuulelt'!F$1,negtgel!U775:BL775) + SUMIF(negtgel!U$2:BL$2,'Tsalin uzuulelt'!F$2,negtgel!U775:BL775)+SUMIF(negtgel!U$2:BL$2,'Tsalin uzuulelt'!F$3,negtgel!U775:BL775)+SUMIF(negtgel!U$2:BL$2,'Tsalin uzuulelt'!F$4,negtgel!U775:BL775)+SUMIF(negtgel!U$2:BL$2,'Tsalin uzuulelt'!F$5,negtgel!U775:BL775)</f>
      </c>
      <c r="I775">
        <f>SUMIF(negtgel!U$2:BL$2,'Tsalin uzuulelt'!H$1,negtgel!U775:BL775) + SUMIF(negtgel!U$2:BL$2,'Tsalin uzuulelt'!H$2,negtgel!U775:BL775)+SUMIF(negtgel!U$2:BL$2,'Tsalin uzuulelt'!H$3,negtgel!U775:BL775)+SUMIF(negtgel!U$2:BL$2,'Tsalin uzuulelt'!H$4,negtgel!U775:BL775)+SUMIF(negtgel!U$2:BL$2,'Tsalin uzuulelt'!H$5,negtgel!U775:BL775)</f>
      </c>
      <c r="J775">
        <f>SUMIF(negtgel!U$2:BL$2,'Tsalin uzuulelt'!J$1,negtgel!U775:BL775) + SUMIF(negtgel!U$2:BL$2,'Tsalin uzuulelt'!J$2,negtgel!U775:BL775)+SUMIF(negtgel!U$2:BL$2,'Tsalin uzuulelt'!J$3,negtgel!U775:BL775)+SUMIF(negtgel!U$2:BL$2,'Tsalin uzuulelt'!J$4,negtgel!U775:BL775)+SUMIF(negtgel!U$2:BL$2,'Tsalin uzuulelt'!J$5,negtgel!U775:BL775)</f>
      </c>
      <c r="K775">
        <f>SUMIF(negtgel!U$2:BL$2,'Tsalin uzuulelt'!L$1,negtgel!U775:BL775) + SUMIF(negtgel!U$2:BL$2,'Tsalin uzuulelt'!L$2,negtgel!U775:BL775)+SUMIF(negtgel!U$2:BL$2,'Tsalin uzuulelt'!L$3,negtgel!U775:BL775)+SUMIF(negtgel!U$2:BL$2,'Tsalin uzuulelt'!L$4,negtgel!U775:BL775)+SUMIF(negtgel!U$2:BL$2,'Tsalin uzuulelt'!L$5,negtgel!U775:BL775)</f>
      </c>
      <c r="L775">
        <f>SUMIF(negtgel!U$2:BL$2,'Tsalin uzuulelt'!N$1,negtgel!U775:BL775) + SUMIF(negtgel!U$2:BL$2,'Tsalin uzuulelt'!N$2,negtgel!U775:BL775)+SUMIF(negtgel!U$2:BL$2,'Tsalin uzuulelt'!N$3,negtgel!U775:BL775)+SUMIF(negtgel!U$2:BL$2,'Tsalin uzuulelt'!N$4,negtgel!U775:BL775)+SUMIF(negtgel!U$2:BL$2,'Tsalin uzuulelt'!N$5,negtgel!U775:BL775)</f>
      </c>
      <c r="M775">
        <f>SUMIF(negtgel!U$2:BL$2,'Tsalin uzuulelt'!P$1,negtgel!U775:BL775) + SUMIF(negtgel!U$2:BL$2,'Tsalin uzuulelt'!P$2,negtgel!U775:BL775)+ SUMIF(negtgel!U$2:BL$2,'Tsalin uzuulelt'!P$3,negtgel!U775:BL775)+ SUMIF(negtgel!U$2:BL$2,'Tsalin uzuulelt'!P$4,negtgel!U775:BL775)+ SUMIF(negtgel!U$2:BL$2,'Tsalin uzuulelt'!P$5,negtgel!U775:BL775)</f>
      </c>
      <c r="N775">
        <f>IF(ISNUMBER(U775*1)=CF775,0,K775-H775-G775)</f>
      </c>
      <c r="O775">
        <f>IF(ISNUMBER(U775*1)=CF775,0,L775)</f>
      </c>
      <c r="P775">
        <f>IF(ISNUMBER(U775*1)=CF775,0,M775)</f>
      </c>
      <c r="Q775">
        <f>IF(N775&gt;2400000,N775,0)</f>
      </c>
      <c r="R775">
        <f>IF(L775/Q775*100&lt;3,2,10)</f>
      </c>
      <c r="S775">
        <f>IF(CH775=0,0,IF(B775&gt;9,10,IF(B775&gt;8,B775,IF(B775&gt;7.7,7.8,IF(B775&gt;3,B775,IF(B775&gt;1.5,2))))))</f>
      </c>
      <c r="T775">
        <f>IF(Q775=0,S775,R775)</f>
      </c>
      <c r="U775" t="s">
        <v>3867</v>
      </c>
      <c r="V775"/>
      <c r="W775"/>
      <c r="X775"/>
      <c r="Y775"/>
      <c r="Z775"/>
      <c r="AA775"/>
      <c r="AB775"/>
      <c r="AC775"/>
      <c r="AD775"/>
      <c r="AE775"/>
      <c r="AF775"/>
      <c r="AG775"/>
      <c r="AH775"/>
      <c r="AI775"/>
      <c r="AJ775"/>
      <c r="AK775"/>
      <c r="AL775"/>
      <c r="AM775"/>
      <c r="AN775"/>
      <c r="AO775"/>
      <c r="AP775"/>
      <c r="AQ775"/>
      <c r="CH775">
        <f>IFERROR(U775*1,0)</f>
      </c>
    </row>
    <row r="776">
      <c r="A776" t="n">
        <v>12.0</v>
      </c>
      <c r="B776">
        <f>IF((K776-G776-H776&gt;2400000),10,(L776/(K776-G776-H776)*100))</f>
      </c>
      <c r="C776">
        <f>IF(N776&gt;2400000,240000,(N776*S776)/100)</f>
      </c>
      <c r="D776">
        <f>IF(S776=0,0,IF((N776-I776)&gt;2400000,((((((N776-I776-J776)-240000))*0.1+(I776+J776)*0.1)))-7000,((((((N776-I776-J776)-(N776-I776-J776)*S776/100)))*0.1+(I776+J776)*0.1)-7000)))</f>
      </c>
      <c r="E776">
        <f>C776-O776</f>
      </c>
      <c r="F776">
        <f>D776-P776</f>
      </c>
      <c r="G776">
        <f>SUMIF(negtgel!U$2:BL$2,'Tsalin uzuulelt'!B$1,negtgel!U776:BL776) + SUMIF(negtgel!U$2:BL$2,'Tsalin uzuulelt'!B$2,negtgel!U776:BL776)+SUMIF(negtgel!U$2:BL$2,'Tsalin uzuulelt'!B$3,negtgel!U776:BL776)+SUMIF(negtgel!U$2:BL$2,'Tsalin uzuulelt'!B$4,negtgel!U776:BL776)+SUMIF(negtgel!U$2:BL$2,'Tsalin uzuulelt'!B$5,negtgel!U776:BL776)</f>
      </c>
      <c r="H776">
        <f>SUMIF(negtgel!U$2:BL$2,'Tsalin uzuulelt'!F$1,negtgel!U776:BL776) + SUMIF(negtgel!U$2:BL$2,'Tsalin uzuulelt'!F$2,negtgel!U776:BL776)+SUMIF(negtgel!U$2:BL$2,'Tsalin uzuulelt'!F$3,negtgel!U776:BL776)+SUMIF(negtgel!U$2:BL$2,'Tsalin uzuulelt'!F$4,negtgel!U776:BL776)+SUMIF(negtgel!U$2:BL$2,'Tsalin uzuulelt'!F$5,negtgel!U776:BL776)</f>
      </c>
      <c r="I776">
        <f>SUMIF(negtgel!U$2:BL$2,'Tsalin uzuulelt'!H$1,negtgel!U776:BL776) + SUMIF(negtgel!U$2:BL$2,'Tsalin uzuulelt'!H$2,negtgel!U776:BL776)+SUMIF(negtgel!U$2:BL$2,'Tsalin uzuulelt'!H$3,negtgel!U776:BL776)+SUMIF(negtgel!U$2:BL$2,'Tsalin uzuulelt'!H$4,negtgel!U776:BL776)+SUMIF(negtgel!U$2:BL$2,'Tsalin uzuulelt'!H$5,negtgel!U776:BL776)</f>
      </c>
      <c r="J776">
        <f>SUMIF(negtgel!U$2:BL$2,'Tsalin uzuulelt'!J$1,negtgel!U776:BL776) + SUMIF(negtgel!U$2:BL$2,'Tsalin uzuulelt'!J$2,negtgel!U776:BL776)+SUMIF(negtgel!U$2:BL$2,'Tsalin uzuulelt'!J$3,negtgel!U776:BL776)+SUMIF(negtgel!U$2:BL$2,'Tsalin uzuulelt'!J$4,negtgel!U776:BL776)+SUMIF(negtgel!U$2:BL$2,'Tsalin uzuulelt'!J$5,negtgel!U776:BL776)</f>
      </c>
      <c r="K776">
        <f>SUMIF(negtgel!U$2:BL$2,'Tsalin uzuulelt'!L$1,negtgel!U776:BL776) + SUMIF(negtgel!U$2:BL$2,'Tsalin uzuulelt'!L$2,negtgel!U776:BL776)+SUMIF(negtgel!U$2:BL$2,'Tsalin uzuulelt'!L$3,negtgel!U776:BL776)+SUMIF(negtgel!U$2:BL$2,'Tsalin uzuulelt'!L$4,negtgel!U776:BL776)+SUMIF(negtgel!U$2:BL$2,'Tsalin uzuulelt'!L$5,negtgel!U776:BL776)</f>
      </c>
      <c r="L776">
        <f>SUMIF(negtgel!U$2:BL$2,'Tsalin uzuulelt'!N$1,negtgel!U776:BL776) + SUMIF(negtgel!U$2:BL$2,'Tsalin uzuulelt'!N$2,negtgel!U776:BL776)+SUMIF(negtgel!U$2:BL$2,'Tsalin uzuulelt'!N$3,negtgel!U776:BL776)+SUMIF(negtgel!U$2:BL$2,'Tsalin uzuulelt'!N$4,negtgel!U776:BL776)+SUMIF(negtgel!U$2:BL$2,'Tsalin uzuulelt'!N$5,negtgel!U776:BL776)</f>
      </c>
      <c r="M776">
        <f>SUMIF(negtgel!U$2:BL$2,'Tsalin uzuulelt'!P$1,negtgel!U776:BL776) + SUMIF(negtgel!U$2:BL$2,'Tsalin uzuulelt'!P$2,negtgel!U776:BL776)+ SUMIF(negtgel!U$2:BL$2,'Tsalin uzuulelt'!P$3,negtgel!U776:BL776)+ SUMIF(negtgel!U$2:BL$2,'Tsalin uzuulelt'!P$4,negtgel!U776:BL776)+ SUMIF(negtgel!U$2:BL$2,'Tsalin uzuulelt'!P$5,negtgel!U776:BL776)</f>
      </c>
      <c r="N776">
        <f>IF(ISNUMBER(U776*1)=CF776,0,K776-H776-G776)</f>
      </c>
      <c r="O776">
        <f>IF(ISNUMBER(U776*1)=CF776,0,L776)</f>
      </c>
      <c r="P776">
        <f>IF(ISNUMBER(U776*1)=CF776,0,M776)</f>
      </c>
      <c r="Q776">
        <f>IF(N776&gt;2400000,N776,0)</f>
      </c>
      <c r="R776">
        <f>IF(L776/Q776*100&lt;3,2,10)</f>
      </c>
      <c r="S776">
        <f>IF(CH776=0,0,IF(B776&gt;9,10,IF(B776&gt;8,B776,IF(B776&gt;7.7,7.8,IF(B776&gt;3,B776,IF(B776&gt;1.5,2))))))</f>
      </c>
      <c r="T776">
        <f>IF(Q776=0,S776,R776)</f>
      </c>
      <c r="U776" t="n">
        <v>50.0</v>
      </c>
      <c r="V776" t="s">
        <v>3862</v>
      </c>
      <c r="W776" t="s">
        <v>3790</v>
      </c>
      <c r="X776" t="n">
        <v>677436.0</v>
      </c>
      <c r="Y776" t="n">
        <v>677436.0</v>
      </c>
      <c r="Z776" t="n">
        <v>101615.0</v>
      </c>
      <c r="AA776" t="n">
        <v>135487.0</v>
      </c>
      <c r="AB776" t="n">
        <v>0.0</v>
      </c>
      <c r="AC776" t="n">
        <v>101615.0</v>
      </c>
      <c r="AD776" t="n">
        <v>0.0</v>
      </c>
      <c r="AE776" t="n">
        <v>338718.0</v>
      </c>
      <c r="AF776" t="n">
        <v>60000.0</v>
      </c>
      <c r="AG776" t="n">
        <v>0.0</v>
      </c>
      <c r="AH776" t="n">
        <v>0.0</v>
      </c>
      <c r="AI776" t="n">
        <v>0.0</v>
      </c>
      <c r="AJ776" t="n">
        <v>0.0</v>
      </c>
      <c r="AK776" t="n">
        <v>0.0</v>
      </c>
      <c r="AL776" t="n">
        <v>0.0</v>
      </c>
      <c r="AM776" t="n">
        <v>0.0</v>
      </c>
      <c r="AN776" t="n">
        <v>0.0</v>
      </c>
      <c r="AO776" t="n">
        <v>1414871.0</v>
      </c>
      <c r="AP776" t="n">
        <v>141487.0</v>
      </c>
      <c r="AQ776" t="n">
        <v>120938.4</v>
      </c>
      <c r="CH776">
        <f>IFERROR(U776*1,0)</f>
      </c>
    </row>
    <row r="777">
      <c r="A777" t="n">
        <v>12.0</v>
      </c>
      <c r="B777">
        <f>IF((K777-G777-H777&gt;2400000),10,(L777/(K777-G777-H777)*100))</f>
      </c>
      <c r="C777">
        <f>IF(N777&gt;2400000,240000,(N777*S777)/100)</f>
      </c>
      <c r="D777">
        <f>IF(S777=0,0,IF((N777-I777)&gt;2400000,((((((N777-I777-J777)-240000))*0.1+(I777+J777)*0.1)))-7000,((((((N777-I777-J777)-(N777-I777-J777)*S777/100)))*0.1+(I777+J777)*0.1)-7000)))</f>
      </c>
      <c r="E777">
        <f>C777-O777</f>
      </c>
      <c r="F777">
        <f>D777-P777</f>
      </c>
      <c r="G777">
        <f>SUMIF(negtgel!U$2:BL$2,'Tsalin uzuulelt'!B$1,negtgel!U777:BL777) + SUMIF(negtgel!U$2:BL$2,'Tsalin uzuulelt'!B$2,negtgel!U777:BL777)+SUMIF(negtgel!U$2:BL$2,'Tsalin uzuulelt'!B$3,negtgel!U777:BL777)+SUMIF(negtgel!U$2:BL$2,'Tsalin uzuulelt'!B$4,negtgel!U777:BL777)+SUMIF(negtgel!U$2:BL$2,'Tsalin uzuulelt'!B$5,negtgel!U777:BL777)</f>
      </c>
      <c r="H777">
        <f>SUMIF(negtgel!U$2:BL$2,'Tsalin uzuulelt'!F$1,negtgel!U777:BL777) + SUMIF(negtgel!U$2:BL$2,'Tsalin uzuulelt'!F$2,negtgel!U777:BL777)+SUMIF(negtgel!U$2:BL$2,'Tsalin uzuulelt'!F$3,negtgel!U777:BL777)+SUMIF(negtgel!U$2:BL$2,'Tsalin uzuulelt'!F$4,negtgel!U777:BL777)+SUMIF(negtgel!U$2:BL$2,'Tsalin uzuulelt'!F$5,negtgel!U777:BL777)</f>
      </c>
      <c r="I777">
        <f>SUMIF(negtgel!U$2:BL$2,'Tsalin uzuulelt'!H$1,negtgel!U777:BL777) + SUMIF(negtgel!U$2:BL$2,'Tsalin uzuulelt'!H$2,negtgel!U777:BL777)+SUMIF(negtgel!U$2:BL$2,'Tsalin uzuulelt'!H$3,negtgel!U777:BL777)+SUMIF(negtgel!U$2:BL$2,'Tsalin uzuulelt'!H$4,negtgel!U777:BL777)+SUMIF(negtgel!U$2:BL$2,'Tsalin uzuulelt'!H$5,negtgel!U777:BL777)</f>
      </c>
      <c r="J777">
        <f>SUMIF(negtgel!U$2:BL$2,'Tsalin uzuulelt'!J$1,negtgel!U777:BL777) + SUMIF(negtgel!U$2:BL$2,'Tsalin uzuulelt'!J$2,negtgel!U777:BL777)+SUMIF(negtgel!U$2:BL$2,'Tsalin uzuulelt'!J$3,negtgel!U777:BL777)+SUMIF(negtgel!U$2:BL$2,'Tsalin uzuulelt'!J$4,negtgel!U777:BL777)+SUMIF(negtgel!U$2:BL$2,'Tsalin uzuulelt'!J$5,negtgel!U777:BL777)</f>
      </c>
      <c r="K777">
        <f>SUMIF(negtgel!U$2:BL$2,'Tsalin uzuulelt'!L$1,negtgel!U777:BL777) + SUMIF(negtgel!U$2:BL$2,'Tsalin uzuulelt'!L$2,negtgel!U777:BL777)+SUMIF(negtgel!U$2:BL$2,'Tsalin uzuulelt'!L$3,negtgel!U777:BL777)+SUMIF(negtgel!U$2:BL$2,'Tsalin uzuulelt'!L$4,negtgel!U777:BL777)+SUMIF(negtgel!U$2:BL$2,'Tsalin uzuulelt'!L$5,negtgel!U777:BL777)</f>
      </c>
      <c r="L777">
        <f>SUMIF(negtgel!U$2:BL$2,'Tsalin uzuulelt'!N$1,negtgel!U777:BL777) + SUMIF(negtgel!U$2:BL$2,'Tsalin uzuulelt'!N$2,negtgel!U777:BL777)+SUMIF(negtgel!U$2:BL$2,'Tsalin uzuulelt'!N$3,negtgel!U777:BL777)+SUMIF(negtgel!U$2:BL$2,'Tsalin uzuulelt'!N$4,negtgel!U777:BL777)+SUMIF(negtgel!U$2:BL$2,'Tsalin uzuulelt'!N$5,negtgel!U777:BL777)</f>
      </c>
      <c r="M777">
        <f>SUMIF(negtgel!U$2:BL$2,'Tsalin uzuulelt'!P$1,negtgel!U777:BL777) + SUMIF(negtgel!U$2:BL$2,'Tsalin uzuulelt'!P$2,negtgel!U777:BL777)+ SUMIF(negtgel!U$2:BL$2,'Tsalin uzuulelt'!P$3,negtgel!U777:BL777)+ SUMIF(negtgel!U$2:BL$2,'Tsalin uzuulelt'!P$4,negtgel!U777:BL777)+ SUMIF(negtgel!U$2:BL$2,'Tsalin uzuulelt'!P$5,negtgel!U777:BL777)</f>
      </c>
      <c r="N777">
        <f>IF(ISNUMBER(U777*1)=CF777,0,K777-H777-G777)</f>
      </c>
      <c r="O777">
        <f>IF(ISNUMBER(U777*1)=CF777,0,L777)</f>
      </c>
      <c r="P777">
        <f>IF(ISNUMBER(U777*1)=CF777,0,M777)</f>
      </c>
      <c r="Q777">
        <f>IF(N777&gt;2400000,N777,0)</f>
      </c>
      <c r="R777">
        <f>IF(L777/Q777*100&lt;3,2,10)</f>
      </c>
      <c r="S777">
        <f>IF(CH777=0,0,IF(B777&gt;9,10,IF(B777&gt;8,B777,IF(B777&gt;7.7,7.8,IF(B777&gt;3,B777,IF(B777&gt;1.5,2))))))</f>
      </c>
      <c r="T777">
        <f>IF(Q777=0,S777,R777)</f>
      </c>
      <c r="U777" t="n">
        <v>51.0</v>
      </c>
      <c r="V777" t="s">
        <v>3877</v>
      </c>
      <c r="W777" t="s">
        <v>3790</v>
      </c>
      <c r="X777" t="n">
        <v>613669.0</v>
      </c>
      <c r="Y777" t="n">
        <v>613669.0</v>
      </c>
      <c r="Z777" t="n">
        <v>0.0</v>
      </c>
      <c r="AA777" t="n">
        <v>0.0</v>
      </c>
      <c r="AB777" t="n">
        <v>0.0</v>
      </c>
      <c r="AC777" t="n">
        <v>0.0</v>
      </c>
      <c r="AD777" t="n">
        <v>0.0</v>
      </c>
      <c r="AE777" t="n">
        <v>306834.0</v>
      </c>
      <c r="AF777" t="n">
        <v>60000.0</v>
      </c>
      <c r="AG777" t="n">
        <v>0.0</v>
      </c>
      <c r="AH777" t="n">
        <v>0.0</v>
      </c>
      <c r="AI777" t="n">
        <v>0.0</v>
      </c>
      <c r="AJ777" t="n">
        <v>0.0</v>
      </c>
      <c r="AK777" t="n">
        <v>0.0</v>
      </c>
      <c r="AL777" t="n">
        <v>0.0</v>
      </c>
      <c r="AM777" t="n">
        <v>0.0</v>
      </c>
      <c r="AN777" t="n">
        <v>0.0</v>
      </c>
      <c r="AO777" t="n">
        <v>980503.0</v>
      </c>
      <c r="AP777" t="n">
        <v>98050.0</v>
      </c>
      <c r="AQ777" t="n">
        <v>81845.3</v>
      </c>
      <c r="CH777">
        <f>IFERROR(U777*1,0)</f>
      </c>
    </row>
    <row r="778">
      <c r="A778" t="n">
        <v>12.0</v>
      </c>
      <c r="B778">
        <f>IF((K778-G778-H778&gt;2400000),10,(L778/(K778-G778-H778)*100))</f>
      </c>
      <c r="C778">
        <f>IF(N778&gt;2400000,240000,(N778*S778)/100)</f>
      </c>
      <c r="D778">
        <f>IF(S778=0,0,IF((N778-I778)&gt;2400000,((((((N778-I778-J778)-240000))*0.1+(I778+J778)*0.1)))-7000,((((((N778-I778-J778)-(N778-I778-J778)*S778/100)))*0.1+(I778+J778)*0.1)-7000)))</f>
      </c>
      <c r="E778">
        <f>C778-O778</f>
      </c>
      <c r="F778">
        <f>D778-P778</f>
      </c>
      <c r="G778">
        <f>SUMIF(negtgel!U$2:BL$2,'Tsalin uzuulelt'!B$1,negtgel!U778:BL778) + SUMIF(negtgel!U$2:BL$2,'Tsalin uzuulelt'!B$2,negtgel!U778:BL778)+SUMIF(negtgel!U$2:BL$2,'Tsalin uzuulelt'!B$3,negtgel!U778:BL778)+SUMIF(negtgel!U$2:BL$2,'Tsalin uzuulelt'!B$4,negtgel!U778:BL778)+SUMIF(negtgel!U$2:BL$2,'Tsalin uzuulelt'!B$5,negtgel!U778:BL778)</f>
      </c>
      <c r="H778">
        <f>SUMIF(negtgel!U$2:BL$2,'Tsalin uzuulelt'!F$1,negtgel!U778:BL778) + SUMIF(negtgel!U$2:BL$2,'Tsalin uzuulelt'!F$2,negtgel!U778:BL778)+SUMIF(negtgel!U$2:BL$2,'Tsalin uzuulelt'!F$3,negtgel!U778:BL778)+SUMIF(negtgel!U$2:BL$2,'Tsalin uzuulelt'!F$4,negtgel!U778:BL778)+SUMIF(negtgel!U$2:BL$2,'Tsalin uzuulelt'!F$5,negtgel!U778:BL778)</f>
      </c>
      <c r="I778">
        <f>SUMIF(negtgel!U$2:BL$2,'Tsalin uzuulelt'!H$1,negtgel!U778:BL778) + SUMIF(negtgel!U$2:BL$2,'Tsalin uzuulelt'!H$2,negtgel!U778:BL778)+SUMIF(negtgel!U$2:BL$2,'Tsalin uzuulelt'!H$3,negtgel!U778:BL778)+SUMIF(negtgel!U$2:BL$2,'Tsalin uzuulelt'!H$4,negtgel!U778:BL778)+SUMIF(negtgel!U$2:BL$2,'Tsalin uzuulelt'!H$5,negtgel!U778:BL778)</f>
      </c>
      <c r="J778">
        <f>SUMIF(negtgel!U$2:BL$2,'Tsalin uzuulelt'!J$1,negtgel!U778:BL778) + SUMIF(negtgel!U$2:BL$2,'Tsalin uzuulelt'!J$2,negtgel!U778:BL778)+SUMIF(negtgel!U$2:BL$2,'Tsalin uzuulelt'!J$3,negtgel!U778:BL778)+SUMIF(negtgel!U$2:BL$2,'Tsalin uzuulelt'!J$4,negtgel!U778:BL778)+SUMIF(negtgel!U$2:BL$2,'Tsalin uzuulelt'!J$5,negtgel!U778:BL778)</f>
      </c>
      <c r="K778">
        <f>SUMIF(negtgel!U$2:BL$2,'Tsalin uzuulelt'!L$1,negtgel!U778:BL778) + SUMIF(negtgel!U$2:BL$2,'Tsalin uzuulelt'!L$2,negtgel!U778:BL778)+SUMIF(negtgel!U$2:BL$2,'Tsalin uzuulelt'!L$3,negtgel!U778:BL778)+SUMIF(negtgel!U$2:BL$2,'Tsalin uzuulelt'!L$4,negtgel!U778:BL778)+SUMIF(negtgel!U$2:BL$2,'Tsalin uzuulelt'!L$5,negtgel!U778:BL778)</f>
      </c>
      <c r="L778">
        <f>SUMIF(negtgel!U$2:BL$2,'Tsalin uzuulelt'!N$1,negtgel!U778:BL778) + SUMIF(negtgel!U$2:BL$2,'Tsalin uzuulelt'!N$2,negtgel!U778:BL778)+SUMIF(negtgel!U$2:BL$2,'Tsalin uzuulelt'!N$3,negtgel!U778:BL778)+SUMIF(negtgel!U$2:BL$2,'Tsalin uzuulelt'!N$4,negtgel!U778:BL778)+SUMIF(negtgel!U$2:BL$2,'Tsalin uzuulelt'!N$5,negtgel!U778:BL778)</f>
      </c>
      <c r="M778">
        <f>SUMIF(negtgel!U$2:BL$2,'Tsalin uzuulelt'!P$1,negtgel!U778:BL778) + SUMIF(negtgel!U$2:BL$2,'Tsalin uzuulelt'!P$2,negtgel!U778:BL778)+ SUMIF(negtgel!U$2:BL$2,'Tsalin uzuulelt'!P$3,negtgel!U778:BL778)+ SUMIF(negtgel!U$2:BL$2,'Tsalin uzuulelt'!P$4,negtgel!U778:BL778)+ SUMIF(negtgel!U$2:BL$2,'Tsalin uzuulelt'!P$5,negtgel!U778:BL778)</f>
      </c>
      <c r="N778">
        <f>IF(ISNUMBER(U778*1)=CF778,0,K778-H778-G778)</f>
      </c>
      <c r="O778">
        <f>IF(ISNUMBER(U778*1)=CF778,0,L778)</f>
      </c>
      <c r="P778">
        <f>IF(ISNUMBER(U778*1)=CF778,0,M778)</f>
      </c>
      <c r="Q778">
        <f>IF(N778&gt;2400000,N778,0)</f>
      </c>
      <c r="R778">
        <f>IF(L778/Q778*100&lt;3,2,10)</f>
      </c>
      <c r="S778">
        <f>IF(CH778=0,0,IF(B778&gt;9,10,IF(B778&gt;8,B778,IF(B778&gt;7.7,7.8,IF(B778&gt;3,B778,IF(B778&gt;1.5,2))))))</f>
      </c>
      <c r="T778">
        <f>IF(Q778=0,S778,R778)</f>
      </c>
      <c r="U778" t="n">
        <v>52.0</v>
      </c>
      <c r="V778" t="s">
        <v>3797</v>
      </c>
      <c r="W778" t="s">
        <v>3790</v>
      </c>
      <c r="X778" t="n">
        <v>613669.0</v>
      </c>
      <c r="Y778" t="n">
        <v>613669.0</v>
      </c>
      <c r="Z778" t="n">
        <v>30683.0</v>
      </c>
      <c r="AA778" t="n">
        <v>92050.0</v>
      </c>
      <c r="AB778" t="n">
        <v>0.0</v>
      </c>
      <c r="AC778" t="n">
        <v>0.0</v>
      </c>
      <c r="AD778" t="n">
        <v>0.0</v>
      </c>
      <c r="AE778" t="n">
        <v>306834.0</v>
      </c>
      <c r="AF778" t="n">
        <v>60000.0</v>
      </c>
      <c r="AG778" t="n">
        <v>0.0</v>
      </c>
      <c r="AH778" t="n">
        <v>0.0</v>
      </c>
      <c r="AI778" t="n">
        <v>0.0</v>
      </c>
      <c r="AJ778" t="n">
        <v>0.0</v>
      </c>
      <c r="AK778" t="n">
        <v>0.0</v>
      </c>
      <c r="AL778" t="n">
        <v>0.0</v>
      </c>
      <c r="AM778" t="n">
        <v>0.0</v>
      </c>
      <c r="AN778" t="n">
        <v>0.0</v>
      </c>
      <c r="AO778" t="n">
        <v>1103236.0</v>
      </c>
      <c r="AP778" t="n">
        <v>110324.0</v>
      </c>
      <c r="AQ778" t="n">
        <v>92891.2</v>
      </c>
      <c r="CH778">
        <f>IFERROR(U778*1,0)</f>
      </c>
    </row>
    <row r="779">
      <c r="A779" t="n">
        <v>12.0</v>
      </c>
      <c r="B779">
        <f>IF((K779-G779-H779&gt;2400000),10,(L779/(K779-G779-H779)*100))</f>
      </c>
      <c r="C779">
        <f>IF(N779&gt;2400000,240000,(N779*S779)/100)</f>
      </c>
      <c r="D779">
        <f>IF(S779=0,0,IF((N779-I779)&gt;2400000,((((((N779-I779-J779)-240000))*0.1+(I779+J779)*0.1)))-7000,((((((N779-I779-J779)-(N779-I779-J779)*S779/100)))*0.1+(I779+J779)*0.1)-7000)))</f>
      </c>
      <c r="E779">
        <f>C779-O779</f>
      </c>
      <c r="F779">
        <f>D779-P779</f>
      </c>
      <c r="G779">
        <f>SUMIF(negtgel!U$2:BL$2,'Tsalin uzuulelt'!B$1,negtgel!U779:BL779) + SUMIF(negtgel!U$2:BL$2,'Tsalin uzuulelt'!B$2,negtgel!U779:BL779)+SUMIF(negtgel!U$2:BL$2,'Tsalin uzuulelt'!B$3,negtgel!U779:BL779)+SUMIF(negtgel!U$2:BL$2,'Tsalin uzuulelt'!B$4,negtgel!U779:BL779)+SUMIF(negtgel!U$2:BL$2,'Tsalin uzuulelt'!B$5,negtgel!U779:BL779)</f>
      </c>
      <c r="H779">
        <f>SUMIF(negtgel!U$2:BL$2,'Tsalin uzuulelt'!F$1,negtgel!U779:BL779) + SUMIF(negtgel!U$2:BL$2,'Tsalin uzuulelt'!F$2,negtgel!U779:BL779)+SUMIF(negtgel!U$2:BL$2,'Tsalin uzuulelt'!F$3,negtgel!U779:BL779)+SUMIF(negtgel!U$2:BL$2,'Tsalin uzuulelt'!F$4,negtgel!U779:BL779)+SUMIF(negtgel!U$2:BL$2,'Tsalin uzuulelt'!F$5,negtgel!U779:BL779)</f>
      </c>
      <c r="I779">
        <f>SUMIF(negtgel!U$2:BL$2,'Tsalin uzuulelt'!H$1,negtgel!U779:BL779) + SUMIF(negtgel!U$2:BL$2,'Tsalin uzuulelt'!H$2,negtgel!U779:BL779)+SUMIF(negtgel!U$2:BL$2,'Tsalin uzuulelt'!H$3,negtgel!U779:BL779)+SUMIF(negtgel!U$2:BL$2,'Tsalin uzuulelt'!H$4,negtgel!U779:BL779)+SUMIF(negtgel!U$2:BL$2,'Tsalin uzuulelt'!H$5,negtgel!U779:BL779)</f>
      </c>
      <c r="J779">
        <f>SUMIF(negtgel!U$2:BL$2,'Tsalin uzuulelt'!J$1,negtgel!U779:BL779) + SUMIF(negtgel!U$2:BL$2,'Tsalin uzuulelt'!J$2,negtgel!U779:BL779)+SUMIF(negtgel!U$2:BL$2,'Tsalin uzuulelt'!J$3,negtgel!U779:BL779)+SUMIF(negtgel!U$2:BL$2,'Tsalin uzuulelt'!J$4,negtgel!U779:BL779)+SUMIF(negtgel!U$2:BL$2,'Tsalin uzuulelt'!J$5,negtgel!U779:BL779)</f>
      </c>
      <c r="K779">
        <f>SUMIF(negtgel!U$2:BL$2,'Tsalin uzuulelt'!L$1,negtgel!U779:BL779) + SUMIF(negtgel!U$2:BL$2,'Tsalin uzuulelt'!L$2,negtgel!U779:BL779)+SUMIF(negtgel!U$2:BL$2,'Tsalin uzuulelt'!L$3,negtgel!U779:BL779)+SUMIF(negtgel!U$2:BL$2,'Tsalin uzuulelt'!L$4,negtgel!U779:BL779)+SUMIF(negtgel!U$2:BL$2,'Tsalin uzuulelt'!L$5,negtgel!U779:BL779)</f>
      </c>
      <c r="L779">
        <f>SUMIF(negtgel!U$2:BL$2,'Tsalin uzuulelt'!N$1,negtgel!U779:BL779) + SUMIF(negtgel!U$2:BL$2,'Tsalin uzuulelt'!N$2,negtgel!U779:BL779)+SUMIF(negtgel!U$2:BL$2,'Tsalin uzuulelt'!N$3,negtgel!U779:BL779)+SUMIF(negtgel!U$2:BL$2,'Tsalin uzuulelt'!N$4,negtgel!U779:BL779)+SUMIF(negtgel!U$2:BL$2,'Tsalin uzuulelt'!N$5,negtgel!U779:BL779)</f>
      </c>
      <c r="M779">
        <f>SUMIF(negtgel!U$2:BL$2,'Tsalin uzuulelt'!P$1,negtgel!U779:BL779) + SUMIF(negtgel!U$2:BL$2,'Tsalin uzuulelt'!P$2,negtgel!U779:BL779)+ SUMIF(negtgel!U$2:BL$2,'Tsalin uzuulelt'!P$3,negtgel!U779:BL779)+ SUMIF(negtgel!U$2:BL$2,'Tsalin uzuulelt'!P$4,negtgel!U779:BL779)+ SUMIF(negtgel!U$2:BL$2,'Tsalin uzuulelt'!P$5,negtgel!U779:BL779)</f>
      </c>
      <c r="N779">
        <f>IF(ISNUMBER(U779*1)=CF779,0,K779-H779-G779)</f>
      </c>
      <c r="O779">
        <f>IF(ISNUMBER(U779*1)=CF779,0,L779)</f>
      </c>
      <c r="P779">
        <f>IF(ISNUMBER(U779*1)=CF779,0,M779)</f>
      </c>
      <c r="Q779">
        <f>IF(N779&gt;2400000,N779,0)</f>
      </c>
      <c r="R779">
        <f>IF(L779/Q779*100&lt;3,2,10)</f>
      </c>
      <c r="S779">
        <f>IF(CH779=0,0,IF(B779&gt;9,10,IF(B779&gt;8,B779,IF(B779&gt;7.7,7.8,IF(B779&gt;3,B779,IF(B779&gt;1.5,2))))))</f>
      </c>
      <c r="T779">
        <f>IF(Q779=0,S779,R779)</f>
      </c>
      <c r="U779" t="n">
        <v>53.0</v>
      </c>
      <c r="V779" t="s">
        <v>3798</v>
      </c>
      <c r="W779" t="s">
        <v>3792</v>
      </c>
      <c r="X779" t="n">
        <v>496912.0</v>
      </c>
      <c r="Y779" t="n">
        <v>496912.0</v>
      </c>
      <c r="Z779" t="n">
        <v>0.0</v>
      </c>
      <c r="AA779" t="n">
        <v>0.0</v>
      </c>
      <c r="AB779" t="n">
        <v>0.0</v>
      </c>
      <c r="AC779" t="n">
        <v>0.0</v>
      </c>
      <c r="AD779" t="n">
        <v>0.0</v>
      </c>
      <c r="AE779" t="n">
        <v>173919.0</v>
      </c>
      <c r="AF779" t="n">
        <v>60000.0</v>
      </c>
      <c r="AG779" t="n">
        <v>0.0</v>
      </c>
      <c r="AH779" t="n">
        <v>0.0</v>
      </c>
      <c r="AI779" t="n">
        <v>0.0</v>
      </c>
      <c r="AJ779" t="n">
        <v>0.0</v>
      </c>
      <c r="AK779" t="n">
        <v>0.0</v>
      </c>
      <c r="AL779" t="n">
        <v>0.0</v>
      </c>
      <c r="AM779" t="n">
        <v>0.0</v>
      </c>
      <c r="AN779" t="n">
        <v>0.0</v>
      </c>
      <c r="AO779" t="n">
        <v>730831.0</v>
      </c>
      <c r="AP779" t="n">
        <v>73084.0</v>
      </c>
      <c r="AQ779" t="n">
        <v>59374.8</v>
      </c>
      <c r="CH779">
        <f>IFERROR(U779*1,0)</f>
      </c>
    </row>
    <row r="780">
      <c r="A780" t="n">
        <v>12.0</v>
      </c>
      <c r="B780">
        <f>IF((K780-G780-H780&gt;2400000),10,(L780/(K780-G780-H780)*100))</f>
      </c>
      <c r="C780">
        <f>IF(N780&gt;2400000,240000,(N780*S780)/100)</f>
      </c>
      <c r="D780">
        <f>IF(S780=0,0,IF((N780-I780)&gt;2400000,((((((N780-I780-J780)-240000))*0.1+(I780+J780)*0.1)))-7000,((((((N780-I780-J780)-(N780-I780-J780)*S780/100)))*0.1+(I780+J780)*0.1)-7000)))</f>
      </c>
      <c r="E780">
        <f>C780-O780</f>
      </c>
      <c r="F780">
        <f>D780-P780</f>
      </c>
      <c r="G780">
        <f>SUMIF(negtgel!U$2:BL$2,'Tsalin uzuulelt'!B$1,negtgel!U780:BL780) + SUMIF(negtgel!U$2:BL$2,'Tsalin uzuulelt'!B$2,negtgel!U780:BL780)+SUMIF(negtgel!U$2:BL$2,'Tsalin uzuulelt'!B$3,negtgel!U780:BL780)+SUMIF(negtgel!U$2:BL$2,'Tsalin uzuulelt'!B$4,negtgel!U780:BL780)+SUMIF(negtgel!U$2:BL$2,'Tsalin uzuulelt'!B$5,negtgel!U780:BL780)</f>
      </c>
      <c r="H780">
        <f>SUMIF(negtgel!U$2:BL$2,'Tsalin uzuulelt'!F$1,negtgel!U780:BL780) + SUMIF(negtgel!U$2:BL$2,'Tsalin uzuulelt'!F$2,negtgel!U780:BL780)+SUMIF(negtgel!U$2:BL$2,'Tsalin uzuulelt'!F$3,negtgel!U780:BL780)+SUMIF(negtgel!U$2:BL$2,'Tsalin uzuulelt'!F$4,negtgel!U780:BL780)+SUMIF(negtgel!U$2:BL$2,'Tsalin uzuulelt'!F$5,negtgel!U780:BL780)</f>
      </c>
      <c r="I780">
        <f>SUMIF(negtgel!U$2:BL$2,'Tsalin uzuulelt'!H$1,negtgel!U780:BL780) + SUMIF(negtgel!U$2:BL$2,'Tsalin uzuulelt'!H$2,negtgel!U780:BL780)+SUMIF(negtgel!U$2:BL$2,'Tsalin uzuulelt'!H$3,negtgel!U780:BL780)+SUMIF(negtgel!U$2:BL$2,'Tsalin uzuulelt'!H$4,negtgel!U780:BL780)+SUMIF(negtgel!U$2:BL$2,'Tsalin uzuulelt'!H$5,negtgel!U780:BL780)</f>
      </c>
      <c r="J780">
        <f>SUMIF(negtgel!U$2:BL$2,'Tsalin uzuulelt'!J$1,negtgel!U780:BL780) + SUMIF(negtgel!U$2:BL$2,'Tsalin uzuulelt'!J$2,negtgel!U780:BL780)+SUMIF(negtgel!U$2:BL$2,'Tsalin uzuulelt'!J$3,negtgel!U780:BL780)+SUMIF(negtgel!U$2:BL$2,'Tsalin uzuulelt'!J$4,negtgel!U780:BL780)+SUMIF(negtgel!U$2:BL$2,'Tsalin uzuulelt'!J$5,negtgel!U780:BL780)</f>
      </c>
      <c r="K780">
        <f>SUMIF(negtgel!U$2:BL$2,'Tsalin uzuulelt'!L$1,negtgel!U780:BL780) + SUMIF(negtgel!U$2:BL$2,'Tsalin uzuulelt'!L$2,negtgel!U780:BL780)+SUMIF(negtgel!U$2:BL$2,'Tsalin uzuulelt'!L$3,negtgel!U780:BL780)+SUMIF(negtgel!U$2:BL$2,'Tsalin uzuulelt'!L$4,negtgel!U780:BL780)+SUMIF(negtgel!U$2:BL$2,'Tsalin uzuulelt'!L$5,negtgel!U780:BL780)</f>
      </c>
      <c r="L780">
        <f>SUMIF(negtgel!U$2:BL$2,'Tsalin uzuulelt'!N$1,negtgel!U780:BL780) + SUMIF(negtgel!U$2:BL$2,'Tsalin uzuulelt'!N$2,negtgel!U780:BL780)+SUMIF(negtgel!U$2:BL$2,'Tsalin uzuulelt'!N$3,negtgel!U780:BL780)+SUMIF(negtgel!U$2:BL$2,'Tsalin uzuulelt'!N$4,negtgel!U780:BL780)+SUMIF(negtgel!U$2:BL$2,'Tsalin uzuulelt'!N$5,negtgel!U780:BL780)</f>
      </c>
      <c r="M780">
        <f>SUMIF(negtgel!U$2:BL$2,'Tsalin uzuulelt'!P$1,negtgel!U780:BL780) + SUMIF(negtgel!U$2:BL$2,'Tsalin uzuulelt'!P$2,negtgel!U780:BL780)+ SUMIF(negtgel!U$2:BL$2,'Tsalin uzuulelt'!P$3,negtgel!U780:BL780)+ SUMIF(negtgel!U$2:BL$2,'Tsalin uzuulelt'!P$4,negtgel!U780:BL780)+ SUMIF(negtgel!U$2:BL$2,'Tsalin uzuulelt'!P$5,negtgel!U780:BL780)</f>
      </c>
      <c r="N780">
        <f>IF(ISNUMBER(U780*1)=CF780,0,K780-H780-G780)</f>
      </c>
      <c r="O780">
        <f>IF(ISNUMBER(U780*1)=CF780,0,L780)</f>
      </c>
      <c r="P780">
        <f>IF(ISNUMBER(U780*1)=CF780,0,M780)</f>
      </c>
      <c r="Q780">
        <f>IF(N780&gt;2400000,N780,0)</f>
      </c>
      <c r="R780">
        <f>IF(L780/Q780*100&lt;3,2,10)</f>
      </c>
      <c r="S780">
        <f>IF(CH780=0,0,IF(B780&gt;9,10,IF(B780&gt;8,B780,IF(B780&gt;7.7,7.8,IF(B780&gt;3,B780,IF(B780&gt;1.5,2))))))</f>
      </c>
      <c r="T780">
        <f>IF(Q780=0,S780,R780)</f>
      </c>
      <c r="U780" t="n">
        <v>54.0</v>
      </c>
      <c r="V780" t="s">
        <v>3799</v>
      </c>
      <c r="W780" t="s">
        <v>3785</v>
      </c>
      <c r="X780" t="n">
        <v>795935.0</v>
      </c>
      <c r="Y780" t="n">
        <v>795935.0</v>
      </c>
      <c r="Z780" t="n">
        <v>119390.0</v>
      </c>
      <c r="AA780" t="n">
        <v>159187.0</v>
      </c>
      <c r="AB780" t="n">
        <v>0.0</v>
      </c>
      <c r="AC780" t="n">
        <v>0.0</v>
      </c>
      <c r="AD780" t="n">
        <v>0.0</v>
      </c>
      <c r="AE780" t="n">
        <v>397968.0</v>
      </c>
      <c r="AF780" t="n">
        <v>60000.0</v>
      </c>
      <c r="AG780" t="n">
        <v>0.0</v>
      </c>
      <c r="AH780" t="n">
        <v>0.0</v>
      </c>
      <c r="AI780" t="n">
        <v>0.0</v>
      </c>
      <c r="AJ780" t="n">
        <v>0.0</v>
      </c>
      <c r="AK780" t="n">
        <v>0.0</v>
      </c>
      <c r="AL780" t="n">
        <v>0.0</v>
      </c>
      <c r="AM780" t="n">
        <v>0.0</v>
      </c>
      <c r="AN780" t="n">
        <v>0.0</v>
      </c>
      <c r="AO780" t="n">
        <v>1532480.0</v>
      </c>
      <c r="AP780" t="n">
        <v>153249.0</v>
      </c>
      <c r="AQ780" t="n">
        <v>131523.2</v>
      </c>
      <c r="CH780">
        <f>IFERROR(U780*1,0)</f>
      </c>
    </row>
    <row r="781">
      <c r="A781" t="n">
        <v>12.0</v>
      </c>
      <c r="B781">
        <f>IF((K781-G781-H781&gt;2400000),10,(L781/(K781-G781-H781)*100))</f>
      </c>
      <c r="C781">
        <f>IF(N781&gt;2400000,240000,(N781*S781)/100)</f>
      </c>
      <c r="D781">
        <f>IF(S781=0,0,IF((N781-I781)&gt;2400000,((((((N781-I781-J781)-240000))*0.1+(I781+J781)*0.1)))-7000,((((((N781-I781-J781)-(N781-I781-J781)*S781/100)))*0.1+(I781+J781)*0.1)-7000)))</f>
      </c>
      <c r="E781">
        <f>C781-O781</f>
      </c>
      <c r="F781">
        <f>D781-P781</f>
      </c>
      <c r="G781">
        <f>SUMIF(negtgel!U$2:BL$2,'Tsalin uzuulelt'!B$1,negtgel!U781:BL781) + SUMIF(negtgel!U$2:BL$2,'Tsalin uzuulelt'!B$2,negtgel!U781:BL781)+SUMIF(negtgel!U$2:BL$2,'Tsalin uzuulelt'!B$3,negtgel!U781:BL781)+SUMIF(negtgel!U$2:BL$2,'Tsalin uzuulelt'!B$4,negtgel!U781:BL781)+SUMIF(negtgel!U$2:BL$2,'Tsalin uzuulelt'!B$5,negtgel!U781:BL781)</f>
      </c>
      <c r="H781">
        <f>SUMIF(negtgel!U$2:BL$2,'Tsalin uzuulelt'!F$1,negtgel!U781:BL781) + SUMIF(negtgel!U$2:BL$2,'Tsalin uzuulelt'!F$2,negtgel!U781:BL781)+SUMIF(negtgel!U$2:BL$2,'Tsalin uzuulelt'!F$3,negtgel!U781:BL781)+SUMIF(negtgel!U$2:BL$2,'Tsalin uzuulelt'!F$4,negtgel!U781:BL781)+SUMIF(negtgel!U$2:BL$2,'Tsalin uzuulelt'!F$5,negtgel!U781:BL781)</f>
      </c>
      <c r="I781">
        <f>SUMIF(negtgel!U$2:BL$2,'Tsalin uzuulelt'!H$1,negtgel!U781:BL781) + SUMIF(negtgel!U$2:BL$2,'Tsalin uzuulelt'!H$2,negtgel!U781:BL781)+SUMIF(negtgel!U$2:BL$2,'Tsalin uzuulelt'!H$3,negtgel!U781:BL781)+SUMIF(negtgel!U$2:BL$2,'Tsalin uzuulelt'!H$4,negtgel!U781:BL781)+SUMIF(negtgel!U$2:BL$2,'Tsalin uzuulelt'!H$5,negtgel!U781:BL781)</f>
      </c>
      <c r="J781">
        <f>SUMIF(negtgel!U$2:BL$2,'Tsalin uzuulelt'!J$1,negtgel!U781:BL781) + SUMIF(negtgel!U$2:BL$2,'Tsalin uzuulelt'!J$2,negtgel!U781:BL781)+SUMIF(negtgel!U$2:BL$2,'Tsalin uzuulelt'!J$3,negtgel!U781:BL781)+SUMIF(negtgel!U$2:BL$2,'Tsalin uzuulelt'!J$4,negtgel!U781:BL781)+SUMIF(negtgel!U$2:BL$2,'Tsalin uzuulelt'!J$5,negtgel!U781:BL781)</f>
      </c>
      <c r="K781">
        <f>SUMIF(negtgel!U$2:BL$2,'Tsalin uzuulelt'!L$1,negtgel!U781:BL781) + SUMIF(negtgel!U$2:BL$2,'Tsalin uzuulelt'!L$2,negtgel!U781:BL781)+SUMIF(negtgel!U$2:BL$2,'Tsalin uzuulelt'!L$3,negtgel!U781:BL781)+SUMIF(negtgel!U$2:BL$2,'Tsalin uzuulelt'!L$4,negtgel!U781:BL781)+SUMIF(negtgel!U$2:BL$2,'Tsalin uzuulelt'!L$5,negtgel!U781:BL781)</f>
      </c>
      <c r="L781">
        <f>SUMIF(negtgel!U$2:BL$2,'Tsalin uzuulelt'!N$1,negtgel!U781:BL781) + SUMIF(negtgel!U$2:BL$2,'Tsalin uzuulelt'!N$2,negtgel!U781:BL781)+SUMIF(negtgel!U$2:BL$2,'Tsalin uzuulelt'!N$3,negtgel!U781:BL781)+SUMIF(negtgel!U$2:BL$2,'Tsalin uzuulelt'!N$4,negtgel!U781:BL781)+SUMIF(negtgel!U$2:BL$2,'Tsalin uzuulelt'!N$5,negtgel!U781:BL781)</f>
      </c>
      <c r="M781">
        <f>SUMIF(negtgel!U$2:BL$2,'Tsalin uzuulelt'!P$1,negtgel!U781:BL781) + SUMIF(negtgel!U$2:BL$2,'Tsalin uzuulelt'!P$2,negtgel!U781:BL781)+ SUMIF(negtgel!U$2:BL$2,'Tsalin uzuulelt'!P$3,negtgel!U781:BL781)+ SUMIF(negtgel!U$2:BL$2,'Tsalin uzuulelt'!P$4,negtgel!U781:BL781)+ SUMIF(negtgel!U$2:BL$2,'Tsalin uzuulelt'!P$5,negtgel!U781:BL781)</f>
      </c>
      <c r="N781">
        <f>IF(ISNUMBER(U781*1)=CF781,0,K781-H781-G781)</f>
      </c>
      <c r="O781">
        <f>IF(ISNUMBER(U781*1)=CF781,0,L781)</f>
      </c>
      <c r="P781">
        <f>IF(ISNUMBER(U781*1)=CF781,0,M781)</f>
      </c>
      <c r="Q781">
        <f>IF(N781&gt;2400000,N781,0)</f>
      </c>
      <c r="R781">
        <f>IF(L781/Q781*100&lt;3,2,10)</f>
      </c>
      <c r="S781">
        <f>IF(CH781=0,0,IF(B781&gt;9,10,IF(B781&gt;8,B781,IF(B781&gt;7.7,7.8,IF(B781&gt;3,B781,IF(B781&gt;1.5,2))))))</f>
      </c>
      <c r="T781">
        <f>IF(Q781=0,S781,R781)</f>
      </c>
      <c r="U781" t="n">
        <v>55.0</v>
      </c>
      <c r="V781" t="s">
        <v>3800</v>
      </c>
      <c r="W781" t="s">
        <v>3790</v>
      </c>
      <c r="X781" t="n">
        <v>613669.0</v>
      </c>
      <c r="Y781" t="n">
        <v>613669.0</v>
      </c>
      <c r="Z781" t="n">
        <v>92050.0</v>
      </c>
      <c r="AA781" t="n">
        <v>122734.0</v>
      </c>
      <c r="AB781" t="n">
        <v>0.0</v>
      </c>
      <c r="AC781" t="n">
        <v>0.0</v>
      </c>
      <c r="AD781" t="n">
        <v>0.0</v>
      </c>
      <c r="AE781" t="n">
        <v>306834.0</v>
      </c>
      <c r="AF781" t="n">
        <v>60000.0</v>
      </c>
      <c r="AG781" t="n">
        <v>0.0</v>
      </c>
      <c r="AH781" t="n">
        <v>0.0</v>
      </c>
      <c r="AI781" t="n">
        <v>0.0</v>
      </c>
      <c r="AJ781" t="n">
        <v>0.0</v>
      </c>
      <c r="AK781" t="n">
        <v>0.0</v>
      </c>
      <c r="AL781" t="n">
        <v>0.0</v>
      </c>
      <c r="AM781" t="n">
        <v>0.0</v>
      </c>
      <c r="AN781" t="n">
        <v>0.0</v>
      </c>
      <c r="AO781" t="n">
        <v>1195287.0</v>
      </c>
      <c r="AP781" t="n">
        <v>119529.0</v>
      </c>
      <c r="AQ781" t="n">
        <v>101175.8</v>
      </c>
      <c r="CH781">
        <f>IFERROR(U781*1,0)</f>
      </c>
    </row>
    <row r="782">
      <c r="A782" t="n">
        <v>12.0</v>
      </c>
      <c r="B782">
        <f>IF((K782-G782-H782&gt;2400000),10,(L782/(K782-G782-H782)*100))</f>
      </c>
      <c r="C782">
        <f>IF(N782&gt;2400000,240000,(N782*S782)/100)</f>
      </c>
      <c r="D782">
        <f>IF(S782=0,0,IF((N782-I782)&gt;2400000,((((((N782-I782-J782)-240000))*0.1+(I782+J782)*0.1)))-7000,((((((N782-I782-J782)-(N782-I782-J782)*S782/100)))*0.1+(I782+J782)*0.1)-7000)))</f>
      </c>
      <c r="E782">
        <f>C782-O782</f>
      </c>
      <c r="F782">
        <f>D782-P782</f>
      </c>
      <c r="G782">
        <f>SUMIF(negtgel!U$2:BL$2,'Tsalin uzuulelt'!B$1,negtgel!U782:BL782) + SUMIF(negtgel!U$2:BL$2,'Tsalin uzuulelt'!B$2,negtgel!U782:BL782)+SUMIF(negtgel!U$2:BL$2,'Tsalin uzuulelt'!B$3,negtgel!U782:BL782)+SUMIF(negtgel!U$2:BL$2,'Tsalin uzuulelt'!B$4,negtgel!U782:BL782)+SUMIF(negtgel!U$2:BL$2,'Tsalin uzuulelt'!B$5,negtgel!U782:BL782)</f>
      </c>
      <c r="H782">
        <f>SUMIF(negtgel!U$2:BL$2,'Tsalin uzuulelt'!F$1,negtgel!U782:BL782) + SUMIF(negtgel!U$2:BL$2,'Tsalin uzuulelt'!F$2,negtgel!U782:BL782)+SUMIF(negtgel!U$2:BL$2,'Tsalin uzuulelt'!F$3,negtgel!U782:BL782)+SUMIF(negtgel!U$2:BL$2,'Tsalin uzuulelt'!F$4,negtgel!U782:BL782)+SUMIF(negtgel!U$2:BL$2,'Tsalin uzuulelt'!F$5,negtgel!U782:BL782)</f>
      </c>
      <c r="I782">
        <f>SUMIF(negtgel!U$2:BL$2,'Tsalin uzuulelt'!H$1,negtgel!U782:BL782) + SUMIF(negtgel!U$2:BL$2,'Tsalin uzuulelt'!H$2,negtgel!U782:BL782)+SUMIF(negtgel!U$2:BL$2,'Tsalin uzuulelt'!H$3,negtgel!U782:BL782)+SUMIF(negtgel!U$2:BL$2,'Tsalin uzuulelt'!H$4,negtgel!U782:BL782)+SUMIF(negtgel!U$2:BL$2,'Tsalin uzuulelt'!H$5,negtgel!U782:BL782)</f>
      </c>
      <c r="J782">
        <f>SUMIF(negtgel!U$2:BL$2,'Tsalin uzuulelt'!J$1,negtgel!U782:BL782) + SUMIF(negtgel!U$2:BL$2,'Tsalin uzuulelt'!J$2,negtgel!U782:BL782)+SUMIF(negtgel!U$2:BL$2,'Tsalin uzuulelt'!J$3,negtgel!U782:BL782)+SUMIF(negtgel!U$2:BL$2,'Tsalin uzuulelt'!J$4,negtgel!U782:BL782)+SUMIF(negtgel!U$2:BL$2,'Tsalin uzuulelt'!J$5,negtgel!U782:BL782)</f>
      </c>
      <c r="K782">
        <f>SUMIF(negtgel!U$2:BL$2,'Tsalin uzuulelt'!L$1,negtgel!U782:BL782) + SUMIF(negtgel!U$2:BL$2,'Tsalin uzuulelt'!L$2,negtgel!U782:BL782)+SUMIF(negtgel!U$2:BL$2,'Tsalin uzuulelt'!L$3,negtgel!U782:BL782)+SUMIF(negtgel!U$2:BL$2,'Tsalin uzuulelt'!L$4,negtgel!U782:BL782)+SUMIF(negtgel!U$2:BL$2,'Tsalin uzuulelt'!L$5,negtgel!U782:BL782)</f>
      </c>
      <c r="L782">
        <f>SUMIF(negtgel!U$2:BL$2,'Tsalin uzuulelt'!N$1,negtgel!U782:BL782) + SUMIF(negtgel!U$2:BL$2,'Tsalin uzuulelt'!N$2,negtgel!U782:BL782)+SUMIF(negtgel!U$2:BL$2,'Tsalin uzuulelt'!N$3,negtgel!U782:BL782)+SUMIF(negtgel!U$2:BL$2,'Tsalin uzuulelt'!N$4,negtgel!U782:BL782)+SUMIF(negtgel!U$2:BL$2,'Tsalin uzuulelt'!N$5,negtgel!U782:BL782)</f>
      </c>
      <c r="M782">
        <f>SUMIF(negtgel!U$2:BL$2,'Tsalin uzuulelt'!P$1,negtgel!U782:BL782) + SUMIF(negtgel!U$2:BL$2,'Tsalin uzuulelt'!P$2,negtgel!U782:BL782)+ SUMIF(negtgel!U$2:BL$2,'Tsalin uzuulelt'!P$3,negtgel!U782:BL782)+ SUMIF(negtgel!U$2:BL$2,'Tsalin uzuulelt'!P$4,negtgel!U782:BL782)+ SUMIF(negtgel!U$2:BL$2,'Tsalin uzuulelt'!P$5,negtgel!U782:BL782)</f>
      </c>
      <c r="N782">
        <f>IF(ISNUMBER(U782*1)=CF782,0,K782-H782-G782)</f>
      </c>
      <c r="O782">
        <f>IF(ISNUMBER(U782*1)=CF782,0,L782)</f>
      </c>
      <c r="P782">
        <f>IF(ISNUMBER(U782*1)=CF782,0,M782)</f>
      </c>
      <c r="Q782">
        <f>IF(N782&gt;2400000,N782,0)</f>
      </c>
      <c r="R782">
        <f>IF(L782/Q782*100&lt;3,2,10)</f>
      </c>
      <c r="S782">
        <f>IF(CH782=0,0,IF(B782&gt;9,10,IF(B782&gt;8,B782,IF(B782&gt;7.7,7.8,IF(B782&gt;3,B782,IF(B782&gt;1.5,2))))))</f>
      </c>
      <c r="T782">
        <f>IF(Q782=0,S782,R782)</f>
      </c>
      <c r="U782" t="n">
        <v>56.0</v>
      </c>
      <c r="V782" t="s">
        <v>3801</v>
      </c>
      <c r="W782" t="s">
        <v>3790</v>
      </c>
      <c r="X782" t="n">
        <v>580710.0</v>
      </c>
      <c r="Y782" t="n">
        <v>580710.0</v>
      </c>
      <c r="Z782" t="n">
        <v>0.0</v>
      </c>
      <c r="AA782" t="n">
        <v>0.0</v>
      </c>
      <c r="AB782" t="n">
        <v>0.0</v>
      </c>
      <c r="AC782" t="n">
        <v>0.0</v>
      </c>
      <c r="AD782" t="n">
        <v>0.0</v>
      </c>
      <c r="AE782" t="n">
        <v>203248.0</v>
      </c>
      <c r="AF782" t="n">
        <v>60000.0</v>
      </c>
      <c r="AG782" t="n">
        <v>0.0</v>
      </c>
      <c r="AH782" t="n">
        <v>0.0</v>
      </c>
      <c r="AI782" t="n">
        <v>0.0</v>
      </c>
      <c r="AJ782" t="n">
        <v>0.0</v>
      </c>
      <c r="AK782" t="n">
        <v>0.0</v>
      </c>
      <c r="AL782" t="n">
        <v>0.0</v>
      </c>
      <c r="AM782" t="n">
        <v>0.0</v>
      </c>
      <c r="AN782" t="n">
        <v>0.0</v>
      </c>
      <c r="AO782" t="n">
        <v>843958.0</v>
      </c>
      <c r="AP782" t="n">
        <v>84396.0</v>
      </c>
      <c r="AQ782" t="n">
        <v>69556.2</v>
      </c>
      <c r="CH782">
        <f>IFERROR(U782*1,0)</f>
      </c>
    </row>
    <row r="783">
      <c r="A783" t="n">
        <v>12.0</v>
      </c>
      <c r="B783">
        <f>IF((K783-G783-H783&gt;2400000),10,(L783/(K783-G783-H783)*100))</f>
      </c>
      <c r="C783">
        <f>IF(N783&gt;2400000,240000,(N783*S783)/100)</f>
      </c>
      <c r="D783">
        <f>IF(S783=0,0,IF((N783-I783)&gt;2400000,((((((N783-I783-J783)-240000))*0.1+(I783+J783)*0.1)))-7000,((((((N783-I783-J783)-(N783-I783-J783)*S783/100)))*0.1+(I783+J783)*0.1)-7000)))</f>
      </c>
      <c r="E783">
        <f>C783-O783</f>
      </c>
      <c r="F783">
        <f>D783-P783</f>
      </c>
      <c r="G783">
        <f>SUMIF(negtgel!U$2:BL$2,'Tsalin uzuulelt'!B$1,negtgel!U783:BL783) + SUMIF(negtgel!U$2:BL$2,'Tsalin uzuulelt'!B$2,negtgel!U783:BL783)+SUMIF(negtgel!U$2:BL$2,'Tsalin uzuulelt'!B$3,negtgel!U783:BL783)+SUMIF(negtgel!U$2:BL$2,'Tsalin uzuulelt'!B$4,negtgel!U783:BL783)+SUMIF(negtgel!U$2:BL$2,'Tsalin uzuulelt'!B$5,negtgel!U783:BL783)</f>
      </c>
      <c r="H783">
        <f>SUMIF(negtgel!U$2:BL$2,'Tsalin uzuulelt'!F$1,negtgel!U783:BL783) + SUMIF(negtgel!U$2:BL$2,'Tsalin uzuulelt'!F$2,negtgel!U783:BL783)+SUMIF(negtgel!U$2:BL$2,'Tsalin uzuulelt'!F$3,negtgel!U783:BL783)+SUMIF(negtgel!U$2:BL$2,'Tsalin uzuulelt'!F$4,negtgel!U783:BL783)+SUMIF(negtgel!U$2:BL$2,'Tsalin uzuulelt'!F$5,negtgel!U783:BL783)</f>
      </c>
      <c r="I783">
        <f>SUMIF(negtgel!U$2:BL$2,'Tsalin uzuulelt'!H$1,negtgel!U783:BL783) + SUMIF(negtgel!U$2:BL$2,'Tsalin uzuulelt'!H$2,negtgel!U783:BL783)+SUMIF(negtgel!U$2:BL$2,'Tsalin uzuulelt'!H$3,negtgel!U783:BL783)+SUMIF(negtgel!U$2:BL$2,'Tsalin uzuulelt'!H$4,negtgel!U783:BL783)+SUMIF(negtgel!U$2:BL$2,'Tsalin uzuulelt'!H$5,negtgel!U783:BL783)</f>
      </c>
      <c r="J783">
        <f>SUMIF(negtgel!U$2:BL$2,'Tsalin uzuulelt'!J$1,negtgel!U783:BL783) + SUMIF(negtgel!U$2:BL$2,'Tsalin uzuulelt'!J$2,negtgel!U783:BL783)+SUMIF(negtgel!U$2:BL$2,'Tsalin uzuulelt'!J$3,negtgel!U783:BL783)+SUMIF(negtgel!U$2:BL$2,'Tsalin uzuulelt'!J$4,negtgel!U783:BL783)+SUMIF(negtgel!U$2:BL$2,'Tsalin uzuulelt'!J$5,negtgel!U783:BL783)</f>
      </c>
      <c r="K783">
        <f>SUMIF(negtgel!U$2:BL$2,'Tsalin uzuulelt'!L$1,negtgel!U783:BL783) + SUMIF(negtgel!U$2:BL$2,'Tsalin uzuulelt'!L$2,negtgel!U783:BL783)+SUMIF(negtgel!U$2:BL$2,'Tsalin uzuulelt'!L$3,negtgel!U783:BL783)+SUMIF(negtgel!U$2:BL$2,'Tsalin uzuulelt'!L$4,negtgel!U783:BL783)+SUMIF(negtgel!U$2:BL$2,'Tsalin uzuulelt'!L$5,negtgel!U783:BL783)</f>
      </c>
      <c r="L783">
        <f>SUMIF(negtgel!U$2:BL$2,'Tsalin uzuulelt'!N$1,negtgel!U783:BL783) + SUMIF(negtgel!U$2:BL$2,'Tsalin uzuulelt'!N$2,negtgel!U783:BL783)+SUMIF(negtgel!U$2:BL$2,'Tsalin uzuulelt'!N$3,negtgel!U783:BL783)+SUMIF(negtgel!U$2:BL$2,'Tsalin uzuulelt'!N$4,negtgel!U783:BL783)+SUMIF(negtgel!U$2:BL$2,'Tsalin uzuulelt'!N$5,negtgel!U783:BL783)</f>
      </c>
      <c r="M783">
        <f>SUMIF(negtgel!U$2:BL$2,'Tsalin uzuulelt'!P$1,negtgel!U783:BL783) + SUMIF(negtgel!U$2:BL$2,'Tsalin uzuulelt'!P$2,negtgel!U783:BL783)+ SUMIF(negtgel!U$2:BL$2,'Tsalin uzuulelt'!P$3,negtgel!U783:BL783)+ SUMIF(negtgel!U$2:BL$2,'Tsalin uzuulelt'!P$4,negtgel!U783:BL783)+ SUMIF(negtgel!U$2:BL$2,'Tsalin uzuulelt'!P$5,negtgel!U783:BL783)</f>
      </c>
      <c r="N783">
        <f>IF(ISNUMBER(U783*1)=CF783,0,K783-H783-G783)</f>
      </c>
      <c r="O783">
        <f>IF(ISNUMBER(U783*1)=CF783,0,L783)</f>
      </c>
      <c r="P783">
        <f>IF(ISNUMBER(U783*1)=CF783,0,M783)</f>
      </c>
      <c r="Q783">
        <f>IF(N783&gt;2400000,N783,0)</f>
      </c>
      <c r="R783">
        <f>IF(L783/Q783*100&lt;3,2,10)</f>
      </c>
      <c r="S783">
        <f>IF(CH783=0,0,IF(B783&gt;9,10,IF(B783&gt;8,B783,IF(B783&gt;7.7,7.8,IF(B783&gt;3,B783,IF(B783&gt;1.5,2))))))</f>
      </c>
      <c r="T783">
        <f>IF(Q783=0,S783,R783)</f>
      </c>
      <c r="U783" t="n">
        <v>57.0</v>
      </c>
      <c r="V783" t="s">
        <v>3802</v>
      </c>
      <c r="W783" t="s">
        <v>3792</v>
      </c>
      <c r="X783" t="n">
        <v>496912.0</v>
      </c>
      <c r="Y783" t="n">
        <v>496912.0</v>
      </c>
      <c r="Z783" t="n">
        <v>0.0</v>
      </c>
      <c r="AA783" t="n">
        <v>0.0</v>
      </c>
      <c r="AB783" t="n">
        <v>0.0</v>
      </c>
      <c r="AC783" t="n">
        <v>0.0</v>
      </c>
      <c r="AD783" t="n">
        <v>0.0</v>
      </c>
      <c r="AE783" t="n">
        <v>248456.0</v>
      </c>
      <c r="AF783" t="n">
        <v>60000.0</v>
      </c>
      <c r="AG783" t="n">
        <v>0.0</v>
      </c>
      <c r="AH783" t="n">
        <v>0.0</v>
      </c>
      <c r="AI783" t="n">
        <v>0.0</v>
      </c>
      <c r="AJ783" t="n">
        <v>0.0</v>
      </c>
      <c r="AK783" t="n">
        <v>0.0</v>
      </c>
      <c r="AL783" t="n">
        <v>0.0</v>
      </c>
      <c r="AM783" t="n">
        <v>0.0</v>
      </c>
      <c r="AN783" t="n">
        <v>0.0</v>
      </c>
      <c r="AO783" t="n">
        <v>805368.0</v>
      </c>
      <c r="AP783" t="n">
        <v>80537.0</v>
      </c>
      <c r="AQ783" t="n">
        <v>66083.1</v>
      </c>
      <c r="CH783">
        <f>IFERROR(U783*1,0)</f>
      </c>
    </row>
    <row r="784">
      <c r="A784" t="n">
        <v>12.0</v>
      </c>
      <c r="B784">
        <f>IF((K784-G784-H784&gt;2400000),10,(L784/(K784-G784-H784)*100))</f>
      </c>
      <c r="C784">
        <f>IF(N784&gt;2400000,240000,(N784*S784)/100)</f>
      </c>
      <c r="D784">
        <f>IF(S784=0,0,IF((N784-I784)&gt;2400000,((((((N784-I784-J784)-240000))*0.1+(I784+J784)*0.1)))-7000,((((((N784-I784-J784)-(N784-I784-J784)*S784/100)))*0.1+(I784+J784)*0.1)-7000)))</f>
      </c>
      <c r="E784">
        <f>C784-O784</f>
      </c>
      <c r="F784">
        <f>D784-P784</f>
      </c>
      <c r="G784">
        <f>SUMIF(negtgel!U$2:BL$2,'Tsalin uzuulelt'!B$1,negtgel!U784:BL784) + SUMIF(negtgel!U$2:BL$2,'Tsalin uzuulelt'!B$2,negtgel!U784:BL784)+SUMIF(negtgel!U$2:BL$2,'Tsalin uzuulelt'!B$3,negtgel!U784:BL784)+SUMIF(negtgel!U$2:BL$2,'Tsalin uzuulelt'!B$4,negtgel!U784:BL784)+SUMIF(negtgel!U$2:BL$2,'Tsalin uzuulelt'!B$5,negtgel!U784:BL784)</f>
      </c>
      <c r="H784">
        <f>SUMIF(negtgel!U$2:BL$2,'Tsalin uzuulelt'!F$1,negtgel!U784:BL784) + SUMIF(negtgel!U$2:BL$2,'Tsalin uzuulelt'!F$2,negtgel!U784:BL784)+SUMIF(negtgel!U$2:BL$2,'Tsalin uzuulelt'!F$3,negtgel!U784:BL784)+SUMIF(negtgel!U$2:BL$2,'Tsalin uzuulelt'!F$4,negtgel!U784:BL784)+SUMIF(negtgel!U$2:BL$2,'Tsalin uzuulelt'!F$5,negtgel!U784:BL784)</f>
      </c>
      <c r="I784">
        <f>SUMIF(negtgel!U$2:BL$2,'Tsalin uzuulelt'!H$1,negtgel!U784:BL784) + SUMIF(negtgel!U$2:BL$2,'Tsalin uzuulelt'!H$2,negtgel!U784:BL784)+SUMIF(negtgel!U$2:BL$2,'Tsalin uzuulelt'!H$3,negtgel!U784:BL784)+SUMIF(negtgel!U$2:BL$2,'Tsalin uzuulelt'!H$4,negtgel!U784:BL784)+SUMIF(negtgel!U$2:BL$2,'Tsalin uzuulelt'!H$5,negtgel!U784:BL784)</f>
      </c>
      <c r="J784">
        <f>SUMIF(negtgel!U$2:BL$2,'Tsalin uzuulelt'!J$1,negtgel!U784:BL784) + SUMIF(negtgel!U$2:BL$2,'Tsalin uzuulelt'!J$2,negtgel!U784:BL784)+SUMIF(negtgel!U$2:BL$2,'Tsalin uzuulelt'!J$3,negtgel!U784:BL784)+SUMIF(negtgel!U$2:BL$2,'Tsalin uzuulelt'!J$4,negtgel!U784:BL784)+SUMIF(negtgel!U$2:BL$2,'Tsalin uzuulelt'!J$5,negtgel!U784:BL784)</f>
      </c>
      <c r="K784">
        <f>SUMIF(negtgel!U$2:BL$2,'Tsalin uzuulelt'!L$1,negtgel!U784:BL784) + SUMIF(negtgel!U$2:BL$2,'Tsalin uzuulelt'!L$2,negtgel!U784:BL784)+SUMIF(negtgel!U$2:BL$2,'Tsalin uzuulelt'!L$3,negtgel!U784:BL784)+SUMIF(negtgel!U$2:BL$2,'Tsalin uzuulelt'!L$4,negtgel!U784:BL784)+SUMIF(negtgel!U$2:BL$2,'Tsalin uzuulelt'!L$5,negtgel!U784:BL784)</f>
      </c>
      <c r="L784">
        <f>SUMIF(negtgel!U$2:BL$2,'Tsalin uzuulelt'!N$1,negtgel!U784:BL784) + SUMIF(negtgel!U$2:BL$2,'Tsalin uzuulelt'!N$2,negtgel!U784:BL784)+SUMIF(negtgel!U$2:BL$2,'Tsalin uzuulelt'!N$3,negtgel!U784:BL784)+SUMIF(negtgel!U$2:BL$2,'Tsalin uzuulelt'!N$4,negtgel!U784:BL784)+SUMIF(negtgel!U$2:BL$2,'Tsalin uzuulelt'!N$5,negtgel!U784:BL784)</f>
      </c>
      <c r="M784">
        <f>SUMIF(negtgel!U$2:BL$2,'Tsalin uzuulelt'!P$1,negtgel!U784:BL784) + SUMIF(negtgel!U$2:BL$2,'Tsalin uzuulelt'!P$2,negtgel!U784:BL784)+ SUMIF(negtgel!U$2:BL$2,'Tsalin uzuulelt'!P$3,negtgel!U784:BL784)+ SUMIF(negtgel!U$2:BL$2,'Tsalin uzuulelt'!P$4,negtgel!U784:BL784)+ SUMIF(negtgel!U$2:BL$2,'Tsalin uzuulelt'!P$5,negtgel!U784:BL784)</f>
      </c>
      <c r="N784">
        <f>IF(ISNUMBER(U784*1)=CF784,0,K784-H784-G784)</f>
      </c>
      <c r="O784">
        <f>IF(ISNUMBER(U784*1)=CF784,0,L784)</f>
      </c>
      <c r="P784">
        <f>IF(ISNUMBER(U784*1)=CF784,0,M784)</f>
      </c>
      <c r="Q784">
        <f>IF(N784&gt;2400000,N784,0)</f>
      </c>
      <c r="R784">
        <f>IF(L784/Q784*100&lt;3,2,10)</f>
      </c>
      <c r="S784">
        <f>IF(CH784=0,0,IF(B784&gt;9,10,IF(B784&gt;8,B784,IF(B784&gt;7.7,7.8,IF(B784&gt;3,B784,IF(B784&gt;1.5,2))))))</f>
      </c>
      <c r="T784">
        <f>IF(Q784=0,S784,R784)</f>
      </c>
      <c r="U784" t="n">
        <v>58.0</v>
      </c>
      <c r="V784" t="s">
        <v>3803</v>
      </c>
      <c r="W784" t="s">
        <v>3790</v>
      </c>
      <c r="X784" t="n">
        <v>733863.0</v>
      </c>
      <c r="Y784" t="n">
        <v>733863.0</v>
      </c>
      <c r="Z784" t="n">
        <v>146773.0</v>
      </c>
      <c r="AA784" t="n">
        <v>146773.0</v>
      </c>
      <c r="AB784" t="n">
        <v>0.0</v>
      </c>
      <c r="AC784" t="n">
        <v>110079.0</v>
      </c>
      <c r="AD784" t="n">
        <v>0.0</v>
      </c>
      <c r="AE784" t="n">
        <v>366932.0</v>
      </c>
      <c r="AF784" t="n">
        <v>60000.0</v>
      </c>
      <c r="AG784" t="n">
        <v>0.0</v>
      </c>
      <c r="AH784" t="n">
        <v>0.0</v>
      </c>
      <c r="AI784" t="n">
        <v>0.0</v>
      </c>
      <c r="AJ784" t="n">
        <v>0.0</v>
      </c>
      <c r="AK784" t="n">
        <v>0.0</v>
      </c>
      <c r="AL784" t="n">
        <v>0.0</v>
      </c>
      <c r="AM784" t="n">
        <v>0.0</v>
      </c>
      <c r="AN784" t="n">
        <v>0.0</v>
      </c>
      <c r="AO784" t="n">
        <v>1564420.0</v>
      </c>
      <c r="AP784" t="n">
        <v>156441.0</v>
      </c>
      <c r="AQ784" t="n">
        <v>134397.8</v>
      </c>
      <c r="CH784">
        <f>IFERROR(U784*1,0)</f>
      </c>
    </row>
    <row r="785">
      <c r="A785" t="n">
        <v>12.0</v>
      </c>
      <c r="B785">
        <f>IF((K785-G785-H785&gt;2400000),10,(L785/(K785-G785-H785)*100))</f>
      </c>
      <c r="C785">
        <f>IF(N785&gt;2400000,240000,(N785*S785)/100)</f>
      </c>
      <c r="D785">
        <f>IF(S785=0,0,IF((N785-I785)&gt;2400000,((((((N785-I785-J785)-240000))*0.1+(I785+J785)*0.1)))-7000,((((((N785-I785-J785)-(N785-I785-J785)*S785/100)))*0.1+(I785+J785)*0.1)-7000)))</f>
      </c>
      <c r="E785">
        <f>C785-O785</f>
      </c>
      <c r="F785">
        <f>D785-P785</f>
      </c>
      <c r="G785">
        <f>SUMIF(negtgel!U$2:BL$2,'Tsalin uzuulelt'!B$1,negtgel!U785:BL785) + SUMIF(negtgel!U$2:BL$2,'Tsalin uzuulelt'!B$2,negtgel!U785:BL785)+SUMIF(negtgel!U$2:BL$2,'Tsalin uzuulelt'!B$3,negtgel!U785:BL785)+SUMIF(negtgel!U$2:BL$2,'Tsalin uzuulelt'!B$4,negtgel!U785:BL785)+SUMIF(negtgel!U$2:BL$2,'Tsalin uzuulelt'!B$5,negtgel!U785:BL785)</f>
      </c>
      <c r="H785">
        <f>SUMIF(negtgel!U$2:BL$2,'Tsalin uzuulelt'!F$1,negtgel!U785:BL785) + SUMIF(negtgel!U$2:BL$2,'Tsalin uzuulelt'!F$2,negtgel!U785:BL785)+SUMIF(negtgel!U$2:BL$2,'Tsalin uzuulelt'!F$3,negtgel!U785:BL785)+SUMIF(negtgel!U$2:BL$2,'Tsalin uzuulelt'!F$4,negtgel!U785:BL785)+SUMIF(negtgel!U$2:BL$2,'Tsalin uzuulelt'!F$5,negtgel!U785:BL785)</f>
      </c>
      <c r="I785">
        <f>SUMIF(negtgel!U$2:BL$2,'Tsalin uzuulelt'!H$1,negtgel!U785:BL785) + SUMIF(negtgel!U$2:BL$2,'Tsalin uzuulelt'!H$2,negtgel!U785:BL785)+SUMIF(negtgel!U$2:BL$2,'Tsalin uzuulelt'!H$3,negtgel!U785:BL785)+SUMIF(negtgel!U$2:BL$2,'Tsalin uzuulelt'!H$4,negtgel!U785:BL785)+SUMIF(negtgel!U$2:BL$2,'Tsalin uzuulelt'!H$5,negtgel!U785:BL785)</f>
      </c>
      <c r="J785">
        <f>SUMIF(negtgel!U$2:BL$2,'Tsalin uzuulelt'!J$1,negtgel!U785:BL785) + SUMIF(negtgel!U$2:BL$2,'Tsalin uzuulelt'!J$2,negtgel!U785:BL785)+SUMIF(negtgel!U$2:BL$2,'Tsalin uzuulelt'!J$3,negtgel!U785:BL785)+SUMIF(negtgel!U$2:BL$2,'Tsalin uzuulelt'!J$4,negtgel!U785:BL785)+SUMIF(negtgel!U$2:BL$2,'Tsalin uzuulelt'!J$5,negtgel!U785:BL785)</f>
      </c>
      <c r="K785">
        <f>SUMIF(negtgel!U$2:BL$2,'Tsalin uzuulelt'!L$1,negtgel!U785:BL785) + SUMIF(negtgel!U$2:BL$2,'Tsalin uzuulelt'!L$2,negtgel!U785:BL785)+SUMIF(negtgel!U$2:BL$2,'Tsalin uzuulelt'!L$3,negtgel!U785:BL785)+SUMIF(negtgel!U$2:BL$2,'Tsalin uzuulelt'!L$4,negtgel!U785:BL785)+SUMIF(negtgel!U$2:BL$2,'Tsalin uzuulelt'!L$5,negtgel!U785:BL785)</f>
      </c>
      <c r="L785">
        <f>SUMIF(negtgel!U$2:BL$2,'Tsalin uzuulelt'!N$1,negtgel!U785:BL785) + SUMIF(negtgel!U$2:BL$2,'Tsalin uzuulelt'!N$2,negtgel!U785:BL785)+SUMIF(negtgel!U$2:BL$2,'Tsalin uzuulelt'!N$3,negtgel!U785:BL785)+SUMIF(negtgel!U$2:BL$2,'Tsalin uzuulelt'!N$4,negtgel!U785:BL785)+SUMIF(negtgel!U$2:BL$2,'Tsalin uzuulelt'!N$5,negtgel!U785:BL785)</f>
      </c>
      <c r="M785">
        <f>SUMIF(negtgel!U$2:BL$2,'Tsalin uzuulelt'!P$1,negtgel!U785:BL785) + SUMIF(negtgel!U$2:BL$2,'Tsalin uzuulelt'!P$2,negtgel!U785:BL785)+ SUMIF(negtgel!U$2:BL$2,'Tsalin uzuulelt'!P$3,negtgel!U785:BL785)+ SUMIF(negtgel!U$2:BL$2,'Tsalin uzuulelt'!P$4,negtgel!U785:BL785)+ SUMIF(negtgel!U$2:BL$2,'Tsalin uzuulelt'!P$5,negtgel!U785:BL785)</f>
      </c>
      <c r="N785">
        <f>IF(ISNUMBER(U785*1)=CF785,0,K785-H785-G785)</f>
      </c>
      <c r="O785">
        <f>IF(ISNUMBER(U785*1)=CF785,0,L785)</f>
      </c>
      <c r="P785">
        <f>IF(ISNUMBER(U785*1)=CF785,0,M785)</f>
      </c>
      <c r="Q785">
        <f>IF(N785&gt;2400000,N785,0)</f>
      </c>
      <c r="R785">
        <f>IF(L785/Q785*100&lt;3,2,10)</f>
      </c>
      <c r="S785">
        <f>IF(CH785=0,0,IF(B785&gt;9,10,IF(B785&gt;8,B785,IF(B785&gt;7.7,7.8,IF(B785&gt;3,B785,IF(B785&gt;1.5,2))))))</f>
      </c>
      <c r="T785">
        <f>IF(Q785=0,S785,R785)</f>
      </c>
      <c r="U785" t="s">
        <v>3787</v>
      </c>
      <c r="V785"/>
      <c r="W785"/>
      <c r="X785" t="n">
        <v>5622775.0</v>
      </c>
      <c r="Y785" t="n">
        <v>5622775.0</v>
      </c>
      <c r="Z785" t="n">
        <v>490511.0</v>
      </c>
      <c r="AA785" t="n">
        <v>656231.0</v>
      </c>
      <c r="AB785" t="n">
        <v>0.0</v>
      </c>
      <c r="AC785" t="n">
        <v>211694.0</v>
      </c>
      <c r="AD785" t="n">
        <v>0.0</v>
      </c>
      <c r="AE785" t="n">
        <v>2649743.0</v>
      </c>
      <c r="AF785" t="n">
        <v>540000.0</v>
      </c>
      <c r="AG785" t="n">
        <v>0.0</v>
      </c>
      <c r="AH785" t="n">
        <v>0.0</v>
      </c>
      <c r="AI785" t="n">
        <v>0.0</v>
      </c>
      <c r="AJ785" t="n">
        <v>0.0</v>
      </c>
      <c r="AK785" t="n">
        <v>0.0</v>
      </c>
      <c r="AL785" t="n">
        <v>0.0</v>
      </c>
      <c r="AM785" t="n">
        <v>0.0</v>
      </c>
      <c r="AN785" t="n">
        <v>0.0</v>
      </c>
      <c r="AO785" t="n">
        <v>1.0170954E7</v>
      </c>
      <c r="AP785" t="n">
        <v>1017097.0</v>
      </c>
      <c r="AQ785" t="n">
        <v>857785.8</v>
      </c>
      <c r="CH785">
        <f>IFERROR(U785*1,0)</f>
      </c>
    </row>
    <row r="786">
      <c r="A786" t="n">
        <v>12.0</v>
      </c>
      <c r="B786">
        <f>IF((K786-G786-H786&gt;2400000),10,(L786/(K786-G786-H786)*100))</f>
      </c>
      <c r="C786">
        <f>IF(N786&gt;2400000,240000,(N786*S786)/100)</f>
      </c>
      <c r="D786">
        <f>IF(S786=0,0,IF((N786-I786)&gt;2400000,((((((N786-I786-J786)-240000))*0.1+(I786+J786)*0.1)))-7000,((((((N786-I786-J786)-(N786-I786-J786)*S786/100)))*0.1+(I786+J786)*0.1)-7000)))</f>
      </c>
      <c r="E786">
        <f>C786-O786</f>
      </c>
      <c r="F786">
        <f>D786-P786</f>
      </c>
      <c r="G786">
        <f>SUMIF(negtgel!U$2:BL$2,'Tsalin uzuulelt'!B$1,negtgel!U786:BL786) + SUMIF(negtgel!U$2:BL$2,'Tsalin uzuulelt'!B$2,negtgel!U786:BL786)+SUMIF(negtgel!U$2:BL$2,'Tsalin uzuulelt'!B$3,negtgel!U786:BL786)+SUMIF(negtgel!U$2:BL$2,'Tsalin uzuulelt'!B$4,negtgel!U786:BL786)+SUMIF(negtgel!U$2:BL$2,'Tsalin uzuulelt'!B$5,negtgel!U786:BL786)</f>
      </c>
      <c r="H786">
        <f>SUMIF(negtgel!U$2:BL$2,'Tsalin uzuulelt'!F$1,negtgel!U786:BL786) + SUMIF(negtgel!U$2:BL$2,'Tsalin uzuulelt'!F$2,negtgel!U786:BL786)+SUMIF(negtgel!U$2:BL$2,'Tsalin uzuulelt'!F$3,negtgel!U786:BL786)+SUMIF(negtgel!U$2:BL$2,'Tsalin uzuulelt'!F$4,negtgel!U786:BL786)+SUMIF(negtgel!U$2:BL$2,'Tsalin uzuulelt'!F$5,negtgel!U786:BL786)</f>
      </c>
      <c r="I786">
        <f>SUMIF(negtgel!U$2:BL$2,'Tsalin uzuulelt'!H$1,negtgel!U786:BL786) + SUMIF(negtgel!U$2:BL$2,'Tsalin uzuulelt'!H$2,negtgel!U786:BL786)+SUMIF(negtgel!U$2:BL$2,'Tsalin uzuulelt'!H$3,negtgel!U786:BL786)+SUMIF(negtgel!U$2:BL$2,'Tsalin uzuulelt'!H$4,negtgel!U786:BL786)+SUMIF(negtgel!U$2:BL$2,'Tsalin uzuulelt'!H$5,negtgel!U786:BL786)</f>
      </c>
      <c r="J786">
        <f>SUMIF(negtgel!U$2:BL$2,'Tsalin uzuulelt'!J$1,negtgel!U786:BL786) + SUMIF(negtgel!U$2:BL$2,'Tsalin uzuulelt'!J$2,negtgel!U786:BL786)+SUMIF(negtgel!U$2:BL$2,'Tsalin uzuulelt'!J$3,negtgel!U786:BL786)+SUMIF(negtgel!U$2:BL$2,'Tsalin uzuulelt'!J$4,negtgel!U786:BL786)+SUMIF(negtgel!U$2:BL$2,'Tsalin uzuulelt'!J$5,negtgel!U786:BL786)</f>
      </c>
      <c r="K786">
        <f>SUMIF(negtgel!U$2:BL$2,'Tsalin uzuulelt'!L$1,negtgel!U786:BL786) + SUMIF(negtgel!U$2:BL$2,'Tsalin uzuulelt'!L$2,negtgel!U786:BL786)+SUMIF(negtgel!U$2:BL$2,'Tsalin uzuulelt'!L$3,negtgel!U786:BL786)+SUMIF(negtgel!U$2:BL$2,'Tsalin uzuulelt'!L$4,negtgel!U786:BL786)+SUMIF(negtgel!U$2:BL$2,'Tsalin uzuulelt'!L$5,negtgel!U786:BL786)</f>
      </c>
      <c r="L786">
        <f>SUMIF(negtgel!U$2:BL$2,'Tsalin uzuulelt'!N$1,negtgel!U786:BL786) + SUMIF(negtgel!U$2:BL$2,'Tsalin uzuulelt'!N$2,negtgel!U786:BL786)+SUMIF(negtgel!U$2:BL$2,'Tsalin uzuulelt'!N$3,negtgel!U786:BL786)+SUMIF(negtgel!U$2:BL$2,'Tsalin uzuulelt'!N$4,negtgel!U786:BL786)+SUMIF(negtgel!U$2:BL$2,'Tsalin uzuulelt'!N$5,negtgel!U786:BL786)</f>
      </c>
      <c r="M786">
        <f>SUMIF(negtgel!U$2:BL$2,'Tsalin uzuulelt'!P$1,negtgel!U786:BL786) + SUMIF(negtgel!U$2:BL$2,'Tsalin uzuulelt'!P$2,negtgel!U786:BL786)+ SUMIF(negtgel!U$2:BL$2,'Tsalin uzuulelt'!P$3,negtgel!U786:BL786)+ SUMIF(negtgel!U$2:BL$2,'Tsalin uzuulelt'!P$4,negtgel!U786:BL786)+ SUMIF(negtgel!U$2:BL$2,'Tsalin uzuulelt'!P$5,negtgel!U786:BL786)</f>
      </c>
      <c r="N786">
        <f>IF(ISNUMBER(U786*1)=CF786,0,K786-H786-G786)</f>
      </c>
      <c r="O786">
        <f>IF(ISNUMBER(U786*1)=CF786,0,L786)</f>
      </c>
      <c r="P786">
        <f>IF(ISNUMBER(U786*1)=CF786,0,M786)</f>
      </c>
      <c r="Q786">
        <f>IF(N786&gt;2400000,N786,0)</f>
      </c>
      <c r="R786">
        <f>IF(L786/Q786*100&lt;3,2,10)</f>
      </c>
      <c r="S786">
        <f>IF(CH786=0,0,IF(B786&gt;9,10,IF(B786&gt;8,B786,IF(B786&gt;7.7,7.8,IF(B786&gt;3,B786,IF(B786&gt;1.5,2))))))</f>
      </c>
      <c r="T786">
        <f>IF(Q786=0,S786,R786)</f>
      </c>
      <c r="U786" t="s">
        <v>3804</v>
      </c>
      <c r="V786"/>
      <c r="W786"/>
      <c r="X786"/>
      <c r="Y786"/>
      <c r="Z786"/>
      <c r="AA786"/>
      <c r="AB786"/>
      <c r="AC786"/>
      <c r="AD786"/>
      <c r="AE786"/>
      <c r="AF786"/>
      <c r="AG786"/>
      <c r="AH786"/>
      <c r="AI786"/>
      <c r="AJ786"/>
      <c r="AK786"/>
      <c r="AL786"/>
      <c r="AM786"/>
      <c r="AN786"/>
      <c r="AO786"/>
      <c r="AP786"/>
      <c r="AQ786"/>
      <c r="CH786">
        <f>IFERROR(U786*1,0)</f>
      </c>
    </row>
    <row r="787">
      <c r="A787" t="n">
        <v>12.0</v>
      </c>
      <c r="B787">
        <f>IF((K787-G787-H787&gt;2400000),10,(L787/(K787-G787-H787)*100))</f>
      </c>
      <c r="C787">
        <f>IF(N787&gt;2400000,240000,(N787*S787)/100)</f>
      </c>
      <c r="D787">
        <f>IF(S787=0,0,IF((N787-I787)&gt;2400000,((((((N787-I787-J787)-240000))*0.1+(I787+J787)*0.1)))-7000,((((((N787-I787-J787)-(N787-I787-J787)*S787/100)))*0.1+(I787+J787)*0.1)-7000)))</f>
      </c>
      <c r="E787">
        <f>C787-O787</f>
      </c>
      <c r="F787">
        <f>D787-P787</f>
      </c>
      <c r="G787">
        <f>SUMIF(negtgel!U$2:BL$2,'Tsalin uzuulelt'!B$1,negtgel!U787:BL787) + SUMIF(negtgel!U$2:BL$2,'Tsalin uzuulelt'!B$2,negtgel!U787:BL787)+SUMIF(negtgel!U$2:BL$2,'Tsalin uzuulelt'!B$3,negtgel!U787:BL787)+SUMIF(negtgel!U$2:BL$2,'Tsalin uzuulelt'!B$4,negtgel!U787:BL787)+SUMIF(negtgel!U$2:BL$2,'Tsalin uzuulelt'!B$5,negtgel!U787:BL787)</f>
      </c>
      <c r="H787">
        <f>SUMIF(negtgel!U$2:BL$2,'Tsalin uzuulelt'!F$1,negtgel!U787:BL787) + SUMIF(negtgel!U$2:BL$2,'Tsalin uzuulelt'!F$2,negtgel!U787:BL787)+SUMIF(negtgel!U$2:BL$2,'Tsalin uzuulelt'!F$3,negtgel!U787:BL787)+SUMIF(negtgel!U$2:BL$2,'Tsalin uzuulelt'!F$4,negtgel!U787:BL787)+SUMIF(negtgel!U$2:BL$2,'Tsalin uzuulelt'!F$5,negtgel!U787:BL787)</f>
      </c>
      <c r="I787">
        <f>SUMIF(negtgel!U$2:BL$2,'Tsalin uzuulelt'!H$1,negtgel!U787:BL787) + SUMIF(negtgel!U$2:BL$2,'Tsalin uzuulelt'!H$2,negtgel!U787:BL787)+SUMIF(negtgel!U$2:BL$2,'Tsalin uzuulelt'!H$3,negtgel!U787:BL787)+SUMIF(negtgel!U$2:BL$2,'Tsalin uzuulelt'!H$4,negtgel!U787:BL787)+SUMIF(negtgel!U$2:BL$2,'Tsalin uzuulelt'!H$5,negtgel!U787:BL787)</f>
      </c>
      <c r="J787">
        <f>SUMIF(negtgel!U$2:BL$2,'Tsalin uzuulelt'!J$1,negtgel!U787:BL787) + SUMIF(negtgel!U$2:BL$2,'Tsalin uzuulelt'!J$2,negtgel!U787:BL787)+SUMIF(negtgel!U$2:BL$2,'Tsalin uzuulelt'!J$3,negtgel!U787:BL787)+SUMIF(negtgel!U$2:BL$2,'Tsalin uzuulelt'!J$4,negtgel!U787:BL787)+SUMIF(negtgel!U$2:BL$2,'Tsalin uzuulelt'!J$5,negtgel!U787:BL787)</f>
      </c>
      <c r="K787">
        <f>SUMIF(negtgel!U$2:BL$2,'Tsalin uzuulelt'!L$1,negtgel!U787:BL787) + SUMIF(negtgel!U$2:BL$2,'Tsalin uzuulelt'!L$2,negtgel!U787:BL787)+SUMIF(negtgel!U$2:BL$2,'Tsalin uzuulelt'!L$3,negtgel!U787:BL787)+SUMIF(negtgel!U$2:BL$2,'Tsalin uzuulelt'!L$4,negtgel!U787:BL787)+SUMIF(negtgel!U$2:BL$2,'Tsalin uzuulelt'!L$5,negtgel!U787:BL787)</f>
      </c>
      <c r="L787">
        <f>SUMIF(negtgel!U$2:BL$2,'Tsalin uzuulelt'!N$1,negtgel!U787:BL787) + SUMIF(negtgel!U$2:BL$2,'Tsalin uzuulelt'!N$2,negtgel!U787:BL787)+SUMIF(negtgel!U$2:BL$2,'Tsalin uzuulelt'!N$3,negtgel!U787:BL787)+SUMIF(negtgel!U$2:BL$2,'Tsalin uzuulelt'!N$4,negtgel!U787:BL787)+SUMIF(negtgel!U$2:BL$2,'Tsalin uzuulelt'!N$5,negtgel!U787:BL787)</f>
      </c>
      <c r="M787">
        <f>SUMIF(negtgel!U$2:BL$2,'Tsalin uzuulelt'!P$1,negtgel!U787:BL787) + SUMIF(negtgel!U$2:BL$2,'Tsalin uzuulelt'!P$2,negtgel!U787:BL787)+ SUMIF(negtgel!U$2:BL$2,'Tsalin uzuulelt'!P$3,negtgel!U787:BL787)+ SUMIF(negtgel!U$2:BL$2,'Tsalin uzuulelt'!P$4,negtgel!U787:BL787)+ SUMIF(negtgel!U$2:BL$2,'Tsalin uzuulelt'!P$5,negtgel!U787:BL787)</f>
      </c>
      <c r="N787">
        <f>IF(ISNUMBER(U787*1)=CF787,0,K787-H787-G787)</f>
      </c>
      <c r="O787">
        <f>IF(ISNUMBER(U787*1)=CF787,0,L787)</f>
      </c>
      <c r="P787">
        <f>IF(ISNUMBER(U787*1)=CF787,0,M787)</f>
      </c>
      <c r="Q787">
        <f>IF(N787&gt;2400000,N787,0)</f>
      </c>
      <c r="R787">
        <f>IF(L787/Q787*100&lt;3,2,10)</f>
      </c>
      <c r="S787">
        <f>IF(CH787=0,0,IF(B787&gt;9,10,IF(B787&gt;8,B787,IF(B787&gt;7.7,7.8,IF(B787&gt;3,B787,IF(B787&gt;1.5,2))))))</f>
      </c>
      <c r="T787">
        <f>IF(Q787=0,S787,R787)</f>
      </c>
      <c r="U787" t="n">
        <v>59.0</v>
      </c>
      <c r="V787" t="s">
        <v>3805</v>
      </c>
      <c r="W787" t="s">
        <v>3790</v>
      </c>
      <c r="X787" t="n">
        <v>645556.0</v>
      </c>
      <c r="Y787" t="n">
        <v>645556.0</v>
      </c>
      <c r="Z787" t="n">
        <v>64556.0</v>
      </c>
      <c r="AA787" t="n">
        <v>109745.0</v>
      </c>
      <c r="AB787" t="n">
        <v>0.0</v>
      </c>
      <c r="AC787" t="n">
        <v>0.0</v>
      </c>
      <c r="AD787" t="n">
        <v>0.0</v>
      </c>
      <c r="AE787" t="n">
        <v>322778.0</v>
      </c>
      <c r="AF787" t="n">
        <v>60000.0</v>
      </c>
      <c r="AG787" t="n">
        <v>0.0</v>
      </c>
      <c r="AH787" t="n">
        <v>0.0</v>
      </c>
      <c r="AI787" t="n">
        <v>0.0</v>
      </c>
      <c r="AJ787" t="n">
        <v>0.0</v>
      </c>
      <c r="AK787" t="n">
        <v>0.0</v>
      </c>
      <c r="AL787" t="n">
        <v>0.0</v>
      </c>
      <c r="AM787" t="n">
        <v>0.0</v>
      </c>
      <c r="AN787" t="n">
        <v>0.0</v>
      </c>
      <c r="AO787" t="n">
        <v>1202635.0</v>
      </c>
      <c r="AP787" t="n">
        <v>120263.0</v>
      </c>
      <c r="AQ787" t="n">
        <v>101837.2</v>
      </c>
      <c r="CH787">
        <f>IFERROR(U787*1,0)</f>
      </c>
    </row>
    <row r="788">
      <c r="A788" t="n">
        <v>12.0</v>
      </c>
      <c r="B788">
        <f>IF((K788-G788-H788&gt;2400000),10,(L788/(K788-G788-H788)*100))</f>
      </c>
      <c r="C788">
        <f>IF(N788&gt;2400000,240000,(N788*S788)/100)</f>
      </c>
      <c r="D788">
        <f>IF(S788=0,0,IF((N788-I788)&gt;2400000,((((((N788-I788-J788)-240000))*0.1+(I788+J788)*0.1)))-7000,((((((N788-I788-J788)-(N788-I788-J788)*S788/100)))*0.1+(I788+J788)*0.1)-7000)))</f>
      </c>
      <c r="E788">
        <f>C788-O788</f>
      </c>
      <c r="F788">
        <f>D788-P788</f>
      </c>
      <c r="G788">
        <f>SUMIF(negtgel!U$2:BL$2,'Tsalin uzuulelt'!B$1,negtgel!U788:BL788) + SUMIF(negtgel!U$2:BL$2,'Tsalin uzuulelt'!B$2,negtgel!U788:BL788)+SUMIF(negtgel!U$2:BL$2,'Tsalin uzuulelt'!B$3,negtgel!U788:BL788)+SUMIF(negtgel!U$2:BL$2,'Tsalin uzuulelt'!B$4,negtgel!U788:BL788)+SUMIF(negtgel!U$2:BL$2,'Tsalin uzuulelt'!B$5,negtgel!U788:BL788)</f>
      </c>
      <c r="H788">
        <f>SUMIF(negtgel!U$2:BL$2,'Tsalin uzuulelt'!F$1,negtgel!U788:BL788) + SUMIF(negtgel!U$2:BL$2,'Tsalin uzuulelt'!F$2,negtgel!U788:BL788)+SUMIF(negtgel!U$2:BL$2,'Tsalin uzuulelt'!F$3,negtgel!U788:BL788)+SUMIF(negtgel!U$2:BL$2,'Tsalin uzuulelt'!F$4,negtgel!U788:BL788)+SUMIF(negtgel!U$2:BL$2,'Tsalin uzuulelt'!F$5,negtgel!U788:BL788)</f>
      </c>
      <c r="I788">
        <f>SUMIF(negtgel!U$2:BL$2,'Tsalin uzuulelt'!H$1,negtgel!U788:BL788) + SUMIF(negtgel!U$2:BL$2,'Tsalin uzuulelt'!H$2,negtgel!U788:BL788)+SUMIF(negtgel!U$2:BL$2,'Tsalin uzuulelt'!H$3,negtgel!U788:BL788)+SUMIF(negtgel!U$2:BL$2,'Tsalin uzuulelt'!H$4,negtgel!U788:BL788)+SUMIF(negtgel!U$2:BL$2,'Tsalin uzuulelt'!H$5,negtgel!U788:BL788)</f>
      </c>
      <c r="J788">
        <f>SUMIF(negtgel!U$2:BL$2,'Tsalin uzuulelt'!J$1,negtgel!U788:BL788) + SUMIF(negtgel!U$2:BL$2,'Tsalin uzuulelt'!J$2,negtgel!U788:BL788)+SUMIF(negtgel!U$2:BL$2,'Tsalin uzuulelt'!J$3,negtgel!U788:BL788)+SUMIF(negtgel!U$2:BL$2,'Tsalin uzuulelt'!J$4,negtgel!U788:BL788)+SUMIF(negtgel!U$2:BL$2,'Tsalin uzuulelt'!J$5,negtgel!U788:BL788)</f>
      </c>
      <c r="K788">
        <f>SUMIF(negtgel!U$2:BL$2,'Tsalin uzuulelt'!L$1,negtgel!U788:BL788) + SUMIF(negtgel!U$2:BL$2,'Tsalin uzuulelt'!L$2,negtgel!U788:BL788)+SUMIF(negtgel!U$2:BL$2,'Tsalin uzuulelt'!L$3,negtgel!U788:BL788)+SUMIF(negtgel!U$2:BL$2,'Tsalin uzuulelt'!L$4,negtgel!U788:BL788)+SUMIF(negtgel!U$2:BL$2,'Tsalin uzuulelt'!L$5,negtgel!U788:BL788)</f>
      </c>
      <c r="L788">
        <f>SUMIF(negtgel!U$2:BL$2,'Tsalin uzuulelt'!N$1,negtgel!U788:BL788) + SUMIF(negtgel!U$2:BL$2,'Tsalin uzuulelt'!N$2,negtgel!U788:BL788)+SUMIF(negtgel!U$2:BL$2,'Tsalin uzuulelt'!N$3,negtgel!U788:BL788)+SUMIF(negtgel!U$2:BL$2,'Tsalin uzuulelt'!N$4,negtgel!U788:BL788)+SUMIF(negtgel!U$2:BL$2,'Tsalin uzuulelt'!N$5,negtgel!U788:BL788)</f>
      </c>
      <c r="M788">
        <f>SUMIF(negtgel!U$2:BL$2,'Tsalin uzuulelt'!P$1,negtgel!U788:BL788) + SUMIF(negtgel!U$2:BL$2,'Tsalin uzuulelt'!P$2,negtgel!U788:BL788)+ SUMIF(negtgel!U$2:BL$2,'Tsalin uzuulelt'!P$3,negtgel!U788:BL788)+ SUMIF(negtgel!U$2:BL$2,'Tsalin uzuulelt'!P$4,negtgel!U788:BL788)+ SUMIF(negtgel!U$2:BL$2,'Tsalin uzuulelt'!P$5,negtgel!U788:BL788)</f>
      </c>
      <c r="N788">
        <f>IF(ISNUMBER(U788*1)=CF788,0,K788-H788-G788)</f>
      </c>
      <c r="O788">
        <f>IF(ISNUMBER(U788*1)=CF788,0,L788)</f>
      </c>
      <c r="P788">
        <f>IF(ISNUMBER(U788*1)=CF788,0,M788)</f>
      </c>
      <c r="Q788">
        <f>IF(N788&gt;2400000,N788,0)</f>
      </c>
      <c r="R788">
        <f>IF(L788/Q788*100&lt;3,2,10)</f>
      </c>
      <c r="S788">
        <f>IF(CH788=0,0,IF(B788&gt;9,10,IF(B788&gt;8,B788,IF(B788&gt;7.7,7.8,IF(B788&gt;3,B788,IF(B788&gt;1.5,2))))))</f>
      </c>
      <c r="T788">
        <f>IF(Q788=0,S788,R788)</f>
      </c>
      <c r="U788" t="n">
        <v>68.0</v>
      </c>
      <c r="V788" t="s">
        <v>3814</v>
      </c>
      <c r="W788" t="s">
        <v>3792</v>
      </c>
      <c r="X788" t="n">
        <v>500784.0</v>
      </c>
      <c r="Y788" t="n">
        <v>500784.0</v>
      </c>
      <c r="Z788" t="n">
        <v>0.0</v>
      </c>
      <c r="AA788" t="n">
        <v>0.0</v>
      </c>
      <c r="AB788" t="n">
        <v>50078.0</v>
      </c>
      <c r="AC788" t="n">
        <v>0.0</v>
      </c>
      <c r="AD788" t="n">
        <v>0.0</v>
      </c>
      <c r="AE788" t="n">
        <v>250392.0</v>
      </c>
      <c r="AF788" t="n">
        <v>60000.0</v>
      </c>
      <c r="AG788" t="n">
        <v>0.0</v>
      </c>
      <c r="AH788" t="n">
        <v>0.0</v>
      </c>
      <c r="AI788" t="n">
        <v>0.0</v>
      </c>
      <c r="AJ788" t="n">
        <v>0.0</v>
      </c>
      <c r="AK788" t="n">
        <v>0.0</v>
      </c>
      <c r="AL788" t="n">
        <v>0.0</v>
      </c>
      <c r="AM788" t="n">
        <v>0.0</v>
      </c>
      <c r="AN788" t="n">
        <v>0.0</v>
      </c>
      <c r="AO788" t="n">
        <v>861254.0</v>
      </c>
      <c r="AP788" t="n">
        <v>86126.0</v>
      </c>
      <c r="AQ788" t="n">
        <v>71112.9</v>
      </c>
      <c r="CH788">
        <f>IFERROR(U788*1,0)</f>
      </c>
    </row>
    <row r="789">
      <c r="A789" t="n">
        <v>12.0</v>
      </c>
      <c r="B789">
        <f>IF((K789-G789-H789&gt;2400000),10,(L789/(K789-G789-H789)*100))</f>
      </c>
      <c r="C789">
        <f>IF(N789&gt;2400000,240000,(N789*S789)/100)</f>
      </c>
      <c r="D789">
        <f>IF(S789=0,0,IF((N789-I789)&gt;2400000,((((((N789-I789-J789)-240000))*0.1+(I789+J789)*0.1)))-7000,((((((N789-I789-J789)-(N789-I789-J789)*S789/100)))*0.1+(I789+J789)*0.1)-7000)))</f>
      </c>
      <c r="E789">
        <f>C789-O789</f>
      </c>
      <c r="F789">
        <f>D789-P789</f>
      </c>
      <c r="G789">
        <f>SUMIF(negtgel!U$2:BL$2,'Tsalin uzuulelt'!B$1,negtgel!U789:BL789) + SUMIF(negtgel!U$2:BL$2,'Tsalin uzuulelt'!B$2,negtgel!U789:BL789)+SUMIF(negtgel!U$2:BL$2,'Tsalin uzuulelt'!B$3,negtgel!U789:BL789)+SUMIF(negtgel!U$2:BL$2,'Tsalin uzuulelt'!B$4,negtgel!U789:BL789)+SUMIF(negtgel!U$2:BL$2,'Tsalin uzuulelt'!B$5,negtgel!U789:BL789)</f>
      </c>
      <c r="H789">
        <f>SUMIF(negtgel!U$2:BL$2,'Tsalin uzuulelt'!F$1,negtgel!U789:BL789) + SUMIF(negtgel!U$2:BL$2,'Tsalin uzuulelt'!F$2,negtgel!U789:BL789)+SUMIF(negtgel!U$2:BL$2,'Tsalin uzuulelt'!F$3,negtgel!U789:BL789)+SUMIF(negtgel!U$2:BL$2,'Tsalin uzuulelt'!F$4,negtgel!U789:BL789)+SUMIF(negtgel!U$2:BL$2,'Tsalin uzuulelt'!F$5,negtgel!U789:BL789)</f>
      </c>
      <c r="I789">
        <f>SUMIF(negtgel!U$2:BL$2,'Tsalin uzuulelt'!H$1,negtgel!U789:BL789) + SUMIF(negtgel!U$2:BL$2,'Tsalin uzuulelt'!H$2,negtgel!U789:BL789)+SUMIF(negtgel!U$2:BL$2,'Tsalin uzuulelt'!H$3,negtgel!U789:BL789)+SUMIF(negtgel!U$2:BL$2,'Tsalin uzuulelt'!H$4,negtgel!U789:BL789)+SUMIF(negtgel!U$2:BL$2,'Tsalin uzuulelt'!H$5,negtgel!U789:BL789)</f>
      </c>
      <c r="J789">
        <f>SUMIF(negtgel!U$2:BL$2,'Tsalin uzuulelt'!J$1,negtgel!U789:BL789) + SUMIF(negtgel!U$2:BL$2,'Tsalin uzuulelt'!J$2,negtgel!U789:BL789)+SUMIF(negtgel!U$2:BL$2,'Tsalin uzuulelt'!J$3,negtgel!U789:BL789)+SUMIF(negtgel!U$2:BL$2,'Tsalin uzuulelt'!J$4,negtgel!U789:BL789)+SUMIF(negtgel!U$2:BL$2,'Tsalin uzuulelt'!J$5,negtgel!U789:BL789)</f>
      </c>
      <c r="K789">
        <f>SUMIF(negtgel!U$2:BL$2,'Tsalin uzuulelt'!L$1,negtgel!U789:BL789) + SUMIF(negtgel!U$2:BL$2,'Tsalin uzuulelt'!L$2,negtgel!U789:BL789)+SUMIF(negtgel!U$2:BL$2,'Tsalin uzuulelt'!L$3,negtgel!U789:BL789)+SUMIF(negtgel!U$2:BL$2,'Tsalin uzuulelt'!L$4,negtgel!U789:BL789)+SUMIF(negtgel!U$2:BL$2,'Tsalin uzuulelt'!L$5,negtgel!U789:BL789)</f>
      </c>
      <c r="L789">
        <f>SUMIF(negtgel!U$2:BL$2,'Tsalin uzuulelt'!N$1,negtgel!U789:BL789) + SUMIF(negtgel!U$2:BL$2,'Tsalin uzuulelt'!N$2,negtgel!U789:BL789)+SUMIF(negtgel!U$2:BL$2,'Tsalin uzuulelt'!N$3,negtgel!U789:BL789)+SUMIF(negtgel!U$2:BL$2,'Tsalin uzuulelt'!N$4,negtgel!U789:BL789)+SUMIF(negtgel!U$2:BL$2,'Tsalin uzuulelt'!N$5,negtgel!U789:BL789)</f>
      </c>
      <c r="M789">
        <f>SUMIF(negtgel!U$2:BL$2,'Tsalin uzuulelt'!P$1,negtgel!U789:BL789) + SUMIF(negtgel!U$2:BL$2,'Tsalin uzuulelt'!P$2,negtgel!U789:BL789)+ SUMIF(negtgel!U$2:BL$2,'Tsalin uzuulelt'!P$3,negtgel!U789:BL789)+ SUMIF(negtgel!U$2:BL$2,'Tsalin uzuulelt'!P$4,negtgel!U789:BL789)+ SUMIF(negtgel!U$2:BL$2,'Tsalin uzuulelt'!P$5,negtgel!U789:BL789)</f>
      </c>
      <c r="N789">
        <f>IF(ISNUMBER(U789*1)=CF789,0,K789-H789-G789)</f>
      </c>
      <c r="O789">
        <f>IF(ISNUMBER(U789*1)=CF789,0,L789)</f>
      </c>
      <c r="P789">
        <f>IF(ISNUMBER(U789*1)=CF789,0,M789)</f>
      </c>
      <c r="Q789">
        <f>IF(N789&gt;2400000,N789,0)</f>
      </c>
      <c r="R789">
        <f>IF(L789/Q789*100&lt;3,2,10)</f>
      </c>
      <c r="S789">
        <f>IF(CH789=0,0,IF(B789&gt;9,10,IF(B789&gt;8,B789,IF(B789&gt;7.7,7.8,IF(B789&gt;3,B789,IF(B789&gt;1.5,2))))))</f>
      </c>
      <c r="T789">
        <f>IF(Q789=0,S789,R789)</f>
      </c>
      <c r="U789" t="s">
        <v>3787</v>
      </c>
      <c r="V789"/>
      <c r="W789"/>
      <c r="X789" t="n">
        <v>5906232.0</v>
      </c>
      <c r="Y789" t="n">
        <v>5107607.0</v>
      </c>
      <c r="Z789" t="n">
        <v>259750.0</v>
      </c>
      <c r="AA789" t="n">
        <v>570362.0</v>
      </c>
      <c r="AB789" t="n">
        <v>149460.0</v>
      </c>
      <c r="AC789" t="n">
        <v>0.0</v>
      </c>
      <c r="AD789" t="n">
        <v>0.0</v>
      </c>
      <c r="AE789" t="n">
        <v>2630337.0</v>
      </c>
      <c r="AF789" t="n">
        <v>528000.0</v>
      </c>
      <c r="AG789" t="n">
        <v>0.0</v>
      </c>
      <c r="AH789" t="n">
        <v>0.0</v>
      </c>
      <c r="AI789" t="n">
        <v>0.0</v>
      </c>
      <c r="AJ789" t="n">
        <v>0.0</v>
      </c>
      <c r="AK789" t="n">
        <v>0.0</v>
      </c>
      <c r="AL789" t="n">
        <v>287862.0</v>
      </c>
      <c r="AM789" t="n">
        <v>0.0</v>
      </c>
      <c r="AN789" t="n">
        <v>0.0</v>
      </c>
      <c r="AO789" t="n">
        <v>9533378.0</v>
      </c>
      <c r="AP789" t="n">
        <v>924550.0</v>
      </c>
      <c r="AQ789" t="n">
        <v>767376.5</v>
      </c>
      <c r="CH789">
        <f>IFERROR(U789*1,0)</f>
      </c>
    </row>
    <row r="790">
      <c r="A790" t="n">
        <v>12.0</v>
      </c>
      <c r="B790">
        <f>IF((K790-G790-H790&gt;2400000),10,(L790/(K790-G790-H790)*100))</f>
      </c>
      <c r="C790">
        <f>IF(N790&gt;2400000,240000,(N790*S790)/100)</f>
      </c>
      <c r="D790">
        <f>IF(S790=0,0,IF((N790-I790)&gt;2400000,((((((N790-I790-J790)-240000))*0.1+(I790+J790)*0.1)))-7000,((((((N790-I790-J790)-(N790-I790-J790)*S790/100)))*0.1+(I790+J790)*0.1)-7000)))</f>
      </c>
      <c r="E790">
        <f>C790-O790</f>
      </c>
      <c r="F790">
        <f>D790-P790</f>
      </c>
      <c r="G790">
        <f>SUMIF(negtgel!U$2:BL$2,'Tsalin uzuulelt'!B$1,negtgel!U790:BL790) + SUMIF(negtgel!U$2:BL$2,'Tsalin uzuulelt'!B$2,negtgel!U790:BL790)+SUMIF(negtgel!U$2:BL$2,'Tsalin uzuulelt'!B$3,negtgel!U790:BL790)+SUMIF(negtgel!U$2:BL$2,'Tsalin uzuulelt'!B$4,negtgel!U790:BL790)+SUMIF(negtgel!U$2:BL$2,'Tsalin uzuulelt'!B$5,negtgel!U790:BL790)</f>
      </c>
      <c r="H790">
        <f>SUMIF(negtgel!U$2:BL$2,'Tsalin uzuulelt'!F$1,negtgel!U790:BL790) + SUMIF(negtgel!U$2:BL$2,'Tsalin uzuulelt'!F$2,negtgel!U790:BL790)+SUMIF(negtgel!U$2:BL$2,'Tsalin uzuulelt'!F$3,negtgel!U790:BL790)+SUMIF(negtgel!U$2:BL$2,'Tsalin uzuulelt'!F$4,negtgel!U790:BL790)+SUMIF(negtgel!U$2:BL$2,'Tsalin uzuulelt'!F$5,negtgel!U790:BL790)</f>
      </c>
      <c r="I790">
        <f>SUMIF(negtgel!U$2:BL$2,'Tsalin uzuulelt'!H$1,negtgel!U790:BL790) + SUMIF(negtgel!U$2:BL$2,'Tsalin uzuulelt'!H$2,negtgel!U790:BL790)+SUMIF(negtgel!U$2:BL$2,'Tsalin uzuulelt'!H$3,negtgel!U790:BL790)+SUMIF(negtgel!U$2:BL$2,'Tsalin uzuulelt'!H$4,negtgel!U790:BL790)+SUMIF(negtgel!U$2:BL$2,'Tsalin uzuulelt'!H$5,negtgel!U790:BL790)</f>
      </c>
      <c r="J790">
        <f>SUMIF(negtgel!U$2:BL$2,'Tsalin uzuulelt'!J$1,negtgel!U790:BL790) + SUMIF(negtgel!U$2:BL$2,'Tsalin uzuulelt'!J$2,negtgel!U790:BL790)+SUMIF(negtgel!U$2:BL$2,'Tsalin uzuulelt'!J$3,negtgel!U790:BL790)+SUMIF(negtgel!U$2:BL$2,'Tsalin uzuulelt'!J$4,negtgel!U790:BL790)+SUMIF(negtgel!U$2:BL$2,'Tsalin uzuulelt'!J$5,negtgel!U790:BL790)</f>
      </c>
      <c r="K790">
        <f>SUMIF(negtgel!U$2:BL$2,'Tsalin uzuulelt'!L$1,negtgel!U790:BL790) + SUMIF(negtgel!U$2:BL$2,'Tsalin uzuulelt'!L$2,negtgel!U790:BL790)+SUMIF(negtgel!U$2:BL$2,'Tsalin uzuulelt'!L$3,negtgel!U790:BL790)+SUMIF(negtgel!U$2:BL$2,'Tsalin uzuulelt'!L$4,negtgel!U790:BL790)+SUMIF(negtgel!U$2:BL$2,'Tsalin uzuulelt'!L$5,negtgel!U790:BL790)</f>
      </c>
      <c r="L790">
        <f>SUMIF(negtgel!U$2:BL$2,'Tsalin uzuulelt'!N$1,negtgel!U790:BL790) + SUMIF(negtgel!U$2:BL$2,'Tsalin uzuulelt'!N$2,negtgel!U790:BL790)+SUMIF(negtgel!U$2:BL$2,'Tsalin uzuulelt'!N$3,negtgel!U790:BL790)+SUMIF(negtgel!U$2:BL$2,'Tsalin uzuulelt'!N$4,negtgel!U790:BL790)+SUMIF(negtgel!U$2:BL$2,'Tsalin uzuulelt'!N$5,negtgel!U790:BL790)</f>
      </c>
      <c r="M790">
        <f>SUMIF(negtgel!U$2:BL$2,'Tsalin uzuulelt'!P$1,negtgel!U790:BL790) + SUMIF(negtgel!U$2:BL$2,'Tsalin uzuulelt'!P$2,negtgel!U790:BL790)+ SUMIF(negtgel!U$2:BL$2,'Tsalin uzuulelt'!P$3,negtgel!U790:BL790)+ SUMIF(negtgel!U$2:BL$2,'Tsalin uzuulelt'!P$4,negtgel!U790:BL790)+ SUMIF(negtgel!U$2:BL$2,'Tsalin uzuulelt'!P$5,negtgel!U790:BL790)</f>
      </c>
      <c r="N790">
        <f>IF(ISNUMBER(U790*1)=CF790,0,K790-H790-G790)</f>
      </c>
      <c r="O790">
        <f>IF(ISNUMBER(U790*1)=CF790,0,L790)</f>
      </c>
      <c r="P790">
        <f>IF(ISNUMBER(U790*1)=CF790,0,M790)</f>
      </c>
      <c r="Q790">
        <f>IF(N790&gt;2400000,N790,0)</f>
      </c>
      <c r="R790">
        <f>IF(L790/Q790*100&lt;3,2,10)</f>
      </c>
      <c r="S790">
        <f>IF(CH790=0,0,IF(B790&gt;9,10,IF(B790&gt;8,B790,IF(B790&gt;7.7,7.8,IF(B790&gt;3,B790,IF(B790&gt;1.5,2))))))</f>
      </c>
      <c r="T790">
        <f>IF(Q790=0,S790,R790)</f>
      </c>
      <c r="U790" t="s">
        <v>3815</v>
      </c>
      <c r="V790"/>
      <c r="W790"/>
      <c r="X790"/>
      <c r="Y790"/>
      <c r="Z790"/>
      <c r="AA790"/>
      <c r="AB790"/>
      <c r="AC790"/>
      <c r="AD790"/>
      <c r="AE790"/>
      <c r="AF790"/>
      <c r="AG790"/>
      <c r="AH790"/>
      <c r="AI790"/>
      <c r="AJ790"/>
      <c r="AK790"/>
      <c r="AL790"/>
      <c r="AM790"/>
      <c r="AN790"/>
      <c r="AO790"/>
      <c r="AP790"/>
      <c r="AQ790"/>
      <c r="CH790">
        <f>IFERROR(U790*1,0)</f>
      </c>
    </row>
    <row r="791">
      <c r="A791" t="n">
        <v>12.0</v>
      </c>
      <c r="B791">
        <f>IF((K791-G791-H791&gt;2400000),10,(L791/(K791-G791-H791)*100))</f>
      </c>
      <c r="C791">
        <f>IF(N791&gt;2400000,240000,(N791*S791)/100)</f>
      </c>
      <c r="D791">
        <f>IF(S791=0,0,IF((N791-I791)&gt;2400000,((((((N791-I791-J791)-240000))*0.1+(I791+J791)*0.1)))-7000,((((((N791-I791-J791)-(N791-I791-J791)*S791/100)))*0.1+(I791+J791)*0.1)-7000)))</f>
      </c>
      <c r="E791">
        <f>C791-O791</f>
      </c>
      <c r="F791">
        <f>D791-P791</f>
      </c>
      <c r="G791">
        <f>SUMIF(negtgel!U$2:BL$2,'Tsalin uzuulelt'!B$1,negtgel!U791:BL791) + SUMIF(negtgel!U$2:BL$2,'Tsalin uzuulelt'!B$2,negtgel!U791:BL791)+SUMIF(negtgel!U$2:BL$2,'Tsalin uzuulelt'!B$3,negtgel!U791:BL791)+SUMIF(negtgel!U$2:BL$2,'Tsalin uzuulelt'!B$4,negtgel!U791:BL791)+SUMIF(negtgel!U$2:BL$2,'Tsalin uzuulelt'!B$5,negtgel!U791:BL791)</f>
      </c>
      <c r="H791">
        <f>SUMIF(negtgel!U$2:BL$2,'Tsalin uzuulelt'!F$1,negtgel!U791:BL791) + SUMIF(negtgel!U$2:BL$2,'Tsalin uzuulelt'!F$2,negtgel!U791:BL791)+SUMIF(negtgel!U$2:BL$2,'Tsalin uzuulelt'!F$3,negtgel!U791:BL791)+SUMIF(negtgel!U$2:BL$2,'Tsalin uzuulelt'!F$4,negtgel!U791:BL791)+SUMIF(negtgel!U$2:BL$2,'Tsalin uzuulelt'!F$5,negtgel!U791:BL791)</f>
      </c>
      <c r="I791">
        <f>SUMIF(negtgel!U$2:BL$2,'Tsalin uzuulelt'!H$1,negtgel!U791:BL791) + SUMIF(negtgel!U$2:BL$2,'Tsalin uzuulelt'!H$2,negtgel!U791:BL791)+SUMIF(negtgel!U$2:BL$2,'Tsalin uzuulelt'!H$3,negtgel!U791:BL791)+SUMIF(negtgel!U$2:BL$2,'Tsalin uzuulelt'!H$4,negtgel!U791:BL791)+SUMIF(negtgel!U$2:BL$2,'Tsalin uzuulelt'!H$5,negtgel!U791:BL791)</f>
      </c>
      <c r="J791">
        <f>SUMIF(negtgel!U$2:BL$2,'Tsalin uzuulelt'!J$1,negtgel!U791:BL791) + SUMIF(negtgel!U$2:BL$2,'Tsalin uzuulelt'!J$2,negtgel!U791:BL791)+SUMIF(negtgel!U$2:BL$2,'Tsalin uzuulelt'!J$3,negtgel!U791:BL791)+SUMIF(negtgel!U$2:BL$2,'Tsalin uzuulelt'!J$4,negtgel!U791:BL791)+SUMIF(negtgel!U$2:BL$2,'Tsalin uzuulelt'!J$5,negtgel!U791:BL791)</f>
      </c>
      <c r="K791">
        <f>SUMIF(negtgel!U$2:BL$2,'Tsalin uzuulelt'!L$1,negtgel!U791:BL791) + SUMIF(negtgel!U$2:BL$2,'Tsalin uzuulelt'!L$2,negtgel!U791:BL791)+SUMIF(negtgel!U$2:BL$2,'Tsalin uzuulelt'!L$3,negtgel!U791:BL791)+SUMIF(negtgel!U$2:BL$2,'Tsalin uzuulelt'!L$4,negtgel!U791:BL791)+SUMIF(negtgel!U$2:BL$2,'Tsalin uzuulelt'!L$5,negtgel!U791:BL791)</f>
      </c>
      <c r="L791">
        <f>SUMIF(negtgel!U$2:BL$2,'Tsalin uzuulelt'!N$1,negtgel!U791:BL791) + SUMIF(negtgel!U$2:BL$2,'Tsalin uzuulelt'!N$2,negtgel!U791:BL791)+SUMIF(negtgel!U$2:BL$2,'Tsalin uzuulelt'!N$3,negtgel!U791:BL791)+SUMIF(negtgel!U$2:BL$2,'Tsalin uzuulelt'!N$4,negtgel!U791:BL791)+SUMIF(negtgel!U$2:BL$2,'Tsalin uzuulelt'!N$5,negtgel!U791:BL791)</f>
      </c>
      <c r="M791">
        <f>SUMIF(negtgel!U$2:BL$2,'Tsalin uzuulelt'!P$1,negtgel!U791:BL791) + SUMIF(negtgel!U$2:BL$2,'Tsalin uzuulelt'!P$2,negtgel!U791:BL791)+ SUMIF(negtgel!U$2:BL$2,'Tsalin uzuulelt'!P$3,negtgel!U791:BL791)+ SUMIF(negtgel!U$2:BL$2,'Tsalin uzuulelt'!P$4,negtgel!U791:BL791)+ SUMIF(negtgel!U$2:BL$2,'Tsalin uzuulelt'!P$5,negtgel!U791:BL791)</f>
      </c>
      <c r="N791">
        <f>IF(ISNUMBER(U791*1)=CF791,0,K791-H791-G791)</f>
      </c>
      <c r="O791">
        <f>IF(ISNUMBER(U791*1)=CF791,0,L791)</f>
      </c>
      <c r="P791">
        <f>IF(ISNUMBER(U791*1)=CF791,0,M791)</f>
      </c>
      <c r="Q791">
        <f>IF(N791&gt;2400000,N791,0)</f>
      </c>
      <c r="R791">
        <f>IF(L791/Q791*100&lt;3,2,10)</f>
      </c>
      <c r="S791">
        <f>IF(CH791=0,0,IF(B791&gt;9,10,IF(B791&gt;8,B791,IF(B791&gt;7.7,7.8,IF(B791&gt;3,B791,IF(B791&gt;1.5,2))))))</f>
      </c>
      <c r="T791">
        <f>IF(Q791=0,S791,R791)</f>
      </c>
      <c r="U791" t="n">
        <v>69.0</v>
      </c>
      <c r="V791" t="s">
        <v>3816</v>
      </c>
      <c r="W791" t="s">
        <v>3790</v>
      </c>
      <c r="X791" t="n">
        <v>547759.0</v>
      </c>
      <c r="Y791" t="n">
        <v>547759.0</v>
      </c>
      <c r="Z791" t="n">
        <v>0.0</v>
      </c>
      <c r="AA791" t="n">
        <v>0.0</v>
      </c>
      <c r="AB791" t="n">
        <v>0.0</v>
      </c>
      <c r="AC791" t="n">
        <v>0.0</v>
      </c>
      <c r="AD791" t="n">
        <v>219104.0</v>
      </c>
      <c r="AE791" t="n">
        <v>273880.0</v>
      </c>
      <c r="AF791" t="n">
        <v>60000.0</v>
      </c>
      <c r="AG791" t="n">
        <v>0.0</v>
      </c>
      <c r="AH791" t="n">
        <v>0.0</v>
      </c>
      <c r="AI791" t="n">
        <v>0.0</v>
      </c>
      <c r="AJ791" t="n">
        <v>0.0</v>
      </c>
      <c r="AK791" t="n">
        <v>0.0</v>
      </c>
      <c r="AL791" t="n">
        <v>0.0</v>
      </c>
      <c r="AM791" t="n">
        <v>0.0</v>
      </c>
      <c r="AN791" t="n">
        <v>0.0</v>
      </c>
      <c r="AO791" t="n">
        <v>1100743.0</v>
      </c>
      <c r="AP791" t="n">
        <v>110074.0</v>
      </c>
      <c r="AQ791" t="n">
        <v>92666.9</v>
      </c>
      <c r="CH791">
        <f>IFERROR(U791*1,0)</f>
      </c>
    </row>
    <row r="792">
      <c r="A792" t="n">
        <v>12.0</v>
      </c>
      <c r="B792">
        <f>IF((K792-G792-H792&gt;2400000),10,(L792/(K792-G792-H792)*100))</f>
      </c>
      <c r="C792">
        <f>IF(N792&gt;2400000,240000,(N792*S792)/100)</f>
      </c>
      <c r="D792">
        <f>IF(S792=0,0,IF((N792-I792)&gt;2400000,((((((N792-I792-J792)-240000))*0.1+(I792+J792)*0.1)))-7000,((((((N792-I792-J792)-(N792-I792-J792)*S792/100)))*0.1+(I792+J792)*0.1)-7000)))</f>
      </c>
      <c r="E792">
        <f>C792-O792</f>
      </c>
      <c r="F792">
        <f>D792-P792</f>
      </c>
      <c r="G792">
        <f>SUMIF(negtgel!U$2:BL$2,'Tsalin uzuulelt'!B$1,negtgel!U792:BL792) + SUMIF(negtgel!U$2:BL$2,'Tsalin uzuulelt'!B$2,negtgel!U792:BL792)+SUMIF(negtgel!U$2:BL$2,'Tsalin uzuulelt'!B$3,negtgel!U792:BL792)+SUMIF(negtgel!U$2:BL$2,'Tsalin uzuulelt'!B$4,negtgel!U792:BL792)+SUMIF(negtgel!U$2:BL$2,'Tsalin uzuulelt'!B$5,negtgel!U792:BL792)</f>
      </c>
      <c r="H792">
        <f>SUMIF(negtgel!U$2:BL$2,'Tsalin uzuulelt'!F$1,negtgel!U792:BL792) + SUMIF(negtgel!U$2:BL$2,'Tsalin uzuulelt'!F$2,negtgel!U792:BL792)+SUMIF(negtgel!U$2:BL$2,'Tsalin uzuulelt'!F$3,negtgel!U792:BL792)+SUMIF(negtgel!U$2:BL$2,'Tsalin uzuulelt'!F$4,negtgel!U792:BL792)+SUMIF(negtgel!U$2:BL$2,'Tsalin uzuulelt'!F$5,negtgel!U792:BL792)</f>
      </c>
      <c r="I792">
        <f>SUMIF(negtgel!U$2:BL$2,'Tsalin uzuulelt'!H$1,negtgel!U792:BL792) + SUMIF(negtgel!U$2:BL$2,'Tsalin uzuulelt'!H$2,negtgel!U792:BL792)+SUMIF(negtgel!U$2:BL$2,'Tsalin uzuulelt'!H$3,negtgel!U792:BL792)+SUMIF(negtgel!U$2:BL$2,'Tsalin uzuulelt'!H$4,negtgel!U792:BL792)+SUMIF(negtgel!U$2:BL$2,'Tsalin uzuulelt'!H$5,negtgel!U792:BL792)</f>
      </c>
      <c r="J792">
        <f>SUMIF(negtgel!U$2:BL$2,'Tsalin uzuulelt'!J$1,negtgel!U792:BL792) + SUMIF(negtgel!U$2:BL$2,'Tsalin uzuulelt'!J$2,negtgel!U792:BL792)+SUMIF(negtgel!U$2:BL$2,'Tsalin uzuulelt'!J$3,negtgel!U792:BL792)+SUMIF(negtgel!U$2:BL$2,'Tsalin uzuulelt'!J$4,negtgel!U792:BL792)+SUMIF(negtgel!U$2:BL$2,'Tsalin uzuulelt'!J$5,negtgel!U792:BL792)</f>
      </c>
      <c r="K792">
        <f>SUMIF(negtgel!U$2:BL$2,'Tsalin uzuulelt'!L$1,negtgel!U792:BL792) + SUMIF(negtgel!U$2:BL$2,'Tsalin uzuulelt'!L$2,negtgel!U792:BL792)+SUMIF(negtgel!U$2:BL$2,'Tsalin uzuulelt'!L$3,negtgel!U792:BL792)+SUMIF(negtgel!U$2:BL$2,'Tsalin uzuulelt'!L$4,negtgel!U792:BL792)+SUMIF(negtgel!U$2:BL$2,'Tsalin uzuulelt'!L$5,negtgel!U792:BL792)</f>
      </c>
      <c r="L792">
        <f>SUMIF(negtgel!U$2:BL$2,'Tsalin uzuulelt'!N$1,negtgel!U792:BL792) + SUMIF(negtgel!U$2:BL$2,'Tsalin uzuulelt'!N$2,negtgel!U792:BL792)+SUMIF(negtgel!U$2:BL$2,'Tsalin uzuulelt'!N$3,negtgel!U792:BL792)+SUMIF(negtgel!U$2:BL$2,'Tsalin uzuulelt'!N$4,negtgel!U792:BL792)+SUMIF(negtgel!U$2:BL$2,'Tsalin uzuulelt'!N$5,negtgel!U792:BL792)</f>
      </c>
      <c r="M792">
        <f>SUMIF(negtgel!U$2:BL$2,'Tsalin uzuulelt'!P$1,negtgel!U792:BL792) + SUMIF(negtgel!U$2:BL$2,'Tsalin uzuulelt'!P$2,negtgel!U792:BL792)+ SUMIF(negtgel!U$2:BL$2,'Tsalin uzuulelt'!P$3,negtgel!U792:BL792)+ SUMIF(negtgel!U$2:BL$2,'Tsalin uzuulelt'!P$4,negtgel!U792:BL792)+ SUMIF(negtgel!U$2:BL$2,'Tsalin uzuulelt'!P$5,negtgel!U792:BL792)</f>
      </c>
      <c r="N792">
        <f>IF(ISNUMBER(U792*1)=CF792,0,K792-H792-G792)</f>
      </c>
      <c r="O792">
        <f>IF(ISNUMBER(U792*1)=CF792,0,L792)</f>
      </c>
      <c r="P792">
        <f>IF(ISNUMBER(U792*1)=CF792,0,M792)</f>
      </c>
      <c r="Q792">
        <f>IF(N792&gt;2400000,N792,0)</f>
      </c>
      <c r="R792">
        <f>IF(L792/Q792*100&lt;3,2,10)</f>
      </c>
      <c r="S792">
        <f>IF(CH792=0,0,IF(B792&gt;9,10,IF(B792&gt;8,B792,IF(B792&gt;7.7,7.8,IF(B792&gt;3,B792,IF(B792&gt;1.5,2))))))</f>
      </c>
      <c r="T792">
        <f>IF(Q792=0,S792,R792)</f>
      </c>
      <c r="U792" t="n">
        <v>70.0</v>
      </c>
      <c r="V792" t="s">
        <v>3817</v>
      </c>
      <c r="W792" t="s">
        <v>3790</v>
      </c>
      <c r="X792" t="n">
        <v>677436.0</v>
      </c>
      <c r="Y792" t="n">
        <v>677436.0</v>
      </c>
      <c r="Z792" t="n">
        <v>135487.0</v>
      </c>
      <c r="AA792" t="n">
        <v>135487.0</v>
      </c>
      <c r="AB792" t="n">
        <v>0.0</v>
      </c>
      <c r="AC792" t="n">
        <v>0.0</v>
      </c>
      <c r="AD792" t="n">
        <v>0.0</v>
      </c>
      <c r="AE792" t="n">
        <v>338718.0</v>
      </c>
      <c r="AF792" t="n">
        <v>60000.0</v>
      </c>
      <c r="AG792" t="n">
        <v>0.0</v>
      </c>
      <c r="AH792" t="n">
        <v>0.0</v>
      </c>
      <c r="AI792" t="n">
        <v>0.0</v>
      </c>
      <c r="AJ792" t="n">
        <v>0.0</v>
      </c>
      <c r="AK792" t="n">
        <v>0.0</v>
      </c>
      <c r="AL792" t="n">
        <v>0.0</v>
      </c>
      <c r="AM792" t="n">
        <v>0.0</v>
      </c>
      <c r="AN792" t="n">
        <v>0.0</v>
      </c>
      <c r="AO792" t="n">
        <v>1347128.0</v>
      </c>
      <c r="AP792" t="n">
        <v>134713.0</v>
      </c>
      <c r="AQ792" t="n">
        <v>114841.5</v>
      </c>
      <c r="CH792">
        <f>IFERROR(U792*1,0)</f>
      </c>
    </row>
    <row r="793">
      <c r="A793" t="n">
        <v>12.0</v>
      </c>
      <c r="B793">
        <f>IF((K793-G793-H793&gt;2400000),10,(L793/(K793-G793-H793)*100))</f>
      </c>
      <c r="C793">
        <f>IF(N793&gt;2400000,240000,(N793*S793)/100)</f>
      </c>
      <c r="D793">
        <f>IF(S793=0,0,IF((N793-I793)&gt;2400000,((((((N793-I793-J793)-240000))*0.1+(I793+J793)*0.1)))-7000,((((((N793-I793-J793)-(N793-I793-J793)*S793/100)))*0.1+(I793+J793)*0.1)-7000)))</f>
      </c>
      <c r="E793">
        <f>C793-O793</f>
      </c>
      <c r="F793">
        <f>D793-P793</f>
      </c>
      <c r="G793">
        <f>SUMIF(negtgel!U$2:BL$2,'Tsalin uzuulelt'!B$1,negtgel!U793:BL793) + SUMIF(negtgel!U$2:BL$2,'Tsalin uzuulelt'!B$2,negtgel!U793:BL793)+SUMIF(negtgel!U$2:BL$2,'Tsalin uzuulelt'!B$3,negtgel!U793:BL793)+SUMIF(negtgel!U$2:BL$2,'Tsalin uzuulelt'!B$4,negtgel!U793:BL793)+SUMIF(negtgel!U$2:BL$2,'Tsalin uzuulelt'!B$5,negtgel!U793:BL793)</f>
      </c>
      <c r="H793">
        <f>SUMIF(negtgel!U$2:BL$2,'Tsalin uzuulelt'!F$1,negtgel!U793:BL793) + SUMIF(negtgel!U$2:BL$2,'Tsalin uzuulelt'!F$2,negtgel!U793:BL793)+SUMIF(negtgel!U$2:BL$2,'Tsalin uzuulelt'!F$3,negtgel!U793:BL793)+SUMIF(negtgel!U$2:BL$2,'Tsalin uzuulelt'!F$4,negtgel!U793:BL793)+SUMIF(negtgel!U$2:BL$2,'Tsalin uzuulelt'!F$5,negtgel!U793:BL793)</f>
      </c>
      <c r="I793">
        <f>SUMIF(negtgel!U$2:BL$2,'Tsalin uzuulelt'!H$1,negtgel!U793:BL793) + SUMIF(negtgel!U$2:BL$2,'Tsalin uzuulelt'!H$2,negtgel!U793:BL793)+SUMIF(negtgel!U$2:BL$2,'Tsalin uzuulelt'!H$3,negtgel!U793:BL793)+SUMIF(negtgel!U$2:BL$2,'Tsalin uzuulelt'!H$4,negtgel!U793:BL793)+SUMIF(negtgel!U$2:BL$2,'Tsalin uzuulelt'!H$5,negtgel!U793:BL793)</f>
      </c>
      <c r="J793">
        <f>SUMIF(negtgel!U$2:BL$2,'Tsalin uzuulelt'!J$1,negtgel!U793:BL793) + SUMIF(negtgel!U$2:BL$2,'Tsalin uzuulelt'!J$2,negtgel!U793:BL793)+SUMIF(negtgel!U$2:BL$2,'Tsalin uzuulelt'!J$3,negtgel!U793:BL793)+SUMIF(negtgel!U$2:BL$2,'Tsalin uzuulelt'!J$4,negtgel!U793:BL793)+SUMIF(negtgel!U$2:BL$2,'Tsalin uzuulelt'!J$5,negtgel!U793:BL793)</f>
      </c>
      <c r="K793">
        <f>SUMIF(negtgel!U$2:BL$2,'Tsalin uzuulelt'!L$1,negtgel!U793:BL793) + SUMIF(negtgel!U$2:BL$2,'Tsalin uzuulelt'!L$2,negtgel!U793:BL793)+SUMIF(negtgel!U$2:BL$2,'Tsalin uzuulelt'!L$3,negtgel!U793:BL793)+SUMIF(negtgel!U$2:BL$2,'Tsalin uzuulelt'!L$4,negtgel!U793:BL793)+SUMIF(negtgel!U$2:BL$2,'Tsalin uzuulelt'!L$5,negtgel!U793:BL793)</f>
      </c>
      <c r="L793">
        <f>SUMIF(negtgel!U$2:BL$2,'Tsalin uzuulelt'!N$1,negtgel!U793:BL793) + SUMIF(negtgel!U$2:BL$2,'Tsalin uzuulelt'!N$2,negtgel!U793:BL793)+SUMIF(negtgel!U$2:BL$2,'Tsalin uzuulelt'!N$3,negtgel!U793:BL793)+SUMIF(negtgel!U$2:BL$2,'Tsalin uzuulelt'!N$4,negtgel!U793:BL793)+SUMIF(negtgel!U$2:BL$2,'Tsalin uzuulelt'!N$5,negtgel!U793:BL793)</f>
      </c>
      <c r="M793">
        <f>SUMIF(negtgel!U$2:BL$2,'Tsalin uzuulelt'!P$1,negtgel!U793:BL793) + SUMIF(negtgel!U$2:BL$2,'Tsalin uzuulelt'!P$2,negtgel!U793:BL793)+ SUMIF(negtgel!U$2:BL$2,'Tsalin uzuulelt'!P$3,negtgel!U793:BL793)+ SUMIF(negtgel!U$2:BL$2,'Tsalin uzuulelt'!P$4,negtgel!U793:BL793)+ SUMIF(negtgel!U$2:BL$2,'Tsalin uzuulelt'!P$5,negtgel!U793:BL793)</f>
      </c>
      <c r="N793">
        <f>IF(ISNUMBER(U793*1)=CF793,0,K793-H793-G793)</f>
      </c>
      <c r="O793">
        <f>IF(ISNUMBER(U793*1)=CF793,0,L793)</f>
      </c>
      <c r="P793">
        <f>IF(ISNUMBER(U793*1)=CF793,0,M793)</f>
      </c>
      <c r="Q793">
        <f>IF(N793&gt;2400000,N793,0)</f>
      </c>
      <c r="R793">
        <f>IF(L793/Q793*100&lt;3,2,10)</f>
      </c>
      <c r="S793">
        <f>IF(CH793=0,0,IF(B793&gt;9,10,IF(B793&gt;8,B793,IF(B793&gt;7.7,7.8,IF(B793&gt;3,B793,IF(B793&gt;1.5,2))))))</f>
      </c>
      <c r="T793">
        <f>IF(Q793=0,S793,R793)</f>
      </c>
      <c r="U793" t="n">
        <v>71.0</v>
      </c>
      <c r="V793" t="s">
        <v>3818</v>
      </c>
      <c r="W793" t="s">
        <v>3785</v>
      </c>
      <c r="X793" t="n">
        <v>795935.0</v>
      </c>
      <c r="Y793" t="n">
        <v>795935.0</v>
      </c>
      <c r="Z793" t="n">
        <v>159187.0</v>
      </c>
      <c r="AA793" t="n">
        <v>143268.0</v>
      </c>
      <c r="AB793" t="n">
        <v>0.0</v>
      </c>
      <c r="AC793" t="n">
        <v>0.0</v>
      </c>
      <c r="AD793" t="n">
        <v>0.0</v>
      </c>
      <c r="AE793" t="n">
        <v>397968.0</v>
      </c>
      <c r="AF793" t="n">
        <v>60000.0</v>
      </c>
      <c r="AG793" t="n">
        <v>0.0</v>
      </c>
      <c r="AH793" t="n">
        <v>0.0</v>
      </c>
      <c r="AI793" t="n">
        <v>0.0</v>
      </c>
      <c r="AJ793" t="n">
        <v>0.0</v>
      </c>
      <c r="AK793" t="n">
        <v>0.0</v>
      </c>
      <c r="AL793" t="n">
        <v>0.0</v>
      </c>
      <c r="AM793" t="n">
        <v>0.0</v>
      </c>
      <c r="AN793" t="n">
        <v>0.0</v>
      </c>
      <c r="AO793" t="n">
        <v>1556358.0</v>
      </c>
      <c r="AP793" t="n">
        <v>155636.0</v>
      </c>
      <c r="AQ793" t="n">
        <v>133672.2</v>
      </c>
      <c r="CH793">
        <f>IFERROR(U793*1,0)</f>
      </c>
    </row>
    <row r="794">
      <c r="A794" t="n">
        <v>12.0</v>
      </c>
      <c r="B794">
        <f>IF((K794-G794-H794&gt;2400000),10,(L794/(K794-G794-H794)*100))</f>
      </c>
      <c r="C794">
        <f>IF(N794&gt;2400000,240000,(N794*S794)/100)</f>
      </c>
      <c r="D794">
        <f>IF(S794=0,0,IF((N794-I794)&gt;2400000,((((((N794-I794-J794)-240000))*0.1+(I794+J794)*0.1)))-7000,((((((N794-I794-J794)-(N794-I794-J794)*S794/100)))*0.1+(I794+J794)*0.1)-7000)))</f>
      </c>
      <c r="E794">
        <f>C794-O794</f>
      </c>
      <c r="F794">
        <f>D794-P794</f>
      </c>
      <c r="G794">
        <f>SUMIF(negtgel!U$2:BL$2,'Tsalin uzuulelt'!B$1,negtgel!U794:BL794) + SUMIF(negtgel!U$2:BL$2,'Tsalin uzuulelt'!B$2,negtgel!U794:BL794)+SUMIF(negtgel!U$2:BL$2,'Tsalin uzuulelt'!B$3,negtgel!U794:BL794)+SUMIF(negtgel!U$2:BL$2,'Tsalin uzuulelt'!B$4,negtgel!U794:BL794)+SUMIF(negtgel!U$2:BL$2,'Tsalin uzuulelt'!B$5,negtgel!U794:BL794)</f>
      </c>
      <c r="H794">
        <f>SUMIF(negtgel!U$2:BL$2,'Tsalin uzuulelt'!F$1,negtgel!U794:BL794) + SUMIF(negtgel!U$2:BL$2,'Tsalin uzuulelt'!F$2,negtgel!U794:BL794)+SUMIF(negtgel!U$2:BL$2,'Tsalin uzuulelt'!F$3,negtgel!U794:BL794)+SUMIF(negtgel!U$2:BL$2,'Tsalin uzuulelt'!F$4,negtgel!U794:BL794)+SUMIF(negtgel!U$2:BL$2,'Tsalin uzuulelt'!F$5,negtgel!U794:BL794)</f>
      </c>
      <c r="I794">
        <f>SUMIF(negtgel!U$2:BL$2,'Tsalin uzuulelt'!H$1,negtgel!U794:BL794) + SUMIF(negtgel!U$2:BL$2,'Tsalin uzuulelt'!H$2,negtgel!U794:BL794)+SUMIF(negtgel!U$2:BL$2,'Tsalin uzuulelt'!H$3,negtgel!U794:BL794)+SUMIF(negtgel!U$2:BL$2,'Tsalin uzuulelt'!H$4,negtgel!U794:BL794)+SUMIF(negtgel!U$2:BL$2,'Tsalin uzuulelt'!H$5,negtgel!U794:BL794)</f>
      </c>
      <c r="J794">
        <f>SUMIF(negtgel!U$2:BL$2,'Tsalin uzuulelt'!J$1,negtgel!U794:BL794) + SUMIF(negtgel!U$2:BL$2,'Tsalin uzuulelt'!J$2,negtgel!U794:BL794)+SUMIF(negtgel!U$2:BL$2,'Tsalin uzuulelt'!J$3,negtgel!U794:BL794)+SUMIF(negtgel!U$2:BL$2,'Tsalin uzuulelt'!J$4,negtgel!U794:BL794)+SUMIF(negtgel!U$2:BL$2,'Tsalin uzuulelt'!J$5,negtgel!U794:BL794)</f>
      </c>
      <c r="K794">
        <f>SUMIF(negtgel!U$2:BL$2,'Tsalin uzuulelt'!L$1,negtgel!U794:BL794) + SUMIF(negtgel!U$2:BL$2,'Tsalin uzuulelt'!L$2,negtgel!U794:BL794)+SUMIF(negtgel!U$2:BL$2,'Tsalin uzuulelt'!L$3,negtgel!U794:BL794)+SUMIF(negtgel!U$2:BL$2,'Tsalin uzuulelt'!L$4,negtgel!U794:BL794)+SUMIF(negtgel!U$2:BL$2,'Tsalin uzuulelt'!L$5,negtgel!U794:BL794)</f>
      </c>
      <c r="L794">
        <f>SUMIF(negtgel!U$2:BL$2,'Tsalin uzuulelt'!N$1,negtgel!U794:BL794) + SUMIF(negtgel!U$2:BL$2,'Tsalin uzuulelt'!N$2,negtgel!U794:BL794)+SUMIF(negtgel!U$2:BL$2,'Tsalin uzuulelt'!N$3,negtgel!U794:BL794)+SUMIF(negtgel!U$2:BL$2,'Tsalin uzuulelt'!N$4,negtgel!U794:BL794)+SUMIF(negtgel!U$2:BL$2,'Tsalin uzuulelt'!N$5,negtgel!U794:BL794)</f>
      </c>
      <c r="M794">
        <f>SUMIF(negtgel!U$2:BL$2,'Tsalin uzuulelt'!P$1,negtgel!U794:BL794) + SUMIF(negtgel!U$2:BL$2,'Tsalin uzuulelt'!P$2,negtgel!U794:BL794)+ SUMIF(negtgel!U$2:BL$2,'Tsalin uzuulelt'!P$3,negtgel!U794:BL794)+ SUMIF(negtgel!U$2:BL$2,'Tsalin uzuulelt'!P$4,negtgel!U794:BL794)+ SUMIF(negtgel!U$2:BL$2,'Tsalin uzuulelt'!P$5,negtgel!U794:BL794)</f>
      </c>
      <c r="N794">
        <f>IF(ISNUMBER(U794*1)=CF794,0,K794-H794-G794)</f>
      </c>
      <c r="O794">
        <f>IF(ISNUMBER(U794*1)=CF794,0,L794)</f>
      </c>
      <c r="P794">
        <f>IF(ISNUMBER(U794*1)=CF794,0,M794)</f>
      </c>
      <c r="Q794">
        <f>IF(N794&gt;2400000,N794,0)</f>
      </c>
      <c r="R794">
        <f>IF(L794/Q794*100&lt;3,2,10)</f>
      </c>
      <c r="S794">
        <f>IF(CH794=0,0,IF(B794&gt;9,10,IF(B794&gt;8,B794,IF(B794&gt;7.7,7.8,IF(B794&gt;3,B794,IF(B794&gt;1.5,2))))))</f>
      </c>
      <c r="T794">
        <f>IF(Q794=0,S794,R794)</f>
      </c>
      <c r="U794" t="n">
        <v>72.0</v>
      </c>
      <c r="V794" t="s">
        <v>3819</v>
      </c>
      <c r="W794" t="s">
        <v>3820</v>
      </c>
      <c r="X794" t="n">
        <v>698795.0</v>
      </c>
      <c r="Y794" t="n">
        <v>698795.0</v>
      </c>
      <c r="Z794" t="n">
        <v>104819.0</v>
      </c>
      <c r="AA794" t="n">
        <v>125783.0</v>
      </c>
      <c r="AB794" t="n">
        <v>0.0</v>
      </c>
      <c r="AC794" t="n">
        <v>0.0</v>
      </c>
      <c r="AD794" t="n">
        <v>0.0</v>
      </c>
      <c r="AE794" t="n">
        <v>349398.0</v>
      </c>
      <c r="AF794" t="n">
        <v>60000.0</v>
      </c>
      <c r="AG794" t="n">
        <v>0.0</v>
      </c>
      <c r="AH794" t="n">
        <v>0.0</v>
      </c>
      <c r="AI794" t="n">
        <v>0.0</v>
      </c>
      <c r="AJ794" t="n">
        <v>0.0</v>
      </c>
      <c r="AK794" t="n">
        <v>0.0</v>
      </c>
      <c r="AL794" t="n">
        <v>0.0</v>
      </c>
      <c r="AM794" t="n">
        <v>0.0</v>
      </c>
      <c r="AN794" t="n">
        <v>0.0</v>
      </c>
      <c r="AO794" t="n">
        <v>1338795.0</v>
      </c>
      <c r="AP794" t="n">
        <v>133880.0</v>
      </c>
      <c r="AQ794" t="n">
        <v>114091.6</v>
      </c>
      <c r="CH794">
        <f>IFERROR(U794*1,0)</f>
      </c>
    </row>
    <row r="795">
      <c r="A795" t="n">
        <v>12.0</v>
      </c>
      <c r="B795">
        <f>IF((K795-G795-H795&gt;2400000),10,(L795/(K795-G795-H795)*100))</f>
      </c>
      <c r="C795">
        <f>IF(N795&gt;2400000,240000,(N795*S795)/100)</f>
      </c>
      <c r="D795">
        <f>IF(S795=0,0,IF((N795-I795)&gt;2400000,((((((N795-I795-J795)-240000))*0.1+(I795+J795)*0.1)))-7000,((((((N795-I795-J795)-(N795-I795-J795)*S795/100)))*0.1+(I795+J795)*0.1)-7000)))</f>
      </c>
      <c r="E795">
        <f>C795-O795</f>
      </c>
      <c r="F795">
        <f>D795-P795</f>
      </c>
      <c r="G795">
        <f>SUMIF(negtgel!U$2:BL$2,'Tsalin uzuulelt'!B$1,negtgel!U795:BL795) + SUMIF(negtgel!U$2:BL$2,'Tsalin uzuulelt'!B$2,negtgel!U795:BL795)+SUMIF(negtgel!U$2:BL$2,'Tsalin uzuulelt'!B$3,negtgel!U795:BL795)+SUMIF(negtgel!U$2:BL$2,'Tsalin uzuulelt'!B$4,negtgel!U795:BL795)+SUMIF(negtgel!U$2:BL$2,'Tsalin uzuulelt'!B$5,negtgel!U795:BL795)</f>
      </c>
      <c r="H795">
        <f>SUMIF(negtgel!U$2:BL$2,'Tsalin uzuulelt'!F$1,negtgel!U795:BL795) + SUMIF(negtgel!U$2:BL$2,'Tsalin uzuulelt'!F$2,negtgel!U795:BL795)+SUMIF(negtgel!U$2:BL$2,'Tsalin uzuulelt'!F$3,negtgel!U795:BL795)+SUMIF(negtgel!U$2:BL$2,'Tsalin uzuulelt'!F$4,negtgel!U795:BL795)+SUMIF(negtgel!U$2:BL$2,'Tsalin uzuulelt'!F$5,negtgel!U795:BL795)</f>
      </c>
      <c r="I795">
        <f>SUMIF(negtgel!U$2:BL$2,'Tsalin uzuulelt'!H$1,negtgel!U795:BL795) + SUMIF(negtgel!U$2:BL$2,'Tsalin uzuulelt'!H$2,negtgel!U795:BL795)+SUMIF(negtgel!U$2:BL$2,'Tsalin uzuulelt'!H$3,negtgel!U795:BL795)+SUMIF(negtgel!U$2:BL$2,'Tsalin uzuulelt'!H$4,negtgel!U795:BL795)+SUMIF(negtgel!U$2:BL$2,'Tsalin uzuulelt'!H$5,negtgel!U795:BL795)</f>
      </c>
      <c r="J795">
        <f>SUMIF(negtgel!U$2:BL$2,'Tsalin uzuulelt'!J$1,negtgel!U795:BL795) + SUMIF(negtgel!U$2:BL$2,'Tsalin uzuulelt'!J$2,negtgel!U795:BL795)+SUMIF(negtgel!U$2:BL$2,'Tsalin uzuulelt'!J$3,negtgel!U795:BL795)+SUMIF(negtgel!U$2:BL$2,'Tsalin uzuulelt'!J$4,negtgel!U795:BL795)+SUMIF(negtgel!U$2:BL$2,'Tsalin uzuulelt'!J$5,negtgel!U795:BL795)</f>
      </c>
      <c r="K795">
        <f>SUMIF(negtgel!U$2:BL$2,'Tsalin uzuulelt'!L$1,negtgel!U795:BL795) + SUMIF(negtgel!U$2:BL$2,'Tsalin uzuulelt'!L$2,negtgel!U795:BL795)+SUMIF(negtgel!U$2:BL$2,'Tsalin uzuulelt'!L$3,negtgel!U795:BL795)+SUMIF(negtgel!U$2:BL$2,'Tsalin uzuulelt'!L$4,negtgel!U795:BL795)+SUMIF(negtgel!U$2:BL$2,'Tsalin uzuulelt'!L$5,negtgel!U795:BL795)</f>
      </c>
      <c r="L795">
        <f>SUMIF(negtgel!U$2:BL$2,'Tsalin uzuulelt'!N$1,negtgel!U795:BL795) + SUMIF(negtgel!U$2:BL$2,'Tsalin uzuulelt'!N$2,negtgel!U795:BL795)+SUMIF(negtgel!U$2:BL$2,'Tsalin uzuulelt'!N$3,negtgel!U795:BL795)+SUMIF(negtgel!U$2:BL$2,'Tsalin uzuulelt'!N$4,negtgel!U795:BL795)+SUMIF(negtgel!U$2:BL$2,'Tsalin uzuulelt'!N$5,negtgel!U795:BL795)</f>
      </c>
      <c r="M795">
        <f>SUMIF(negtgel!U$2:BL$2,'Tsalin uzuulelt'!P$1,negtgel!U795:BL795) + SUMIF(negtgel!U$2:BL$2,'Tsalin uzuulelt'!P$2,negtgel!U795:BL795)+ SUMIF(negtgel!U$2:BL$2,'Tsalin uzuulelt'!P$3,negtgel!U795:BL795)+ SUMIF(negtgel!U$2:BL$2,'Tsalin uzuulelt'!P$4,negtgel!U795:BL795)+ SUMIF(negtgel!U$2:BL$2,'Tsalin uzuulelt'!P$5,negtgel!U795:BL795)</f>
      </c>
      <c r="N795">
        <f>IF(ISNUMBER(U795*1)=CF795,0,K795-H795-G795)</f>
      </c>
      <c r="O795">
        <f>IF(ISNUMBER(U795*1)=CF795,0,L795)</f>
      </c>
      <c r="P795">
        <f>IF(ISNUMBER(U795*1)=CF795,0,M795)</f>
      </c>
      <c r="Q795">
        <f>IF(N795&gt;2400000,N795,0)</f>
      </c>
      <c r="R795">
        <f>IF(L795/Q795*100&lt;3,2,10)</f>
      </c>
      <c r="S795">
        <f>IF(CH795=0,0,IF(B795&gt;9,10,IF(B795&gt;8,B795,IF(B795&gt;7.7,7.8,IF(B795&gt;3,B795,IF(B795&gt;1.5,2))))))</f>
      </c>
      <c r="T795">
        <f>IF(Q795=0,S795,R795)</f>
      </c>
      <c r="U795" t="n">
        <v>73.0</v>
      </c>
      <c r="V795" t="s">
        <v>3821</v>
      </c>
      <c r="W795" t="s">
        <v>3790</v>
      </c>
      <c r="X795" t="n">
        <v>547759.0</v>
      </c>
      <c r="Y795" t="n">
        <v>547759.0</v>
      </c>
      <c r="Z795" t="n">
        <v>0.0</v>
      </c>
      <c r="AA795" t="n">
        <v>0.0</v>
      </c>
      <c r="AB795" t="n">
        <v>0.0</v>
      </c>
      <c r="AC795" t="n">
        <v>0.0</v>
      </c>
      <c r="AD795" t="n">
        <v>0.0</v>
      </c>
      <c r="AE795" t="n">
        <v>273880.0</v>
      </c>
      <c r="AF795" t="n">
        <v>60000.0</v>
      </c>
      <c r="AG795" t="n">
        <v>0.0</v>
      </c>
      <c r="AH795" t="n">
        <v>0.0</v>
      </c>
      <c r="AI795" t="n">
        <v>0.0</v>
      </c>
      <c r="AJ795" t="n">
        <v>0.0</v>
      </c>
      <c r="AK795" t="n">
        <v>0.0</v>
      </c>
      <c r="AL795" t="n">
        <v>0.0</v>
      </c>
      <c r="AM795" t="n">
        <v>0.0</v>
      </c>
      <c r="AN795" t="n">
        <v>0.0</v>
      </c>
      <c r="AO795" t="n">
        <v>881639.0</v>
      </c>
      <c r="AP795" t="n">
        <v>88164.0</v>
      </c>
      <c r="AQ795" t="n">
        <v>72947.5</v>
      </c>
      <c r="CH795">
        <f>IFERROR(U795*1,0)</f>
      </c>
    </row>
    <row r="796">
      <c r="A796" t="n">
        <v>12.0</v>
      </c>
      <c r="B796">
        <f>IF((K796-G796-H796&gt;2400000),10,(L796/(K796-G796-H796)*100))</f>
      </c>
      <c r="C796">
        <f>IF(N796&gt;2400000,240000,(N796*S796)/100)</f>
      </c>
      <c r="D796">
        <f>IF(S796=0,0,IF((N796-I796)&gt;2400000,((((((N796-I796-J796)-240000))*0.1+(I796+J796)*0.1)))-7000,((((((N796-I796-J796)-(N796-I796-J796)*S796/100)))*0.1+(I796+J796)*0.1)-7000)))</f>
      </c>
      <c r="E796">
        <f>C796-O796</f>
      </c>
      <c r="F796">
        <f>D796-P796</f>
      </c>
      <c r="G796">
        <f>SUMIF(negtgel!U$2:BL$2,'Tsalin uzuulelt'!B$1,negtgel!U796:BL796) + SUMIF(negtgel!U$2:BL$2,'Tsalin uzuulelt'!B$2,negtgel!U796:BL796)+SUMIF(negtgel!U$2:BL$2,'Tsalin uzuulelt'!B$3,negtgel!U796:BL796)+SUMIF(negtgel!U$2:BL$2,'Tsalin uzuulelt'!B$4,negtgel!U796:BL796)+SUMIF(negtgel!U$2:BL$2,'Tsalin uzuulelt'!B$5,negtgel!U796:BL796)</f>
      </c>
      <c r="H796">
        <f>SUMIF(negtgel!U$2:BL$2,'Tsalin uzuulelt'!F$1,negtgel!U796:BL796) + SUMIF(negtgel!U$2:BL$2,'Tsalin uzuulelt'!F$2,negtgel!U796:BL796)+SUMIF(negtgel!U$2:BL$2,'Tsalin uzuulelt'!F$3,negtgel!U796:BL796)+SUMIF(negtgel!U$2:BL$2,'Tsalin uzuulelt'!F$4,negtgel!U796:BL796)+SUMIF(negtgel!U$2:BL$2,'Tsalin uzuulelt'!F$5,negtgel!U796:BL796)</f>
      </c>
      <c r="I796">
        <f>SUMIF(negtgel!U$2:BL$2,'Tsalin uzuulelt'!H$1,negtgel!U796:BL796) + SUMIF(negtgel!U$2:BL$2,'Tsalin uzuulelt'!H$2,negtgel!U796:BL796)+SUMIF(negtgel!U$2:BL$2,'Tsalin uzuulelt'!H$3,negtgel!U796:BL796)+SUMIF(negtgel!U$2:BL$2,'Tsalin uzuulelt'!H$4,negtgel!U796:BL796)+SUMIF(negtgel!U$2:BL$2,'Tsalin uzuulelt'!H$5,negtgel!U796:BL796)</f>
      </c>
      <c r="J796">
        <f>SUMIF(negtgel!U$2:BL$2,'Tsalin uzuulelt'!J$1,negtgel!U796:BL796) + SUMIF(negtgel!U$2:BL$2,'Tsalin uzuulelt'!J$2,negtgel!U796:BL796)+SUMIF(negtgel!U$2:BL$2,'Tsalin uzuulelt'!J$3,negtgel!U796:BL796)+SUMIF(negtgel!U$2:BL$2,'Tsalin uzuulelt'!J$4,negtgel!U796:BL796)+SUMIF(negtgel!U$2:BL$2,'Tsalin uzuulelt'!J$5,negtgel!U796:BL796)</f>
      </c>
      <c r="K796">
        <f>SUMIF(negtgel!U$2:BL$2,'Tsalin uzuulelt'!L$1,negtgel!U796:BL796) + SUMIF(negtgel!U$2:BL$2,'Tsalin uzuulelt'!L$2,negtgel!U796:BL796)+SUMIF(negtgel!U$2:BL$2,'Tsalin uzuulelt'!L$3,negtgel!U796:BL796)+SUMIF(negtgel!U$2:BL$2,'Tsalin uzuulelt'!L$4,negtgel!U796:BL796)+SUMIF(negtgel!U$2:BL$2,'Tsalin uzuulelt'!L$5,negtgel!U796:BL796)</f>
      </c>
      <c r="L796">
        <f>SUMIF(negtgel!U$2:BL$2,'Tsalin uzuulelt'!N$1,negtgel!U796:BL796) + SUMIF(negtgel!U$2:BL$2,'Tsalin uzuulelt'!N$2,negtgel!U796:BL796)+SUMIF(negtgel!U$2:BL$2,'Tsalin uzuulelt'!N$3,negtgel!U796:BL796)+SUMIF(negtgel!U$2:BL$2,'Tsalin uzuulelt'!N$4,negtgel!U796:BL796)+SUMIF(negtgel!U$2:BL$2,'Tsalin uzuulelt'!N$5,negtgel!U796:BL796)</f>
      </c>
      <c r="M796">
        <f>SUMIF(negtgel!U$2:BL$2,'Tsalin uzuulelt'!P$1,negtgel!U796:BL796) + SUMIF(negtgel!U$2:BL$2,'Tsalin uzuulelt'!P$2,negtgel!U796:BL796)+ SUMIF(negtgel!U$2:BL$2,'Tsalin uzuulelt'!P$3,negtgel!U796:BL796)+ SUMIF(negtgel!U$2:BL$2,'Tsalin uzuulelt'!P$4,negtgel!U796:BL796)+ SUMIF(negtgel!U$2:BL$2,'Tsalin uzuulelt'!P$5,negtgel!U796:BL796)</f>
      </c>
      <c r="N796">
        <f>IF(ISNUMBER(U796*1)=CF796,0,K796-H796-G796)</f>
      </c>
      <c r="O796">
        <f>IF(ISNUMBER(U796*1)=CF796,0,L796)</f>
      </c>
      <c r="P796">
        <f>IF(ISNUMBER(U796*1)=CF796,0,M796)</f>
      </c>
      <c r="Q796">
        <f>IF(N796&gt;2400000,N796,0)</f>
      </c>
      <c r="R796">
        <f>IF(L796/Q796*100&lt;3,2,10)</f>
      </c>
      <c r="S796">
        <f>IF(CH796=0,0,IF(B796&gt;9,10,IF(B796&gt;8,B796,IF(B796&gt;7.7,7.8,IF(B796&gt;3,B796,IF(B796&gt;1.5,2))))))</f>
      </c>
      <c r="T796">
        <f>IF(Q796=0,S796,R796)</f>
      </c>
      <c r="U796" t="n">
        <v>74.0</v>
      </c>
      <c r="V796" t="s">
        <v>3824</v>
      </c>
      <c r="W796" t="s">
        <v>3790</v>
      </c>
      <c r="X796" t="n">
        <v>677436.0</v>
      </c>
      <c r="Y796" t="n">
        <v>677436.0</v>
      </c>
      <c r="Z796" t="n">
        <v>135487.0</v>
      </c>
      <c r="AA796" t="n">
        <v>135487.0</v>
      </c>
      <c r="AB796" t="n">
        <v>0.0</v>
      </c>
      <c r="AC796" t="n">
        <v>101615.0</v>
      </c>
      <c r="AD796" t="n">
        <v>0.0</v>
      </c>
      <c r="AE796" t="n">
        <v>338718.0</v>
      </c>
      <c r="AF796" t="n">
        <v>60000.0</v>
      </c>
      <c r="AG796" t="n">
        <v>0.0</v>
      </c>
      <c r="AH796" t="n">
        <v>0.0</v>
      </c>
      <c r="AI796" t="n">
        <v>0.0</v>
      </c>
      <c r="AJ796" t="n">
        <v>0.0</v>
      </c>
      <c r="AK796" t="n">
        <v>0.0</v>
      </c>
      <c r="AL796" t="n">
        <v>0.0</v>
      </c>
      <c r="AM796" t="n">
        <v>0.0</v>
      </c>
      <c r="AN796" t="n">
        <v>0.0</v>
      </c>
      <c r="AO796" t="n">
        <v>1448743.0</v>
      </c>
      <c r="AP796" t="n">
        <v>144874.0</v>
      </c>
      <c r="AQ796" t="n">
        <v>123986.9</v>
      </c>
      <c r="CH796">
        <f>IFERROR(U796*1,0)</f>
      </c>
    </row>
    <row r="797">
      <c r="A797" t="n">
        <v>12.0</v>
      </c>
      <c r="B797">
        <f>IF((K797-G797-H797&gt;2400000),10,(L797/(K797-G797-H797)*100))</f>
      </c>
      <c r="C797">
        <f>IF(N797&gt;2400000,240000,(N797*S797)/100)</f>
      </c>
      <c r="D797">
        <f>IF(S797=0,0,IF((N797-I797)&gt;2400000,((((((N797-I797-J797)-240000))*0.1+(I797+J797)*0.1)))-7000,((((((N797-I797-J797)-(N797-I797-J797)*S797/100)))*0.1+(I797+J797)*0.1)-7000)))</f>
      </c>
      <c r="E797">
        <f>C797-O797</f>
      </c>
      <c r="F797">
        <f>D797-P797</f>
      </c>
      <c r="G797">
        <f>SUMIF(negtgel!U$2:BL$2,'Tsalin uzuulelt'!B$1,negtgel!U797:BL797) + SUMIF(negtgel!U$2:BL$2,'Tsalin uzuulelt'!B$2,negtgel!U797:BL797)+SUMIF(negtgel!U$2:BL$2,'Tsalin uzuulelt'!B$3,negtgel!U797:BL797)+SUMIF(negtgel!U$2:BL$2,'Tsalin uzuulelt'!B$4,negtgel!U797:BL797)+SUMIF(negtgel!U$2:BL$2,'Tsalin uzuulelt'!B$5,negtgel!U797:BL797)</f>
      </c>
      <c r="H797">
        <f>SUMIF(negtgel!U$2:BL$2,'Tsalin uzuulelt'!F$1,negtgel!U797:BL797) + SUMIF(negtgel!U$2:BL$2,'Tsalin uzuulelt'!F$2,negtgel!U797:BL797)+SUMIF(negtgel!U$2:BL$2,'Tsalin uzuulelt'!F$3,negtgel!U797:BL797)+SUMIF(negtgel!U$2:BL$2,'Tsalin uzuulelt'!F$4,negtgel!U797:BL797)+SUMIF(negtgel!U$2:BL$2,'Tsalin uzuulelt'!F$5,negtgel!U797:BL797)</f>
      </c>
      <c r="I797">
        <f>SUMIF(negtgel!U$2:BL$2,'Tsalin uzuulelt'!H$1,negtgel!U797:BL797) + SUMIF(negtgel!U$2:BL$2,'Tsalin uzuulelt'!H$2,negtgel!U797:BL797)+SUMIF(negtgel!U$2:BL$2,'Tsalin uzuulelt'!H$3,negtgel!U797:BL797)+SUMIF(negtgel!U$2:BL$2,'Tsalin uzuulelt'!H$4,negtgel!U797:BL797)+SUMIF(negtgel!U$2:BL$2,'Tsalin uzuulelt'!H$5,negtgel!U797:BL797)</f>
      </c>
      <c r="J797">
        <f>SUMIF(negtgel!U$2:BL$2,'Tsalin uzuulelt'!J$1,negtgel!U797:BL797) + SUMIF(negtgel!U$2:BL$2,'Tsalin uzuulelt'!J$2,negtgel!U797:BL797)+SUMIF(negtgel!U$2:BL$2,'Tsalin uzuulelt'!J$3,negtgel!U797:BL797)+SUMIF(negtgel!U$2:BL$2,'Tsalin uzuulelt'!J$4,negtgel!U797:BL797)+SUMIF(negtgel!U$2:BL$2,'Tsalin uzuulelt'!J$5,negtgel!U797:BL797)</f>
      </c>
      <c r="K797">
        <f>SUMIF(negtgel!U$2:BL$2,'Tsalin uzuulelt'!L$1,negtgel!U797:BL797) + SUMIF(negtgel!U$2:BL$2,'Tsalin uzuulelt'!L$2,negtgel!U797:BL797)+SUMIF(negtgel!U$2:BL$2,'Tsalin uzuulelt'!L$3,negtgel!U797:BL797)+SUMIF(negtgel!U$2:BL$2,'Tsalin uzuulelt'!L$4,negtgel!U797:BL797)+SUMIF(negtgel!U$2:BL$2,'Tsalin uzuulelt'!L$5,negtgel!U797:BL797)</f>
      </c>
      <c r="L797">
        <f>SUMIF(negtgel!U$2:BL$2,'Tsalin uzuulelt'!N$1,negtgel!U797:BL797) + SUMIF(negtgel!U$2:BL$2,'Tsalin uzuulelt'!N$2,negtgel!U797:BL797)+SUMIF(negtgel!U$2:BL$2,'Tsalin uzuulelt'!N$3,negtgel!U797:BL797)+SUMIF(negtgel!U$2:BL$2,'Tsalin uzuulelt'!N$4,negtgel!U797:BL797)+SUMIF(negtgel!U$2:BL$2,'Tsalin uzuulelt'!N$5,negtgel!U797:BL797)</f>
      </c>
      <c r="M797">
        <f>SUMIF(negtgel!U$2:BL$2,'Tsalin uzuulelt'!P$1,negtgel!U797:BL797) + SUMIF(negtgel!U$2:BL$2,'Tsalin uzuulelt'!P$2,negtgel!U797:BL797)+ SUMIF(negtgel!U$2:BL$2,'Tsalin uzuulelt'!P$3,negtgel!U797:BL797)+ SUMIF(negtgel!U$2:BL$2,'Tsalin uzuulelt'!P$4,negtgel!U797:BL797)+ SUMIF(negtgel!U$2:BL$2,'Tsalin uzuulelt'!P$5,negtgel!U797:BL797)</f>
      </c>
      <c r="N797">
        <f>IF(ISNUMBER(U797*1)=CF797,0,K797-H797-G797)</f>
      </c>
      <c r="O797">
        <f>IF(ISNUMBER(U797*1)=CF797,0,L797)</f>
      </c>
      <c r="P797">
        <f>IF(ISNUMBER(U797*1)=CF797,0,M797)</f>
      </c>
      <c r="Q797">
        <f>IF(N797&gt;2400000,N797,0)</f>
      </c>
      <c r="R797">
        <f>IF(L797/Q797*100&lt;3,2,10)</f>
      </c>
      <c r="S797">
        <f>IF(CH797=0,0,IF(B797&gt;9,10,IF(B797&gt;8,B797,IF(B797&gt;7.7,7.8,IF(B797&gt;3,B797,IF(B797&gt;1.5,2))))))</f>
      </c>
      <c r="T797">
        <f>IF(Q797=0,S797,R797)</f>
      </c>
      <c r="U797" t="n">
        <v>75.0</v>
      </c>
      <c r="V797" t="s">
        <v>3878</v>
      </c>
      <c r="W797" t="s">
        <v>3790</v>
      </c>
      <c r="X797" t="n">
        <v>645556.0</v>
      </c>
      <c r="Y797" t="n">
        <v>548723.0</v>
      </c>
      <c r="Z797" t="n">
        <v>109745.0</v>
      </c>
      <c r="AA797" t="n">
        <v>109745.0</v>
      </c>
      <c r="AB797" t="n">
        <v>0.0</v>
      </c>
      <c r="AC797" t="n">
        <v>82308.0</v>
      </c>
      <c r="AD797" t="n">
        <v>0.0</v>
      </c>
      <c r="AE797" t="n">
        <v>322778.0</v>
      </c>
      <c r="AF797" t="n">
        <v>51000.0</v>
      </c>
      <c r="AG797" t="n">
        <v>0.0</v>
      </c>
      <c r="AH797" t="n">
        <v>0.0</v>
      </c>
      <c r="AI797" t="n">
        <v>0.0</v>
      </c>
      <c r="AJ797" t="n">
        <v>0.0</v>
      </c>
      <c r="AK797" t="n">
        <v>0.0</v>
      </c>
      <c r="AL797" t="n">
        <v>0.0</v>
      </c>
      <c r="AM797" t="n">
        <v>0.0</v>
      </c>
      <c r="AN797" t="n">
        <v>0.0</v>
      </c>
      <c r="AO797" t="n">
        <v>1224299.0</v>
      </c>
      <c r="AP797" t="n">
        <v>122430.0</v>
      </c>
      <c r="AQ797" t="n">
        <v>103696.9</v>
      </c>
      <c r="CH797">
        <f>IFERROR(U797*1,0)</f>
      </c>
    </row>
    <row r="798">
      <c r="A798" t="n">
        <v>12.0</v>
      </c>
      <c r="B798">
        <f>IF((K798-G798-H798&gt;2400000),10,(L798/(K798-G798-H798)*100))</f>
      </c>
      <c r="C798">
        <f>IF(N798&gt;2400000,240000,(N798*S798)/100)</f>
      </c>
      <c r="D798">
        <f>IF(S798=0,0,IF((N798-I798)&gt;2400000,((((((N798-I798-J798)-240000))*0.1+(I798+J798)*0.1)))-7000,((((((N798-I798-J798)-(N798-I798-J798)*S798/100)))*0.1+(I798+J798)*0.1)-7000)))</f>
      </c>
      <c r="E798">
        <f>C798-O798</f>
      </c>
      <c r="F798">
        <f>D798-P798</f>
      </c>
      <c r="G798">
        <f>SUMIF(negtgel!U$2:BL$2,'Tsalin uzuulelt'!B$1,negtgel!U798:BL798) + SUMIF(negtgel!U$2:BL$2,'Tsalin uzuulelt'!B$2,negtgel!U798:BL798)+SUMIF(negtgel!U$2:BL$2,'Tsalin uzuulelt'!B$3,negtgel!U798:BL798)+SUMIF(negtgel!U$2:BL$2,'Tsalin uzuulelt'!B$4,negtgel!U798:BL798)+SUMIF(negtgel!U$2:BL$2,'Tsalin uzuulelt'!B$5,negtgel!U798:BL798)</f>
      </c>
      <c r="H798">
        <f>SUMIF(negtgel!U$2:BL$2,'Tsalin uzuulelt'!F$1,negtgel!U798:BL798) + SUMIF(negtgel!U$2:BL$2,'Tsalin uzuulelt'!F$2,negtgel!U798:BL798)+SUMIF(negtgel!U$2:BL$2,'Tsalin uzuulelt'!F$3,negtgel!U798:BL798)+SUMIF(negtgel!U$2:BL$2,'Tsalin uzuulelt'!F$4,negtgel!U798:BL798)+SUMIF(negtgel!U$2:BL$2,'Tsalin uzuulelt'!F$5,negtgel!U798:BL798)</f>
      </c>
      <c r="I798">
        <f>SUMIF(negtgel!U$2:BL$2,'Tsalin uzuulelt'!H$1,negtgel!U798:BL798) + SUMIF(negtgel!U$2:BL$2,'Tsalin uzuulelt'!H$2,negtgel!U798:BL798)+SUMIF(negtgel!U$2:BL$2,'Tsalin uzuulelt'!H$3,negtgel!U798:BL798)+SUMIF(negtgel!U$2:BL$2,'Tsalin uzuulelt'!H$4,negtgel!U798:BL798)+SUMIF(negtgel!U$2:BL$2,'Tsalin uzuulelt'!H$5,negtgel!U798:BL798)</f>
      </c>
      <c r="J798">
        <f>SUMIF(negtgel!U$2:BL$2,'Tsalin uzuulelt'!J$1,negtgel!U798:BL798) + SUMIF(negtgel!U$2:BL$2,'Tsalin uzuulelt'!J$2,negtgel!U798:BL798)+SUMIF(negtgel!U$2:BL$2,'Tsalin uzuulelt'!J$3,negtgel!U798:BL798)+SUMIF(negtgel!U$2:BL$2,'Tsalin uzuulelt'!J$4,negtgel!U798:BL798)+SUMIF(negtgel!U$2:BL$2,'Tsalin uzuulelt'!J$5,negtgel!U798:BL798)</f>
      </c>
      <c r="K798">
        <f>SUMIF(negtgel!U$2:BL$2,'Tsalin uzuulelt'!L$1,negtgel!U798:BL798) + SUMIF(negtgel!U$2:BL$2,'Tsalin uzuulelt'!L$2,negtgel!U798:BL798)+SUMIF(negtgel!U$2:BL$2,'Tsalin uzuulelt'!L$3,negtgel!U798:BL798)+SUMIF(negtgel!U$2:BL$2,'Tsalin uzuulelt'!L$4,negtgel!U798:BL798)+SUMIF(negtgel!U$2:BL$2,'Tsalin uzuulelt'!L$5,negtgel!U798:BL798)</f>
      </c>
      <c r="L798">
        <f>SUMIF(negtgel!U$2:BL$2,'Tsalin uzuulelt'!N$1,negtgel!U798:BL798) + SUMIF(negtgel!U$2:BL$2,'Tsalin uzuulelt'!N$2,negtgel!U798:BL798)+SUMIF(negtgel!U$2:BL$2,'Tsalin uzuulelt'!N$3,negtgel!U798:BL798)+SUMIF(negtgel!U$2:BL$2,'Tsalin uzuulelt'!N$4,negtgel!U798:BL798)+SUMIF(negtgel!U$2:BL$2,'Tsalin uzuulelt'!N$5,negtgel!U798:BL798)</f>
      </c>
      <c r="M798">
        <f>SUMIF(negtgel!U$2:BL$2,'Tsalin uzuulelt'!P$1,negtgel!U798:BL798) + SUMIF(negtgel!U$2:BL$2,'Tsalin uzuulelt'!P$2,negtgel!U798:BL798)+ SUMIF(negtgel!U$2:BL$2,'Tsalin uzuulelt'!P$3,negtgel!U798:BL798)+ SUMIF(negtgel!U$2:BL$2,'Tsalin uzuulelt'!P$4,negtgel!U798:BL798)+ SUMIF(negtgel!U$2:BL$2,'Tsalin uzuulelt'!P$5,negtgel!U798:BL798)</f>
      </c>
      <c r="N798">
        <f>IF(ISNUMBER(U798*1)=CF798,0,K798-H798-G798)</f>
      </c>
      <c r="O798">
        <f>IF(ISNUMBER(U798*1)=CF798,0,L798)</f>
      </c>
      <c r="P798">
        <f>IF(ISNUMBER(U798*1)=CF798,0,M798)</f>
      </c>
      <c r="Q798">
        <f>IF(N798&gt;2400000,N798,0)</f>
      </c>
      <c r="R798">
        <f>IF(L798/Q798*100&lt;3,2,10)</f>
      </c>
      <c r="S798">
        <f>IF(CH798=0,0,IF(B798&gt;9,10,IF(B798&gt;8,B798,IF(B798&gt;7.7,7.8,IF(B798&gt;3,B798,IF(B798&gt;1.5,2))))))</f>
      </c>
      <c r="T798">
        <f>IF(Q798=0,S798,R798)</f>
      </c>
      <c r="U798" t="n">
        <v>76.0</v>
      </c>
      <c r="V798" t="s">
        <v>3881</v>
      </c>
      <c r="W798" t="s">
        <v>3790</v>
      </c>
      <c r="X798" t="n">
        <v>580710.0</v>
      </c>
      <c r="Y798" t="n">
        <v>580710.0</v>
      </c>
      <c r="Z798" t="n">
        <v>0.0</v>
      </c>
      <c r="AA798" t="n">
        <v>0.0</v>
      </c>
      <c r="AB798" t="n">
        <v>0.0</v>
      </c>
      <c r="AC798" t="n">
        <v>0.0</v>
      </c>
      <c r="AD798" t="n">
        <v>0.0</v>
      </c>
      <c r="AE798" t="n">
        <v>0.0</v>
      </c>
      <c r="AF798" t="n">
        <v>60000.0</v>
      </c>
      <c r="AG798" t="n">
        <v>0.0</v>
      </c>
      <c r="AH798" t="n">
        <v>0.0</v>
      </c>
      <c r="AI798" t="n">
        <v>0.0</v>
      </c>
      <c r="AJ798" t="n">
        <v>0.0</v>
      </c>
      <c r="AK798" t="n">
        <v>0.0</v>
      </c>
      <c r="AL798" t="n">
        <v>0.0</v>
      </c>
      <c r="AM798" t="n">
        <v>0.0</v>
      </c>
      <c r="AN798" t="n">
        <v>0.0</v>
      </c>
      <c r="AO798" t="n">
        <v>640710.0</v>
      </c>
      <c r="AP798" t="n">
        <v>64071.0</v>
      </c>
      <c r="AQ798" t="n">
        <v>51263.9</v>
      </c>
      <c r="CH798">
        <f>IFERROR(U798*1,0)</f>
      </c>
    </row>
    <row r="799">
      <c r="A799" t="n">
        <v>12.0</v>
      </c>
      <c r="B799">
        <f>IF((K799-G799-H799&gt;2400000),10,(L799/(K799-G799-H799)*100))</f>
      </c>
      <c r="C799">
        <f>IF(N799&gt;2400000,240000,(N799*S799)/100)</f>
      </c>
      <c r="D799">
        <f>IF(S799=0,0,IF((N799-I799)&gt;2400000,((((((N799-I799-J799)-240000))*0.1+(I799+J799)*0.1)))-7000,((((((N799-I799-J799)-(N799-I799-J799)*S799/100)))*0.1+(I799+J799)*0.1)-7000)))</f>
      </c>
      <c r="E799">
        <f>C799-O799</f>
      </c>
      <c r="F799">
        <f>D799-P799</f>
      </c>
      <c r="G799">
        <f>SUMIF(negtgel!U$2:BL$2,'Tsalin uzuulelt'!B$1,negtgel!U799:BL799) + SUMIF(negtgel!U$2:BL$2,'Tsalin uzuulelt'!B$2,negtgel!U799:BL799)+SUMIF(negtgel!U$2:BL$2,'Tsalin uzuulelt'!B$3,negtgel!U799:BL799)+SUMIF(negtgel!U$2:BL$2,'Tsalin uzuulelt'!B$4,negtgel!U799:BL799)+SUMIF(negtgel!U$2:BL$2,'Tsalin uzuulelt'!B$5,negtgel!U799:BL799)</f>
      </c>
      <c r="H799">
        <f>SUMIF(negtgel!U$2:BL$2,'Tsalin uzuulelt'!F$1,negtgel!U799:BL799) + SUMIF(negtgel!U$2:BL$2,'Tsalin uzuulelt'!F$2,negtgel!U799:BL799)+SUMIF(negtgel!U$2:BL$2,'Tsalin uzuulelt'!F$3,negtgel!U799:BL799)+SUMIF(negtgel!U$2:BL$2,'Tsalin uzuulelt'!F$4,negtgel!U799:BL799)+SUMIF(negtgel!U$2:BL$2,'Tsalin uzuulelt'!F$5,negtgel!U799:BL799)</f>
      </c>
      <c r="I799">
        <f>SUMIF(negtgel!U$2:BL$2,'Tsalin uzuulelt'!H$1,negtgel!U799:BL799) + SUMIF(negtgel!U$2:BL$2,'Tsalin uzuulelt'!H$2,negtgel!U799:BL799)+SUMIF(negtgel!U$2:BL$2,'Tsalin uzuulelt'!H$3,negtgel!U799:BL799)+SUMIF(negtgel!U$2:BL$2,'Tsalin uzuulelt'!H$4,negtgel!U799:BL799)+SUMIF(negtgel!U$2:BL$2,'Tsalin uzuulelt'!H$5,negtgel!U799:BL799)</f>
      </c>
      <c r="J799">
        <f>SUMIF(negtgel!U$2:BL$2,'Tsalin uzuulelt'!J$1,negtgel!U799:BL799) + SUMIF(negtgel!U$2:BL$2,'Tsalin uzuulelt'!J$2,negtgel!U799:BL799)+SUMIF(negtgel!U$2:BL$2,'Tsalin uzuulelt'!J$3,negtgel!U799:BL799)+SUMIF(negtgel!U$2:BL$2,'Tsalin uzuulelt'!J$4,negtgel!U799:BL799)+SUMIF(negtgel!U$2:BL$2,'Tsalin uzuulelt'!J$5,negtgel!U799:BL799)</f>
      </c>
      <c r="K799">
        <f>SUMIF(negtgel!U$2:BL$2,'Tsalin uzuulelt'!L$1,negtgel!U799:BL799) + SUMIF(negtgel!U$2:BL$2,'Tsalin uzuulelt'!L$2,negtgel!U799:BL799)+SUMIF(negtgel!U$2:BL$2,'Tsalin uzuulelt'!L$3,negtgel!U799:BL799)+SUMIF(negtgel!U$2:BL$2,'Tsalin uzuulelt'!L$4,negtgel!U799:BL799)+SUMIF(negtgel!U$2:BL$2,'Tsalin uzuulelt'!L$5,negtgel!U799:BL799)</f>
      </c>
      <c r="L799">
        <f>SUMIF(negtgel!U$2:BL$2,'Tsalin uzuulelt'!N$1,negtgel!U799:BL799) + SUMIF(negtgel!U$2:BL$2,'Tsalin uzuulelt'!N$2,negtgel!U799:BL799)+SUMIF(negtgel!U$2:BL$2,'Tsalin uzuulelt'!N$3,negtgel!U799:BL799)+SUMIF(negtgel!U$2:BL$2,'Tsalin uzuulelt'!N$4,negtgel!U799:BL799)+SUMIF(negtgel!U$2:BL$2,'Tsalin uzuulelt'!N$5,negtgel!U799:BL799)</f>
      </c>
      <c r="M799">
        <f>SUMIF(negtgel!U$2:BL$2,'Tsalin uzuulelt'!P$1,negtgel!U799:BL799) + SUMIF(negtgel!U$2:BL$2,'Tsalin uzuulelt'!P$2,negtgel!U799:BL799)+ SUMIF(negtgel!U$2:BL$2,'Tsalin uzuulelt'!P$3,negtgel!U799:BL799)+ SUMIF(negtgel!U$2:BL$2,'Tsalin uzuulelt'!P$4,negtgel!U799:BL799)+ SUMIF(negtgel!U$2:BL$2,'Tsalin uzuulelt'!P$5,negtgel!U799:BL799)</f>
      </c>
      <c r="N799">
        <f>IF(ISNUMBER(U799*1)=CF799,0,K799-H799-G799)</f>
      </c>
      <c r="O799">
        <f>IF(ISNUMBER(U799*1)=CF799,0,L799)</f>
      </c>
      <c r="P799">
        <f>IF(ISNUMBER(U799*1)=CF799,0,M799)</f>
      </c>
      <c r="Q799">
        <f>IF(N799&gt;2400000,N799,0)</f>
      </c>
      <c r="R799">
        <f>IF(L799/Q799*100&lt;3,2,10)</f>
      </c>
      <c r="S799">
        <f>IF(CH799=0,0,IF(B799&gt;9,10,IF(B799&gt;8,B799,IF(B799&gt;7.7,7.8,IF(B799&gt;3,B799,IF(B799&gt;1.5,2))))))</f>
      </c>
      <c r="T799">
        <f>IF(Q799=0,S799,R799)</f>
      </c>
      <c r="U799" t="s">
        <v>3787</v>
      </c>
      <c r="V799"/>
      <c r="W799"/>
      <c r="X799" t="n">
        <v>5171386.0</v>
      </c>
      <c r="Y799" t="n">
        <v>5074553.0</v>
      </c>
      <c r="Z799" t="n">
        <v>644725.0</v>
      </c>
      <c r="AA799" t="n">
        <v>649770.0</v>
      </c>
      <c r="AB799" t="n">
        <v>0.0</v>
      </c>
      <c r="AC799" t="n">
        <v>183923.0</v>
      </c>
      <c r="AD799" t="n">
        <v>219104.0</v>
      </c>
      <c r="AE799" t="n">
        <v>2295340.0</v>
      </c>
      <c r="AF799" t="n">
        <v>471000.0</v>
      </c>
      <c r="AG799" t="n">
        <v>0.0</v>
      </c>
      <c r="AH799" t="n">
        <v>0.0</v>
      </c>
      <c r="AI799" t="n">
        <v>0.0</v>
      </c>
      <c r="AJ799" t="n">
        <v>0.0</v>
      </c>
      <c r="AK799" t="n">
        <v>0.0</v>
      </c>
      <c r="AL799" t="n">
        <v>0.0</v>
      </c>
      <c r="AM799" t="n">
        <v>0.0</v>
      </c>
      <c r="AN799" t="n">
        <v>0.0</v>
      </c>
      <c r="AO799" t="n">
        <v>9538415.0</v>
      </c>
      <c r="AP799" t="n">
        <v>953842.0</v>
      </c>
      <c r="AQ799" t="n">
        <v>807167.4</v>
      </c>
      <c r="CH799">
        <f>IFERROR(U799*1,0)</f>
      </c>
    </row>
    <row r="800">
      <c r="A800" t="n">
        <v>12.0</v>
      </c>
      <c r="B800">
        <f>IF((K800-G800-H800&gt;2400000),10,(L800/(K800-G800-H800)*100))</f>
      </c>
      <c r="C800">
        <f>IF(N800&gt;2400000,240000,(N800*S800)/100)</f>
      </c>
      <c r="D800">
        <f>IF(S800=0,0,IF((N800-I800)&gt;2400000,((((((N800-I800-J800)-240000))*0.1+(I800+J800)*0.1)))-7000,((((((N800-I800-J800)-(N800-I800-J800)*S800/100)))*0.1+(I800+J800)*0.1)-7000)))</f>
      </c>
      <c r="E800">
        <f>C800-O800</f>
      </c>
      <c r="F800">
        <f>D800-P800</f>
      </c>
      <c r="G800">
        <f>SUMIF(negtgel!U$2:BL$2,'Tsalin uzuulelt'!B$1,negtgel!U800:BL800) + SUMIF(negtgel!U$2:BL$2,'Tsalin uzuulelt'!B$2,negtgel!U800:BL800)+SUMIF(negtgel!U$2:BL$2,'Tsalin uzuulelt'!B$3,negtgel!U800:BL800)+SUMIF(negtgel!U$2:BL$2,'Tsalin uzuulelt'!B$4,negtgel!U800:BL800)+SUMIF(negtgel!U$2:BL$2,'Tsalin uzuulelt'!B$5,negtgel!U800:BL800)</f>
      </c>
      <c r="H800">
        <f>SUMIF(negtgel!U$2:BL$2,'Tsalin uzuulelt'!F$1,negtgel!U800:BL800) + SUMIF(negtgel!U$2:BL$2,'Tsalin uzuulelt'!F$2,negtgel!U800:BL800)+SUMIF(negtgel!U$2:BL$2,'Tsalin uzuulelt'!F$3,negtgel!U800:BL800)+SUMIF(negtgel!U$2:BL$2,'Tsalin uzuulelt'!F$4,negtgel!U800:BL800)+SUMIF(negtgel!U$2:BL$2,'Tsalin uzuulelt'!F$5,negtgel!U800:BL800)</f>
      </c>
      <c r="I800">
        <f>SUMIF(negtgel!U$2:BL$2,'Tsalin uzuulelt'!H$1,negtgel!U800:BL800) + SUMIF(negtgel!U$2:BL$2,'Tsalin uzuulelt'!H$2,negtgel!U800:BL800)+SUMIF(negtgel!U$2:BL$2,'Tsalin uzuulelt'!H$3,negtgel!U800:BL800)+SUMIF(negtgel!U$2:BL$2,'Tsalin uzuulelt'!H$4,negtgel!U800:BL800)+SUMIF(negtgel!U$2:BL$2,'Tsalin uzuulelt'!H$5,negtgel!U800:BL800)</f>
      </c>
      <c r="J800">
        <f>SUMIF(negtgel!U$2:BL$2,'Tsalin uzuulelt'!J$1,negtgel!U800:BL800) + SUMIF(negtgel!U$2:BL$2,'Tsalin uzuulelt'!J$2,negtgel!U800:BL800)+SUMIF(negtgel!U$2:BL$2,'Tsalin uzuulelt'!J$3,negtgel!U800:BL800)+SUMIF(negtgel!U$2:BL$2,'Tsalin uzuulelt'!J$4,negtgel!U800:BL800)+SUMIF(negtgel!U$2:BL$2,'Tsalin uzuulelt'!J$5,negtgel!U800:BL800)</f>
      </c>
      <c r="K800">
        <f>SUMIF(negtgel!U$2:BL$2,'Tsalin uzuulelt'!L$1,negtgel!U800:BL800) + SUMIF(negtgel!U$2:BL$2,'Tsalin uzuulelt'!L$2,negtgel!U800:BL800)+SUMIF(negtgel!U$2:BL$2,'Tsalin uzuulelt'!L$3,negtgel!U800:BL800)+SUMIF(negtgel!U$2:BL$2,'Tsalin uzuulelt'!L$4,negtgel!U800:BL800)+SUMIF(negtgel!U$2:BL$2,'Tsalin uzuulelt'!L$5,negtgel!U800:BL800)</f>
      </c>
      <c r="L800">
        <f>SUMIF(negtgel!U$2:BL$2,'Tsalin uzuulelt'!N$1,negtgel!U800:BL800) + SUMIF(negtgel!U$2:BL$2,'Tsalin uzuulelt'!N$2,negtgel!U800:BL800)+SUMIF(negtgel!U$2:BL$2,'Tsalin uzuulelt'!N$3,negtgel!U800:BL800)+SUMIF(negtgel!U$2:BL$2,'Tsalin uzuulelt'!N$4,negtgel!U800:BL800)+SUMIF(negtgel!U$2:BL$2,'Tsalin uzuulelt'!N$5,negtgel!U800:BL800)</f>
      </c>
      <c r="M800">
        <f>SUMIF(negtgel!U$2:BL$2,'Tsalin uzuulelt'!P$1,negtgel!U800:BL800) + SUMIF(negtgel!U$2:BL$2,'Tsalin uzuulelt'!P$2,negtgel!U800:BL800)+ SUMIF(negtgel!U$2:BL$2,'Tsalin uzuulelt'!P$3,negtgel!U800:BL800)+ SUMIF(negtgel!U$2:BL$2,'Tsalin uzuulelt'!P$4,negtgel!U800:BL800)+ SUMIF(negtgel!U$2:BL$2,'Tsalin uzuulelt'!P$5,negtgel!U800:BL800)</f>
      </c>
      <c r="N800">
        <f>IF(ISNUMBER(U800*1)=CF800,0,K800-H800-G800)</f>
      </c>
      <c r="O800">
        <f>IF(ISNUMBER(U800*1)=CF800,0,L800)</f>
      </c>
      <c r="P800">
        <f>IF(ISNUMBER(U800*1)=CF800,0,M800)</f>
      </c>
      <c r="Q800">
        <f>IF(N800&gt;2400000,N800,0)</f>
      </c>
      <c r="R800">
        <f>IF(L800/Q800*100&lt;3,2,10)</f>
      </c>
      <c r="S800">
        <f>IF(CH800=0,0,IF(B800&gt;9,10,IF(B800&gt;8,B800,IF(B800&gt;7.7,7.8,IF(B800&gt;3,B800,IF(B800&gt;1.5,2))))))</f>
      </c>
      <c r="T800">
        <f>IF(Q800=0,S800,R800)</f>
      </c>
      <c r="U800" t="s">
        <v>3825</v>
      </c>
      <c r="V800"/>
      <c r="W800"/>
      <c r="X800"/>
      <c r="Y800"/>
      <c r="Z800"/>
      <c r="AA800"/>
      <c r="AB800"/>
      <c r="AC800"/>
      <c r="AD800"/>
      <c r="AE800"/>
      <c r="AF800"/>
      <c r="AG800"/>
      <c r="AH800"/>
      <c r="AI800"/>
      <c r="AJ800"/>
      <c r="AK800"/>
      <c r="AL800"/>
      <c r="AM800"/>
      <c r="AN800"/>
      <c r="AO800"/>
      <c r="AP800"/>
      <c r="AQ800"/>
      <c r="CH800">
        <f>IFERROR(U800*1,0)</f>
      </c>
    </row>
    <row r="801">
      <c r="A801" t="n">
        <v>12.0</v>
      </c>
      <c r="B801">
        <f>IF((K801-G801-H801&gt;2400000),10,(L801/(K801-G801-H801)*100))</f>
      </c>
      <c r="C801">
        <f>IF(N801&gt;2400000,240000,(N801*S801)/100)</f>
      </c>
      <c r="D801">
        <f>IF(S801=0,0,IF((N801-I801)&gt;2400000,((((((N801-I801-J801)-240000))*0.1+(I801+J801)*0.1)))-7000,((((((N801-I801-J801)-(N801-I801-J801)*S801/100)))*0.1+(I801+J801)*0.1)-7000)))</f>
      </c>
      <c r="E801">
        <f>C801-O801</f>
      </c>
      <c r="F801">
        <f>D801-P801</f>
      </c>
      <c r="G801">
        <f>SUMIF(negtgel!U$2:BL$2,'Tsalin uzuulelt'!B$1,negtgel!U801:BL801) + SUMIF(negtgel!U$2:BL$2,'Tsalin uzuulelt'!B$2,negtgel!U801:BL801)+SUMIF(negtgel!U$2:BL$2,'Tsalin uzuulelt'!B$3,negtgel!U801:BL801)+SUMIF(negtgel!U$2:BL$2,'Tsalin uzuulelt'!B$4,negtgel!U801:BL801)+SUMIF(negtgel!U$2:BL$2,'Tsalin uzuulelt'!B$5,negtgel!U801:BL801)</f>
      </c>
      <c r="H801">
        <f>SUMIF(negtgel!U$2:BL$2,'Tsalin uzuulelt'!F$1,negtgel!U801:BL801) + SUMIF(negtgel!U$2:BL$2,'Tsalin uzuulelt'!F$2,negtgel!U801:BL801)+SUMIF(negtgel!U$2:BL$2,'Tsalin uzuulelt'!F$3,negtgel!U801:BL801)+SUMIF(negtgel!U$2:BL$2,'Tsalin uzuulelt'!F$4,negtgel!U801:BL801)+SUMIF(negtgel!U$2:BL$2,'Tsalin uzuulelt'!F$5,negtgel!U801:BL801)</f>
      </c>
      <c r="I801">
        <f>SUMIF(negtgel!U$2:BL$2,'Tsalin uzuulelt'!H$1,negtgel!U801:BL801) + SUMIF(negtgel!U$2:BL$2,'Tsalin uzuulelt'!H$2,negtgel!U801:BL801)+SUMIF(negtgel!U$2:BL$2,'Tsalin uzuulelt'!H$3,negtgel!U801:BL801)+SUMIF(negtgel!U$2:BL$2,'Tsalin uzuulelt'!H$4,negtgel!U801:BL801)+SUMIF(negtgel!U$2:BL$2,'Tsalin uzuulelt'!H$5,negtgel!U801:BL801)</f>
      </c>
      <c r="J801">
        <f>SUMIF(negtgel!U$2:BL$2,'Tsalin uzuulelt'!J$1,negtgel!U801:BL801) + SUMIF(negtgel!U$2:BL$2,'Tsalin uzuulelt'!J$2,negtgel!U801:BL801)+SUMIF(negtgel!U$2:BL$2,'Tsalin uzuulelt'!J$3,negtgel!U801:BL801)+SUMIF(negtgel!U$2:BL$2,'Tsalin uzuulelt'!J$4,negtgel!U801:BL801)+SUMIF(negtgel!U$2:BL$2,'Tsalin uzuulelt'!J$5,negtgel!U801:BL801)</f>
      </c>
      <c r="K801">
        <f>SUMIF(negtgel!U$2:BL$2,'Tsalin uzuulelt'!L$1,negtgel!U801:BL801) + SUMIF(negtgel!U$2:BL$2,'Tsalin uzuulelt'!L$2,negtgel!U801:BL801)+SUMIF(negtgel!U$2:BL$2,'Tsalin uzuulelt'!L$3,negtgel!U801:BL801)+SUMIF(negtgel!U$2:BL$2,'Tsalin uzuulelt'!L$4,negtgel!U801:BL801)+SUMIF(negtgel!U$2:BL$2,'Tsalin uzuulelt'!L$5,negtgel!U801:BL801)</f>
      </c>
      <c r="L801">
        <f>SUMIF(negtgel!U$2:BL$2,'Tsalin uzuulelt'!N$1,negtgel!U801:BL801) + SUMIF(negtgel!U$2:BL$2,'Tsalin uzuulelt'!N$2,negtgel!U801:BL801)+SUMIF(negtgel!U$2:BL$2,'Tsalin uzuulelt'!N$3,negtgel!U801:BL801)+SUMIF(negtgel!U$2:BL$2,'Tsalin uzuulelt'!N$4,negtgel!U801:BL801)+SUMIF(negtgel!U$2:BL$2,'Tsalin uzuulelt'!N$5,negtgel!U801:BL801)</f>
      </c>
      <c r="M801">
        <f>SUMIF(negtgel!U$2:BL$2,'Tsalin uzuulelt'!P$1,negtgel!U801:BL801) + SUMIF(negtgel!U$2:BL$2,'Tsalin uzuulelt'!P$2,negtgel!U801:BL801)+ SUMIF(negtgel!U$2:BL$2,'Tsalin uzuulelt'!P$3,negtgel!U801:BL801)+ SUMIF(negtgel!U$2:BL$2,'Tsalin uzuulelt'!P$4,negtgel!U801:BL801)+ SUMIF(negtgel!U$2:BL$2,'Tsalin uzuulelt'!P$5,negtgel!U801:BL801)</f>
      </c>
      <c r="N801">
        <f>IF(ISNUMBER(U801*1)=CF801,0,K801-H801-G801)</f>
      </c>
      <c r="O801">
        <f>IF(ISNUMBER(U801*1)=CF801,0,L801)</f>
      </c>
      <c r="P801">
        <f>IF(ISNUMBER(U801*1)=CF801,0,M801)</f>
      </c>
      <c r="Q801">
        <f>IF(N801&gt;2400000,N801,0)</f>
      </c>
      <c r="R801">
        <f>IF(L801/Q801*100&lt;3,2,10)</f>
      </c>
      <c r="S801">
        <f>IF(CH801=0,0,IF(B801&gt;9,10,IF(B801&gt;8,B801,IF(B801&gt;7.7,7.8,IF(B801&gt;3,B801,IF(B801&gt;1.5,2))))))</f>
      </c>
      <c r="T801">
        <f>IF(Q801=0,S801,R801)</f>
      </c>
      <c r="U801" t="n">
        <v>77.0</v>
      </c>
      <c r="V801" t="s">
        <v>3827</v>
      </c>
      <c r="W801" t="s">
        <v>3790</v>
      </c>
      <c r="X801" t="n">
        <v>580710.0</v>
      </c>
      <c r="Y801" t="n">
        <v>580710.0</v>
      </c>
      <c r="Z801" t="n">
        <v>0.0</v>
      </c>
      <c r="AA801" t="n">
        <v>0.0</v>
      </c>
      <c r="AB801" t="n">
        <v>0.0</v>
      </c>
      <c r="AC801" t="n">
        <v>0.0</v>
      </c>
      <c r="AD801" t="n">
        <v>0.0</v>
      </c>
      <c r="AE801" t="n">
        <v>290355.0</v>
      </c>
      <c r="AF801" t="n">
        <v>60000.0</v>
      </c>
      <c r="AG801" t="n">
        <v>0.0</v>
      </c>
      <c r="AH801" t="n">
        <v>0.0</v>
      </c>
      <c r="AI801" t="n">
        <v>0.0</v>
      </c>
      <c r="AJ801" t="n">
        <v>0.0</v>
      </c>
      <c r="AK801" t="n">
        <v>0.0</v>
      </c>
      <c r="AL801" t="n">
        <v>0.0</v>
      </c>
      <c r="AM801" t="n">
        <v>0.0</v>
      </c>
      <c r="AN801" t="n">
        <v>0.0</v>
      </c>
      <c r="AO801" t="n">
        <v>931065.0</v>
      </c>
      <c r="AP801" t="n">
        <v>93107.0</v>
      </c>
      <c r="AQ801" t="n">
        <v>77395.8</v>
      </c>
      <c r="CH801">
        <f>IFERROR(U801*1,0)</f>
      </c>
    </row>
    <row r="802">
      <c r="A802" t="n">
        <v>12.0</v>
      </c>
      <c r="B802">
        <f>IF((K802-G802-H802&gt;2400000),10,(L802/(K802-G802-H802)*100))</f>
      </c>
      <c r="C802">
        <f>IF(N802&gt;2400000,240000,(N802*S802)/100)</f>
      </c>
      <c r="D802">
        <f>IF(S802=0,0,IF((N802-I802)&gt;2400000,((((((N802-I802-J802)-240000))*0.1+(I802+J802)*0.1)))-7000,((((((N802-I802-J802)-(N802-I802-J802)*S802/100)))*0.1+(I802+J802)*0.1)-7000)))</f>
      </c>
      <c r="E802">
        <f>C802-O802</f>
      </c>
      <c r="F802">
        <f>D802-P802</f>
      </c>
      <c r="G802">
        <f>SUMIF(negtgel!U$2:BL$2,'Tsalin uzuulelt'!B$1,negtgel!U802:BL802) + SUMIF(negtgel!U$2:BL$2,'Tsalin uzuulelt'!B$2,negtgel!U802:BL802)+SUMIF(negtgel!U$2:BL$2,'Tsalin uzuulelt'!B$3,negtgel!U802:BL802)+SUMIF(negtgel!U$2:BL$2,'Tsalin uzuulelt'!B$4,negtgel!U802:BL802)+SUMIF(negtgel!U$2:BL$2,'Tsalin uzuulelt'!B$5,negtgel!U802:BL802)</f>
      </c>
      <c r="H802">
        <f>SUMIF(negtgel!U$2:BL$2,'Tsalin uzuulelt'!F$1,negtgel!U802:BL802) + SUMIF(negtgel!U$2:BL$2,'Tsalin uzuulelt'!F$2,negtgel!U802:BL802)+SUMIF(negtgel!U$2:BL$2,'Tsalin uzuulelt'!F$3,negtgel!U802:BL802)+SUMIF(negtgel!U$2:BL$2,'Tsalin uzuulelt'!F$4,negtgel!U802:BL802)+SUMIF(negtgel!U$2:BL$2,'Tsalin uzuulelt'!F$5,negtgel!U802:BL802)</f>
      </c>
      <c r="I802">
        <f>SUMIF(negtgel!U$2:BL$2,'Tsalin uzuulelt'!H$1,negtgel!U802:BL802) + SUMIF(negtgel!U$2:BL$2,'Tsalin uzuulelt'!H$2,negtgel!U802:BL802)+SUMIF(negtgel!U$2:BL$2,'Tsalin uzuulelt'!H$3,negtgel!U802:BL802)+SUMIF(negtgel!U$2:BL$2,'Tsalin uzuulelt'!H$4,negtgel!U802:BL802)+SUMIF(negtgel!U$2:BL$2,'Tsalin uzuulelt'!H$5,negtgel!U802:BL802)</f>
      </c>
      <c r="J802">
        <f>SUMIF(negtgel!U$2:BL$2,'Tsalin uzuulelt'!J$1,negtgel!U802:BL802) + SUMIF(negtgel!U$2:BL$2,'Tsalin uzuulelt'!J$2,negtgel!U802:BL802)+SUMIF(negtgel!U$2:BL$2,'Tsalin uzuulelt'!J$3,negtgel!U802:BL802)+SUMIF(negtgel!U$2:BL$2,'Tsalin uzuulelt'!J$4,negtgel!U802:BL802)+SUMIF(negtgel!U$2:BL$2,'Tsalin uzuulelt'!J$5,negtgel!U802:BL802)</f>
      </c>
      <c r="K802">
        <f>SUMIF(negtgel!U$2:BL$2,'Tsalin uzuulelt'!L$1,negtgel!U802:BL802) + SUMIF(negtgel!U$2:BL$2,'Tsalin uzuulelt'!L$2,negtgel!U802:BL802)+SUMIF(negtgel!U$2:BL$2,'Tsalin uzuulelt'!L$3,negtgel!U802:BL802)+SUMIF(negtgel!U$2:BL$2,'Tsalin uzuulelt'!L$4,negtgel!U802:BL802)+SUMIF(negtgel!U$2:BL$2,'Tsalin uzuulelt'!L$5,negtgel!U802:BL802)</f>
      </c>
      <c r="L802">
        <f>SUMIF(negtgel!U$2:BL$2,'Tsalin uzuulelt'!N$1,negtgel!U802:BL802) + SUMIF(negtgel!U$2:BL$2,'Tsalin uzuulelt'!N$2,negtgel!U802:BL802)+SUMIF(negtgel!U$2:BL$2,'Tsalin uzuulelt'!N$3,negtgel!U802:BL802)+SUMIF(negtgel!U$2:BL$2,'Tsalin uzuulelt'!N$4,negtgel!U802:BL802)+SUMIF(negtgel!U$2:BL$2,'Tsalin uzuulelt'!N$5,negtgel!U802:BL802)</f>
      </c>
      <c r="M802">
        <f>SUMIF(negtgel!U$2:BL$2,'Tsalin uzuulelt'!P$1,negtgel!U802:BL802) + SUMIF(negtgel!U$2:BL$2,'Tsalin uzuulelt'!P$2,negtgel!U802:BL802)+ SUMIF(negtgel!U$2:BL$2,'Tsalin uzuulelt'!P$3,negtgel!U802:BL802)+ SUMIF(negtgel!U$2:BL$2,'Tsalin uzuulelt'!P$4,negtgel!U802:BL802)+ SUMIF(negtgel!U$2:BL$2,'Tsalin uzuulelt'!P$5,negtgel!U802:BL802)</f>
      </c>
      <c r="N802">
        <f>IF(ISNUMBER(U802*1)=CF802,0,K802-H802-G802)</f>
      </c>
      <c r="O802">
        <f>IF(ISNUMBER(U802*1)=CF802,0,L802)</f>
      </c>
      <c r="P802">
        <f>IF(ISNUMBER(U802*1)=CF802,0,M802)</f>
      </c>
      <c r="Q802">
        <f>IF(N802&gt;2400000,N802,0)</f>
      </c>
      <c r="R802">
        <f>IF(L802/Q802*100&lt;3,2,10)</f>
      </c>
      <c r="S802">
        <f>IF(CH802=0,0,IF(B802&gt;9,10,IF(B802&gt;8,B802,IF(B802&gt;7.7,7.8,IF(B802&gt;3,B802,IF(B802&gt;1.5,2))))))</f>
      </c>
      <c r="T802">
        <f>IF(Q802=0,S802,R802)</f>
      </c>
      <c r="U802" t="n">
        <v>78.0</v>
      </c>
      <c r="V802" t="s">
        <v>3828</v>
      </c>
      <c r="W802" t="s">
        <v>3792</v>
      </c>
      <c r="X802" t="n">
        <v>500784.0</v>
      </c>
      <c r="Y802" t="n">
        <v>600941.0</v>
      </c>
      <c r="Z802" t="n">
        <v>0.0</v>
      </c>
      <c r="AA802" t="n">
        <v>0.0</v>
      </c>
      <c r="AB802" t="n">
        <v>60094.0</v>
      </c>
      <c r="AC802" t="n">
        <v>0.0</v>
      </c>
      <c r="AD802" t="n">
        <v>0.0</v>
      </c>
      <c r="AE802" t="n">
        <v>0.0</v>
      </c>
      <c r="AF802" t="n">
        <v>72000.0</v>
      </c>
      <c r="AG802" t="n">
        <v>0.0</v>
      </c>
      <c r="AH802" t="n">
        <v>0.0</v>
      </c>
      <c r="AI802" t="n">
        <v>0.0</v>
      </c>
      <c r="AJ802" t="n">
        <v>0.0</v>
      </c>
      <c r="AK802" t="n">
        <v>0.0</v>
      </c>
      <c r="AL802" t="n">
        <v>0.0</v>
      </c>
      <c r="AM802" t="n">
        <v>0.0</v>
      </c>
      <c r="AN802" t="n">
        <v>0.0</v>
      </c>
      <c r="AO802" t="n">
        <v>733035.0</v>
      </c>
      <c r="AP802" t="n">
        <v>73303.0</v>
      </c>
      <c r="AQ802" t="n">
        <v>59693.2</v>
      </c>
      <c r="CH802">
        <f>IFERROR(U802*1,0)</f>
      </c>
    </row>
    <row r="803">
      <c r="A803" t="n">
        <v>12.0</v>
      </c>
      <c r="B803">
        <f>IF((K803-G803-H803&gt;2400000),10,(L803/(K803-G803-H803)*100))</f>
      </c>
      <c r="C803">
        <f>IF(N803&gt;2400000,240000,(N803*S803)/100)</f>
      </c>
      <c r="D803">
        <f>IF(S803=0,0,IF((N803-I803)&gt;2400000,((((((N803-I803-J803)-240000))*0.1+(I803+J803)*0.1)))-7000,((((((N803-I803-J803)-(N803-I803-J803)*S803/100)))*0.1+(I803+J803)*0.1)-7000)))</f>
      </c>
      <c r="E803">
        <f>C803-O803</f>
      </c>
      <c r="F803">
        <f>D803-P803</f>
      </c>
      <c r="G803">
        <f>SUMIF(negtgel!U$2:BL$2,'Tsalin uzuulelt'!B$1,negtgel!U803:BL803) + SUMIF(negtgel!U$2:BL$2,'Tsalin uzuulelt'!B$2,negtgel!U803:BL803)+SUMIF(negtgel!U$2:BL$2,'Tsalin uzuulelt'!B$3,negtgel!U803:BL803)+SUMIF(negtgel!U$2:BL$2,'Tsalin uzuulelt'!B$4,negtgel!U803:BL803)+SUMIF(negtgel!U$2:BL$2,'Tsalin uzuulelt'!B$5,negtgel!U803:BL803)</f>
      </c>
      <c r="H803">
        <f>SUMIF(negtgel!U$2:BL$2,'Tsalin uzuulelt'!F$1,negtgel!U803:BL803) + SUMIF(negtgel!U$2:BL$2,'Tsalin uzuulelt'!F$2,negtgel!U803:BL803)+SUMIF(negtgel!U$2:BL$2,'Tsalin uzuulelt'!F$3,negtgel!U803:BL803)+SUMIF(negtgel!U$2:BL$2,'Tsalin uzuulelt'!F$4,negtgel!U803:BL803)+SUMIF(negtgel!U$2:BL$2,'Tsalin uzuulelt'!F$5,negtgel!U803:BL803)</f>
      </c>
      <c r="I803">
        <f>SUMIF(negtgel!U$2:BL$2,'Tsalin uzuulelt'!H$1,negtgel!U803:BL803) + SUMIF(negtgel!U$2:BL$2,'Tsalin uzuulelt'!H$2,negtgel!U803:BL803)+SUMIF(negtgel!U$2:BL$2,'Tsalin uzuulelt'!H$3,negtgel!U803:BL803)+SUMIF(negtgel!U$2:BL$2,'Tsalin uzuulelt'!H$4,negtgel!U803:BL803)+SUMIF(negtgel!U$2:BL$2,'Tsalin uzuulelt'!H$5,negtgel!U803:BL803)</f>
      </c>
      <c r="J803">
        <f>SUMIF(negtgel!U$2:BL$2,'Tsalin uzuulelt'!J$1,negtgel!U803:BL803) + SUMIF(negtgel!U$2:BL$2,'Tsalin uzuulelt'!J$2,negtgel!U803:BL803)+SUMIF(negtgel!U$2:BL$2,'Tsalin uzuulelt'!J$3,negtgel!U803:BL803)+SUMIF(negtgel!U$2:BL$2,'Tsalin uzuulelt'!J$4,negtgel!U803:BL803)+SUMIF(negtgel!U$2:BL$2,'Tsalin uzuulelt'!J$5,negtgel!U803:BL803)</f>
      </c>
      <c r="K803">
        <f>SUMIF(negtgel!U$2:BL$2,'Tsalin uzuulelt'!L$1,negtgel!U803:BL803) + SUMIF(negtgel!U$2:BL$2,'Tsalin uzuulelt'!L$2,negtgel!U803:BL803)+SUMIF(negtgel!U$2:BL$2,'Tsalin uzuulelt'!L$3,negtgel!U803:BL803)+SUMIF(negtgel!U$2:BL$2,'Tsalin uzuulelt'!L$4,negtgel!U803:BL803)+SUMIF(negtgel!U$2:BL$2,'Tsalin uzuulelt'!L$5,negtgel!U803:BL803)</f>
      </c>
      <c r="L803">
        <f>SUMIF(negtgel!U$2:BL$2,'Tsalin uzuulelt'!N$1,negtgel!U803:BL803) + SUMIF(negtgel!U$2:BL$2,'Tsalin uzuulelt'!N$2,negtgel!U803:BL803)+SUMIF(negtgel!U$2:BL$2,'Tsalin uzuulelt'!N$3,negtgel!U803:BL803)+SUMIF(negtgel!U$2:BL$2,'Tsalin uzuulelt'!N$4,negtgel!U803:BL803)+SUMIF(negtgel!U$2:BL$2,'Tsalin uzuulelt'!N$5,negtgel!U803:BL803)</f>
      </c>
      <c r="M803">
        <f>SUMIF(negtgel!U$2:BL$2,'Tsalin uzuulelt'!P$1,negtgel!U803:BL803) + SUMIF(negtgel!U$2:BL$2,'Tsalin uzuulelt'!P$2,negtgel!U803:BL803)+ SUMIF(negtgel!U$2:BL$2,'Tsalin uzuulelt'!P$3,negtgel!U803:BL803)+ SUMIF(negtgel!U$2:BL$2,'Tsalin uzuulelt'!P$4,negtgel!U803:BL803)+ SUMIF(negtgel!U$2:BL$2,'Tsalin uzuulelt'!P$5,negtgel!U803:BL803)</f>
      </c>
      <c r="N803">
        <f>IF(ISNUMBER(U803*1)=CF803,0,K803-H803-G803)</f>
      </c>
      <c r="O803">
        <f>IF(ISNUMBER(U803*1)=CF803,0,L803)</f>
      </c>
      <c r="P803">
        <f>IF(ISNUMBER(U803*1)=CF803,0,M803)</f>
      </c>
      <c r="Q803">
        <f>IF(N803&gt;2400000,N803,0)</f>
      </c>
      <c r="R803">
        <f>IF(L803/Q803*100&lt;3,2,10)</f>
      </c>
      <c r="S803">
        <f>IF(CH803=0,0,IF(B803&gt;9,10,IF(B803&gt;8,B803,IF(B803&gt;7.7,7.8,IF(B803&gt;3,B803,IF(B803&gt;1.5,2))))))</f>
      </c>
      <c r="T803">
        <f>IF(Q803=0,S803,R803)</f>
      </c>
      <c r="U803" t="n">
        <v>79.0</v>
      </c>
      <c r="V803" t="s">
        <v>3829</v>
      </c>
      <c r="W803" t="s">
        <v>3792</v>
      </c>
      <c r="X803" t="n">
        <v>496912.0</v>
      </c>
      <c r="Y803" t="n">
        <v>496912.0</v>
      </c>
      <c r="Z803" t="n">
        <v>0.0</v>
      </c>
      <c r="AA803" t="n">
        <v>0.0</v>
      </c>
      <c r="AB803" t="n">
        <v>49691.0</v>
      </c>
      <c r="AC803" t="n">
        <v>0.0</v>
      </c>
      <c r="AD803" t="n">
        <v>0.0</v>
      </c>
      <c r="AE803" t="n">
        <v>248456.0</v>
      </c>
      <c r="AF803" t="n">
        <v>60000.0</v>
      </c>
      <c r="AG803" t="n">
        <v>0.0</v>
      </c>
      <c r="AH803" t="n">
        <v>0.0</v>
      </c>
      <c r="AI803" t="n">
        <v>0.0</v>
      </c>
      <c r="AJ803" t="n">
        <v>0.0</v>
      </c>
      <c r="AK803" t="n">
        <v>0.0</v>
      </c>
      <c r="AL803" t="n">
        <v>0.0</v>
      </c>
      <c r="AM803" t="n">
        <v>0.0</v>
      </c>
      <c r="AN803" t="n">
        <v>0.0</v>
      </c>
      <c r="AO803" t="n">
        <v>855059.0</v>
      </c>
      <c r="AP803" t="n">
        <v>85505.0</v>
      </c>
      <c r="AQ803" t="n">
        <v>70555.3</v>
      </c>
      <c r="CH803">
        <f>IFERROR(U803*1,0)</f>
      </c>
    </row>
    <row r="804">
      <c r="A804" t="n">
        <v>12.0</v>
      </c>
      <c r="B804">
        <f>IF((K804-G804-H804&gt;2400000),10,(L804/(K804-G804-H804)*100))</f>
      </c>
      <c r="C804">
        <f>IF(N804&gt;2400000,240000,(N804*S804)/100)</f>
      </c>
      <c r="D804">
        <f>IF(S804=0,0,IF((N804-I804)&gt;2400000,((((((N804-I804-J804)-240000))*0.1+(I804+J804)*0.1)))-7000,((((((N804-I804-J804)-(N804-I804-J804)*S804/100)))*0.1+(I804+J804)*0.1)-7000)))</f>
      </c>
      <c r="E804">
        <f>C804-O804</f>
      </c>
      <c r="F804">
        <f>D804-P804</f>
      </c>
      <c r="G804">
        <f>SUMIF(negtgel!U$2:BL$2,'Tsalin uzuulelt'!B$1,negtgel!U804:BL804) + SUMIF(negtgel!U$2:BL$2,'Tsalin uzuulelt'!B$2,negtgel!U804:BL804)+SUMIF(negtgel!U$2:BL$2,'Tsalin uzuulelt'!B$3,negtgel!U804:BL804)+SUMIF(negtgel!U$2:BL$2,'Tsalin uzuulelt'!B$4,negtgel!U804:BL804)+SUMIF(negtgel!U$2:BL$2,'Tsalin uzuulelt'!B$5,negtgel!U804:BL804)</f>
      </c>
      <c r="H804">
        <f>SUMIF(negtgel!U$2:BL$2,'Tsalin uzuulelt'!F$1,negtgel!U804:BL804) + SUMIF(negtgel!U$2:BL$2,'Tsalin uzuulelt'!F$2,negtgel!U804:BL804)+SUMIF(negtgel!U$2:BL$2,'Tsalin uzuulelt'!F$3,negtgel!U804:BL804)+SUMIF(negtgel!U$2:BL$2,'Tsalin uzuulelt'!F$4,negtgel!U804:BL804)+SUMIF(negtgel!U$2:BL$2,'Tsalin uzuulelt'!F$5,negtgel!U804:BL804)</f>
      </c>
      <c r="I804">
        <f>SUMIF(negtgel!U$2:BL$2,'Tsalin uzuulelt'!H$1,negtgel!U804:BL804) + SUMIF(negtgel!U$2:BL$2,'Tsalin uzuulelt'!H$2,negtgel!U804:BL804)+SUMIF(negtgel!U$2:BL$2,'Tsalin uzuulelt'!H$3,negtgel!U804:BL804)+SUMIF(negtgel!U$2:BL$2,'Tsalin uzuulelt'!H$4,negtgel!U804:BL804)+SUMIF(negtgel!U$2:BL$2,'Tsalin uzuulelt'!H$5,negtgel!U804:BL804)</f>
      </c>
      <c r="J804">
        <f>SUMIF(negtgel!U$2:BL$2,'Tsalin uzuulelt'!J$1,negtgel!U804:BL804) + SUMIF(negtgel!U$2:BL$2,'Tsalin uzuulelt'!J$2,negtgel!U804:BL804)+SUMIF(negtgel!U$2:BL$2,'Tsalin uzuulelt'!J$3,negtgel!U804:BL804)+SUMIF(negtgel!U$2:BL$2,'Tsalin uzuulelt'!J$4,negtgel!U804:BL804)+SUMIF(negtgel!U$2:BL$2,'Tsalin uzuulelt'!J$5,negtgel!U804:BL804)</f>
      </c>
      <c r="K804">
        <f>SUMIF(negtgel!U$2:BL$2,'Tsalin uzuulelt'!L$1,negtgel!U804:BL804) + SUMIF(negtgel!U$2:BL$2,'Tsalin uzuulelt'!L$2,negtgel!U804:BL804)+SUMIF(negtgel!U$2:BL$2,'Tsalin uzuulelt'!L$3,negtgel!U804:BL804)+SUMIF(negtgel!U$2:BL$2,'Tsalin uzuulelt'!L$4,negtgel!U804:BL804)+SUMIF(negtgel!U$2:BL$2,'Tsalin uzuulelt'!L$5,negtgel!U804:BL804)</f>
      </c>
      <c r="L804">
        <f>SUMIF(negtgel!U$2:BL$2,'Tsalin uzuulelt'!N$1,negtgel!U804:BL804) + SUMIF(negtgel!U$2:BL$2,'Tsalin uzuulelt'!N$2,negtgel!U804:BL804)+SUMIF(negtgel!U$2:BL$2,'Tsalin uzuulelt'!N$3,negtgel!U804:BL804)+SUMIF(negtgel!U$2:BL$2,'Tsalin uzuulelt'!N$4,negtgel!U804:BL804)+SUMIF(negtgel!U$2:BL$2,'Tsalin uzuulelt'!N$5,negtgel!U804:BL804)</f>
      </c>
      <c r="M804">
        <f>SUMIF(negtgel!U$2:BL$2,'Tsalin uzuulelt'!P$1,negtgel!U804:BL804) + SUMIF(negtgel!U$2:BL$2,'Tsalin uzuulelt'!P$2,negtgel!U804:BL804)+ SUMIF(negtgel!U$2:BL$2,'Tsalin uzuulelt'!P$3,negtgel!U804:BL804)+ SUMIF(negtgel!U$2:BL$2,'Tsalin uzuulelt'!P$4,negtgel!U804:BL804)+ SUMIF(negtgel!U$2:BL$2,'Tsalin uzuulelt'!P$5,negtgel!U804:BL804)</f>
      </c>
      <c r="N804">
        <f>IF(ISNUMBER(U804*1)=CF804,0,K804-H804-G804)</f>
      </c>
      <c r="O804">
        <f>IF(ISNUMBER(U804*1)=CF804,0,L804)</f>
      </c>
      <c r="P804">
        <f>IF(ISNUMBER(U804*1)=CF804,0,M804)</f>
      </c>
      <c r="Q804">
        <f>IF(N804&gt;2400000,N804,0)</f>
      </c>
      <c r="R804">
        <f>IF(L804/Q804*100&lt;3,2,10)</f>
      </c>
      <c r="S804">
        <f>IF(CH804=0,0,IF(B804&gt;9,10,IF(B804&gt;8,B804,IF(B804&gt;7.7,7.8,IF(B804&gt;3,B804,IF(B804&gt;1.5,2))))))</f>
      </c>
      <c r="T804">
        <f>IF(Q804=0,S804,R804)</f>
      </c>
      <c r="U804" t="n">
        <v>80.0</v>
      </c>
      <c r="V804" t="s">
        <v>3831</v>
      </c>
      <c r="W804" t="s">
        <v>3820</v>
      </c>
      <c r="X804" t="n">
        <v>663720.0</v>
      </c>
      <c r="Y804" t="n">
        <v>663720.0</v>
      </c>
      <c r="Z804" t="n">
        <v>66372.0</v>
      </c>
      <c r="AA804" t="n">
        <v>112832.0</v>
      </c>
      <c r="AB804" t="n">
        <v>0.0</v>
      </c>
      <c r="AC804" t="n">
        <v>0.0</v>
      </c>
      <c r="AD804" t="n">
        <v>0.0</v>
      </c>
      <c r="AE804" t="n">
        <v>331860.0</v>
      </c>
      <c r="AF804" t="n">
        <v>60000.0</v>
      </c>
      <c r="AG804" t="n">
        <v>0.0</v>
      </c>
      <c r="AH804" t="n">
        <v>0.0</v>
      </c>
      <c r="AI804" t="n">
        <v>0.0</v>
      </c>
      <c r="AJ804" t="n">
        <v>0.0</v>
      </c>
      <c r="AK804" t="n">
        <v>0.0</v>
      </c>
      <c r="AL804" t="n">
        <v>0.0</v>
      </c>
      <c r="AM804" t="n">
        <v>0.0</v>
      </c>
      <c r="AN804" t="n">
        <v>0.0</v>
      </c>
      <c r="AO804" t="n">
        <v>1234784.0</v>
      </c>
      <c r="AP804" t="n">
        <v>123479.0</v>
      </c>
      <c r="AQ804" t="n">
        <v>104730.6</v>
      </c>
      <c r="CH804">
        <f>IFERROR(U804*1,0)</f>
      </c>
    </row>
    <row r="805">
      <c r="A805" t="n">
        <v>12.0</v>
      </c>
      <c r="B805">
        <f>IF((K805-G805-H805&gt;2400000),10,(L805/(K805-G805-H805)*100))</f>
      </c>
      <c r="C805">
        <f>IF(N805&gt;2400000,240000,(N805*S805)/100)</f>
      </c>
      <c r="D805">
        <f>IF(S805=0,0,IF((N805-I805)&gt;2400000,((((((N805-I805-J805)-240000))*0.1+(I805+J805)*0.1)))-7000,((((((N805-I805-J805)-(N805-I805-J805)*S805/100)))*0.1+(I805+J805)*0.1)-7000)))</f>
      </c>
      <c r="E805">
        <f>C805-O805</f>
      </c>
      <c r="F805">
        <f>D805-P805</f>
      </c>
      <c r="G805">
        <f>SUMIF(negtgel!U$2:BL$2,'Tsalin uzuulelt'!B$1,negtgel!U805:BL805) + SUMIF(negtgel!U$2:BL$2,'Tsalin uzuulelt'!B$2,negtgel!U805:BL805)+SUMIF(negtgel!U$2:BL$2,'Tsalin uzuulelt'!B$3,negtgel!U805:BL805)+SUMIF(negtgel!U$2:BL$2,'Tsalin uzuulelt'!B$4,negtgel!U805:BL805)+SUMIF(negtgel!U$2:BL$2,'Tsalin uzuulelt'!B$5,negtgel!U805:BL805)</f>
      </c>
      <c r="H805">
        <f>SUMIF(negtgel!U$2:BL$2,'Tsalin uzuulelt'!F$1,negtgel!U805:BL805) + SUMIF(negtgel!U$2:BL$2,'Tsalin uzuulelt'!F$2,negtgel!U805:BL805)+SUMIF(negtgel!U$2:BL$2,'Tsalin uzuulelt'!F$3,negtgel!U805:BL805)+SUMIF(negtgel!U$2:BL$2,'Tsalin uzuulelt'!F$4,negtgel!U805:BL805)+SUMIF(negtgel!U$2:BL$2,'Tsalin uzuulelt'!F$5,negtgel!U805:BL805)</f>
      </c>
      <c r="I805">
        <f>SUMIF(negtgel!U$2:BL$2,'Tsalin uzuulelt'!H$1,negtgel!U805:BL805) + SUMIF(negtgel!U$2:BL$2,'Tsalin uzuulelt'!H$2,negtgel!U805:BL805)+SUMIF(negtgel!U$2:BL$2,'Tsalin uzuulelt'!H$3,negtgel!U805:BL805)+SUMIF(negtgel!U$2:BL$2,'Tsalin uzuulelt'!H$4,negtgel!U805:BL805)+SUMIF(negtgel!U$2:BL$2,'Tsalin uzuulelt'!H$5,negtgel!U805:BL805)</f>
      </c>
      <c r="J805">
        <f>SUMIF(negtgel!U$2:BL$2,'Tsalin uzuulelt'!J$1,negtgel!U805:BL805) + SUMIF(negtgel!U$2:BL$2,'Tsalin uzuulelt'!J$2,negtgel!U805:BL805)+SUMIF(negtgel!U$2:BL$2,'Tsalin uzuulelt'!J$3,negtgel!U805:BL805)+SUMIF(negtgel!U$2:BL$2,'Tsalin uzuulelt'!J$4,negtgel!U805:BL805)+SUMIF(negtgel!U$2:BL$2,'Tsalin uzuulelt'!J$5,negtgel!U805:BL805)</f>
      </c>
      <c r="K805">
        <f>SUMIF(negtgel!U$2:BL$2,'Tsalin uzuulelt'!L$1,negtgel!U805:BL805) + SUMIF(negtgel!U$2:BL$2,'Tsalin uzuulelt'!L$2,negtgel!U805:BL805)+SUMIF(negtgel!U$2:BL$2,'Tsalin uzuulelt'!L$3,negtgel!U805:BL805)+SUMIF(negtgel!U$2:BL$2,'Tsalin uzuulelt'!L$4,negtgel!U805:BL805)+SUMIF(negtgel!U$2:BL$2,'Tsalin uzuulelt'!L$5,negtgel!U805:BL805)</f>
      </c>
      <c r="L805">
        <f>SUMIF(negtgel!U$2:BL$2,'Tsalin uzuulelt'!N$1,negtgel!U805:BL805) + SUMIF(negtgel!U$2:BL$2,'Tsalin uzuulelt'!N$2,negtgel!U805:BL805)+SUMIF(negtgel!U$2:BL$2,'Tsalin uzuulelt'!N$3,negtgel!U805:BL805)+SUMIF(negtgel!U$2:BL$2,'Tsalin uzuulelt'!N$4,negtgel!U805:BL805)+SUMIF(negtgel!U$2:BL$2,'Tsalin uzuulelt'!N$5,negtgel!U805:BL805)</f>
      </c>
      <c r="M805">
        <f>SUMIF(negtgel!U$2:BL$2,'Tsalin uzuulelt'!P$1,negtgel!U805:BL805) + SUMIF(negtgel!U$2:BL$2,'Tsalin uzuulelt'!P$2,negtgel!U805:BL805)+ SUMIF(negtgel!U$2:BL$2,'Tsalin uzuulelt'!P$3,negtgel!U805:BL805)+ SUMIF(negtgel!U$2:BL$2,'Tsalin uzuulelt'!P$4,negtgel!U805:BL805)+ SUMIF(negtgel!U$2:BL$2,'Tsalin uzuulelt'!P$5,negtgel!U805:BL805)</f>
      </c>
      <c r="N805">
        <f>IF(ISNUMBER(U805*1)=CF805,0,K805-H805-G805)</f>
      </c>
      <c r="O805">
        <f>IF(ISNUMBER(U805*1)=CF805,0,L805)</f>
      </c>
      <c r="P805">
        <f>IF(ISNUMBER(U805*1)=CF805,0,M805)</f>
      </c>
      <c r="Q805">
        <f>IF(N805&gt;2400000,N805,0)</f>
      </c>
      <c r="R805">
        <f>IF(L805/Q805*100&lt;3,2,10)</f>
      </c>
      <c r="S805">
        <f>IF(CH805=0,0,IF(B805&gt;9,10,IF(B805&gt;8,B805,IF(B805&gt;7.7,7.8,IF(B805&gt;3,B805,IF(B805&gt;1.5,2))))))</f>
      </c>
      <c r="T805">
        <f>IF(Q805=0,S805,R805)</f>
      </c>
      <c r="U805" t="n">
        <v>81.0</v>
      </c>
      <c r="V805" t="s">
        <v>3868</v>
      </c>
      <c r="W805" t="s">
        <v>3790</v>
      </c>
      <c r="X805" t="n">
        <v>645556.0</v>
      </c>
      <c r="Y805" t="n">
        <v>225945.0</v>
      </c>
      <c r="Z805" t="n">
        <v>38411.0</v>
      </c>
      <c r="AA805" t="n">
        <v>33892.0</v>
      </c>
      <c r="AB805" t="n">
        <v>0.0</v>
      </c>
      <c r="AC805" t="n">
        <v>0.0</v>
      </c>
      <c r="AD805" t="n">
        <v>0.0</v>
      </c>
      <c r="AE805" t="n">
        <v>290500.0</v>
      </c>
      <c r="AF805" t="n">
        <v>21000.0</v>
      </c>
      <c r="AG805" t="n">
        <v>0.0</v>
      </c>
      <c r="AH805" t="n">
        <v>0.0</v>
      </c>
      <c r="AI805" t="n">
        <v>0.0</v>
      </c>
      <c r="AJ805" t="n">
        <v>978895.0</v>
      </c>
      <c r="AK805" t="n">
        <v>0.0</v>
      </c>
      <c r="AL805" t="n">
        <v>0.0</v>
      </c>
      <c r="AM805" t="n">
        <v>0.0</v>
      </c>
      <c r="AN805" t="n">
        <v>0.0</v>
      </c>
      <c r="AO805" t="n">
        <v>1588643.0</v>
      </c>
      <c r="AP805" t="n">
        <v>158864.0</v>
      </c>
      <c r="AQ805" t="n">
        <v>136187.9</v>
      </c>
      <c r="CH805">
        <f>IFERROR(U805*1,0)</f>
      </c>
    </row>
    <row r="806">
      <c r="A806" t="n">
        <v>12.0</v>
      </c>
      <c r="B806">
        <f>IF((K806-G806-H806&gt;2400000),10,(L806/(K806-G806-H806)*100))</f>
      </c>
      <c r="C806">
        <f>IF(N806&gt;2400000,240000,(N806*S806)/100)</f>
      </c>
      <c r="D806">
        <f>IF(S806=0,0,IF((N806-I806)&gt;2400000,((((((N806-I806-J806)-240000))*0.1+(I806+J806)*0.1)))-7000,((((((N806-I806-J806)-(N806-I806-J806)*S806/100)))*0.1+(I806+J806)*0.1)-7000)))</f>
      </c>
      <c r="E806">
        <f>C806-O806</f>
      </c>
      <c r="F806">
        <f>D806-P806</f>
      </c>
      <c r="G806">
        <f>SUMIF(negtgel!U$2:BL$2,'Tsalin uzuulelt'!B$1,negtgel!U806:BL806) + SUMIF(negtgel!U$2:BL$2,'Tsalin uzuulelt'!B$2,negtgel!U806:BL806)+SUMIF(negtgel!U$2:BL$2,'Tsalin uzuulelt'!B$3,negtgel!U806:BL806)+SUMIF(negtgel!U$2:BL$2,'Tsalin uzuulelt'!B$4,negtgel!U806:BL806)+SUMIF(negtgel!U$2:BL$2,'Tsalin uzuulelt'!B$5,negtgel!U806:BL806)</f>
      </c>
      <c r="H806">
        <f>SUMIF(negtgel!U$2:BL$2,'Tsalin uzuulelt'!F$1,negtgel!U806:BL806) + SUMIF(negtgel!U$2:BL$2,'Tsalin uzuulelt'!F$2,negtgel!U806:BL806)+SUMIF(negtgel!U$2:BL$2,'Tsalin uzuulelt'!F$3,negtgel!U806:BL806)+SUMIF(negtgel!U$2:BL$2,'Tsalin uzuulelt'!F$4,negtgel!U806:BL806)+SUMIF(negtgel!U$2:BL$2,'Tsalin uzuulelt'!F$5,negtgel!U806:BL806)</f>
      </c>
      <c r="I806">
        <f>SUMIF(negtgel!U$2:BL$2,'Tsalin uzuulelt'!H$1,negtgel!U806:BL806) + SUMIF(negtgel!U$2:BL$2,'Tsalin uzuulelt'!H$2,negtgel!U806:BL806)+SUMIF(negtgel!U$2:BL$2,'Tsalin uzuulelt'!H$3,negtgel!U806:BL806)+SUMIF(negtgel!U$2:BL$2,'Tsalin uzuulelt'!H$4,negtgel!U806:BL806)+SUMIF(negtgel!U$2:BL$2,'Tsalin uzuulelt'!H$5,negtgel!U806:BL806)</f>
      </c>
      <c r="J806">
        <f>SUMIF(negtgel!U$2:BL$2,'Tsalin uzuulelt'!J$1,negtgel!U806:BL806) + SUMIF(negtgel!U$2:BL$2,'Tsalin uzuulelt'!J$2,negtgel!U806:BL806)+SUMIF(negtgel!U$2:BL$2,'Tsalin uzuulelt'!J$3,negtgel!U806:BL806)+SUMIF(negtgel!U$2:BL$2,'Tsalin uzuulelt'!J$4,negtgel!U806:BL806)+SUMIF(negtgel!U$2:BL$2,'Tsalin uzuulelt'!J$5,negtgel!U806:BL806)</f>
      </c>
      <c r="K806">
        <f>SUMIF(negtgel!U$2:BL$2,'Tsalin uzuulelt'!L$1,negtgel!U806:BL806) + SUMIF(negtgel!U$2:BL$2,'Tsalin uzuulelt'!L$2,negtgel!U806:BL806)+SUMIF(negtgel!U$2:BL$2,'Tsalin uzuulelt'!L$3,negtgel!U806:BL806)+SUMIF(negtgel!U$2:BL$2,'Tsalin uzuulelt'!L$4,negtgel!U806:BL806)+SUMIF(negtgel!U$2:BL$2,'Tsalin uzuulelt'!L$5,negtgel!U806:BL806)</f>
      </c>
      <c r="L806">
        <f>SUMIF(negtgel!U$2:BL$2,'Tsalin uzuulelt'!N$1,negtgel!U806:BL806) + SUMIF(negtgel!U$2:BL$2,'Tsalin uzuulelt'!N$2,negtgel!U806:BL806)+SUMIF(negtgel!U$2:BL$2,'Tsalin uzuulelt'!N$3,negtgel!U806:BL806)+SUMIF(negtgel!U$2:BL$2,'Tsalin uzuulelt'!N$4,negtgel!U806:BL806)+SUMIF(negtgel!U$2:BL$2,'Tsalin uzuulelt'!N$5,negtgel!U806:BL806)</f>
      </c>
      <c r="M806">
        <f>SUMIF(negtgel!U$2:BL$2,'Tsalin uzuulelt'!P$1,negtgel!U806:BL806) + SUMIF(negtgel!U$2:BL$2,'Tsalin uzuulelt'!P$2,negtgel!U806:BL806)+ SUMIF(negtgel!U$2:BL$2,'Tsalin uzuulelt'!P$3,negtgel!U806:BL806)+ SUMIF(negtgel!U$2:BL$2,'Tsalin uzuulelt'!P$4,negtgel!U806:BL806)+ SUMIF(negtgel!U$2:BL$2,'Tsalin uzuulelt'!P$5,negtgel!U806:BL806)</f>
      </c>
      <c r="N806">
        <f>IF(ISNUMBER(U806*1)=CF806,0,K806-H806-G806)</f>
      </c>
      <c r="O806">
        <f>IF(ISNUMBER(U806*1)=CF806,0,L806)</f>
      </c>
      <c r="P806">
        <f>IF(ISNUMBER(U806*1)=CF806,0,M806)</f>
      </c>
      <c r="Q806">
        <f>IF(N806&gt;2400000,N806,0)</f>
      </c>
      <c r="R806">
        <f>IF(L806/Q806*100&lt;3,2,10)</f>
      </c>
      <c r="S806">
        <f>IF(CH806=0,0,IF(B806&gt;9,10,IF(B806&gt;8,B806,IF(B806&gt;7.7,7.8,IF(B806&gt;3,B806,IF(B806&gt;1.5,2))))))</f>
      </c>
      <c r="T806">
        <f>IF(Q806=0,S806,R806)</f>
      </c>
      <c r="U806" t="n">
        <v>82.0</v>
      </c>
      <c r="V806" t="s">
        <v>3833</v>
      </c>
      <c r="W806" t="s">
        <v>3790</v>
      </c>
      <c r="X806" t="n">
        <v>645556.0</v>
      </c>
      <c r="Y806" t="n">
        <v>484167.0</v>
      </c>
      <c r="Z806" t="n">
        <v>72625.0</v>
      </c>
      <c r="AA806" t="n">
        <v>82308.0</v>
      </c>
      <c r="AB806" t="n">
        <v>0.0</v>
      </c>
      <c r="AC806" t="n">
        <v>0.0</v>
      </c>
      <c r="AD806" t="n">
        <v>0.0</v>
      </c>
      <c r="AE806" t="n">
        <v>290500.0</v>
      </c>
      <c r="AF806" t="n">
        <v>45000.0</v>
      </c>
      <c r="AG806" t="n">
        <v>0.0</v>
      </c>
      <c r="AH806" t="n">
        <v>0.0</v>
      </c>
      <c r="AI806" t="n">
        <v>0.0</v>
      </c>
      <c r="AJ806" t="n">
        <v>0.0</v>
      </c>
      <c r="AK806" t="n">
        <v>0.0</v>
      </c>
      <c r="AL806" t="n">
        <v>0.0</v>
      </c>
      <c r="AM806" t="n">
        <v>0.0</v>
      </c>
      <c r="AN806" t="n">
        <v>0.0</v>
      </c>
      <c r="AO806" t="n">
        <v>974600.0</v>
      </c>
      <c r="AP806" t="n">
        <v>97460.0</v>
      </c>
      <c r="AQ806" t="n">
        <v>81164.0</v>
      </c>
      <c r="CH806">
        <f>IFERROR(U806*1,0)</f>
      </c>
    </row>
    <row r="807">
      <c r="A807" t="n">
        <v>12.0</v>
      </c>
      <c r="B807">
        <f>IF((K807-G807-H807&gt;2400000),10,(L807/(K807-G807-H807)*100))</f>
      </c>
      <c r="C807">
        <f>IF(N807&gt;2400000,240000,(N807*S807)/100)</f>
      </c>
      <c r="D807">
        <f>IF(S807=0,0,IF((N807-I807)&gt;2400000,((((((N807-I807-J807)-240000))*0.1+(I807+J807)*0.1)))-7000,((((((N807-I807-J807)-(N807-I807-J807)*S807/100)))*0.1+(I807+J807)*0.1)-7000)))</f>
      </c>
      <c r="E807">
        <f>C807-O807</f>
      </c>
      <c r="F807">
        <f>D807-P807</f>
      </c>
      <c r="G807">
        <f>SUMIF(negtgel!U$2:BL$2,'Tsalin uzuulelt'!B$1,negtgel!U807:BL807) + SUMIF(negtgel!U$2:BL$2,'Tsalin uzuulelt'!B$2,negtgel!U807:BL807)+SUMIF(negtgel!U$2:BL$2,'Tsalin uzuulelt'!B$3,negtgel!U807:BL807)+SUMIF(negtgel!U$2:BL$2,'Tsalin uzuulelt'!B$4,negtgel!U807:BL807)+SUMIF(negtgel!U$2:BL$2,'Tsalin uzuulelt'!B$5,negtgel!U807:BL807)</f>
      </c>
      <c r="H807">
        <f>SUMIF(negtgel!U$2:BL$2,'Tsalin uzuulelt'!F$1,negtgel!U807:BL807) + SUMIF(negtgel!U$2:BL$2,'Tsalin uzuulelt'!F$2,negtgel!U807:BL807)+SUMIF(negtgel!U$2:BL$2,'Tsalin uzuulelt'!F$3,negtgel!U807:BL807)+SUMIF(negtgel!U$2:BL$2,'Tsalin uzuulelt'!F$4,negtgel!U807:BL807)+SUMIF(negtgel!U$2:BL$2,'Tsalin uzuulelt'!F$5,negtgel!U807:BL807)</f>
      </c>
      <c r="I807">
        <f>SUMIF(negtgel!U$2:BL$2,'Tsalin uzuulelt'!H$1,negtgel!U807:BL807) + SUMIF(negtgel!U$2:BL$2,'Tsalin uzuulelt'!H$2,negtgel!U807:BL807)+SUMIF(negtgel!U$2:BL$2,'Tsalin uzuulelt'!H$3,negtgel!U807:BL807)+SUMIF(negtgel!U$2:BL$2,'Tsalin uzuulelt'!H$4,negtgel!U807:BL807)+SUMIF(negtgel!U$2:BL$2,'Tsalin uzuulelt'!H$5,negtgel!U807:BL807)</f>
      </c>
      <c r="J807">
        <f>SUMIF(negtgel!U$2:BL$2,'Tsalin uzuulelt'!J$1,negtgel!U807:BL807) + SUMIF(negtgel!U$2:BL$2,'Tsalin uzuulelt'!J$2,negtgel!U807:BL807)+SUMIF(negtgel!U$2:BL$2,'Tsalin uzuulelt'!J$3,negtgel!U807:BL807)+SUMIF(negtgel!U$2:BL$2,'Tsalin uzuulelt'!J$4,negtgel!U807:BL807)+SUMIF(negtgel!U$2:BL$2,'Tsalin uzuulelt'!J$5,negtgel!U807:BL807)</f>
      </c>
      <c r="K807">
        <f>SUMIF(negtgel!U$2:BL$2,'Tsalin uzuulelt'!L$1,negtgel!U807:BL807) + SUMIF(negtgel!U$2:BL$2,'Tsalin uzuulelt'!L$2,negtgel!U807:BL807)+SUMIF(negtgel!U$2:BL$2,'Tsalin uzuulelt'!L$3,negtgel!U807:BL807)+SUMIF(negtgel!U$2:BL$2,'Tsalin uzuulelt'!L$4,negtgel!U807:BL807)+SUMIF(negtgel!U$2:BL$2,'Tsalin uzuulelt'!L$5,negtgel!U807:BL807)</f>
      </c>
      <c r="L807">
        <f>SUMIF(negtgel!U$2:BL$2,'Tsalin uzuulelt'!N$1,negtgel!U807:BL807) + SUMIF(negtgel!U$2:BL$2,'Tsalin uzuulelt'!N$2,negtgel!U807:BL807)+SUMIF(negtgel!U$2:BL$2,'Tsalin uzuulelt'!N$3,negtgel!U807:BL807)+SUMIF(negtgel!U$2:BL$2,'Tsalin uzuulelt'!N$4,negtgel!U807:BL807)+SUMIF(negtgel!U$2:BL$2,'Tsalin uzuulelt'!N$5,negtgel!U807:BL807)</f>
      </c>
      <c r="M807">
        <f>SUMIF(negtgel!U$2:BL$2,'Tsalin uzuulelt'!P$1,negtgel!U807:BL807) + SUMIF(negtgel!U$2:BL$2,'Tsalin uzuulelt'!P$2,negtgel!U807:BL807)+ SUMIF(negtgel!U$2:BL$2,'Tsalin uzuulelt'!P$3,negtgel!U807:BL807)+ SUMIF(negtgel!U$2:BL$2,'Tsalin uzuulelt'!P$4,negtgel!U807:BL807)+ SUMIF(negtgel!U$2:BL$2,'Tsalin uzuulelt'!P$5,negtgel!U807:BL807)</f>
      </c>
      <c r="N807">
        <f>IF(ISNUMBER(U807*1)=CF807,0,K807-H807-G807)</f>
      </c>
      <c r="O807">
        <f>IF(ISNUMBER(U807*1)=CF807,0,L807)</f>
      </c>
      <c r="P807">
        <f>IF(ISNUMBER(U807*1)=CF807,0,M807)</f>
      </c>
      <c r="Q807">
        <f>IF(N807&gt;2400000,N807,0)</f>
      </c>
      <c r="R807">
        <f>IF(L807/Q807*100&lt;3,2,10)</f>
      </c>
      <c r="S807">
        <f>IF(CH807=0,0,IF(B807&gt;9,10,IF(B807&gt;8,B807,IF(B807&gt;7.7,7.8,IF(B807&gt;3,B807,IF(B807&gt;1.5,2))))))</f>
      </c>
      <c r="T807">
        <f>IF(Q807=0,S807,R807)</f>
      </c>
      <c r="U807" t="n">
        <v>83.0</v>
      </c>
      <c r="V807" t="s">
        <v>3835</v>
      </c>
      <c r="W807" t="s">
        <v>3790</v>
      </c>
      <c r="X807" t="n">
        <v>613669.0</v>
      </c>
      <c r="Y807" t="n">
        <v>613669.0</v>
      </c>
      <c r="Z807" t="n">
        <v>30683.0</v>
      </c>
      <c r="AA807" t="n">
        <v>0.0</v>
      </c>
      <c r="AB807" t="n">
        <v>0.0</v>
      </c>
      <c r="AC807" t="n">
        <v>0.0</v>
      </c>
      <c r="AD807" t="n">
        <v>0.0</v>
      </c>
      <c r="AE807" t="n">
        <v>0.0</v>
      </c>
      <c r="AF807" t="n">
        <v>60000.0</v>
      </c>
      <c r="AG807" t="n">
        <v>0.0</v>
      </c>
      <c r="AH807" t="n">
        <v>0.0</v>
      </c>
      <c r="AI807" t="n">
        <v>0.0</v>
      </c>
      <c r="AJ807" t="n">
        <v>0.0</v>
      </c>
      <c r="AK807" t="n">
        <v>0.0</v>
      </c>
      <c r="AL807" t="n">
        <v>0.0</v>
      </c>
      <c r="AM807" t="n">
        <v>0.0</v>
      </c>
      <c r="AN807" t="n">
        <v>0.0</v>
      </c>
      <c r="AO807" t="n">
        <v>704352.0</v>
      </c>
      <c r="AP807" t="n">
        <v>70436.0</v>
      </c>
      <c r="AQ807" t="n">
        <v>56991.7</v>
      </c>
      <c r="CH807">
        <f>IFERROR(U807*1,0)</f>
      </c>
    </row>
    <row r="808">
      <c r="A808" t="n">
        <v>12.0</v>
      </c>
      <c r="B808">
        <f>IF((K808-G808-H808&gt;2400000),10,(L808/(K808-G808-H808)*100))</f>
      </c>
      <c r="C808">
        <f>IF(N808&gt;2400000,240000,(N808*S808)/100)</f>
      </c>
      <c r="D808">
        <f>IF(S808=0,0,IF((N808-I808)&gt;2400000,((((((N808-I808-J808)-240000))*0.1+(I808+J808)*0.1)))-7000,((((((N808-I808-J808)-(N808-I808-J808)*S808/100)))*0.1+(I808+J808)*0.1)-7000)))</f>
      </c>
      <c r="E808">
        <f>C808-O808</f>
      </c>
      <c r="F808">
        <f>D808-P808</f>
      </c>
      <c r="G808">
        <f>SUMIF(negtgel!U$2:BL$2,'Tsalin uzuulelt'!B$1,negtgel!U808:BL808) + SUMIF(negtgel!U$2:BL$2,'Tsalin uzuulelt'!B$2,negtgel!U808:BL808)+SUMIF(negtgel!U$2:BL$2,'Tsalin uzuulelt'!B$3,negtgel!U808:BL808)+SUMIF(negtgel!U$2:BL$2,'Tsalin uzuulelt'!B$4,negtgel!U808:BL808)+SUMIF(negtgel!U$2:BL$2,'Tsalin uzuulelt'!B$5,negtgel!U808:BL808)</f>
      </c>
      <c r="H808">
        <f>SUMIF(negtgel!U$2:BL$2,'Tsalin uzuulelt'!F$1,negtgel!U808:BL808) + SUMIF(negtgel!U$2:BL$2,'Tsalin uzuulelt'!F$2,negtgel!U808:BL808)+SUMIF(negtgel!U$2:BL$2,'Tsalin uzuulelt'!F$3,negtgel!U808:BL808)+SUMIF(negtgel!U$2:BL$2,'Tsalin uzuulelt'!F$4,negtgel!U808:BL808)+SUMIF(negtgel!U$2:BL$2,'Tsalin uzuulelt'!F$5,negtgel!U808:BL808)</f>
      </c>
      <c r="I808">
        <f>SUMIF(negtgel!U$2:BL$2,'Tsalin uzuulelt'!H$1,negtgel!U808:BL808) + SUMIF(negtgel!U$2:BL$2,'Tsalin uzuulelt'!H$2,negtgel!U808:BL808)+SUMIF(negtgel!U$2:BL$2,'Tsalin uzuulelt'!H$3,negtgel!U808:BL808)+SUMIF(negtgel!U$2:BL$2,'Tsalin uzuulelt'!H$4,negtgel!U808:BL808)+SUMIF(negtgel!U$2:BL$2,'Tsalin uzuulelt'!H$5,negtgel!U808:BL808)</f>
      </c>
      <c r="J808">
        <f>SUMIF(negtgel!U$2:BL$2,'Tsalin uzuulelt'!J$1,negtgel!U808:BL808) + SUMIF(negtgel!U$2:BL$2,'Tsalin uzuulelt'!J$2,negtgel!U808:BL808)+SUMIF(negtgel!U$2:BL$2,'Tsalin uzuulelt'!J$3,negtgel!U808:BL808)+SUMIF(negtgel!U$2:BL$2,'Tsalin uzuulelt'!J$4,negtgel!U808:BL808)+SUMIF(negtgel!U$2:BL$2,'Tsalin uzuulelt'!J$5,negtgel!U808:BL808)</f>
      </c>
      <c r="K808">
        <f>SUMIF(negtgel!U$2:BL$2,'Tsalin uzuulelt'!L$1,negtgel!U808:BL808) + SUMIF(negtgel!U$2:BL$2,'Tsalin uzuulelt'!L$2,negtgel!U808:BL808)+SUMIF(negtgel!U$2:BL$2,'Tsalin uzuulelt'!L$3,negtgel!U808:BL808)+SUMIF(negtgel!U$2:BL$2,'Tsalin uzuulelt'!L$4,negtgel!U808:BL808)+SUMIF(negtgel!U$2:BL$2,'Tsalin uzuulelt'!L$5,negtgel!U808:BL808)</f>
      </c>
      <c r="L808">
        <f>SUMIF(negtgel!U$2:BL$2,'Tsalin uzuulelt'!N$1,negtgel!U808:BL808) + SUMIF(negtgel!U$2:BL$2,'Tsalin uzuulelt'!N$2,negtgel!U808:BL808)+SUMIF(negtgel!U$2:BL$2,'Tsalin uzuulelt'!N$3,negtgel!U808:BL808)+SUMIF(negtgel!U$2:BL$2,'Tsalin uzuulelt'!N$4,negtgel!U808:BL808)+SUMIF(negtgel!U$2:BL$2,'Tsalin uzuulelt'!N$5,negtgel!U808:BL808)</f>
      </c>
      <c r="M808">
        <f>SUMIF(negtgel!U$2:BL$2,'Tsalin uzuulelt'!P$1,negtgel!U808:BL808) + SUMIF(negtgel!U$2:BL$2,'Tsalin uzuulelt'!P$2,negtgel!U808:BL808)+ SUMIF(negtgel!U$2:BL$2,'Tsalin uzuulelt'!P$3,negtgel!U808:BL808)+ SUMIF(negtgel!U$2:BL$2,'Tsalin uzuulelt'!P$4,negtgel!U808:BL808)+ SUMIF(negtgel!U$2:BL$2,'Tsalin uzuulelt'!P$5,negtgel!U808:BL808)</f>
      </c>
      <c r="N808">
        <f>IF(ISNUMBER(U808*1)=CF808,0,K808-H808-G808)</f>
      </c>
      <c r="O808">
        <f>IF(ISNUMBER(U808*1)=CF808,0,L808)</f>
      </c>
      <c r="P808">
        <f>IF(ISNUMBER(U808*1)=CF808,0,M808)</f>
      </c>
      <c r="Q808">
        <f>IF(N808&gt;2400000,N808,0)</f>
      </c>
      <c r="R808">
        <f>IF(L808/Q808*100&lt;3,2,10)</f>
      </c>
      <c r="S808">
        <f>IF(CH808=0,0,IF(B808&gt;9,10,IF(B808&gt;8,B808,IF(B808&gt;7.7,7.8,IF(B808&gt;3,B808,IF(B808&gt;1.5,2))))))</f>
      </c>
      <c r="T808">
        <f>IF(Q808=0,S808,R808)</f>
      </c>
      <c r="U808" t="s">
        <v>3787</v>
      </c>
      <c r="V808"/>
      <c r="W808"/>
      <c r="X808" t="n">
        <v>4146907.0</v>
      </c>
      <c r="Y808" t="n">
        <v>3666064.0</v>
      </c>
      <c r="Z808" t="n">
        <v>208091.0</v>
      </c>
      <c r="AA808" t="n">
        <v>229032.0</v>
      </c>
      <c r="AB808" t="n">
        <v>109785.0</v>
      </c>
      <c r="AC808" t="n">
        <v>0.0</v>
      </c>
      <c r="AD808" t="n">
        <v>0.0</v>
      </c>
      <c r="AE808" t="n">
        <v>1451671.0</v>
      </c>
      <c r="AF808" t="n">
        <v>378000.0</v>
      </c>
      <c r="AG808" t="n">
        <v>0.0</v>
      </c>
      <c r="AH808" t="n">
        <v>0.0</v>
      </c>
      <c r="AI808" t="n">
        <v>0.0</v>
      </c>
      <c r="AJ808" t="n">
        <v>978895.0</v>
      </c>
      <c r="AK808" t="n">
        <v>0.0</v>
      </c>
      <c r="AL808" t="n">
        <v>0.0</v>
      </c>
      <c r="AM808" t="n">
        <v>0.0</v>
      </c>
      <c r="AN808" t="n">
        <v>0.0</v>
      </c>
      <c r="AO808" t="n">
        <v>7021538.0</v>
      </c>
      <c r="AP808" t="n">
        <v>702154.0</v>
      </c>
      <c r="AQ808" t="n">
        <v>586718.5</v>
      </c>
      <c r="CH808">
        <f>IFERROR(U808*1,0)</f>
      </c>
    </row>
    <row r="809">
      <c r="A809" t="n">
        <v>12.0</v>
      </c>
      <c r="B809">
        <f>IF((K809-G809-H809&gt;2400000),10,(L809/(K809-G809-H809)*100))</f>
      </c>
      <c r="C809">
        <f>IF(N809&gt;2400000,240000,(N809*S809)/100)</f>
      </c>
      <c r="D809">
        <f>IF(S809=0,0,IF((N809-I809)&gt;2400000,((((((N809-I809-J809)-240000))*0.1+(I809+J809)*0.1)))-7000,((((((N809-I809-J809)-(N809-I809-J809)*S809/100)))*0.1+(I809+J809)*0.1)-7000)))</f>
      </c>
      <c r="E809">
        <f>C809-O809</f>
      </c>
      <c r="F809">
        <f>D809-P809</f>
      </c>
      <c r="G809">
        <f>SUMIF(negtgel!U$2:BL$2,'Tsalin uzuulelt'!B$1,negtgel!U809:BL809) + SUMIF(negtgel!U$2:BL$2,'Tsalin uzuulelt'!B$2,negtgel!U809:BL809)+SUMIF(negtgel!U$2:BL$2,'Tsalin uzuulelt'!B$3,negtgel!U809:BL809)+SUMIF(negtgel!U$2:BL$2,'Tsalin uzuulelt'!B$4,negtgel!U809:BL809)+SUMIF(negtgel!U$2:BL$2,'Tsalin uzuulelt'!B$5,negtgel!U809:BL809)</f>
      </c>
      <c r="H809">
        <f>SUMIF(negtgel!U$2:BL$2,'Tsalin uzuulelt'!F$1,negtgel!U809:BL809) + SUMIF(negtgel!U$2:BL$2,'Tsalin uzuulelt'!F$2,negtgel!U809:BL809)+SUMIF(negtgel!U$2:BL$2,'Tsalin uzuulelt'!F$3,negtgel!U809:BL809)+SUMIF(negtgel!U$2:BL$2,'Tsalin uzuulelt'!F$4,negtgel!U809:BL809)+SUMIF(negtgel!U$2:BL$2,'Tsalin uzuulelt'!F$5,negtgel!U809:BL809)</f>
      </c>
      <c r="I809">
        <f>SUMIF(negtgel!U$2:BL$2,'Tsalin uzuulelt'!H$1,negtgel!U809:BL809) + SUMIF(negtgel!U$2:BL$2,'Tsalin uzuulelt'!H$2,negtgel!U809:BL809)+SUMIF(negtgel!U$2:BL$2,'Tsalin uzuulelt'!H$3,negtgel!U809:BL809)+SUMIF(negtgel!U$2:BL$2,'Tsalin uzuulelt'!H$4,negtgel!U809:BL809)+SUMIF(negtgel!U$2:BL$2,'Tsalin uzuulelt'!H$5,negtgel!U809:BL809)</f>
      </c>
      <c r="J809">
        <f>SUMIF(negtgel!U$2:BL$2,'Tsalin uzuulelt'!J$1,negtgel!U809:BL809) + SUMIF(negtgel!U$2:BL$2,'Tsalin uzuulelt'!J$2,negtgel!U809:BL809)+SUMIF(negtgel!U$2:BL$2,'Tsalin uzuulelt'!J$3,negtgel!U809:BL809)+SUMIF(negtgel!U$2:BL$2,'Tsalin uzuulelt'!J$4,negtgel!U809:BL809)+SUMIF(negtgel!U$2:BL$2,'Tsalin uzuulelt'!J$5,negtgel!U809:BL809)</f>
      </c>
      <c r="K809">
        <f>SUMIF(negtgel!U$2:BL$2,'Tsalin uzuulelt'!L$1,negtgel!U809:BL809) + SUMIF(negtgel!U$2:BL$2,'Tsalin uzuulelt'!L$2,negtgel!U809:BL809)+SUMIF(negtgel!U$2:BL$2,'Tsalin uzuulelt'!L$3,negtgel!U809:BL809)+SUMIF(negtgel!U$2:BL$2,'Tsalin uzuulelt'!L$4,negtgel!U809:BL809)+SUMIF(negtgel!U$2:BL$2,'Tsalin uzuulelt'!L$5,negtgel!U809:BL809)</f>
      </c>
      <c r="L809">
        <f>SUMIF(negtgel!U$2:BL$2,'Tsalin uzuulelt'!N$1,negtgel!U809:BL809) + SUMIF(negtgel!U$2:BL$2,'Tsalin uzuulelt'!N$2,negtgel!U809:BL809)+SUMIF(negtgel!U$2:BL$2,'Tsalin uzuulelt'!N$3,negtgel!U809:BL809)+SUMIF(negtgel!U$2:BL$2,'Tsalin uzuulelt'!N$4,negtgel!U809:BL809)+SUMIF(negtgel!U$2:BL$2,'Tsalin uzuulelt'!N$5,negtgel!U809:BL809)</f>
      </c>
      <c r="M809">
        <f>SUMIF(negtgel!U$2:BL$2,'Tsalin uzuulelt'!P$1,negtgel!U809:BL809) + SUMIF(negtgel!U$2:BL$2,'Tsalin uzuulelt'!P$2,negtgel!U809:BL809)+ SUMIF(negtgel!U$2:BL$2,'Tsalin uzuulelt'!P$3,negtgel!U809:BL809)+ SUMIF(negtgel!U$2:BL$2,'Tsalin uzuulelt'!P$4,negtgel!U809:BL809)+ SUMIF(negtgel!U$2:BL$2,'Tsalin uzuulelt'!P$5,negtgel!U809:BL809)</f>
      </c>
      <c r="N809">
        <f>IF(ISNUMBER(U809*1)=CF809,0,K809-H809-G809)</f>
      </c>
      <c r="O809">
        <f>IF(ISNUMBER(U809*1)=CF809,0,L809)</f>
      </c>
      <c r="P809">
        <f>IF(ISNUMBER(U809*1)=CF809,0,M809)</f>
      </c>
      <c r="Q809">
        <f>IF(N809&gt;2400000,N809,0)</f>
      </c>
      <c r="R809">
        <f>IF(L809/Q809*100&lt;3,2,10)</f>
      </c>
      <c r="S809">
        <f>IF(CH809=0,0,IF(B809&gt;9,10,IF(B809&gt;8,B809,IF(B809&gt;7.7,7.8,IF(B809&gt;3,B809,IF(B809&gt;1.5,2))))))</f>
      </c>
      <c r="T809">
        <f>IF(Q809=0,S809,R809)</f>
      </c>
      <c r="U809" t="s">
        <v>3836</v>
      </c>
      <c r="V809"/>
      <c r="W809"/>
      <c r="X809"/>
      <c r="Y809"/>
      <c r="Z809"/>
      <c r="AA809"/>
      <c r="AB809"/>
      <c r="AC809"/>
      <c r="AD809"/>
      <c r="AE809"/>
      <c r="AF809"/>
      <c r="AG809"/>
      <c r="AH809"/>
      <c r="AI809"/>
      <c r="AJ809"/>
      <c r="AK809"/>
      <c r="AL809"/>
      <c r="AM809"/>
      <c r="AN809"/>
      <c r="AO809"/>
      <c r="AP809"/>
      <c r="AQ809"/>
      <c r="CH809">
        <f>IFERROR(U809*1,0)</f>
      </c>
    </row>
    <row r="810">
      <c r="A810" t="n">
        <v>12.0</v>
      </c>
      <c r="B810">
        <f>IF((K810-G810-H810&gt;2400000),10,(L810/(K810-G810-H810)*100))</f>
      </c>
      <c r="C810">
        <f>IF(N810&gt;2400000,240000,(N810*S810)/100)</f>
      </c>
      <c r="D810">
        <f>IF(S810=0,0,IF((N810-I810)&gt;2400000,((((((N810-I810-J810)-240000))*0.1+(I810+J810)*0.1)))-7000,((((((N810-I810-J810)-(N810-I810-J810)*S810/100)))*0.1+(I810+J810)*0.1)-7000)))</f>
      </c>
      <c r="E810">
        <f>C810-O810</f>
      </c>
      <c r="F810">
        <f>D810-P810</f>
      </c>
      <c r="G810">
        <f>SUMIF(negtgel!U$2:BL$2,'Tsalin uzuulelt'!B$1,negtgel!U810:BL810) + SUMIF(negtgel!U$2:BL$2,'Tsalin uzuulelt'!B$2,negtgel!U810:BL810)+SUMIF(negtgel!U$2:BL$2,'Tsalin uzuulelt'!B$3,negtgel!U810:BL810)+SUMIF(negtgel!U$2:BL$2,'Tsalin uzuulelt'!B$4,negtgel!U810:BL810)+SUMIF(negtgel!U$2:BL$2,'Tsalin uzuulelt'!B$5,negtgel!U810:BL810)</f>
      </c>
      <c r="H810">
        <f>SUMIF(negtgel!U$2:BL$2,'Tsalin uzuulelt'!F$1,negtgel!U810:BL810) + SUMIF(negtgel!U$2:BL$2,'Tsalin uzuulelt'!F$2,negtgel!U810:BL810)+SUMIF(negtgel!U$2:BL$2,'Tsalin uzuulelt'!F$3,negtgel!U810:BL810)+SUMIF(negtgel!U$2:BL$2,'Tsalin uzuulelt'!F$4,negtgel!U810:BL810)+SUMIF(negtgel!U$2:BL$2,'Tsalin uzuulelt'!F$5,negtgel!U810:BL810)</f>
      </c>
      <c r="I810">
        <f>SUMIF(negtgel!U$2:BL$2,'Tsalin uzuulelt'!H$1,negtgel!U810:BL810) + SUMIF(negtgel!U$2:BL$2,'Tsalin uzuulelt'!H$2,negtgel!U810:BL810)+SUMIF(negtgel!U$2:BL$2,'Tsalin uzuulelt'!H$3,negtgel!U810:BL810)+SUMIF(negtgel!U$2:BL$2,'Tsalin uzuulelt'!H$4,negtgel!U810:BL810)+SUMIF(negtgel!U$2:BL$2,'Tsalin uzuulelt'!H$5,negtgel!U810:BL810)</f>
      </c>
      <c r="J810">
        <f>SUMIF(negtgel!U$2:BL$2,'Tsalin uzuulelt'!J$1,negtgel!U810:BL810) + SUMIF(negtgel!U$2:BL$2,'Tsalin uzuulelt'!J$2,negtgel!U810:BL810)+SUMIF(negtgel!U$2:BL$2,'Tsalin uzuulelt'!J$3,negtgel!U810:BL810)+SUMIF(negtgel!U$2:BL$2,'Tsalin uzuulelt'!J$4,negtgel!U810:BL810)+SUMIF(negtgel!U$2:BL$2,'Tsalin uzuulelt'!J$5,negtgel!U810:BL810)</f>
      </c>
      <c r="K810">
        <f>SUMIF(negtgel!U$2:BL$2,'Tsalin uzuulelt'!L$1,negtgel!U810:BL810) + SUMIF(negtgel!U$2:BL$2,'Tsalin uzuulelt'!L$2,negtgel!U810:BL810)+SUMIF(negtgel!U$2:BL$2,'Tsalin uzuulelt'!L$3,negtgel!U810:BL810)+SUMIF(negtgel!U$2:BL$2,'Tsalin uzuulelt'!L$4,negtgel!U810:BL810)+SUMIF(negtgel!U$2:BL$2,'Tsalin uzuulelt'!L$5,negtgel!U810:BL810)</f>
      </c>
      <c r="L810">
        <f>SUMIF(negtgel!U$2:BL$2,'Tsalin uzuulelt'!N$1,negtgel!U810:BL810) + SUMIF(negtgel!U$2:BL$2,'Tsalin uzuulelt'!N$2,negtgel!U810:BL810)+SUMIF(negtgel!U$2:BL$2,'Tsalin uzuulelt'!N$3,negtgel!U810:BL810)+SUMIF(negtgel!U$2:BL$2,'Tsalin uzuulelt'!N$4,negtgel!U810:BL810)+SUMIF(negtgel!U$2:BL$2,'Tsalin uzuulelt'!N$5,negtgel!U810:BL810)</f>
      </c>
      <c r="M810">
        <f>SUMIF(negtgel!U$2:BL$2,'Tsalin uzuulelt'!P$1,negtgel!U810:BL810) + SUMIF(negtgel!U$2:BL$2,'Tsalin uzuulelt'!P$2,negtgel!U810:BL810)+ SUMIF(negtgel!U$2:BL$2,'Tsalin uzuulelt'!P$3,negtgel!U810:BL810)+ SUMIF(negtgel!U$2:BL$2,'Tsalin uzuulelt'!P$4,negtgel!U810:BL810)+ SUMIF(negtgel!U$2:BL$2,'Tsalin uzuulelt'!P$5,negtgel!U810:BL810)</f>
      </c>
      <c r="N810">
        <f>IF(ISNUMBER(U810*1)=CF810,0,K810-H810-G810)</f>
      </c>
      <c r="O810">
        <f>IF(ISNUMBER(U810*1)=CF810,0,L810)</f>
      </c>
      <c r="P810">
        <f>IF(ISNUMBER(U810*1)=CF810,0,M810)</f>
      </c>
      <c r="Q810">
        <f>IF(N810&gt;2400000,N810,0)</f>
      </c>
      <c r="R810">
        <f>IF(L810/Q810*100&lt;3,2,10)</f>
      </c>
      <c r="S810">
        <f>IF(CH810=0,0,IF(B810&gt;9,10,IF(B810&gt;8,B810,IF(B810&gt;7.7,7.8,IF(B810&gt;3,B810,IF(B810&gt;1.5,2))))))</f>
      </c>
      <c r="T810">
        <f>IF(Q810=0,S810,R810)</f>
      </c>
      <c r="U810" t="n">
        <v>84.0</v>
      </c>
      <c r="V810" t="s">
        <v>3837</v>
      </c>
      <c r="W810" t="s">
        <v>3820</v>
      </c>
      <c r="X810" t="n">
        <v>645556.0</v>
      </c>
      <c r="Y810" t="n">
        <v>645556.0</v>
      </c>
      <c r="Z810" t="n">
        <v>96833.0</v>
      </c>
      <c r="AA810" t="n">
        <v>129111.0</v>
      </c>
      <c r="AB810" t="n">
        <v>0.0</v>
      </c>
      <c r="AC810" t="n">
        <v>0.0</v>
      </c>
      <c r="AD810" t="n">
        <v>0.0</v>
      </c>
      <c r="AE810" t="n">
        <v>322778.0</v>
      </c>
      <c r="AF810" t="n">
        <v>60000.0</v>
      </c>
      <c r="AG810" t="n">
        <v>0.0</v>
      </c>
      <c r="AH810" t="n">
        <v>0.0</v>
      </c>
      <c r="AI810" t="n">
        <v>0.0</v>
      </c>
      <c r="AJ810" t="n">
        <v>0.0</v>
      </c>
      <c r="AK810" t="n">
        <v>0.0</v>
      </c>
      <c r="AL810" t="n">
        <v>0.0</v>
      </c>
      <c r="AM810" t="n">
        <v>0.0</v>
      </c>
      <c r="AN810" t="n">
        <v>0.0</v>
      </c>
      <c r="AO810" t="n">
        <v>1254278.0</v>
      </c>
      <c r="AP810" t="n">
        <v>125428.0</v>
      </c>
      <c r="AQ810" t="n">
        <v>106485.0</v>
      </c>
      <c r="CH810">
        <f>IFERROR(U810*1,0)</f>
      </c>
    </row>
    <row r="811">
      <c r="A811" t="n">
        <v>12.0</v>
      </c>
      <c r="B811">
        <f>IF((K811-G811-H811&gt;2400000),10,(L811/(K811-G811-H811)*100))</f>
      </c>
      <c r="C811">
        <f>IF(N811&gt;2400000,240000,(N811*S811)/100)</f>
      </c>
      <c r="D811">
        <f>IF(S811=0,0,IF((N811-I811)&gt;2400000,((((((N811-I811-J811)-240000))*0.1+(I811+J811)*0.1)))-7000,((((((N811-I811-J811)-(N811-I811-J811)*S811/100)))*0.1+(I811+J811)*0.1)-7000)))</f>
      </c>
      <c r="E811">
        <f>C811-O811</f>
      </c>
      <c r="F811">
        <f>D811-P811</f>
      </c>
      <c r="G811">
        <f>SUMIF(negtgel!U$2:BL$2,'Tsalin uzuulelt'!B$1,negtgel!U811:BL811) + SUMIF(negtgel!U$2:BL$2,'Tsalin uzuulelt'!B$2,negtgel!U811:BL811)+SUMIF(negtgel!U$2:BL$2,'Tsalin uzuulelt'!B$3,negtgel!U811:BL811)+SUMIF(negtgel!U$2:BL$2,'Tsalin uzuulelt'!B$4,negtgel!U811:BL811)+SUMIF(negtgel!U$2:BL$2,'Tsalin uzuulelt'!B$5,negtgel!U811:BL811)</f>
      </c>
      <c r="H811">
        <f>SUMIF(negtgel!U$2:BL$2,'Tsalin uzuulelt'!F$1,negtgel!U811:BL811) + SUMIF(negtgel!U$2:BL$2,'Tsalin uzuulelt'!F$2,negtgel!U811:BL811)+SUMIF(negtgel!U$2:BL$2,'Tsalin uzuulelt'!F$3,negtgel!U811:BL811)+SUMIF(negtgel!U$2:BL$2,'Tsalin uzuulelt'!F$4,negtgel!U811:BL811)+SUMIF(negtgel!U$2:BL$2,'Tsalin uzuulelt'!F$5,negtgel!U811:BL811)</f>
      </c>
      <c r="I811">
        <f>SUMIF(negtgel!U$2:BL$2,'Tsalin uzuulelt'!H$1,negtgel!U811:BL811) + SUMIF(negtgel!U$2:BL$2,'Tsalin uzuulelt'!H$2,negtgel!U811:BL811)+SUMIF(negtgel!U$2:BL$2,'Tsalin uzuulelt'!H$3,negtgel!U811:BL811)+SUMIF(negtgel!U$2:BL$2,'Tsalin uzuulelt'!H$4,negtgel!U811:BL811)+SUMIF(negtgel!U$2:BL$2,'Tsalin uzuulelt'!H$5,negtgel!U811:BL811)</f>
      </c>
      <c r="J811">
        <f>SUMIF(negtgel!U$2:BL$2,'Tsalin uzuulelt'!J$1,negtgel!U811:BL811) + SUMIF(negtgel!U$2:BL$2,'Tsalin uzuulelt'!J$2,negtgel!U811:BL811)+SUMIF(negtgel!U$2:BL$2,'Tsalin uzuulelt'!J$3,negtgel!U811:BL811)+SUMIF(negtgel!U$2:BL$2,'Tsalin uzuulelt'!J$4,negtgel!U811:BL811)+SUMIF(negtgel!U$2:BL$2,'Tsalin uzuulelt'!J$5,negtgel!U811:BL811)</f>
      </c>
      <c r="K811">
        <f>SUMIF(negtgel!U$2:BL$2,'Tsalin uzuulelt'!L$1,negtgel!U811:BL811) + SUMIF(negtgel!U$2:BL$2,'Tsalin uzuulelt'!L$2,negtgel!U811:BL811)+SUMIF(negtgel!U$2:BL$2,'Tsalin uzuulelt'!L$3,negtgel!U811:BL811)+SUMIF(negtgel!U$2:BL$2,'Tsalin uzuulelt'!L$4,negtgel!U811:BL811)+SUMIF(negtgel!U$2:BL$2,'Tsalin uzuulelt'!L$5,negtgel!U811:BL811)</f>
      </c>
      <c r="L811">
        <f>SUMIF(negtgel!U$2:BL$2,'Tsalin uzuulelt'!N$1,negtgel!U811:BL811) + SUMIF(negtgel!U$2:BL$2,'Tsalin uzuulelt'!N$2,negtgel!U811:BL811)+SUMIF(negtgel!U$2:BL$2,'Tsalin uzuulelt'!N$3,negtgel!U811:BL811)+SUMIF(negtgel!U$2:BL$2,'Tsalin uzuulelt'!N$4,negtgel!U811:BL811)+SUMIF(negtgel!U$2:BL$2,'Tsalin uzuulelt'!N$5,negtgel!U811:BL811)</f>
      </c>
      <c r="M811">
        <f>SUMIF(negtgel!U$2:BL$2,'Tsalin uzuulelt'!P$1,negtgel!U811:BL811) + SUMIF(negtgel!U$2:BL$2,'Tsalin uzuulelt'!P$2,negtgel!U811:BL811)+ SUMIF(negtgel!U$2:BL$2,'Tsalin uzuulelt'!P$3,negtgel!U811:BL811)+ SUMIF(negtgel!U$2:BL$2,'Tsalin uzuulelt'!P$4,negtgel!U811:BL811)+ SUMIF(negtgel!U$2:BL$2,'Tsalin uzuulelt'!P$5,negtgel!U811:BL811)</f>
      </c>
      <c r="N811">
        <f>IF(ISNUMBER(U811*1)=CF811,0,K811-H811-G811)</f>
      </c>
      <c r="O811">
        <f>IF(ISNUMBER(U811*1)=CF811,0,L811)</f>
      </c>
      <c r="P811">
        <f>IF(ISNUMBER(U811*1)=CF811,0,M811)</f>
      </c>
      <c r="Q811">
        <f>IF(N811&gt;2400000,N811,0)</f>
      </c>
      <c r="R811">
        <f>IF(L811/Q811*100&lt;3,2,10)</f>
      </c>
      <c r="S811">
        <f>IF(CH811=0,0,IF(B811&gt;9,10,IF(B811&gt;8,B811,IF(B811&gt;7.7,7.8,IF(B811&gt;3,B811,IF(B811&gt;1.5,2))))))</f>
      </c>
      <c r="T811">
        <f>IF(Q811=0,S811,R811)</f>
      </c>
      <c r="U811" t="n">
        <v>85.0</v>
      </c>
      <c r="V811" t="s">
        <v>3838</v>
      </c>
      <c r="W811" t="s">
        <v>3790</v>
      </c>
      <c r="X811" t="n">
        <v>677436.0</v>
      </c>
      <c r="Y811" t="n">
        <v>575821.0</v>
      </c>
      <c r="Z811" t="n">
        <v>143955.0</v>
      </c>
      <c r="AA811" t="n">
        <v>115164.0</v>
      </c>
      <c r="AB811" t="n">
        <v>0.0</v>
      </c>
      <c r="AC811" t="n">
        <v>0.0</v>
      </c>
      <c r="AD811" t="n">
        <v>0.0</v>
      </c>
      <c r="AE811" t="n">
        <v>338718.0</v>
      </c>
      <c r="AF811" t="n">
        <v>51000.0</v>
      </c>
      <c r="AG811" t="n">
        <v>0.0</v>
      </c>
      <c r="AH811" t="n">
        <v>0.0</v>
      </c>
      <c r="AI811" t="n">
        <v>0.0</v>
      </c>
      <c r="AJ811" t="n">
        <v>0.0</v>
      </c>
      <c r="AK811" t="n">
        <v>0.0</v>
      </c>
      <c r="AL811" t="n">
        <v>0.0</v>
      </c>
      <c r="AM811" t="n">
        <v>0.0</v>
      </c>
      <c r="AN811" t="n">
        <v>0.0</v>
      </c>
      <c r="AO811" t="n">
        <v>1224658.0</v>
      </c>
      <c r="AP811" t="n">
        <v>122465.0</v>
      </c>
      <c r="AQ811" t="n">
        <v>103729.2</v>
      </c>
      <c r="CH811">
        <f>IFERROR(U811*1,0)</f>
      </c>
    </row>
    <row r="812">
      <c r="A812" t="n">
        <v>12.0</v>
      </c>
      <c r="B812">
        <f>IF((K812-G812-H812&gt;2400000),10,(L812/(K812-G812-H812)*100))</f>
      </c>
      <c r="C812">
        <f>IF(N812&gt;2400000,240000,(N812*S812)/100)</f>
      </c>
      <c r="D812">
        <f>IF(S812=0,0,IF((N812-I812)&gt;2400000,((((((N812-I812-J812)-240000))*0.1+(I812+J812)*0.1)))-7000,((((((N812-I812-J812)-(N812-I812-J812)*S812/100)))*0.1+(I812+J812)*0.1)-7000)))</f>
      </c>
      <c r="E812">
        <f>C812-O812</f>
      </c>
      <c r="F812">
        <f>D812-P812</f>
      </c>
      <c r="G812">
        <f>SUMIF(negtgel!U$2:BL$2,'Tsalin uzuulelt'!B$1,negtgel!U812:BL812) + SUMIF(negtgel!U$2:BL$2,'Tsalin uzuulelt'!B$2,negtgel!U812:BL812)+SUMIF(negtgel!U$2:BL$2,'Tsalin uzuulelt'!B$3,negtgel!U812:BL812)+SUMIF(negtgel!U$2:BL$2,'Tsalin uzuulelt'!B$4,negtgel!U812:BL812)+SUMIF(negtgel!U$2:BL$2,'Tsalin uzuulelt'!B$5,negtgel!U812:BL812)</f>
      </c>
      <c r="H812">
        <f>SUMIF(negtgel!U$2:BL$2,'Tsalin uzuulelt'!F$1,negtgel!U812:BL812) + SUMIF(negtgel!U$2:BL$2,'Tsalin uzuulelt'!F$2,negtgel!U812:BL812)+SUMIF(negtgel!U$2:BL$2,'Tsalin uzuulelt'!F$3,negtgel!U812:BL812)+SUMIF(negtgel!U$2:BL$2,'Tsalin uzuulelt'!F$4,negtgel!U812:BL812)+SUMIF(negtgel!U$2:BL$2,'Tsalin uzuulelt'!F$5,negtgel!U812:BL812)</f>
      </c>
      <c r="I812">
        <f>SUMIF(negtgel!U$2:BL$2,'Tsalin uzuulelt'!H$1,negtgel!U812:BL812) + SUMIF(negtgel!U$2:BL$2,'Tsalin uzuulelt'!H$2,negtgel!U812:BL812)+SUMIF(negtgel!U$2:BL$2,'Tsalin uzuulelt'!H$3,negtgel!U812:BL812)+SUMIF(negtgel!U$2:BL$2,'Tsalin uzuulelt'!H$4,negtgel!U812:BL812)+SUMIF(negtgel!U$2:BL$2,'Tsalin uzuulelt'!H$5,negtgel!U812:BL812)</f>
      </c>
      <c r="J812">
        <f>SUMIF(negtgel!U$2:BL$2,'Tsalin uzuulelt'!J$1,negtgel!U812:BL812) + SUMIF(negtgel!U$2:BL$2,'Tsalin uzuulelt'!J$2,negtgel!U812:BL812)+SUMIF(negtgel!U$2:BL$2,'Tsalin uzuulelt'!J$3,negtgel!U812:BL812)+SUMIF(negtgel!U$2:BL$2,'Tsalin uzuulelt'!J$4,negtgel!U812:BL812)+SUMIF(negtgel!U$2:BL$2,'Tsalin uzuulelt'!J$5,negtgel!U812:BL812)</f>
      </c>
      <c r="K812">
        <f>SUMIF(negtgel!U$2:BL$2,'Tsalin uzuulelt'!L$1,negtgel!U812:BL812) + SUMIF(negtgel!U$2:BL$2,'Tsalin uzuulelt'!L$2,negtgel!U812:BL812)+SUMIF(negtgel!U$2:BL$2,'Tsalin uzuulelt'!L$3,negtgel!U812:BL812)+SUMIF(negtgel!U$2:BL$2,'Tsalin uzuulelt'!L$4,negtgel!U812:BL812)+SUMIF(negtgel!U$2:BL$2,'Tsalin uzuulelt'!L$5,negtgel!U812:BL812)</f>
      </c>
      <c r="L812">
        <f>SUMIF(negtgel!U$2:BL$2,'Tsalin uzuulelt'!N$1,negtgel!U812:BL812) + SUMIF(negtgel!U$2:BL$2,'Tsalin uzuulelt'!N$2,negtgel!U812:BL812)+SUMIF(negtgel!U$2:BL$2,'Tsalin uzuulelt'!N$3,negtgel!U812:BL812)+SUMIF(negtgel!U$2:BL$2,'Tsalin uzuulelt'!N$4,negtgel!U812:BL812)+SUMIF(negtgel!U$2:BL$2,'Tsalin uzuulelt'!N$5,negtgel!U812:BL812)</f>
      </c>
      <c r="M812">
        <f>SUMIF(negtgel!U$2:BL$2,'Tsalin uzuulelt'!P$1,negtgel!U812:BL812) + SUMIF(negtgel!U$2:BL$2,'Tsalin uzuulelt'!P$2,negtgel!U812:BL812)+ SUMIF(negtgel!U$2:BL$2,'Tsalin uzuulelt'!P$3,negtgel!U812:BL812)+ SUMIF(negtgel!U$2:BL$2,'Tsalin uzuulelt'!P$4,negtgel!U812:BL812)+ SUMIF(negtgel!U$2:BL$2,'Tsalin uzuulelt'!P$5,negtgel!U812:BL812)</f>
      </c>
      <c r="N812">
        <f>IF(ISNUMBER(U812*1)=CF812,0,K812-H812-G812)</f>
      </c>
      <c r="O812">
        <f>IF(ISNUMBER(U812*1)=CF812,0,L812)</f>
      </c>
      <c r="P812">
        <f>IF(ISNUMBER(U812*1)=CF812,0,M812)</f>
      </c>
      <c r="Q812">
        <f>IF(N812&gt;2400000,N812,0)</f>
      </c>
      <c r="R812">
        <f>IF(L812/Q812*100&lt;3,2,10)</f>
      </c>
      <c r="S812">
        <f>IF(CH812=0,0,IF(B812&gt;9,10,IF(B812&gt;8,B812,IF(B812&gt;7.7,7.8,IF(B812&gt;3,B812,IF(B812&gt;1.5,2))))))</f>
      </c>
      <c r="T812">
        <f>IF(Q812=0,S812,R812)</f>
      </c>
      <c r="U812" t="n">
        <v>86.0</v>
      </c>
      <c r="V812" t="s">
        <v>3839</v>
      </c>
      <c r="W812" t="s">
        <v>3790</v>
      </c>
      <c r="X812" t="n">
        <v>677436.0</v>
      </c>
      <c r="Y812" t="n">
        <v>677436.0</v>
      </c>
      <c r="Z812" t="n">
        <v>135487.0</v>
      </c>
      <c r="AA812" t="n">
        <v>149036.0</v>
      </c>
      <c r="AB812" t="n">
        <v>0.0</v>
      </c>
      <c r="AC812" t="n">
        <v>0.0</v>
      </c>
      <c r="AD812" t="n">
        <v>0.0</v>
      </c>
      <c r="AE812" t="n">
        <v>338718.0</v>
      </c>
      <c r="AF812" t="n">
        <v>60000.0</v>
      </c>
      <c r="AG812" t="n">
        <v>0.0</v>
      </c>
      <c r="AH812" t="n">
        <v>0.0</v>
      </c>
      <c r="AI812" t="n">
        <v>0.0</v>
      </c>
      <c r="AJ812" t="n">
        <v>0.0</v>
      </c>
      <c r="AK812" t="n">
        <v>0.0</v>
      </c>
      <c r="AL812" t="n">
        <v>0.0</v>
      </c>
      <c r="AM812" t="n">
        <v>0.0</v>
      </c>
      <c r="AN812" t="n">
        <v>0.0</v>
      </c>
      <c r="AO812" t="n">
        <v>1360677.0</v>
      </c>
      <c r="AP812" t="n">
        <v>136067.0</v>
      </c>
      <c r="AQ812" t="n">
        <v>116060.9</v>
      </c>
      <c r="CH812">
        <f>IFERROR(U812*1,0)</f>
      </c>
    </row>
    <row r="813">
      <c r="A813" t="n">
        <v>12.0</v>
      </c>
      <c r="B813">
        <f>IF((K813-G813-H813&gt;2400000),10,(L813/(K813-G813-H813)*100))</f>
      </c>
      <c r="C813">
        <f>IF(N813&gt;2400000,240000,(N813*S813)/100)</f>
      </c>
      <c r="D813">
        <f>IF(S813=0,0,IF((N813-I813)&gt;2400000,((((((N813-I813-J813)-240000))*0.1+(I813+J813)*0.1)))-7000,((((((N813-I813-J813)-(N813-I813-J813)*S813/100)))*0.1+(I813+J813)*0.1)-7000)))</f>
      </c>
      <c r="E813">
        <f>C813-O813</f>
      </c>
      <c r="F813">
        <f>D813-P813</f>
      </c>
      <c r="G813">
        <f>SUMIF(negtgel!U$2:BL$2,'Tsalin uzuulelt'!B$1,negtgel!U813:BL813) + SUMIF(negtgel!U$2:BL$2,'Tsalin uzuulelt'!B$2,negtgel!U813:BL813)+SUMIF(negtgel!U$2:BL$2,'Tsalin uzuulelt'!B$3,negtgel!U813:BL813)+SUMIF(negtgel!U$2:BL$2,'Tsalin uzuulelt'!B$4,negtgel!U813:BL813)+SUMIF(negtgel!U$2:BL$2,'Tsalin uzuulelt'!B$5,negtgel!U813:BL813)</f>
      </c>
      <c r="H813">
        <f>SUMIF(negtgel!U$2:BL$2,'Tsalin uzuulelt'!F$1,negtgel!U813:BL813) + SUMIF(negtgel!U$2:BL$2,'Tsalin uzuulelt'!F$2,negtgel!U813:BL813)+SUMIF(negtgel!U$2:BL$2,'Tsalin uzuulelt'!F$3,negtgel!U813:BL813)+SUMIF(negtgel!U$2:BL$2,'Tsalin uzuulelt'!F$4,negtgel!U813:BL813)+SUMIF(negtgel!U$2:BL$2,'Tsalin uzuulelt'!F$5,negtgel!U813:BL813)</f>
      </c>
      <c r="I813">
        <f>SUMIF(negtgel!U$2:BL$2,'Tsalin uzuulelt'!H$1,negtgel!U813:BL813) + SUMIF(negtgel!U$2:BL$2,'Tsalin uzuulelt'!H$2,negtgel!U813:BL813)+SUMIF(negtgel!U$2:BL$2,'Tsalin uzuulelt'!H$3,negtgel!U813:BL813)+SUMIF(negtgel!U$2:BL$2,'Tsalin uzuulelt'!H$4,negtgel!U813:BL813)+SUMIF(negtgel!U$2:BL$2,'Tsalin uzuulelt'!H$5,negtgel!U813:BL813)</f>
      </c>
      <c r="J813">
        <f>SUMIF(negtgel!U$2:BL$2,'Tsalin uzuulelt'!J$1,negtgel!U813:BL813) + SUMIF(negtgel!U$2:BL$2,'Tsalin uzuulelt'!J$2,negtgel!U813:BL813)+SUMIF(negtgel!U$2:BL$2,'Tsalin uzuulelt'!J$3,negtgel!U813:BL813)+SUMIF(negtgel!U$2:BL$2,'Tsalin uzuulelt'!J$4,negtgel!U813:BL813)+SUMIF(negtgel!U$2:BL$2,'Tsalin uzuulelt'!J$5,negtgel!U813:BL813)</f>
      </c>
      <c r="K813">
        <f>SUMIF(negtgel!U$2:BL$2,'Tsalin uzuulelt'!L$1,negtgel!U813:BL813) + SUMIF(negtgel!U$2:BL$2,'Tsalin uzuulelt'!L$2,negtgel!U813:BL813)+SUMIF(negtgel!U$2:BL$2,'Tsalin uzuulelt'!L$3,negtgel!U813:BL813)+SUMIF(negtgel!U$2:BL$2,'Tsalin uzuulelt'!L$4,negtgel!U813:BL813)+SUMIF(negtgel!U$2:BL$2,'Tsalin uzuulelt'!L$5,negtgel!U813:BL813)</f>
      </c>
      <c r="L813">
        <f>SUMIF(negtgel!U$2:BL$2,'Tsalin uzuulelt'!N$1,negtgel!U813:BL813) + SUMIF(negtgel!U$2:BL$2,'Tsalin uzuulelt'!N$2,negtgel!U813:BL813)+SUMIF(negtgel!U$2:BL$2,'Tsalin uzuulelt'!N$3,negtgel!U813:BL813)+SUMIF(negtgel!U$2:BL$2,'Tsalin uzuulelt'!N$4,negtgel!U813:BL813)+SUMIF(negtgel!U$2:BL$2,'Tsalin uzuulelt'!N$5,negtgel!U813:BL813)</f>
      </c>
      <c r="M813">
        <f>SUMIF(negtgel!U$2:BL$2,'Tsalin uzuulelt'!P$1,negtgel!U813:BL813) + SUMIF(negtgel!U$2:BL$2,'Tsalin uzuulelt'!P$2,negtgel!U813:BL813)+ SUMIF(negtgel!U$2:BL$2,'Tsalin uzuulelt'!P$3,negtgel!U813:BL813)+ SUMIF(negtgel!U$2:BL$2,'Tsalin uzuulelt'!P$4,negtgel!U813:BL813)+ SUMIF(negtgel!U$2:BL$2,'Tsalin uzuulelt'!P$5,negtgel!U813:BL813)</f>
      </c>
      <c r="N813">
        <f>IF(ISNUMBER(U813*1)=CF813,0,K813-H813-G813)</f>
      </c>
      <c r="O813">
        <f>IF(ISNUMBER(U813*1)=CF813,0,L813)</f>
      </c>
      <c r="P813">
        <f>IF(ISNUMBER(U813*1)=CF813,0,M813)</f>
      </c>
      <c r="Q813">
        <f>IF(N813&gt;2400000,N813,0)</f>
      </c>
      <c r="R813">
        <f>IF(L813/Q813*100&lt;3,2,10)</f>
      </c>
      <c r="S813">
        <f>IF(CH813=0,0,IF(B813&gt;9,10,IF(B813&gt;8,B813,IF(B813&gt;7.7,7.8,IF(B813&gt;3,B813,IF(B813&gt;1.5,2))))))</f>
      </c>
      <c r="T813">
        <f>IF(Q813=0,S813,R813)</f>
      </c>
      <c r="U813" t="n">
        <v>87.0</v>
      </c>
      <c r="V813" t="s">
        <v>3840</v>
      </c>
      <c r="W813" t="s">
        <v>3820</v>
      </c>
      <c r="X813" t="n">
        <v>677436.0</v>
      </c>
      <c r="Y813" t="n">
        <v>338718.0</v>
      </c>
      <c r="Z813" t="n">
        <v>67744.0</v>
      </c>
      <c r="AA813" t="n">
        <v>67744.0</v>
      </c>
      <c r="AB813" t="n">
        <v>16936.0</v>
      </c>
      <c r="AC813" t="n">
        <v>0.0</v>
      </c>
      <c r="AD813" t="n">
        <v>0.0</v>
      </c>
      <c r="AE813" t="n">
        <v>338718.0</v>
      </c>
      <c r="AF813" t="n">
        <v>30000.0</v>
      </c>
      <c r="AG813" t="n">
        <v>0.0</v>
      </c>
      <c r="AH813" t="n">
        <v>0.0</v>
      </c>
      <c r="AI813" t="n">
        <v>0.0</v>
      </c>
      <c r="AJ813" t="n">
        <v>0.0</v>
      </c>
      <c r="AK813" t="n">
        <v>0.0</v>
      </c>
      <c r="AL813" t="n">
        <v>202585.0</v>
      </c>
      <c r="AM813" t="n">
        <v>0.0</v>
      </c>
      <c r="AN813" t="n">
        <v>0.0</v>
      </c>
      <c r="AO813" t="n">
        <v>1062445.0</v>
      </c>
      <c r="AP813" t="n">
        <v>85986.0</v>
      </c>
      <c r="AQ813" t="n">
        <v>70687.4</v>
      </c>
      <c r="CH813">
        <f>IFERROR(U813*1,0)</f>
      </c>
    </row>
    <row r="814">
      <c r="A814" t="n">
        <v>12.0</v>
      </c>
      <c r="B814">
        <f>IF((K814-G814-H814&gt;2400000),10,(L814/(K814-G814-H814)*100))</f>
      </c>
      <c r="C814">
        <f>IF(N814&gt;2400000,240000,(N814*S814)/100)</f>
      </c>
      <c r="D814">
        <f>IF(S814=0,0,IF((N814-I814)&gt;2400000,((((((N814-I814-J814)-240000))*0.1+(I814+J814)*0.1)))-7000,((((((N814-I814-J814)-(N814-I814-J814)*S814/100)))*0.1+(I814+J814)*0.1)-7000)))</f>
      </c>
      <c r="E814">
        <f>C814-O814</f>
      </c>
      <c r="F814">
        <f>D814-P814</f>
      </c>
      <c r="G814">
        <f>SUMIF(negtgel!U$2:BL$2,'Tsalin uzuulelt'!B$1,negtgel!U814:BL814) + SUMIF(negtgel!U$2:BL$2,'Tsalin uzuulelt'!B$2,negtgel!U814:BL814)+SUMIF(negtgel!U$2:BL$2,'Tsalin uzuulelt'!B$3,negtgel!U814:BL814)+SUMIF(negtgel!U$2:BL$2,'Tsalin uzuulelt'!B$4,negtgel!U814:BL814)+SUMIF(negtgel!U$2:BL$2,'Tsalin uzuulelt'!B$5,negtgel!U814:BL814)</f>
      </c>
      <c r="H814">
        <f>SUMIF(negtgel!U$2:BL$2,'Tsalin uzuulelt'!F$1,negtgel!U814:BL814) + SUMIF(negtgel!U$2:BL$2,'Tsalin uzuulelt'!F$2,negtgel!U814:BL814)+SUMIF(negtgel!U$2:BL$2,'Tsalin uzuulelt'!F$3,negtgel!U814:BL814)+SUMIF(negtgel!U$2:BL$2,'Tsalin uzuulelt'!F$4,negtgel!U814:BL814)+SUMIF(negtgel!U$2:BL$2,'Tsalin uzuulelt'!F$5,negtgel!U814:BL814)</f>
      </c>
      <c r="I814">
        <f>SUMIF(negtgel!U$2:BL$2,'Tsalin uzuulelt'!H$1,negtgel!U814:BL814) + SUMIF(negtgel!U$2:BL$2,'Tsalin uzuulelt'!H$2,negtgel!U814:BL814)+SUMIF(negtgel!U$2:BL$2,'Tsalin uzuulelt'!H$3,negtgel!U814:BL814)+SUMIF(negtgel!U$2:BL$2,'Tsalin uzuulelt'!H$4,negtgel!U814:BL814)+SUMIF(negtgel!U$2:BL$2,'Tsalin uzuulelt'!H$5,negtgel!U814:BL814)</f>
      </c>
      <c r="J814">
        <f>SUMIF(negtgel!U$2:BL$2,'Tsalin uzuulelt'!J$1,negtgel!U814:BL814) + SUMIF(negtgel!U$2:BL$2,'Tsalin uzuulelt'!J$2,negtgel!U814:BL814)+SUMIF(negtgel!U$2:BL$2,'Tsalin uzuulelt'!J$3,negtgel!U814:BL814)+SUMIF(negtgel!U$2:BL$2,'Tsalin uzuulelt'!J$4,negtgel!U814:BL814)+SUMIF(negtgel!U$2:BL$2,'Tsalin uzuulelt'!J$5,negtgel!U814:BL814)</f>
      </c>
      <c r="K814">
        <f>SUMIF(negtgel!U$2:BL$2,'Tsalin uzuulelt'!L$1,negtgel!U814:BL814) + SUMIF(negtgel!U$2:BL$2,'Tsalin uzuulelt'!L$2,negtgel!U814:BL814)+SUMIF(negtgel!U$2:BL$2,'Tsalin uzuulelt'!L$3,negtgel!U814:BL814)+SUMIF(negtgel!U$2:BL$2,'Tsalin uzuulelt'!L$4,negtgel!U814:BL814)+SUMIF(negtgel!U$2:BL$2,'Tsalin uzuulelt'!L$5,negtgel!U814:BL814)</f>
      </c>
      <c r="L814">
        <f>SUMIF(negtgel!U$2:BL$2,'Tsalin uzuulelt'!N$1,negtgel!U814:BL814) + SUMIF(negtgel!U$2:BL$2,'Tsalin uzuulelt'!N$2,negtgel!U814:BL814)+SUMIF(negtgel!U$2:BL$2,'Tsalin uzuulelt'!N$3,negtgel!U814:BL814)+SUMIF(negtgel!U$2:BL$2,'Tsalin uzuulelt'!N$4,negtgel!U814:BL814)+SUMIF(negtgel!U$2:BL$2,'Tsalin uzuulelt'!N$5,negtgel!U814:BL814)</f>
      </c>
      <c r="M814">
        <f>SUMIF(negtgel!U$2:BL$2,'Tsalin uzuulelt'!P$1,negtgel!U814:BL814) + SUMIF(negtgel!U$2:BL$2,'Tsalin uzuulelt'!P$2,negtgel!U814:BL814)+ SUMIF(negtgel!U$2:BL$2,'Tsalin uzuulelt'!P$3,negtgel!U814:BL814)+ SUMIF(negtgel!U$2:BL$2,'Tsalin uzuulelt'!P$4,negtgel!U814:BL814)+ SUMIF(negtgel!U$2:BL$2,'Tsalin uzuulelt'!P$5,negtgel!U814:BL814)</f>
      </c>
      <c r="N814">
        <f>IF(ISNUMBER(U814*1)=CF814,0,K814-H814-G814)</f>
      </c>
      <c r="O814">
        <f>IF(ISNUMBER(U814*1)=CF814,0,L814)</f>
      </c>
      <c r="P814">
        <f>IF(ISNUMBER(U814*1)=CF814,0,M814)</f>
      </c>
      <c r="Q814">
        <f>IF(N814&gt;2400000,N814,0)</f>
      </c>
      <c r="R814">
        <f>IF(L814/Q814*100&lt;3,2,10)</f>
      </c>
      <c r="S814">
        <f>IF(CH814=0,0,IF(B814&gt;9,10,IF(B814&gt;8,B814,IF(B814&gt;7.7,7.8,IF(B814&gt;3,B814,IF(B814&gt;1.5,2))))))</f>
      </c>
      <c r="T814">
        <f>IF(Q814=0,S814,R814)</f>
      </c>
      <c r="U814" t="n">
        <v>88.0</v>
      </c>
      <c r="V814" t="s">
        <v>3841</v>
      </c>
      <c r="W814" t="s">
        <v>3790</v>
      </c>
      <c r="X814" t="n">
        <v>613669.0</v>
      </c>
      <c r="Y814" t="n">
        <v>613669.0</v>
      </c>
      <c r="Z814" t="n">
        <v>30683.0</v>
      </c>
      <c r="AA814" t="n">
        <v>110460.0</v>
      </c>
      <c r="AB814" t="n">
        <v>0.0</v>
      </c>
      <c r="AC814" t="n">
        <v>0.0</v>
      </c>
      <c r="AD814" t="n">
        <v>0.0</v>
      </c>
      <c r="AE814" t="n">
        <v>306834.0</v>
      </c>
      <c r="AF814" t="n">
        <v>60000.0</v>
      </c>
      <c r="AG814" t="n">
        <v>0.0</v>
      </c>
      <c r="AH814" t="n">
        <v>0.0</v>
      </c>
      <c r="AI814" t="n">
        <v>0.0</v>
      </c>
      <c r="AJ814" t="n">
        <v>0.0</v>
      </c>
      <c r="AK814" t="n">
        <v>0.0</v>
      </c>
      <c r="AL814" t="n">
        <v>0.0</v>
      </c>
      <c r="AM814" t="n">
        <v>0.0</v>
      </c>
      <c r="AN814" t="n">
        <v>0.0</v>
      </c>
      <c r="AO814" t="n">
        <v>1121646.0</v>
      </c>
      <c r="AP814" t="n">
        <v>112164.0</v>
      </c>
      <c r="AQ814" t="n">
        <v>94548.1</v>
      </c>
      <c r="CH814">
        <f>IFERROR(U814*1,0)</f>
      </c>
    </row>
    <row r="815">
      <c r="A815" t="n">
        <v>12.0</v>
      </c>
      <c r="B815">
        <f>IF((K815-G815-H815&gt;2400000),10,(L815/(K815-G815-H815)*100))</f>
      </c>
      <c r="C815">
        <f>IF(N815&gt;2400000,240000,(N815*S815)/100)</f>
      </c>
      <c r="D815">
        <f>IF(S815=0,0,IF((N815-I815)&gt;2400000,((((((N815-I815-J815)-240000))*0.1+(I815+J815)*0.1)))-7000,((((((N815-I815-J815)-(N815-I815-J815)*S815/100)))*0.1+(I815+J815)*0.1)-7000)))</f>
      </c>
      <c r="E815">
        <f>C815-O815</f>
      </c>
      <c r="F815">
        <f>D815-P815</f>
      </c>
      <c r="G815">
        <f>SUMIF(negtgel!U$2:BL$2,'Tsalin uzuulelt'!B$1,negtgel!U815:BL815) + SUMIF(negtgel!U$2:BL$2,'Tsalin uzuulelt'!B$2,negtgel!U815:BL815)+SUMIF(negtgel!U$2:BL$2,'Tsalin uzuulelt'!B$3,negtgel!U815:BL815)+SUMIF(negtgel!U$2:BL$2,'Tsalin uzuulelt'!B$4,negtgel!U815:BL815)+SUMIF(negtgel!U$2:BL$2,'Tsalin uzuulelt'!B$5,negtgel!U815:BL815)</f>
      </c>
      <c r="H815">
        <f>SUMIF(negtgel!U$2:BL$2,'Tsalin uzuulelt'!F$1,negtgel!U815:BL815) + SUMIF(negtgel!U$2:BL$2,'Tsalin uzuulelt'!F$2,negtgel!U815:BL815)+SUMIF(negtgel!U$2:BL$2,'Tsalin uzuulelt'!F$3,negtgel!U815:BL815)+SUMIF(negtgel!U$2:BL$2,'Tsalin uzuulelt'!F$4,negtgel!U815:BL815)+SUMIF(negtgel!U$2:BL$2,'Tsalin uzuulelt'!F$5,negtgel!U815:BL815)</f>
      </c>
      <c r="I815">
        <f>SUMIF(negtgel!U$2:BL$2,'Tsalin uzuulelt'!H$1,negtgel!U815:BL815) + SUMIF(negtgel!U$2:BL$2,'Tsalin uzuulelt'!H$2,negtgel!U815:BL815)+SUMIF(negtgel!U$2:BL$2,'Tsalin uzuulelt'!H$3,negtgel!U815:BL815)+SUMIF(negtgel!U$2:BL$2,'Tsalin uzuulelt'!H$4,negtgel!U815:BL815)+SUMIF(negtgel!U$2:BL$2,'Tsalin uzuulelt'!H$5,negtgel!U815:BL815)</f>
      </c>
      <c r="J815">
        <f>SUMIF(negtgel!U$2:BL$2,'Tsalin uzuulelt'!J$1,negtgel!U815:BL815) + SUMIF(negtgel!U$2:BL$2,'Tsalin uzuulelt'!J$2,negtgel!U815:BL815)+SUMIF(negtgel!U$2:BL$2,'Tsalin uzuulelt'!J$3,negtgel!U815:BL815)+SUMIF(negtgel!U$2:BL$2,'Tsalin uzuulelt'!J$4,negtgel!U815:BL815)+SUMIF(negtgel!U$2:BL$2,'Tsalin uzuulelt'!J$5,negtgel!U815:BL815)</f>
      </c>
      <c r="K815">
        <f>SUMIF(negtgel!U$2:BL$2,'Tsalin uzuulelt'!L$1,negtgel!U815:BL815) + SUMIF(negtgel!U$2:BL$2,'Tsalin uzuulelt'!L$2,negtgel!U815:BL815)+SUMIF(negtgel!U$2:BL$2,'Tsalin uzuulelt'!L$3,negtgel!U815:BL815)+SUMIF(negtgel!U$2:BL$2,'Tsalin uzuulelt'!L$4,negtgel!U815:BL815)+SUMIF(negtgel!U$2:BL$2,'Tsalin uzuulelt'!L$5,negtgel!U815:BL815)</f>
      </c>
      <c r="L815">
        <f>SUMIF(negtgel!U$2:BL$2,'Tsalin uzuulelt'!N$1,negtgel!U815:BL815) + SUMIF(negtgel!U$2:BL$2,'Tsalin uzuulelt'!N$2,negtgel!U815:BL815)+SUMIF(negtgel!U$2:BL$2,'Tsalin uzuulelt'!N$3,negtgel!U815:BL815)+SUMIF(negtgel!U$2:BL$2,'Tsalin uzuulelt'!N$4,negtgel!U815:BL815)+SUMIF(negtgel!U$2:BL$2,'Tsalin uzuulelt'!N$5,negtgel!U815:BL815)</f>
      </c>
      <c r="M815">
        <f>SUMIF(negtgel!U$2:BL$2,'Tsalin uzuulelt'!P$1,negtgel!U815:BL815) + SUMIF(negtgel!U$2:BL$2,'Tsalin uzuulelt'!P$2,negtgel!U815:BL815)+ SUMIF(negtgel!U$2:BL$2,'Tsalin uzuulelt'!P$3,negtgel!U815:BL815)+ SUMIF(negtgel!U$2:BL$2,'Tsalin uzuulelt'!P$4,negtgel!U815:BL815)+ SUMIF(negtgel!U$2:BL$2,'Tsalin uzuulelt'!P$5,negtgel!U815:BL815)</f>
      </c>
      <c r="N815">
        <f>IF(ISNUMBER(U815*1)=CF815,0,K815-H815-G815)</f>
      </c>
      <c r="O815">
        <f>IF(ISNUMBER(U815*1)=CF815,0,L815)</f>
      </c>
      <c r="P815">
        <f>IF(ISNUMBER(U815*1)=CF815,0,M815)</f>
      </c>
      <c r="Q815">
        <f>IF(N815&gt;2400000,N815,0)</f>
      </c>
      <c r="R815">
        <f>IF(L815/Q815*100&lt;3,2,10)</f>
      </c>
      <c r="S815">
        <f>IF(CH815=0,0,IF(B815&gt;9,10,IF(B815&gt;8,B815,IF(B815&gt;7.7,7.8,IF(B815&gt;3,B815,IF(B815&gt;1.5,2))))))</f>
      </c>
      <c r="T815">
        <f>IF(Q815=0,S815,R815)</f>
      </c>
      <c r="U815" t="n">
        <v>89.0</v>
      </c>
      <c r="V815" t="s">
        <v>3842</v>
      </c>
      <c r="W815" t="s">
        <v>3790</v>
      </c>
      <c r="X815" t="n">
        <v>645556.0</v>
      </c>
      <c r="Y815" t="n">
        <v>645556.0</v>
      </c>
      <c r="Z815" t="n">
        <v>109745.0</v>
      </c>
      <c r="AA815" t="n">
        <v>116200.0</v>
      </c>
      <c r="AB815" t="n">
        <v>0.0</v>
      </c>
      <c r="AC815" t="n">
        <v>0.0</v>
      </c>
      <c r="AD815" t="n">
        <v>0.0</v>
      </c>
      <c r="AE815" t="n">
        <v>322778.0</v>
      </c>
      <c r="AF815" t="n">
        <v>60000.0</v>
      </c>
      <c r="AG815" t="n">
        <v>0.0</v>
      </c>
      <c r="AH815" t="n">
        <v>0.0</v>
      </c>
      <c r="AI815" t="n">
        <v>0.0</v>
      </c>
      <c r="AJ815" t="n">
        <v>0.0</v>
      </c>
      <c r="AK815" t="n">
        <v>0.0</v>
      </c>
      <c r="AL815" t="n">
        <v>0.0</v>
      </c>
      <c r="AM815" t="n">
        <v>0.0</v>
      </c>
      <c r="AN815" t="n">
        <v>0.0</v>
      </c>
      <c r="AO815" t="n">
        <v>1254279.0</v>
      </c>
      <c r="AP815" t="n">
        <v>125429.0</v>
      </c>
      <c r="AQ815" t="n">
        <v>106485.1</v>
      </c>
      <c r="CH815">
        <f>IFERROR(U815*1,0)</f>
      </c>
    </row>
    <row r="816">
      <c r="A816" t="n">
        <v>12.0</v>
      </c>
      <c r="B816">
        <f>IF((K816-G816-H816&gt;2400000),10,(L816/(K816-G816-H816)*100))</f>
      </c>
      <c r="C816">
        <f>IF(N816&gt;2400000,240000,(N816*S816)/100)</f>
      </c>
      <c r="D816">
        <f>IF(S816=0,0,IF((N816-I816)&gt;2400000,((((((N816-I816-J816)-240000))*0.1+(I816+J816)*0.1)))-7000,((((((N816-I816-J816)-(N816-I816-J816)*S816/100)))*0.1+(I816+J816)*0.1)-7000)))</f>
      </c>
      <c r="E816">
        <f>C816-O816</f>
      </c>
      <c r="F816">
        <f>D816-P816</f>
      </c>
      <c r="G816">
        <f>SUMIF(negtgel!U$2:BL$2,'Tsalin uzuulelt'!B$1,negtgel!U816:BL816) + SUMIF(negtgel!U$2:BL$2,'Tsalin uzuulelt'!B$2,negtgel!U816:BL816)+SUMIF(negtgel!U$2:BL$2,'Tsalin uzuulelt'!B$3,negtgel!U816:BL816)+SUMIF(negtgel!U$2:BL$2,'Tsalin uzuulelt'!B$4,negtgel!U816:BL816)+SUMIF(negtgel!U$2:BL$2,'Tsalin uzuulelt'!B$5,negtgel!U816:BL816)</f>
      </c>
      <c r="H816">
        <f>SUMIF(negtgel!U$2:BL$2,'Tsalin uzuulelt'!F$1,negtgel!U816:BL816) + SUMIF(negtgel!U$2:BL$2,'Tsalin uzuulelt'!F$2,negtgel!U816:BL816)+SUMIF(negtgel!U$2:BL$2,'Tsalin uzuulelt'!F$3,negtgel!U816:BL816)+SUMIF(negtgel!U$2:BL$2,'Tsalin uzuulelt'!F$4,negtgel!U816:BL816)+SUMIF(negtgel!U$2:BL$2,'Tsalin uzuulelt'!F$5,negtgel!U816:BL816)</f>
      </c>
      <c r="I816">
        <f>SUMIF(negtgel!U$2:BL$2,'Tsalin uzuulelt'!H$1,negtgel!U816:BL816) + SUMIF(negtgel!U$2:BL$2,'Tsalin uzuulelt'!H$2,negtgel!U816:BL816)+SUMIF(negtgel!U$2:BL$2,'Tsalin uzuulelt'!H$3,negtgel!U816:BL816)+SUMIF(negtgel!U$2:BL$2,'Tsalin uzuulelt'!H$4,negtgel!U816:BL816)+SUMIF(negtgel!U$2:BL$2,'Tsalin uzuulelt'!H$5,negtgel!U816:BL816)</f>
      </c>
      <c r="J816">
        <f>SUMIF(negtgel!U$2:BL$2,'Tsalin uzuulelt'!J$1,negtgel!U816:BL816) + SUMIF(negtgel!U$2:BL$2,'Tsalin uzuulelt'!J$2,negtgel!U816:BL816)+SUMIF(negtgel!U$2:BL$2,'Tsalin uzuulelt'!J$3,negtgel!U816:BL816)+SUMIF(negtgel!U$2:BL$2,'Tsalin uzuulelt'!J$4,negtgel!U816:BL816)+SUMIF(negtgel!U$2:BL$2,'Tsalin uzuulelt'!J$5,negtgel!U816:BL816)</f>
      </c>
      <c r="K816">
        <f>SUMIF(negtgel!U$2:BL$2,'Tsalin uzuulelt'!L$1,negtgel!U816:BL816) + SUMIF(negtgel!U$2:BL$2,'Tsalin uzuulelt'!L$2,negtgel!U816:BL816)+SUMIF(negtgel!U$2:BL$2,'Tsalin uzuulelt'!L$3,negtgel!U816:BL816)+SUMIF(negtgel!U$2:BL$2,'Tsalin uzuulelt'!L$4,negtgel!U816:BL816)+SUMIF(negtgel!U$2:BL$2,'Tsalin uzuulelt'!L$5,negtgel!U816:BL816)</f>
      </c>
      <c r="L816">
        <f>SUMIF(negtgel!U$2:BL$2,'Tsalin uzuulelt'!N$1,negtgel!U816:BL816) + SUMIF(negtgel!U$2:BL$2,'Tsalin uzuulelt'!N$2,negtgel!U816:BL816)+SUMIF(negtgel!U$2:BL$2,'Tsalin uzuulelt'!N$3,negtgel!U816:BL816)+SUMIF(negtgel!U$2:BL$2,'Tsalin uzuulelt'!N$4,negtgel!U816:BL816)+SUMIF(negtgel!U$2:BL$2,'Tsalin uzuulelt'!N$5,negtgel!U816:BL816)</f>
      </c>
      <c r="M816">
        <f>SUMIF(negtgel!U$2:BL$2,'Tsalin uzuulelt'!P$1,negtgel!U816:BL816) + SUMIF(negtgel!U$2:BL$2,'Tsalin uzuulelt'!P$2,negtgel!U816:BL816)+ SUMIF(negtgel!U$2:BL$2,'Tsalin uzuulelt'!P$3,negtgel!U816:BL816)+ SUMIF(negtgel!U$2:BL$2,'Tsalin uzuulelt'!P$4,negtgel!U816:BL816)+ SUMIF(negtgel!U$2:BL$2,'Tsalin uzuulelt'!P$5,negtgel!U816:BL816)</f>
      </c>
      <c r="N816">
        <f>IF(ISNUMBER(U816*1)=CF816,0,K816-H816-G816)</f>
      </c>
      <c r="O816">
        <f>IF(ISNUMBER(U816*1)=CF816,0,L816)</f>
      </c>
      <c r="P816">
        <f>IF(ISNUMBER(U816*1)=CF816,0,M816)</f>
      </c>
      <c r="Q816">
        <f>IF(N816&gt;2400000,N816,0)</f>
      </c>
      <c r="R816">
        <f>IF(L816/Q816*100&lt;3,2,10)</f>
      </c>
      <c r="S816">
        <f>IF(CH816=0,0,IF(B816&gt;9,10,IF(B816&gt;8,B816,IF(B816&gt;7.7,7.8,IF(B816&gt;3,B816,IF(B816&gt;1.5,2))))))</f>
      </c>
      <c r="T816">
        <f>IF(Q816=0,S816,R816)</f>
      </c>
      <c r="U816" t="n">
        <v>90.0</v>
      </c>
      <c r="V816" t="s">
        <v>3843</v>
      </c>
      <c r="W816" t="s">
        <v>3820</v>
      </c>
      <c r="X816" t="n">
        <v>698795.0</v>
      </c>
      <c r="Y816" t="n">
        <v>698795.0</v>
      </c>
      <c r="Z816" t="n">
        <v>139759.0</v>
      </c>
      <c r="AA816" t="n">
        <v>139759.0</v>
      </c>
      <c r="AB816" t="n">
        <v>0.0</v>
      </c>
      <c r="AC816" t="n">
        <v>0.0</v>
      </c>
      <c r="AD816" t="n">
        <v>0.0</v>
      </c>
      <c r="AE816" t="n">
        <v>349398.0</v>
      </c>
      <c r="AF816" t="n">
        <v>60000.0</v>
      </c>
      <c r="AG816" t="n">
        <v>0.0</v>
      </c>
      <c r="AH816" t="n">
        <v>0.0</v>
      </c>
      <c r="AI816" t="n">
        <v>0.0</v>
      </c>
      <c r="AJ816" t="n">
        <v>0.0</v>
      </c>
      <c r="AK816" t="n">
        <v>0.0</v>
      </c>
      <c r="AL816" t="n">
        <v>0.0</v>
      </c>
      <c r="AM816" t="n">
        <v>0.0</v>
      </c>
      <c r="AN816" t="n">
        <v>0.0</v>
      </c>
      <c r="AO816" t="n">
        <v>1387711.0</v>
      </c>
      <c r="AP816" t="n">
        <v>138771.0</v>
      </c>
      <c r="AQ816" t="n">
        <v>118494.0</v>
      </c>
      <c r="CH816">
        <f>IFERROR(U816*1,0)</f>
      </c>
    </row>
    <row r="817">
      <c r="A817" t="n">
        <v>12.0</v>
      </c>
      <c r="B817">
        <f>IF((K817-G817-H817&gt;2400000),10,(L817/(K817-G817-H817)*100))</f>
      </c>
      <c r="C817">
        <f>IF(N817&gt;2400000,240000,(N817*S817)/100)</f>
      </c>
      <c r="D817">
        <f>IF(S817=0,0,IF((N817-I817)&gt;2400000,((((((N817-I817-J817)-240000))*0.1+(I817+J817)*0.1)))-7000,((((((N817-I817-J817)-(N817-I817-J817)*S817/100)))*0.1+(I817+J817)*0.1)-7000)))</f>
      </c>
      <c r="E817">
        <f>C817-O817</f>
      </c>
      <c r="F817">
        <f>D817-P817</f>
      </c>
      <c r="G817">
        <f>SUMIF(negtgel!U$2:BL$2,'Tsalin uzuulelt'!B$1,negtgel!U817:BL817) + SUMIF(negtgel!U$2:BL$2,'Tsalin uzuulelt'!B$2,negtgel!U817:BL817)+SUMIF(negtgel!U$2:BL$2,'Tsalin uzuulelt'!B$3,negtgel!U817:BL817)+SUMIF(negtgel!U$2:BL$2,'Tsalin uzuulelt'!B$4,negtgel!U817:BL817)+SUMIF(negtgel!U$2:BL$2,'Tsalin uzuulelt'!B$5,negtgel!U817:BL817)</f>
      </c>
      <c r="H817">
        <f>SUMIF(negtgel!U$2:BL$2,'Tsalin uzuulelt'!F$1,negtgel!U817:BL817) + SUMIF(negtgel!U$2:BL$2,'Tsalin uzuulelt'!F$2,negtgel!U817:BL817)+SUMIF(negtgel!U$2:BL$2,'Tsalin uzuulelt'!F$3,negtgel!U817:BL817)+SUMIF(negtgel!U$2:BL$2,'Tsalin uzuulelt'!F$4,negtgel!U817:BL817)+SUMIF(negtgel!U$2:BL$2,'Tsalin uzuulelt'!F$5,negtgel!U817:BL817)</f>
      </c>
      <c r="I817">
        <f>SUMIF(negtgel!U$2:BL$2,'Tsalin uzuulelt'!H$1,negtgel!U817:BL817) + SUMIF(negtgel!U$2:BL$2,'Tsalin uzuulelt'!H$2,negtgel!U817:BL817)+SUMIF(negtgel!U$2:BL$2,'Tsalin uzuulelt'!H$3,negtgel!U817:BL817)+SUMIF(negtgel!U$2:BL$2,'Tsalin uzuulelt'!H$4,negtgel!U817:BL817)+SUMIF(negtgel!U$2:BL$2,'Tsalin uzuulelt'!H$5,negtgel!U817:BL817)</f>
      </c>
      <c r="J817">
        <f>SUMIF(negtgel!U$2:BL$2,'Tsalin uzuulelt'!J$1,negtgel!U817:BL817) + SUMIF(negtgel!U$2:BL$2,'Tsalin uzuulelt'!J$2,negtgel!U817:BL817)+SUMIF(negtgel!U$2:BL$2,'Tsalin uzuulelt'!J$3,negtgel!U817:BL817)+SUMIF(negtgel!U$2:BL$2,'Tsalin uzuulelt'!J$4,negtgel!U817:BL817)+SUMIF(negtgel!U$2:BL$2,'Tsalin uzuulelt'!J$5,negtgel!U817:BL817)</f>
      </c>
      <c r="K817">
        <f>SUMIF(negtgel!U$2:BL$2,'Tsalin uzuulelt'!L$1,negtgel!U817:BL817) + SUMIF(negtgel!U$2:BL$2,'Tsalin uzuulelt'!L$2,negtgel!U817:BL817)+SUMIF(negtgel!U$2:BL$2,'Tsalin uzuulelt'!L$3,negtgel!U817:BL817)+SUMIF(negtgel!U$2:BL$2,'Tsalin uzuulelt'!L$4,negtgel!U817:BL817)+SUMIF(negtgel!U$2:BL$2,'Tsalin uzuulelt'!L$5,negtgel!U817:BL817)</f>
      </c>
      <c r="L817">
        <f>SUMIF(negtgel!U$2:BL$2,'Tsalin uzuulelt'!N$1,negtgel!U817:BL817) + SUMIF(negtgel!U$2:BL$2,'Tsalin uzuulelt'!N$2,negtgel!U817:BL817)+SUMIF(negtgel!U$2:BL$2,'Tsalin uzuulelt'!N$3,negtgel!U817:BL817)+SUMIF(negtgel!U$2:BL$2,'Tsalin uzuulelt'!N$4,negtgel!U817:BL817)+SUMIF(negtgel!U$2:BL$2,'Tsalin uzuulelt'!N$5,negtgel!U817:BL817)</f>
      </c>
      <c r="M817">
        <f>SUMIF(negtgel!U$2:BL$2,'Tsalin uzuulelt'!P$1,negtgel!U817:BL817) + SUMIF(negtgel!U$2:BL$2,'Tsalin uzuulelt'!P$2,negtgel!U817:BL817)+ SUMIF(negtgel!U$2:BL$2,'Tsalin uzuulelt'!P$3,negtgel!U817:BL817)+ SUMIF(negtgel!U$2:BL$2,'Tsalin uzuulelt'!P$4,negtgel!U817:BL817)+ SUMIF(negtgel!U$2:BL$2,'Tsalin uzuulelt'!P$5,negtgel!U817:BL817)</f>
      </c>
      <c r="N817">
        <f>IF(ISNUMBER(U817*1)=CF817,0,K817-H817-G817)</f>
      </c>
      <c r="O817">
        <f>IF(ISNUMBER(U817*1)=CF817,0,L817)</f>
      </c>
      <c r="P817">
        <f>IF(ISNUMBER(U817*1)=CF817,0,M817)</f>
      </c>
      <c r="Q817">
        <f>IF(N817&gt;2400000,N817,0)</f>
      </c>
      <c r="R817">
        <f>IF(L817/Q817*100&lt;3,2,10)</f>
      </c>
      <c r="S817">
        <f>IF(CH817=0,0,IF(B817&gt;9,10,IF(B817&gt;8,B817,IF(B817&gt;7.7,7.8,IF(B817&gt;3,B817,IF(B817&gt;1.5,2))))))</f>
      </c>
      <c r="T817">
        <f>IF(Q817=0,S817,R817)</f>
      </c>
      <c r="U817" t="n">
        <v>91.0</v>
      </c>
      <c r="V817" t="s">
        <v>3853</v>
      </c>
      <c r="W817" t="s">
        <v>3790</v>
      </c>
      <c r="X817" t="n">
        <v>613669.0</v>
      </c>
      <c r="Y817" t="n">
        <v>613669.0</v>
      </c>
      <c r="Z817" t="n">
        <v>30683.0</v>
      </c>
      <c r="AA817" t="n">
        <v>92050.0</v>
      </c>
      <c r="AB817" t="n">
        <v>0.0</v>
      </c>
      <c r="AC817" t="n">
        <v>0.0</v>
      </c>
      <c r="AD817" t="n">
        <v>0.0</v>
      </c>
      <c r="AE817" t="n">
        <v>306834.0</v>
      </c>
      <c r="AF817" t="n">
        <v>60000.0</v>
      </c>
      <c r="AG817" t="n">
        <v>0.0</v>
      </c>
      <c r="AH817" t="n">
        <v>0.0</v>
      </c>
      <c r="AI817" t="n">
        <v>0.0</v>
      </c>
      <c r="AJ817" t="n">
        <v>0.0</v>
      </c>
      <c r="AK817" t="n">
        <v>0.0</v>
      </c>
      <c r="AL817" t="n">
        <v>0.0</v>
      </c>
      <c r="AM817" t="n">
        <v>0.0</v>
      </c>
      <c r="AN817" t="n">
        <v>0.0</v>
      </c>
      <c r="AO817" t="n">
        <v>1103236.0</v>
      </c>
      <c r="AP817" t="n">
        <v>110324.0</v>
      </c>
      <c r="AQ817" t="n">
        <v>92891.2</v>
      </c>
      <c r="CH817">
        <f>IFERROR(U817*1,0)</f>
      </c>
    </row>
    <row r="818">
      <c r="A818" t="n">
        <v>12.0</v>
      </c>
      <c r="B818">
        <f>IF((K818-G818-H818&gt;2400000),10,(L818/(K818-G818-H818)*100))</f>
      </c>
      <c r="C818">
        <f>IF(N818&gt;2400000,240000,(N818*S818)/100)</f>
      </c>
      <c r="D818">
        <f>IF(S818=0,0,IF((N818-I818)&gt;2400000,((((((N818-I818-J818)-240000))*0.1+(I818+J818)*0.1)))-7000,((((((N818-I818-J818)-(N818-I818-J818)*S818/100)))*0.1+(I818+J818)*0.1)-7000)))</f>
      </c>
      <c r="E818">
        <f>C818-O818</f>
      </c>
      <c r="F818">
        <f>D818-P818</f>
      </c>
      <c r="G818">
        <f>SUMIF(negtgel!U$2:BL$2,'Tsalin uzuulelt'!B$1,negtgel!U818:BL818) + SUMIF(negtgel!U$2:BL$2,'Tsalin uzuulelt'!B$2,negtgel!U818:BL818)+SUMIF(negtgel!U$2:BL$2,'Tsalin uzuulelt'!B$3,negtgel!U818:BL818)+SUMIF(negtgel!U$2:BL$2,'Tsalin uzuulelt'!B$4,negtgel!U818:BL818)+SUMIF(negtgel!U$2:BL$2,'Tsalin uzuulelt'!B$5,negtgel!U818:BL818)</f>
      </c>
      <c r="H818">
        <f>SUMIF(negtgel!U$2:BL$2,'Tsalin uzuulelt'!F$1,negtgel!U818:BL818) + SUMIF(negtgel!U$2:BL$2,'Tsalin uzuulelt'!F$2,negtgel!U818:BL818)+SUMIF(negtgel!U$2:BL$2,'Tsalin uzuulelt'!F$3,negtgel!U818:BL818)+SUMIF(negtgel!U$2:BL$2,'Tsalin uzuulelt'!F$4,negtgel!U818:BL818)+SUMIF(negtgel!U$2:BL$2,'Tsalin uzuulelt'!F$5,negtgel!U818:BL818)</f>
      </c>
      <c r="I818">
        <f>SUMIF(negtgel!U$2:BL$2,'Tsalin uzuulelt'!H$1,negtgel!U818:BL818) + SUMIF(negtgel!U$2:BL$2,'Tsalin uzuulelt'!H$2,negtgel!U818:BL818)+SUMIF(negtgel!U$2:BL$2,'Tsalin uzuulelt'!H$3,negtgel!U818:BL818)+SUMIF(negtgel!U$2:BL$2,'Tsalin uzuulelt'!H$4,negtgel!U818:BL818)+SUMIF(negtgel!U$2:BL$2,'Tsalin uzuulelt'!H$5,negtgel!U818:BL818)</f>
      </c>
      <c r="J818">
        <f>SUMIF(negtgel!U$2:BL$2,'Tsalin uzuulelt'!J$1,negtgel!U818:BL818) + SUMIF(negtgel!U$2:BL$2,'Tsalin uzuulelt'!J$2,negtgel!U818:BL818)+SUMIF(negtgel!U$2:BL$2,'Tsalin uzuulelt'!J$3,negtgel!U818:BL818)+SUMIF(negtgel!U$2:BL$2,'Tsalin uzuulelt'!J$4,negtgel!U818:BL818)+SUMIF(negtgel!U$2:BL$2,'Tsalin uzuulelt'!J$5,negtgel!U818:BL818)</f>
      </c>
      <c r="K818">
        <f>SUMIF(negtgel!U$2:BL$2,'Tsalin uzuulelt'!L$1,negtgel!U818:BL818) + SUMIF(negtgel!U$2:BL$2,'Tsalin uzuulelt'!L$2,negtgel!U818:BL818)+SUMIF(negtgel!U$2:BL$2,'Tsalin uzuulelt'!L$3,negtgel!U818:BL818)+SUMIF(negtgel!U$2:BL$2,'Tsalin uzuulelt'!L$4,negtgel!U818:BL818)+SUMIF(negtgel!U$2:BL$2,'Tsalin uzuulelt'!L$5,negtgel!U818:BL818)</f>
      </c>
      <c r="L818">
        <f>SUMIF(negtgel!U$2:BL$2,'Tsalin uzuulelt'!N$1,negtgel!U818:BL818) + SUMIF(negtgel!U$2:BL$2,'Tsalin uzuulelt'!N$2,negtgel!U818:BL818)+SUMIF(negtgel!U$2:BL$2,'Tsalin uzuulelt'!N$3,negtgel!U818:BL818)+SUMIF(negtgel!U$2:BL$2,'Tsalin uzuulelt'!N$4,negtgel!U818:BL818)+SUMIF(negtgel!U$2:BL$2,'Tsalin uzuulelt'!N$5,negtgel!U818:BL818)</f>
      </c>
      <c r="M818">
        <f>SUMIF(negtgel!U$2:BL$2,'Tsalin uzuulelt'!P$1,negtgel!U818:BL818) + SUMIF(negtgel!U$2:BL$2,'Tsalin uzuulelt'!P$2,negtgel!U818:BL818)+ SUMIF(negtgel!U$2:BL$2,'Tsalin uzuulelt'!P$3,negtgel!U818:BL818)+ SUMIF(negtgel!U$2:BL$2,'Tsalin uzuulelt'!P$4,negtgel!U818:BL818)+ SUMIF(negtgel!U$2:BL$2,'Tsalin uzuulelt'!P$5,negtgel!U818:BL818)</f>
      </c>
      <c r="N818">
        <f>IF(ISNUMBER(U818*1)=CF818,0,K818-H818-G818)</f>
      </c>
      <c r="O818">
        <f>IF(ISNUMBER(U818*1)=CF818,0,L818)</f>
      </c>
      <c r="P818">
        <f>IF(ISNUMBER(U818*1)=CF818,0,M818)</f>
      </c>
      <c r="Q818">
        <f>IF(N818&gt;2400000,N818,0)</f>
      </c>
      <c r="R818">
        <f>IF(L818/Q818*100&lt;3,2,10)</f>
      </c>
      <c r="S818">
        <f>IF(CH818=0,0,IF(B818&gt;9,10,IF(B818&gt;8,B818,IF(B818&gt;7.7,7.8,IF(B818&gt;3,B818,IF(B818&gt;1.5,2))))))</f>
      </c>
      <c r="T818">
        <f>IF(Q818=0,S818,R818)</f>
      </c>
      <c r="U818" t="n">
        <v>92.0</v>
      </c>
      <c r="V818" t="s">
        <v>3854</v>
      </c>
      <c r="W818" t="s">
        <v>3785</v>
      </c>
      <c r="X818" t="n">
        <v>795935.0</v>
      </c>
      <c r="Y818" t="n">
        <v>0.0</v>
      </c>
      <c r="Z818" t="n">
        <v>0.0</v>
      </c>
      <c r="AA818" t="n">
        <v>0.0</v>
      </c>
      <c r="AB818" t="n">
        <v>0.0</v>
      </c>
      <c r="AC818" t="n">
        <v>0.0</v>
      </c>
      <c r="AD818" t="n">
        <v>0.0</v>
      </c>
      <c r="AE818" t="n">
        <v>397968.0</v>
      </c>
      <c r="AF818" t="n">
        <v>0.0</v>
      </c>
      <c r="AG818" t="n">
        <v>0.0</v>
      </c>
      <c r="AH818" t="n">
        <v>0.0</v>
      </c>
      <c r="AI818" t="n">
        <v>0.0</v>
      </c>
      <c r="AJ818" t="n">
        <v>0.0</v>
      </c>
      <c r="AK818" t="n">
        <v>0.0</v>
      </c>
      <c r="AL818" t="n">
        <v>0.0</v>
      </c>
      <c r="AM818" t="n">
        <v>0.0</v>
      </c>
      <c r="AN818" t="n">
        <v>0.0</v>
      </c>
      <c r="AO818" t="n">
        <v>397968.0</v>
      </c>
      <c r="AP818" t="n">
        <v>39797.0</v>
      </c>
      <c r="AQ818" t="n">
        <v>28817.1</v>
      </c>
      <c r="CH818">
        <f>IFERROR(U818*1,0)</f>
      </c>
    </row>
    <row r="819">
      <c r="A819" t="n">
        <v>12.0</v>
      </c>
      <c r="B819">
        <f>IF((K819-G819-H819&gt;2400000),10,(L819/(K819-G819-H819)*100))</f>
      </c>
      <c r="C819">
        <f>IF(N819&gt;2400000,240000,(N819*S819)/100)</f>
      </c>
      <c r="D819">
        <f>IF(S819=0,0,IF((N819-I819)&gt;2400000,((((((N819-I819-J819)-240000))*0.1+(I819+J819)*0.1)))-7000,((((((N819-I819-J819)-(N819-I819-J819)*S819/100)))*0.1+(I819+J819)*0.1)-7000)))</f>
      </c>
      <c r="E819">
        <f>C819-O819</f>
      </c>
      <c r="F819">
        <f>D819-P819</f>
      </c>
      <c r="G819">
        <f>SUMIF(negtgel!U$2:BL$2,'Tsalin uzuulelt'!B$1,negtgel!U819:BL819) + SUMIF(negtgel!U$2:BL$2,'Tsalin uzuulelt'!B$2,negtgel!U819:BL819)+SUMIF(negtgel!U$2:BL$2,'Tsalin uzuulelt'!B$3,negtgel!U819:BL819)+SUMIF(negtgel!U$2:BL$2,'Tsalin uzuulelt'!B$4,negtgel!U819:BL819)+SUMIF(negtgel!U$2:BL$2,'Tsalin uzuulelt'!B$5,negtgel!U819:BL819)</f>
      </c>
      <c r="H819">
        <f>SUMIF(negtgel!U$2:BL$2,'Tsalin uzuulelt'!F$1,negtgel!U819:BL819) + SUMIF(negtgel!U$2:BL$2,'Tsalin uzuulelt'!F$2,negtgel!U819:BL819)+SUMIF(negtgel!U$2:BL$2,'Tsalin uzuulelt'!F$3,negtgel!U819:BL819)+SUMIF(negtgel!U$2:BL$2,'Tsalin uzuulelt'!F$4,negtgel!U819:BL819)+SUMIF(negtgel!U$2:BL$2,'Tsalin uzuulelt'!F$5,negtgel!U819:BL819)</f>
      </c>
      <c r="I819">
        <f>SUMIF(negtgel!U$2:BL$2,'Tsalin uzuulelt'!H$1,negtgel!U819:BL819) + SUMIF(negtgel!U$2:BL$2,'Tsalin uzuulelt'!H$2,negtgel!U819:BL819)+SUMIF(negtgel!U$2:BL$2,'Tsalin uzuulelt'!H$3,negtgel!U819:BL819)+SUMIF(negtgel!U$2:BL$2,'Tsalin uzuulelt'!H$4,negtgel!U819:BL819)+SUMIF(negtgel!U$2:BL$2,'Tsalin uzuulelt'!H$5,negtgel!U819:BL819)</f>
      </c>
      <c r="J819">
        <f>SUMIF(negtgel!U$2:BL$2,'Tsalin uzuulelt'!J$1,negtgel!U819:BL819) + SUMIF(negtgel!U$2:BL$2,'Tsalin uzuulelt'!J$2,negtgel!U819:BL819)+SUMIF(negtgel!U$2:BL$2,'Tsalin uzuulelt'!J$3,negtgel!U819:BL819)+SUMIF(negtgel!U$2:BL$2,'Tsalin uzuulelt'!J$4,negtgel!U819:BL819)+SUMIF(negtgel!U$2:BL$2,'Tsalin uzuulelt'!J$5,negtgel!U819:BL819)</f>
      </c>
      <c r="K819">
        <f>SUMIF(negtgel!U$2:BL$2,'Tsalin uzuulelt'!L$1,negtgel!U819:BL819) + SUMIF(negtgel!U$2:BL$2,'Tsalin uzuulelt'!L$2,negtgel!U819:BL819)+SUMIF(negtgel!U$2:BL$2,'Tsalin uzuulelt'!L$3,negtgel!U819:BL819)+SUMIF(negtgel!U$2:BL$2,'Tsalin uzuulelt'!L$4,negtgel!U819:BL819)+SUMIF(negtgel!U$2:BL$2,'Tsalin uzuulelt'!L$5,negtgel!U819:BL819)</f>
      </c>
      <c r="L819">
        <f>SUMIF(negtgel!U$2:BL$2,'Tsalin uzuulelt'!N$1,negtgel!U819:BL819) + SUMIF(negtgel!U$2:BL$2,'Tsalin uzuulelt'!N$2,negtgel!U819:BL819)+SUMIF(negtgel!U$2:BL$2,'Tsalin uzuulelt'!N$3,negtgel!U819:BL819)+SUMIF(negtgel!U$2:BL$2,'Tsalin uzuulelt'!N$4,negtgel!U819:BL819)+SUMIF(negtgel!U$2:BL$2,'Tsalin uzuulelt'!N$5,negtgel!U819:BL819)</f>
      </c>
      <c r="M819">
        <f>SUMIF(negtgel!U$2:BL$2,'Tsalin uzuulelt'!P$1,negtgel!U819:BL819) + SUMIF(negtgel!U$2:BL$2,'Tsalin uzuulelt'!P$2,negtgel!U819:BL819)+ SUMIF(negtgel!U$2:BL$2,'Tsalin uzuulelt'!P$3,negtgel!U819:BL819)+ SUMIF(negtgel!U$2:BL$2,'Tsalin uzuulelt'!P$4,negtgel!U819:BL819)+ SUMIF(negtgel!U$2:BL$2,'Tsalin uzuulelt'!P$5,negtgel!U819:BL819)</f>
      </c>
      <c r="N819">
        <f>IF(ISNUMBER(U819*1)=CF819,0,K819-H819-G819)</f>
      </c>
      <c r="O819">
        <f>IF(ISNUMBER(U819*1)=CF819,0,L819)</f>
      </c>
      <c r="P819">
        <f>IF(ISNUMBER(U819*1)=CF819,0,M819)</f>
      </c>
      <c r="Q819">
        <f>IF(N819&gt;2400000,N819,0)</f>
      </c>
      <c r="R819">
        <f>IF(L819/Q819*100&lt;3,2,10)</f>
      </c>
      <c r="S819">
        <f>IF(CH819=0,0,IF(B819&gt;9,10,IF(B819&gt;8,B819,IF(B819&gt;7.7,7.8,IF(B819&gt;3,B819,IF(B819&gt;1.5,2))))))</f>
      </c>
      <c r="T819">
        <f>IF(Q819=0,S819,R819)</f>
      </c>
      <c r="U819" t="n">
        <v>93.0</v>
      </c>
      <c r="V819" t="s">
        <v>3856</v>
      </c>
      <c r="W819" t="s">
        <v>3820</v>
      </c>
      <c r="X819" t="n">
        <v>613669.0</v>
      </c>
      <c r="Y819" t="n">
        <v>613669.0</v>
      </c>
      <c r="Z819" t="n">
        <v>61367.0</v>
      </c>
      <c r="AA819" t="n">
        <v>110460.0</v>
      </c>
      <c r="AB819" t="n">
        <v>0.0</v>
      </c>
      <c r="AC819" t="n">
        <v>0.0</v>
      </c>
      <c r="AD819" t="n">
        <v>0.0</v>
      </c>
      <c r="AE819" t="n">
        <v>306834.0</v>
      </c>
      <c r="AF819" t="n">
        <v>60000.0</v>
      </c>
      <c r="AG819" t="n">
        <v>0.0</v>
      </c>
      <c r="AH819" t="n">
        <v>0.0</v>
      </c>
      <c r="AI819" t="n">
        <v>0.0</v>
      </c>
      <c r="AJ819" t="n">
        <v>0.0</v>
      </c>
      <c r="AK819" t="n">
        <v>0.0</v>
      </c>
      <c r="AL819" t="n">
        <v>0.0</v>
      </c>
      <c r="AM819" t="n">
        <v>0.0</v>
      </c>
      <c r="AN819" t="n">
        <v>0.0</v>
      </c>
      <c r="AO819" t="n">
        <v>1152330.0</v>
      </c>
      <c r="AP819" t="n">
        <v>115234.0</v>
      </c>
      <c r="AQ819" t="n">
        <v>97309.7</v>
      </c>
      <c r="CH819">
        <f>IFERROR(U819*1,0)</f>
      </c>
    </row>
    <row r="820">
      <c r="A820" t="n">
        <v>12.0</v>
      </c>
      <c r="B820">
        <f>IF((K820-G820-H820&gt;2400000),10,(L820/(K820-G820-H820)*100))</f>
      </c>
      <c r="C820">
        <f>IF(N820&gt;2400000,240000,(N820*S820)/100)</f>
      </c>
      <c r="D820">
        <f>IF(S820=0,0,IF((N820-I820)&gt;2400000,((((((N820-I820-J820)-240000))*0.1+(I820+J820)*0.1)))-7000,((((((N820-I820-J820)-(N820-I820-J820)*S820/100)))*0.1+(I820+J820)*0.1)-7000)))</f>
      </c>
      <c r="E820">
        <f>C820-O820</f>
      </c>
      <c r="F820">
        <f>D820-P820</f>
      </c>
      <c r="G820">
        <f>SUMIF(negtgel!U$2:BL$2,'Tsalin uzuulelt'!B$1,negtgel!U820:BL820) + SUMIF(negtgel!U$2:BL$2,'Tsalin uzuulelt'!B$2,negtgel!U820:BL820)+SUMIF(negtgel!U$2:BL$2,'Tsalin uzuulelt'!B$3,negtgel!U820:BL820)+SUMIF(negtgel!U$2:BL$2,'Tsalin uzuulelt'!B$4,negtgel!U820:BL820)+SUMIF(negtgel!U$2:BL$2,'Tsalin uzuulelt'!B$5,negtgel!U820:BL820)</f>
      </c>
      <c r="H820">
        <f>SUMIF(negtgel!U$2:BL$2,'Tsalin uzuulelt'!F$1,negtgel!U820:BL820) + SUMIF(negtgel!U$2:BL$2,'Tsalin uzuulelt'!F$2,negtgel!U820:BL820)+SUMIF(negtgel!U$2:BL$2,'Tsalin uzuulelt'!F$3,negtgel!U820:BL820)+SUMIF(negtgel!U$2:BL$2,'Tsalin uzuulelt'!F$4,negtgel!U820:BL820)+SUMIF(negtgel!U$2:BL$2,'Tsalin uzuulelt'!F$5,negtgel!U820:BL820)</f>
      </c>
      <c r="I820">
        <f>SUMIF(negtgel!U$2:BL$2,'Tsalin uzuulelt'!H$1,negtgel!U820:BL820) + SUMIF(negtgel!U$2:BL$2,'Tsalin uzuulelt'!H$2,negtgel!U820:BL820)+SUMIF(negtgel!U$2:BL$2,'Tsalin uzuulelt'!H$3,negtgel!U820:BL820)+SUMIF(negtgel!U$2:BL$2,'Tsalin uzuulelt'!H$4,negtgel!U820:BL820)+SUMIF(negtgel!U$2:BL$2,'Tsalin uzuulelt'!H$5,negtgel!U820:BL820)</f>
      </c>
      <c r="J820">
        <f>SUMIF(negtgel!U$2:BL$2,'Tsalin uzuulelt'!J$1,negtgel!U820:BL820) + SUMIF(negtgel!U$2:BL$2,'Tsalin uzuulelt'!J$2,negtgel!U820:BL820)+SUMIF(negtgel!U$2:BL$2,'Tsalin uzuulelt'!J$3,negtgel!U820:BL820)+SUMIF(negtgel!U$2:BL$2,'Tsalin uzuulelt'!J$4,negtgel!U820:BL820)+SUMIF(negtgel!U$2:BL$2,'Tsalin uzuulelt'!J$5,negtgel!U820:BL820)</f>
      </c>
      <c r="K820">
        <f>SUMIF(negtgel!U$2:BL$2,'Tsalin uzuulelt'!L$1,negtgel!U820:BL820) + SUMIF(negtgel!U$2:BL$2,'Tsalin uzuulelt'!L$2,negtgel!U820:BL820)+SUMIF(negtgel!U$2:BL$2,'Tsalin uzuulelt'!L$3,negtgel!U820:BL820)+SUMIF(negtgel!U$2:BL$2,'Tsalin uzuulelt'!L$4,negtgel!U820:BL820)+SUMIF(negtgel!U$2:BL$2,'Tsalin uzuulelt'!L$5,negtgel!U820:BL820)</f>
      </c>
      <c r="L820">
        <f>SUMIF(negtgel!U$2:BL$2,'Tsalin uzuulelt'!N$1,negtgel!U820:BL820) + SUMIF(negtgel!U$2:BL$2,'Tsalin uzuulelt'!N$2,negtgel!U820:BL820)+SUMIF(negtgel!U$2:BL$2,'Tsalin uzuulelt'!N$3,negtgel!U820:BL820)+SUMIF(negtgel!U$2:BL$2,'Tsalin uzuulelt'!N$4,negtgel!U820:BL820)+SUMIF(negtgel!U$2:BL$2,'Tsalin uzuulelt'!N$5,negtgel!U820:BL820)</f>
      </c>
      <c r="M820">
        <f>SUMIF(negtgel!U$2:BL$2,'Tsalin uzuulelt'!P$1,negtgel!U820:BL820) + SUMIF(negtgel!U$2:BL$2,'Tsalin uzuulelt'!P$2,negtgel!U820:BL820)+ SUMIF(negtgel!U$2:BL$2,'Tsalin uzuulelt'!P$3,negtgel!U820:BL820)+ SUMIF(negtgel!U$2:BL$2,'Tsalin uzuulelt'!P$4,negtgel!U820:BL820)+ SUMIF(negtgel!U$2:BL$2,'Tsalin uzuulelt'!P$5,negtgel!U820:BL820)</f>
      </c>
      <c r="N820">
        <f>IF(ISNUMBER(U820*1)=CF820,0,K820-H820-G820)</f>
      </c>
      <c r="O820">
        <f>IF(ISNUMBER(U820*1)=CF820,0,L820)</f>
      </c>
      <c r="P820">
        <f>IF(ISNUMBER(U820*1)=CF820,0,M820)</f>
      </c>
      <c r="Q820">
        <f>IF(N820&gt;2400000,N820,0)</f>
      </c>
      <c r="R820">
        <f>IF(L820/Q820*100&lt;3,2,10)</f>
      </c>
      <c r="S820">
        <f>IF(CH820=0,0,IF(B820&gt;9,10,IF(B820&gt;8,B820,IF(B820&gt;7.7,7.8,IF(B820&gt;3,B820,IF(B820&gt;1.5,2))))))</f>
      </c>
      <c r="T820">
        <f>IF(Q820=0,S820,R820)</f>
      </c>
      <c r="U820" t="n">
        <v>94.0</v>
      </c>
      <c r="V820" t="s">
        <v>3857</v>
      </c>
      <c r="W820" t="s">
        <v>3790</v>
      </c>
      <c r="X820" t="n">
        <v>613669.0</v>
      </c>
      <c r="Y820" t="n">
        <v>613669.0</v>
      </c>
      <c r="Z820" t="n">
        <v>61367.0</v>
      </c>
      <c r="AA820" t="n">
        <v>104324.0</v>
      </c>
      <c r="AB820" t="n">
        <v>0.0</v>
      </c>
      <c r="AC820" t="n">
        <v>0.0</v>
      </c>
      <c r="AD820" t="n">
        <v>0.0</v>
      </c>
      <c r="AE820" t="n">
        <v>306834.0</v>
      </c>
      <c r="AF820" t="n">
        <v>60000.0</v>
      </c>
      <c r="AG820" t="n">
        <v>0.0</v>
      </c>
      <c r="AH820" t="n">
        <v>0.0</v>
      </c>
      <c r="AI820" t="n">
        <v>0.0</v>
      </c>
      <c r="AJ820" t="n">
        <v>0.0</v>
      </c>
      <c r="AK820" t="n">
        <v>0.0</v>
      </c>
      <c r="AL820" t="n">
        <v>0.0</v>
      </c>
      <c r="AM820" t="n">
        <v>0.0</v>
      </c>
      <c r="AN820" t="n">
        <v>0.0</v>
      </c>
      <c r="AO820" t="n">
        <v>1146194.0</v>
      </c>
      <c r="AP820" t="n">
        <v>114620.0</v>
      </c>
      <c r="AQ820" t="n">
        <v>96757.5</v>
      </c>
      <c r="CH820">
        <f>IFERROR(U820*1,0)</f>
      </c>
    </row>
    <row r="821">
      <c r="A821" t="n">
        <v>12.0</v>
      </c>
      <c r="B821">
        <f>IF((K821-G821-H821&gt;2400000),10,(L821/(K821-G821-H821)*100))</f>
      </c>
      <c r="C821">
        <f>IF(N821&gt;2400000,240000,(N821*S821)/100)</f>
      </c>
      <c r="D821">
        <f>IF(S821=0,0,IF((N821-I821)&gt;2400000,((((((N821-I821-J821)-240000))*0.1+(I821+J821)*0.1)))-7000,((((((N821-I821-J821)-(N821-I821-J821)*S821/100)))*0.1+(I821+J821)*0.1)-7000)))</f>
      </c>
      <c r="E821">
        <f>C821-O821</f>
      </c>
      <c r="F821">
        <f>D821-P821</f>
      </c>
      <c r="G821">
        <f>SUMIF(negtgel!U$2:BL$2,'Tsalin uzuulelt'!B$1,negtgel!U821:BL821) + SUMIF(negtgel!U$2:BL$2,'Tsalin uzuulelt'!B$2,negtgel!U821:BL821)+SUMIF(negtgel!U$2:BL$2,'Tsalin uzuulelt'!B$3,negtgel!U821:BL821)+SUMIF(negtgel!U$2:BL$2,'Tsalin uzuulelt'!B$4,negtgel!U821:BL821)+SUMIF(negtgel!U$2:BL$2,'Tsalin uzuulelt'!B$5,negtgel!U821:BL821)</f>
      </c>
      <c r="H821">
        <f>SUMIF(negtgel!U$2:BL$2,'Tsalin uzuulelt'!F$1,negtgel!U821:BL821) + SUMIF(negtgel!U$2:BL$2,'Tsalin uzuulelt'!F$2,negtgel!U821:BL821)+SUMIF(negtgel!U$2:BL$2,'Tsalin uzuulelt'!F$3,negtgel!U821:BL821)+SUMIF(negtgel!U$2:BL$2,'Tsalin uzuulelt'!F$4,negtgel!U821:BL821)+SUMIF(negtgel!U$2:BL$2,'Tsalin uzuulelt'!F$5,negtgel!U821:BL821)</f>
      </c>
      <c r="I821">
        <f>SUMIF(negtgel!U$2:BL$2,'Tsalin uzuulelt'!H$1,negtgel!U821:BL821) + SUMIF(negtgel!U$2:BL$2,'Tsalin uzuulelt'!H$2,negtgel!U821:BL821)+SUMIF(negtgel!U$2:BL$2,'Tsalin uzuulelt'!H$3,negtgel!U821:BL821)+SUMIF(negtgel!U$2:BL$2,'Tsalin uzuulelt'!H$4,negtgel!U821:BL821)+SUMIF(negtgel!U$2:BL$2,'Tsalin uzuulelt'!H$5,negtgel!U821:BL821)</f>
      </c>
      <c r="J821">
        <f>SUMIF(negtgel!U$2:BL$2,'Tsalin uzuulelt'!J$1,negtgel!U821:BL821) + SUMIF(negtgel!U$2:BL$2,'Tsalin uzuulelt'!J$2,negtgel!U821:BL821)+SUMIF(negtgel!U$2:BL$2,'Tsalin uzuulelt'!J$3,negtgel!U821:BL821)+SUMIF(negtgel!U$2:BL$2,'Tsalin uzuulelt'!J$4,negtgel!U821:BL821)+SUMIF(negtgel!U$2:BL$2,'Tsalin uzuulelt'!J$5,negtgel!U821:BL821)</f>
      </c>
      <c r="K821">
        <f>SUMIF(negtgel!U$2:BL$2,'Tsalin uzuulelt'!L$1,negtgel!U821:BL821) + SUMIF(negtgel!U$2:BL$2,'Tsalin uzuulelt'!L$2,negtgel!U821:BL821)+SUMIF(negtgel!U$2:BL$2,'Tsalin uzuulelt'!L$3,negtgel!U821:BL821)+SUMIF(negtgel!U$2:BL$2,'Tsalin uzuulelt'!L$4,negtgel!U821:BL821)+SUMIF(negtgel!U$2:BL$2,'Tsalin uzuulelt'!L$5,negtgel!U821:BL821)</f>
      </c>
      <c r="L821">
        <f>SUMIF(negtgel!U$2:BL$2,'Tsalin uzuulelt'!N$1,negtgel!U821:BL821) + SUMIF(negtgel!U$2:BL$2,'Tsalin uzuulelt'!N$2,negtgel!U821:BL821)+SUMIF(negtgel!U$2:BL$2,'Tsalin uzuulelt'!N$3,negtgel!U821:BL821)+SUMIF(negtgel!U$2:BL$2,'Tsalin uzuulelt'!N$4,negtgel!U821:BL821)+SUMIF(negtgel!U$2:BL$2,'Tsalin uzuulelt'!N$5,negtgel!U821:BL821)</f>
      </c>
      <c r="M821">
        <f>SUMIF(negtgel!U$2:BL$2,'Tsalin uzuulelt'!P$1,negtgel!U821:BL821) + SUMIF(negtgel!U$2:BL$2,'Tsalin uzuulelt'!P$2,negtgel!U821:BL821)+ SUMIF(negtgel!U$2:BL$2,'Tsalin uzuulelt'!P$3,negtgel!U821:BL821)+ SUMIF(negtgel!U$2:BL$2,'Tsalin uzuulelt'!P$4,negtgel!U821:BL821)+ SUMIF(negtgel!U$2:BL$2,'Tsalin uzuulelt'!P$5,negtgel!U821:BL821)</f>
      </c>
      <c r="N821">
        <f>IF(ISNUMBER(U821*1)=CF821,0,K821-H821-G821)</f>
      </c>
      <c r="O821">
        <f>IF(ISNUMBER(U821*1)=CF821,0,L821)</f>
      </c>
      <c r="P821">
        <f>IF(ISNUMBER(U821*1)=CF821,0,M821)</f>
      </c>
      <c r="Q821">
        <f>IF(N821&gt;2400000,N821,0)</f>
      </c>
      <c r="R821">
        <f>IF(L821/Q821*100&lt;3,2,10)</f>
      </c>
      <c r="S821">
        <f>IF(CH821=0,0,IF(B821&gt;9,10,IF(B821&gt;8,B821,IF(B821&gt;7.7,7.8,IF(B821&gt;3,B821,IF(B821&gt;1.5,2))))))</f>
      </c>
      <c r="T821">
        <f>IF(Q821=0,S821,R821)</f>
      </c>
      <c r="U821" t="n">
        <v>95.0</v>
      </c>
      <c r="V821" t="s">
        <v>3882</v>
      </c>
      <c r="W821" t="s">
        <v>3785</v>
      </c>
      <c r="X821" t="n">
        <v>795935.0</v>
      </c>
      <c r="Y821" t="n">
        <v>795935.0</v>
      </c>
      <c r="Z821" t="n">
        <v>198984.0</v>
      </c>
      <c r="AA821" t="n">
        <v>159187.0</v>
      </c>
      <c r="AB821" t="n">
        <v>0.0</v>
      </c>
      <c r="AC821" t="n">
        <v>119390.0</v>
      </c>
      <c r="AD821" t="n">
        <v>0.0</v>
      </c>
      <c r="AE821" t="n">
        <v>0.0</v>
      </c>
      <c r="AF821" t="n">
        <v>60000.0</v>
      </c>
      <c r="AG821" t="n">
        <v>0.0</v>
      </c>
      <c r="AH821" t="n">
        <v>0.0</v>
      </c>
      <c r="AI821" t="n">
        <v>0.0</v>
      </c>
      <c r="AJ821" t="n">
        <v>0.0</v>
      </c>
      <c r="AK821" t="n">
        <v>0.0</v>
      </c>
      <c r="AL821" t="n">
        <v>0.0</v>
      </c>
      <c r="AM821" t="n">
        <v>0.0</v>
      </c>
      <c r="AN821" t="n">
        <v>0.0</v>
      </c>
      <c r="AO821" t="n">
        <v>1333496.0</v>
      </c>
      <c r="AP821" t="n">
        <v>133350.0</v>
      </c>
      <c r="AQ821" t="n">
        <v>113614.6</v>
      </c>
      <c r="CH821">
        <f>IFERROR(U821*1,0)</f>
      </c>
    </row>
    <row r="822">
      <c r="A822" t="n">
        <v>12.0</v>
      </c>
      <c r="B822">
        <f>IF((K822-G822-H822&gt;2400000),10,(L822/(K822-G822-H822)*100))</f>
      </c>
      <c r="C822">
        <f>IF(N822&gt;2400000,240000,(N822*S822)/100)</f>
      </c>
      <c r="D822">
        <f>IF(S822=0,0,IF((N822-I822)&gt;2400000,((((((N822-I822-J822)-240000))*0.1+(I822+J822)*0.1)))-7000,((((((N822-I822-J822)-(N822-I822-J822)*S822/100)))*0.1+(I822+J822)*0.1)-7000)))</f>
      </c>
      <c r="E822">
        <f>C822-O822</f>
      </c>
      <c r="F822">
        <f>D822-P822</f>
      </c>
      <c r="G822">
        <f>SUMIF(negtgel!U$2:BL$2,'Tsalin uzuulelt'!B$1,negtgel!U822:BL822) + SUMIF(negtgel!U$2:BL$2,'Tsalin uzuulelt'!B$2,negtgel!U822:BL822)+SUMIF(negtgel!U$2:BL$2,'Tsalin uzuulelt'!B$3,negtgel!U822:BL822)+SUMIF(negtgel!U$2:BL$2,'Tsalin uzuulelt'!B$4,negtgel!U822:BL822)+SUMIF(negtgel!U$2:BL$2,'Tsalin uzuulelt'!B$5,negtgel!U822:BL822)</f>
      </c>
      <c r="H822">
        <f>SUMIF(negtgel!U$2:BL$2,'Tsalin uzuulelt'!F$1,negtgel!U822:BL822) + SUMIF(negtgel!U$2:BL$2,'Tsalin uzuulelt'!F$2,negtgel!U822:BL822)+SUMIF(negtgel!U$2:BL$2,'Tsalin uzuulelt'!F$3,negtgel!U822:BL822)+SUMIF(negtgel!U$2:BL$2,'Tsalin uzuulelt'!F$4,negtgel!U822:BL822)+SUMIF(negtgel!U$2:BL$2,'Tsalin uzuulelt'!F$5,negtgel!U822:BL822)</f>
      </c>
      <c r="I822">
        <f>SUMIF(negtgel!U$2:BL$2,'Tsalin uzuulelt'!H$1,negtgel!U822:BL822) + SUMIF(negtgel!U$2:BL$2,'Tsalin uzuulelt'!H$2,negtgel!U822:BL822)+SUMIF(negtgel!U$2:BL$2,'Tsalin uzuulelt'!H$3,negtgel!U822:BL822)+SUMIF(negtgel!U$2:BL$2,'Tsalin uzuulelt'!H$4,negtgel!U822:BL822)+SUMIF(negtgel!U$2:BL$2,'Tsalin uzuulelt'!H$5,negtgel!U822:BL822)</f>
      </c>
      <c r="J822">
        <f>SUMIF(negtgel!U$2:BL$2,'Tsalin uzuulelt'!J$1,negtgel!U822:BL822) + SUMIF(negtgel!U$2:BL$2,'Tsalin uzuulelt'!J$2,negtgel!U822:BL822)+SUMIF(negtgel!U$2:BL$2,'Tsalin uzuulelt'!J$3,negtgel!U822:BL822)+SUMIF(negtgel!U$2:BL$2,'Tsalin uzuulelt'!J$4,negtgel!U822:BL822)+SUMIF(negtgel!U$2:BL$2,'Tsalin uzuulelt'!J$5,negtgel!U822:BL822)</f>
      </c>
      <c r="K822">
        <f>SUMIF(negtgel!U$2:BL$2,'Tsalin uzuulelt'!L$1,negtgel!U822:BL822) + SUMIF(negtgel!U$2:BL$2,'Tsalin uzuulelt'!L$2,negtgel!U822:BL822)+SUMIF(negtgel!U$2:BL$2,'Tsalin uzuulelt'!L$3,negtgel!U822:BL822)+SUMIF(negtgel!U$2:BL$2,'Tsalin uzuulelt'!L$4,negtgel!U822:BL822)+SUMIF(negtgel!U$2:BL$2,'Tsalin uzuulelt'!L$5,negtgel!U822:BL822)</f>
      </c>
      <c r="L822">
        <f>SUMIF(negtgel!U$2:BL$2,'Tsalin uzuulelt'!N$1,negtgel!U822:BL822) + SUMIF(negtgel!U$2:BL$2,'Tsalin uzuulelt'!N$2,negtgel!U822:BL822)+SUMIF(negtgel!U$2:BL$2,'Tsalin uzuulelt'!N$3,negtgel!U822:BL822)+SUMIF(negtgel!U$2:BL$2,'Tsalin uzuulelt'!N$4,negtgel!U822:BL822)+SUMIF(negtgel!U$2:BL$2,'Tsalin uzuulelt'!N$5,negtgel!U822:BL822)</f>
      </c>
      <c r="M822">
        <f>SUMIF(negtgel!U$2:BL$2,'Tsalin uzuulelt'!P$1,negtgel!U822:BL822) + SUMIF(negtgel!U$2:BL$2,'Tsalin uzuulelt'!P$2,negtgel!U822:BL822)+ SUMIF(negtgel!U$2:BL$2,'Tsalin uzuulelt'!P$3,negtgel!U822:BL822)+ SUMIF(negtgel!U$2:BL$2,'Tsalin uzuulelt'!P$4,negtgel!U822:BL822)+ SUMIF(negtgel!U$2:BL$2,'Tsalin uzuulelt'!P$5,negtgel!U822:BL822)</f>
      </c>
      <c r="N822">
        <f>IF(ISNUMBER(U822*1)=CF822,0,K822-H822-G822)</f>
      </c>
      <c r="O822">
        <f>IF(ISNUMBER(U822*1)=CF822,0,L822)</f>
      </c>
      <c r="P822">
        <f>IF(ISNUMBER(U822*1)=CF822,0,M822)</f>
      </c>
      <c r="Q822">
        <f>IF(N822&gt;2400000,N822,0)</f>
      </c>
      <c r="R822">
        <f>IF(L822/Q822*100&lt;3,2,10)</f>
      </c>
      <c r="S822">
        <f>IF(CH822=0,0,IF(B822&gt;9,10,IF(B822&gt;8,B822,IF(B822&gt;7.7,7.8,IF(B822&gt;3,B822,IF(B822&gt;1.5,2))))))</f>
      </c>
      <c r="T822">
        <f>IF(Q822=0,S822,R822)</f>
      </c>
      <c r="U822" t="s">
        <v>3787</v>
      </c>
      <c r="V822"/>
      <c r="W822"/>
      <c r="X822" t="n">
        <v>8068761.0</v>
      </c>
      <c r="Y822" t="n">
        <v>6832493.0</v>
      </c>
      <c r="Z822" t="n">
        <v>1076607.0</v>
      </c>
      <c r="AA822" t="n">
        <v>1293495.0</v>
      </c>
      <c r="AB822" t="n">
        <v>16936.0</v>
      </c>
      <c r="AC822" t="n">
        <v>119390.0</v>
      </c>
      <c r="AD822" t="n">
        <v>0.0</v>
      </c>
      <c r="AE822" t="n">
        <v>3636412.0</v>
      </c>
      <c r="AF822" t="n">
        <v>621000.0</v>
      </c>
      <c r="AG822" t="n">
        <v>0.0</v>
      </c>
      <c r="AH822" t="n">
        <v>0.0</v>
      </c>
      <c r="AI822" t="n">
        <v>0.0</v>
      </c>
      <c r="AJ822" t="n">
        <v>0.0</v>
      </c>
      <c r="AK822" t="n">
        <v>0.0</v>
      </c>
      <c r="AL822" t="n">
        <v>202585.0</v>
      </c>
      <c r="AM822" t="n">
        <v>0.0</v>
      </c>
      <c r="AN822" t="n">
        <v>0.0</v>
      </c>
      <c r="AO822" t="n">
        <v>1.3798918E7</v>
      </c>
      <c r="AP822" t="n">
        <v>1359635.0</v>
      </c>
      <c r="AQ822" t="n">
        <v>1145879.8</v>
      </c>
      <c r="CH822">
        <f>IFERROR(U822*1,0)</f>
      </c>
    </row>
    <row r="823">
      <c r="A823" t="n">
        <v>12.0</v>
      </c>
      <c r="B823">
        <f>IF((K823-G823-H823&gt;2400000),10,(L823/(K823-G823-H823)*100))</f>
      </c>
      <c r="C823">
        <f>IF(N823&gt;2400000,240000,(N823*S823)/100)</f>
      </c>
      <c r="D823">
        <f>IF(S823=0,0,IF((N823-I823)&gt;2400000,((((((N823-I823-J823)-240000))*0.1+(I823+J823)*0.1)))-7000,((((((N823-I823-J823)-(N823-I823-J823)*S823/100)))*0.1+(I823+J823)*0.1)-7000)))</f>
      </c>
      <c r="E823">
        <f>C823-O823</f>
      </c>
      <c r="F823">
        <f>D823-P823</f>
      </c>
      <c r="G823">
        <f>SUMIF(negtgel!U$2:BL$2,'Tsalin uzuulelt'!B$1,negtgel!U823:BL823) + SUMIF(negtgel!U$2:BL$2,'Tsalin uzuulelt'!B$2,negtgel!U823:BL823)+SUMIF(negtgel!U$2:BL$2,'Tsalin uzuulelt'!B$3,negtgel!U823:BL823)+SUMIF(negtgel!U$2:BL$2,'Tsalin uzuulelt'!B$4,negtgel!U823:BL823)+SUMIF(negtgel!U$2:BL$2,'Tsalin uzuulelt'!B$5,negtgel!U823:BL823)</f>
      </c>
      <c r="H823">
        <f>SUMIF(negtgel!U$2:BL$2,'Tsalin uzuulelt'!F$1,negtgel!U823:BL823) + SUMIF(negtgel!U$2:BL$2,'Tsalin uzuulelt'!F$2,negtgel!U823:BL823)+SUMIF(negtgel!U$2:BL$2,'Tsalin uzuulelt'!F$3,negtgel!U823:BL823)+SUMIF(negtgel!U$2:BL$2,'Tsalin uzuulelt'!F$4,negtgel!U823:BL823)+SUMIF(negtgel!U$2:BL$2,'Tsalin uzuulelt'!F$5,negtgel!U823:BL823)</f>
      </c>
      <c r="I823">
        <f>SUMIF(negtgel!U$2:BL$2,'Tsalin uzuulelt'!H$1,negtgel!U823:BL823) + SUMIF(negtgel!U$2:BL$2,'Tsalin uzuulelt'!H$2,negtgel!U823:BL823)+SUMIF(negtgel!U$2:BL$2,'Tsalin uzuulelt'!H$3,negtgel!U823:BL823)+SUMIF(negtgel!U$2:BL$2,'Tsalin uzuulelt'!H$4,negtgel!U823:BL823)+SUMIF(negtgel!U$2:BL$2,'Tsalin uzuulelt'!H$5,negtgel!U823:BL823)</f>
      </c>
      <c r="J823">
        <f>SUMIF(negtgel!U$2:BL$2,'Tsalin uzuulelt'!J$1,negtgel!U823:BL823) + SUMIF(negtgel!U$2:BL$2,'Tsalin uzuulelt'!J$2,negtgel!U823:BL823)+SUMIF(negtgel!U$2:BL$2,'Tsalin uzuulelt'!J$3,negtgel!U823:BL823)+SUMIF(negtgel!U$2:BL$2,'Tsalin uzuulelt'!J$4,negtgel!U823:BL823)+SUMIF(negtgel!U$2:BL$2,'Tsalin uzuulelt'!J$5,negtgel!U823:BL823)</f>
      </c>
      <c r="K823">
        <f>SUMIF(negtgel!U$2:BL$2,'Tsalin uzuulelt'!L$1,negtgel!U823:BL823) + SUMIF(negtgel!U$2:BL$2,'Tsalin uzuulelt'!L$2,negtgel!U823:BL823)+SUMIF(negtgel!U$2:BL$2,'Tsalin uzuulelt'!L$3,negtgel!U823:BL823)+SUMIF(negtgel!U$2:BL$2,'Tsalin uzuulelt'!L$4,negtgel!U823:BL823)+SUMIF(negtgel!U$2:BL$2,'Tsalin uzuulelt'!L$5,negtgel!U823:BL823)</f>
      </c>
      <c r="L823">
        <f>SUMIF(negtgel!U$2:BL$2,'Tsalin uzuulelt'!N$1,negtgel!U823:BL823) + SUMIF(negtgel!U$2:BL$2,'Tsalin uzuulelt'!N$2,negtgel!U823:BL823)+SUMIF(negtgel!U$2:BL$2,'Tsalin uzuulelt'!N$3,negtgel!U823:BL823)+SUMIF(negtgel!U$2:BL$2,'Tsalin uzuulelt'!N$4,negtgel!U823:BL823)+SUMIF(negtgel!U$2:BL$2,'Tsalin uzuulelt'!N$5,negtgel!U823:BL823)</f>
      </c>
      <c r="M823">
        <f>SUMIF(negtgel!U$2:BL$2,'Tsalin uzuulelt'!P$1,negtgel!U823:BL823) + SUMIF(negtgel!U$2:BL$2,'Tsalin uzuulelt'!P$2,negtgel!U823:BL823)+ SUMIF(negtgel!U$2:BL$2,'Tsalin uzuulelt'!P$3,negtgel!U823:BL823)+ SUMIF(negtgel!U$2:BL$2,'Tsalin uzuulelt'!P$4,negtgel!U823:BL823)+ SUMIF(negtgel!U$2:BL$2,'Tsalin uzuulelt'!P$5,negtgel!U823:BL823)</f>
      </c>
      <c r="N823">
        <f>IF(ISNUMBER(U823*1)=CF823,0,K823-H823-G823)</f>
      </c>
      <c r="O823">
        <f>IF(ISNUMBER(U823*1)=CF823,0,L823)</f>
      </c>
      <c r="P823">
        <f>IF(ISNUMBER(U823*1)=CF823,0,M823)</f>
      </c>
      <c r="Q823">
        <f>IF(N823&gt;2400000,N823,0)</f>
      </c>
      <c r="R823">
        <f>IF(L823/Q823*100&lt;3,2,10)</f>
      </c>
      <c r="S823">
        <f>IF(CH823=0,0,IF(B823&gt;9,10,IF(B823&gt;8,B823,IF(B823&gt;7.7,7.8,IF(B823&gt;3,B823,IF(B823&gt;1.5,2))))))</f>
      </c>
      <c r="T823">
        <f>IF(Q823=0,S823,R823)</f>
      </c>
      <c r="U823" t="s">
        <v>3858</v>
      </c>
      <c r="V823"/>
      <c r="W823"/>
      <c r="X823"/>
      <c r="Y823"/>
      <c r="Z823"/>
      <c r="AA823"/>
      <c r="AB823"/>
      <c r="AC823"/>
      <c r="AD823"/>
      <c r="AE823"/>
      <c r="AF823"/>
      <c r="AG823"/>
      <c r="AH823"/>
      <c r="AI823"/>
      <c r="AJ823"/>
      <c r="AK823"/>
      <c r="AL823"/>
      <c r="AM823"/>
      <c r="AN823"/>
      <c r="AO823"/>
      <c r="AP823"/>
      <c r="AQ823"/>
      <c r="CH823">
        <f>IFERROR(U823*1,0)</f>
      </c>
    </row>
    <row r="824">
      <c r="A824" t="n">
        <v>12.0</v>
      </c>
      <c r="B824">
        <f>IF((K824-G824-H824&gt;2400000),10,(L824/(K824-G824-H824)*100))</f>
      </c>
      <c r="C824">
        <f>IF(N824&gt;2400000,240000,(N824*S824)/100)</f>
      </c>
      <c r="D824">
        <f>IF(S824=0,0,IF((N824-I824)&gt;2400000,((((((N824-I824-J824)-240000))*0.1+(I824+J824)*0.1)))-7000,((((((N824-I824-J824)-(N824-I824-J824)*S824/100)))*0.1+(I824+J824)*0.1)-7000)))</f>
      </c>
      <c r="E824">
        <f>C824-O824</f>
      </c>
      <c r="F824">
        <f>D824-P824</f>
      </c>
      <c r="G824">
        <f>SUMIF(negtgel!U$2:BL$2,'Tsalin uzuulelt'!B$1,negtgel!U824:BL824) + SUMIF(negtgel!U$2:BL$2,'Tsalin uzuulelt'!B$2,negtgel!U824:BL824)+SUMIF(negtgel!U$2:BL$2,'Tsalin uzuulelt'!B$3,negtgel!U824:BL824)+SUMIF(negtgel!U$2:BL$2,'Tsalin uzuulelt'!B$4,negtgel!U824:BL824)+SUMIF(negtgel!U$2:BL$2,'Tsalin uzuulelt'!B$5,negtgel!U824:BL824)</f>
      </c>
      <c r="H824">
        <f>SUMIF(negtgel!U$2:BL$2,'Tsalin uzuulelt'!F$1,negtgel!U824:BL824) + SUMIF(negtgel!U$2:BL$2,'Tsalin uzuulelt'!F$2,negtgel!U824:BL824)+SUMIF(negtgel!U$2:BL$2,'Tsalin uzuulelt'!F$3,negtgel!U824:BL824)+SUMIF(negtgel!U$2:BL$2,'Tsalin uzuulelt'!F$4,negtgel!U824:BL824)+SUMIF(negtgel!U$2:BL$2,'Tsalin uzuulelt'!F$5,negtgel!U824:BL824)</f>
      </c>
      <c r="I824">
        <f>SUMIF(negtgel!U$2:BL$2,'Tsalin uzuulelt'!H$1,negtgel!U824:BL824) + SUMIF(negtgel!U$2:BL$2,'Tsalin uzuulelt'!H$2,negtgel!U824:BL824)+SUMIF(negtgel!U$2:BL$2,'Tsalin uzuulelt'!H$3,negtgel!U824:BL824)+SUMIF(negtgel!U$2:BL$2,'Tsalin uzuulelt'!H$4,negtgel!U824:BL824)+SUMIF(negtgel!U$2:BL$2,'Tsalin uzuulelt'!H$5,negtgel!U824:BL824)</f>
      </c>
      <c r="J824">
        <f>SUMIF(negtgel!U$2:BL$2,'Tsalin uzuulelt'!J$1,negtgel!U824:BL824) + SUMIF(negtgel!U$2:BL$2,'Tsalin uzuulelt'!J$2,negtgel!U824:BL824)+SUMIF(negtgel!U$2:BL$2,'Tsalin uzuulelt'!J$3,negtgel!U824:BL824)+SUMIF(negtgel!U$2:BL$2,'Tsalin uzuulelt'!J$4,negtgel!U824:BL824)+SUMIF(negtgel!U$2:BL$2,'Tsalin uzuulelt'!J$5,negtgel!U824:BL824)</f>
      </c>
      <c r="K824">
        <f>SUMIF(negtgel!U$2:BL$2,'Tsalin uzuulelt'!L$1,negtgel!U824:BL824) + SUMIF(negtgel!U$2:BL$2,'Tsalin uzuulelt'!L$2,negtgel!U824:BL824)+SUMIF(negtgel!U$2:BL$2,'Tsalin uzuulelt'!L$3,negtgel!U824:BL824)+SUMIF(negtgel!U$2:BL$2,'Tsalin uzuulelt'!L$4,negtgel!U824:BL824)+SUMIF(negtgel!U$2:BL$2,'Tsalin uzuulelt'!L$5,negtgel!U824:BL824)</f>
      </c>
      <c r="L824">
        <f>SUMIF(negtgel!U$2:BL$2,'Tsalin uzuulelt'!N$1,negtgel!U824:BL824) + SUMIF(negtgel!U$2:BL$2,'Tsalin uzuulelt'!N$2,negtgel!U824:BL824)+SUMIF(negtgel!U$2:BL$2,'Tsalin uzuulelt'!N$3,negtgel!U824:BL824)+SUMIF(negtgel!U$2:BL$2,'Tsalin uzuulelt'!N$4,negtgel!U824:BL824)+SUMIF(negtgel!U$2:BL$2,'Tsalin uzuulelt'!N$5,negtgel!U824:BL824)</f>
      </c>
      <c r="M824">
        <f>SUMIF(negtgel!U$2:BL$2,'Tsalin uzuulelt'!P$1,negtgel!U824:BL824) + SUMIF(negtgel!U$2:BL$2,'Tsalin uzuulelt'!P$2,negtgel!U824:BL824)+ SUMIF(negtgel!U$2:BL$2,'Tsalin uzuulelt'!P$3,negtgel!U824:BL824)+ SUMIF(negtgel!U$2:BL$2,'Tsalin uzuulelt'!P$4,negtgel!U824:BL824)+ SUMIF(negtgel!U$2:BL$2,'Tsalin uzuulelt'!P$5,negtgel!U824:BL824)</f>
      </c>
      <c r="N824">
        <f>IF(ISNUMBER(U824*1)=CF824,0,K824-H824-G824)</f>
      </c>
      <c r="O824">
        <f>IF(ISNUMBER(U824*1)=CF824,0,L824)</f>
      </c>
      <c r="P824">
        <f>IF(ISNUMBER(U824*1)=CF824,0,M824)</f>
      </c>
      <c r="Q824">
        <f>IF(N824&gt;2400000,N824,0)</f>
      </c>
      <c r="R824">
        <f>IF(L824/Q824*100&lt;3,2,10)</f>
      </c>
      <c r="S824">
        <f>IF(CH824=0,0,IF(B824&gt;9,10,IF(B824&gt;8,B824,IF(B824&gt;7.7,7.8,IF(B824&gt;3,B824,IF(B824&gt;1.5,2))))))</f>
      </c>
      <c r="T824">
        <f>IF(Q824=0,S824,R824)</f>
      </c>
      <c r="U824" t="n">
        <v>96.0</v>
      </c>
      <c r="V824" t="s">
        <v>3859</v>
      </c>
      <c r="W824" t="s">
        <v>3790</v>
      </c>
      <c r="X824" t="n">
        <v>580710.0</v>
      </c>
      <c r="Y824" t="n">
        <v>0.0</v>
      </c>
      <c r="Z824" t="n">
        <v>0.0</v>
      </c>
      <c r="AA824" t="n">
        <v>0.0</v>
      </c>
      <c r="AB824" t="n">
        <v>0.0</v>
      </c>
      <c r="AC824" t="n">
        <v>0.0</v>
      </c>
      <c r="AD824" t="n">
        <v>0.0</v>
      </c>
      <c r="AE824" t="n">
        <v>0.0</v>
      </c>
      <c r="AF824" t="n">
        <v>0.0</v>
      </c>
      <c r="AG824" t="n">
        <v>0.0</v>
      </c>
      <c r="AH824" t="n">
        <v>0.0</v>
      </c>
      <c r="AI824" t="n">
        <v>0.0</v>
      </c>
      <c r="AJ824" t="n">
        <v>0.0</v>
      </c>
      <c r="AK824" t="n">
        <v>0.0</v>
      </c>
      <c r="AL824" t="n">
        <v>0.0</v>
      </c>
      <c r="AM824" t="n">
        <v>0.0</v>
      </c>
      <c r="AN824" t="n">
        <v>0.0</v>
      </c>
      <c r="AO824" t="n">
        <v>0.0</v>
      </c>
      <c r="AP824" t="n">
        <v>0.0</v>
      </c>
      <c r="AQ824" t="n">
        <v>0.0</v>
      </c>
      <c r="CH824">
        <f>IFERROR(U824*1,0)</f>
      </c>
    </row>
    <row r="825">
      <c r="A825" t="n">
        <v>12.0</v>
      </c>
      <c r="B825">
        <f>IF((K825-G825-H825&gt;2400000),10,(L825/(K825-G825-H825)*100))</f>
      </c>
      <c r="C825">
        <f>IF(N825&gt;2400000,240000,(N825*S825)/100)</f>
      </c>
      <c r="D825">
        <f>IF(S825=0,0,IF((N825-I825)&gt;2400000,((((((N825-I825-J825)-240000))*0.1+(I825+J825)*0.1)))-7000,((((((N825-I825-J825)-(N825-I825-J825)*S825/100)))*0.1+(I825+J825)*0.1)-7000)))</f>
      </c>
      <c r="E825">
        <f>C825-O825</f>
      </c>
      <c r="F825">
        <f>D825-P825</f>
      </c>
      <c r="G825">
        <f>SUMIF(negtgel!U$2:BL$2,'Tsalin uzuulelt'!B$1,negtgel!U825:BL825) + SUMIF(negtgel!U$2:BL$2,'Tsalin uzuulelt'!B$2,negtgel!U825:BL825)+SUMIF(negtgel!U$2:BL$2,'Tsalin uzuulelt'!B$3,negtgel!U825:BL825)+SUMIF(negtgel!U$2:BL$2,'Tsalin uzuulelt'!B$4,negtgel!U825:BL825)+SUMIF(negtgel!U$2:BL$2,'Tsalin uzuulelt'!B$5,negtgel!U825:BL825)</f>
      </c>
      <c r="H825">
        <f>SUMIF(negtgel!U$2:BL$2,'Tsalin uzuulelt'!F$1,negtgel!U825:BL825) + SUMIF(negtgel!U$2:BL$2,'Tsalin uzuulelt'!F$2,negtgel!U825:BL825)+SUMIF(negtgel!U$2:BL$2,'Tsalin uzuulelt'!F$3,negtgel!U825:BL825)+SUMIF(negtgel!U$2:BL$2,'Tsalin uzuulelt'!F$4,negtgel!U825:BL825)+SUMIF(negtgel!U$2:BL$2,'Tsalin uzuulelt'!F$5,negtgel!U825:BL825)</f>
      </c>
      <c r="I825">
        <f>SUMIF(negtgel!U$2:BL$2,'Tsalin uzuulelt'!H$1,negtgel!U825:BL825) + SUMIF(negtgel!U$2:BL$2,'Tsalin uzuulelt'!H$2,negtgel!U825:BL825)+SUMIF(negtgel!U$2:BL$2,'Tsalin uzuulelt'!H$3,negtgel!U825:BL825)+SUMIF(negtgel!U$2:BL$2,'Tsalin uzuulelt'!H$4,negtgel!U825:BL825)+SUMIF(negtgel!U$2:BL$2,'Tsalin uzuulelt'!H$5,negtgel!U825:BL825)</f>
      </c>
      <c r="J825">
        <f>SUMIF(negtgel!U$2:BL$2,'Tsalin uzuulelt'!J$1,negtgel!U825:BL825) + SUMIF(negtgel!U$2:BL$2,'Tsalin uzuulelt'!J$2,negtgel!U825:BL825)+SUMIF(negtgel!U$2:BL$2,'Tsalin uzuulelt'!J$3,negtgel!U825:BL825)+SUMIF(negtgel!U$2:BL$2,'Tsalin uzuulelt'!J$4,negtgel!U825:BL825)+SUMIF(negtgel!U$2:BL$2,'Tsalin uzuulelt'!J$5,negtgel!U825:BL825)</f>
      </c>
      <c r="K825">
        <f>SUMIF(negtgel!U$2:BL$2,'Tsalin uzuulelt'!L$1,negtgel!U825:BL825) + SUMIF(negtgel!U$2:BL$2,'Tsalin uzuulelt'!L$2,negtgel!U825:BL825)+SUMIF(negtgel!U$2:BL$2,'Tsalin uzuulelt'!L$3,negtgel!U825:BL825)+SUMIF(negtgel!U$2:BL$2,'Tsalin uzuulelt'!L$4,negtgel!U825:BL825)+SUMIF(negtgel!U$2:BL$2,'Tsalin uzuulelt'!L$5,negtgel!U825:BL825)</f>
      </c>
      <c r="L825">
        <f>SUMIF(negtgel!U$2:BL$2,'Tsalin uzuulelt'!N$1,negtgel!U825:BL825) + SUMIF(negtgel!U$2:BL$2,'Tsalin uzuulelt'!N$2,negtgel!U825:BL825)+SUMIF(negtgel!U$2:BL$2,'Tsalin uzuulelt'!N$3,negtgel!U825:BL825)+SUMIF(negtgel!U$2:BL$2,'Tsalin uzuulelt'!N$4,negtgel!U825:BL825)+SUMIF(negtgel!U$2:BL$2,'Tsalin uzuulelt'!N$5,negtgel!U825:BL825)</f>
      </c>
      <c r="M825">
        <f>SUMIF(negtgel!U$2:BL$2,'Tsalin uzuulelt'!P$1,negtgel!U825:BL825) + SUMIF(negtgel!U$2:BL$2,'Tsalin uzuulelt'!P$2,negtgel!U825:BL825)+ SUMIF(negtgel!U$2:BL$2,'Tsalin uzuulelt'!P$3,negtgel!U825:BL825)+ SUMIF(negtgel!U$2:BL$2,'Tsalin uzuulelt'!P$4,negtgel!U825:BL825)+ SUMIF(negtgel!U$2:BL$2,'Tsalin uzuulelt'!P$5,negtgel!U825:BL825)</f>
      </c>
      <c r="N825">
        <f>IF(ISNUMBER(U825*1)=CF825,0,K825-H825-G825)</f>
      </c>
      <c r="O825">
        <f>IF(ISNUMBER(U825*1)=CF825,0,L825)</f>
      </c>
      <c r="P825">
        <f>IF(ISNUMBER(U825*1)=CF825,0,M825)</f>
      </c>
      <c r="Q825">
        <f>IF(N825&gt;2400000,N825,0)</f>
      </c>
      <c r="R825">
        <f>IF(L825/Q825*100&lt;3,2,10)</f>
      </c>
      <c r="S825">
        <f>IF(CH825=0,0,IF(B825&gt;9,10,IF(B825&gt;8,B825,IF(B825&gt;7.7,7.8,IF(B825&gt;3,B825,IF(B825&gt;1.5,2))))))</f>
      </c>
      <c r="T825">
        <f>IF(Q825=0,S825,R825)</f>
      </c>
      <c r="U825" t="n">
        <v>97.0</v>
      </c>
      <c r="V825" t="s">
        <v>3873</v>
      </c>
      <c r="W825" t="s">
        <v>3792</v>
      </c>
      <c r="X825" t="n">
        <v>496912.0</v>
      </c>
      <c r="Y825" t="n">
        <v>0.0</v>
      </c>
      <c r="Z825" t="n">
        <v>0.0</v>
      </c>
      <c r="AA825" t="n">
        <v>0.0</v>
      </c>
      <c r="AB825" t="n">
        <v>0.0</v>
      </c>
      <c r="AC825" t="n">
        <v>0.0</v>
      </c>
      <c r="AD825" t="n">
        <v>0.0</v>
      </c>
      <c r="AE825" t="n">
        <v>0.0</v>
      </c>
      <c r="AF825" t="n">
        <v>0.0</v>
      </c>
      <c r="AG825" t="n">
        <v>0.0</v>
      </c>
      <c r="AH825" t="n">
        <v>0.0</v>
      </c>
      <c r="AI825" t="n">
        <v>0.0</v>
      </c>
      <c r="AJ825" t="n">
        <v>0.0</v>
      </c>
      <c r="AK825" t="n">
        <v>0.0</v>
      </c>
      <c r="AL825" t="n">
        <v>0.0</v>
      </c>
      <c r="AM825" t="n">
        <v>0.0</v>
      </c>
      <c r="AN825" t="n">
        <v>0.0</v>
      </c>
      <c r="AO825" t="n">
        <v>0.0</v>
      </c>
      <c r="AP825" t="n">
        <v>0.0</v>
      </c>
      <c r="AQ825" t="n">
        <v>0.0</v>
      </c>
      <c r="CH825">
        <f>IFERROR(U825*1,0)</f>
      </c>
    </row>
    <row r="826">
      <c r="A826" t="n">
        <v>12.0</v>
      </c>
      <c r="B826">
        <f>IF((K826-G826-H826&gt;2400000),10,(L826/(K826-G826-H826)*100))</f>
      </c>
      <c r="C826">
        <f>IF(N826&gt;2400000,240000,(N826*S826)/100)</f>
      </c>
      <c r="D826">
        <f>IF(S826=0,0,IF((N826-I826)&gt;2400000,((((((N826-I826-J826)-240000))*0.1+(I826+J826)*0.1)))-7000,((((((N826-I826-J826)-(N826-I826-J826)*S826/100)))*0.1+(I826+J826)*0.1)-7000)))</f>
      </c>
      <c r="E826">
        <f>C826-O826</f>
      </c>
      <c r="F826">
        <f>D826-P826</f>
      </c>
      <c r="G826">
        <f>SUMIF(negtgel!U$2:BL$2,'Tsalin uzuulelt'!B$1,negtgel!U826:BL826) + SUMIF(negtgel!U$2:BL$2,'Tsalin uzuulelt'!B$2,negtgel!U826:BL826)+SUMIF(negtgel!U$2:BL$2,'Tsalin uzuulelt'!B$3,negtgel!U826:BL826)+SUMIF(negtgel!U$2:BL$2,'Tsalin uzuulelt'!B$4,negtgel!U826:BL826)+SUMIF(negtgel!U$2:BL$2,'Tsalin uzuulelt'!B$5,negtgel!U826:BL826)</f>
      </c>
      <c r="H826">
        <f>SUMIF(negtgel!U$2:BL$2,'Tsalin uzuulelt'!F$1,negtgel!U826:BL826) + SUMIF(negtgel!U$2:BL$2,'Tsalin uzuulelt'!F$2,negtgel!U826:BL826)+SUMIF(negtgel!U$2:BL$2,'Tsalin uzuulelt'!F$3,negtgel!U826:BL826)+SUMIF(negtgel!U$2:BL$2,'Tsalin uzuulelt'!F$4,negtgel!U826:BL826)+SUMIF(negtgel!U$2:BL$2,'Tsalin uzuulelt'!F$5,negtgel!U826:BL826)</f>
      </c>
      <c r="I826">
        <f>SUMIF(negtgel!U$2:BL$2,'Tsalin uzuulelt'!H$1,negtgel!U826:BL826) + SUMIF(negtgel!U$2:BL$2,'Tsalin uzuulelt'!H$2,negtgel!U826:BL826)+SUMIF(negtgel!U$2:BL$2,'Tsalin uzuulelt'!H$3,negtgel!U826:BL826)+SUMIF(negtgel!U$2:BL$2,'Tsalin uzuulelt'!H$4,negtgel!U826:BL826)+SUMIF(negtgel!U$2:BL$2,'Tsalin uzuulelt'!H$5,negtgel!U826:BL826)</f>
      </c>
      <c r="J826">
        <f>SUMIF(negtgel!U$2:BL$2,'Tsalin uzuulelt'!J$1,negtgel!U826:BL826) + SUMIF(negtgel!U$2:BL$2,'Tsalin uzuulelt'!J$2,negtgel!U826:BL826)+SUMIF(negtgel!U$2:BL$2,'Tsalin uzuulelt'!J$3,negtgel!U826:BL826)+SUMIF(negtgel!U$2:BL$2,'Tsalin uzuulelt'!J$4,negtgel!U826:BL826)+SUMIF(negtgel!U$2:BL$2,'Tsalin uzuulelt'!J$5,negtgel!U826:BL826)</f>
      </c>
      <c r="K826">
        <f>SUMIF(negtgel!U$2:BL$2,'Tsalin uzuulelt'!L$1,negtgel!U826:BL826) + SUMIF(negtgel!U$2:BL$2,'Tsalin uzuulelt'!L$2,negtgel!U826:BL826)+SUMIF(negtgel!U$2:BL$2,'Tsalin uzuulelt'!L$3,negtgel!U826:BL826)+SUMIF(negtgel!U$2:BL$2,'Tsalin uzuulelt'!L$4,negtgel!U826:BL826)+SUMIF(negtgel!U$2:BL$2,'Tsalin uzuulelt'!L$5,negtgel!U826:BL826)</f>
      </c>
      <c r="L826">
        <f>SUMIF(negtgel!U$2:BL$2,'Tsalin uzuulelt'!N$1,negtgel!U826:BL826) + SUMIF(negtgel!U$2:BL$2,'Tsalin uzuulelt'!N$2,negtgel!U826:BL826)+SUMIF(negtgel!U$2:BL$2,'Tsalin uzuulelt'!N$3,negtgel!U826:BL826)+SUMIF(negtgel!U$2:BL$2,'Tsalin uzuulelt'!N$4,negtgel!U826:BL826)+SUMIF(negtgel!U$2:BL$2,'Tsalin uzuulelt'!N$5,negtgel!U826:BL826)</f>
      </c>
      <c r="M826">
        <f>SUMIF(negtgel!U$2:BL$2,'Tsalin uzuulelt'!P$1,negtgel!U826:BL826) + SUMIF(negtgel!U$2:BL$2,'Tsalin uzuulelt'!P$2,negtgel!U826:BL826)+ SUMIF(negtgel!U$2:BL$2,'Tsalin uzuulelt'!P$3,negtgel!U826:BL826)+ SUMIF(negtgel!U$2:BL$2,'Tsalin uzuulelt'!P$4,negtgel!U826:BL826)+ SUMIF(negtgel!U$2:BL$2,'Tsalin uzuulelt'!P$5,negtgel!U826:BL826)</f>
      </c>
      <c r="N826">
        <f>IF(ISNUMBER(U826*1)=CF826,0,K826-H826-G826)</f>
      </c>
      <c r="O826">
        <f>IF(ISNUMBER(U826*1)=CF826,0,L826)</f>
      </c>
      <c r="P826">
        <f>IF(ISNUMBER(U826*1)=CF826,0,M826)</f>
      </c>
      <c r="Q826">
        <f>IF(N826&gt;2400000,N826,0)</f>
      </c>
      <c r="R826">
        <f>IF(L826/Q826*100&lt;3,2,10)</f>
      </c>
      <c r="S826">
        <f>IF(CH826=0,0,IF(B826&gt;9,10,IF(B826&gt;8,B826,IF(B826&gt;7.7,7.8,IF(B826&gt;3,B826,IF(B826&gt;1.5,2))))))</f>
      </c>
      <c r="T826">
        <f>IF(Q826=0,S826,R826)</f>
      </c>
      <c r="U826" t="n">
        <v>151.0</v>
      </c>
      <c r="V826" t="s">
        <v>3883</v>
      </c>
      <c r="W826" t="s">
        <v>3790</v>
      </c>
      <c r="X826" t="n">
        <v>645556.0</v>
      </c>
      <c r="Y826" t="n">
        <v>0.0</v>
      </c>
      <c r="Z826" t="n">
        <v>0.0</v>
      </c>
      <c r="AA826" t="n">
        <v>0.0</v>
      </c>
      <c r="AB826" t="n">
        <v>0.0</v>
      </c>
      <c r="AC826" t="n">
        <v>0.0</v>
      </c>
      <c r="AD826" t="n">
        <v>0.0</v>
      </c>
      <c r="AE826" t="n">
        <v>0.0</v>
      </c>
      <c r="AF826" t="n">
        <v>0.0</v>
      </c>
      <c r="AG826" t="n">
        <v>0.0</v>
      </c>
      <c r="AH826" t="n">
        <v>0.0</v>
      </c>
      <c r="AI826" t="n">
        <v>0.0</v>
      </c>
      <c r="AJ826" t="n">
        <v>0.0</v>
      </c>
      <c r="AK826" t="n">
        <v>0.0</v>
      </c>
      <c r="AL826" t="n">
        <v>0.0</v>
      </c>
      <c r="AM826" t="n">
        <v>0.0</v>
      </c>
      <c r="AN826" t="n">
        <v>0.0</v>
      </c>
      <c r="AO826" t="n">
        <v>0.0</v>
      </c>
      <c r="AP826" t="n">
        <v>0.0</v>
      </c>
      <c r="AQ826" t="n">
        <v>0.0</v>
      </c>
      <c r="CH826">
        <f>IFERROR(U826*1,0)</f>
      </c>
    </row>
    <row r="827">
      <c r="A827" t="n">
        <v>12.0</v>
      </c>
      <c r="B827">
        <f>IF((K827-G827-H827&gt;2400000),10,(L827/(K827-G827-H827)*100))</f>
      </c>
      <c r="C827">
        <f>IF(N827&gt;2400000,240000,(N827*S827)/100)</f>
      </c>
      <c r="D827">
        <f>IF(S827=0,0,IF((N827-I827)&gt;2400000,((((((N827-I827-J827)-240000))*0.1+(I827+J827)*0.1)))-7000,((((((N827-I827-J827)-(N827-I827-J827)*S827/100)))*0.1+(I827+J827)*0.1)-7000)))</f>
      </c>
      <c r="E827">
        <f>C827-O827</f>
      </c>
      <c r="F827">
        <f>D827-P827</f>
      </c>
      <c r="G827">
        <f>SUMIF(negtgel!U$2:BL$2,'Tsalin uzuulelt'!B$1,negtgel!U827:BL827) + SUMIF(negtgel!U$2:BL$2,'Tsalin uzuulelt'!B$2,negtgel!U827:BL827)+SUMIF(negtgel!U$2:BL$2,'Tsalin uzuulelt'!B$3,negtgel!U827:BL827)+SUMIF(negtgel!U$2:BL$2,'Tsalin uzuulelt'!B$4,negtgel!U827:BL827)+SUMIF(negtgel!U$2:BL$2,'Tsalin uzuulelt'!B$5,negtgel!U827:BL827)</f>
      </c>
      <c r="H827">
        <f>SUMIF(negtgel!U$2:BL$2,'Tsalin uzuulelt'!F$1,negtgel!U827:BL827) + SUMIF(negtgel!U$2:BL$2,'Tsalin uzuulelt'!F$2,negtgel!U827:BL827)+SUMIF(negtgel!U$2:BL$2,'Tsalin uzuulelt'!F$3,negtgel!U827:BL827)+SUMIF(negtgel!U$2:BL$2,'Tsalin uzuulelt'!F$4,negtgel!U827:BL827)+SUMIF(negtgel!U$2:BL$2,'Tsalin uzuulelt'!F$5,negtgel!U827:BL827)</f>
      </c>
      <c r="I827">
        <f>SUMIF(negtgel!U$2:BL$2,'Tsalin uzuulelt'!H$1,negtgel!U827:BL827) + SUMIF(negtgel!U$2:BL$2,'Tsalin uzuulelt'!H$2,negtgel!U827:BL827)+SUMIF(negtgel!U$2:BL$2,'Tsalin uzuulelt'!H$3,negtgel!U827:BL827)+SUMIF(negtgel!U$2:BL$2,'Tsalin uzuulelt'!H$4,negtgel!U827:BL827)+SUMIF(negtgel!U$2:BL$2,'Tsalin uzuulelt'!H$5,negtgel!U827:BL827)</f>
      </c>
      <c r="J827">
        <f>SUMIF(negtgel!U$2:BL$2,'Tsalin uzuulelt'!J$1,negtgel!U827:BL827) + SUMIF(negtgel!U$2:BL$2,'Tsalin uzuulelt'!J$2,negtgel!U827:BL827)+SUMIF(negtgel!U$2:BL$2,'Tsalin uzuulelt'!J$3,negtgel!U827:BL827)+SUMIF(negtgel!U$2:BL$2,'Tsalin uzuulelt'!J$4,negtgel!U827:BL827)+SUMIF(negtgel!U$2:BL$2,'Tsalin uzuulelt'!J$5,negtgel!U827:BL827)</f>
      </c>
      <c r="K827">
        <f>SUMIF(negtgel!U$2:BL$2,'Tsalin uzuulelt'!L$1,negtgel!U827:BL827) + SUMIF(negtgel!U$2:BL$2,'Tsalin uzuulelt'!L$2,negtgel!U827:BL827)+SUMIF(negtgel!U$2:BL$2,'Tsalin uzuulelt'!L$3,negtgel!U827:BL827)+SUMIF(negtgel!U$2:BL$2,'Tsalin uzuulelt'!L$4,negtgel!U827:BL827)+SUMIF(negtgel!U$2:BL$2,'Tsalin uzuulelt'!L$5,negtgel!U827:BL827)</f>
      </c>
      <c r="L827">
        <f>SUMIF(negtgel!U$2:BL$2,'Tsalin uzuulelt'!N$1,negtgel!U827:BL827) + SUMIF(negtgel!U$2:BL$2,'Tsalin uzuulelt'!N$2,negtgel!U827:BL827)+SUMIF(negtgel!U$2:BL$2,'Tsalin uzuulelt'!N$3,negtgel!U827:BL827)+SUMIF(negtgel!U$2:BL$2,'Tsalin uzuulelt'!N$4,negtgel!U827:BL827)+SUMIF(negtgel!U$2:BL$2,'Tsalin uzuulelt'!N$5,negtgel!U827:BL827)</f>
      </c>
      <c r="M827">
        <f>SUMIF(negtgel!U$2:BL$2,'Tsalin uzuulelt'!P$1,negtgel!U827:BL827) + SUMIF(negtgel!U$2:BL$2,'Tsalin uzuulelt'!P$2,negtgel!U827:BL827)+ SUMIF(negtgel!U$2:BL$2,'Tsalin uzuulelt'!P$3,negtgel!U827:BL827)+ SUMIF(negtgel!U$2:BL$2,'Tsalin uzuulelt'!P$4,negtgel!U827:BL827)+ SUMIF(negtgel!U$2:BL$2,'Tsalin uzuulelt'!P$5,negtgel!U827:BL827)</f>
      </c>
      <c r="N827">
        <f>IF(ISNUMBER(U827*1)=CF827,0,K827-H827-G827)</f>
      </c>
      <c r="O827">
        <f>IF(ISNUMBER(U827*1)=CF827,0,L827)</f>
      </c>
      <c r="P827">
        <f>IF(ISNUMBER(U827*1)=CF827,0,M827)</f>
      </c>
      <c r="Q827">
        <f>IF(N827&gt;2400000,N827,0)</f>
      </c>
      <c r="R827">
        <f>IF(L827/Q827*100&lt;3,2,10)</f>
      </c>
      <c r="S827">
        <f>IF(CH827=0,0,IF(B827&gt;9,10,IF(B827&gt;8,B827,IF(B827&gt;7.7,7.8,IF(B827&gt;3,B827,IF(B827&gt;1.5,2))))))</f>
      </c>
      <c r="T827">
        <f>IF(Q827=0,S827,R827)</f>
      </c>
      <c r="U827" t="n">
        <v>152.0</v>
      </c>
      <c r="V827" t="s">
        <v>3834</v>
      </c>
      <c r="W827" t="s">
        <v>3792</v>
      </c>
      <c r="X827" t="n">
        <v>510623.0</v>
      </c>
      <c r="Y827" t="n">
        <v>0.0</v>
      </c>
      <c r="Z827" t="n">
        <v>0.0</v>
      </c>
      <c r="AA827" t="n">
        <v>0.0</v>
      </c>
      <c r="AB827" t="n">
        <v>0.0</v>
      </c>
      <c r="AC827" t="n">
        <v>0.0</v>
      </c>
      <c r="AD827" t="n">
        <v>0.0</v>
      </c>
      <c r="AE827" t="n">
        <v>0.0</v>
      </c>
      <c r="AF827" t="n">
        <v>0.0</v>
      </c>
      <c r="AG827" t="n">
        <v>0.0</v>
      </c>
      <c r="AH827" t="n">
        <v>0.0</v>
      </c>
      <c r="AI827" t="n">
        <v>0.0</v>
      </c>
      <c r="AJ827" t="n">
        <v>0.0</v>
      </c>
      <c r="AK827" t="n">
        <v>0.0</v>
      </c>
      <c r="AL827" t="n">
        <v>0.0</v>
      </c>
      <c r="AM827" t="n">
        <v>0.0</v>
      </c>
      <c r="AN827" t="n">
        <v>0.0</v>
      </c>
      <c r="AO827" t="n">
        <v>0.0</v>
      </c>
      <c r="AP827" t="n">
        <v>0.0</v>
      </c>
      <c r="AQ827" t="n">
        <v>0.0</v>
      </c>
      <c r="CH827">
        <f>IFERROR(U827*1,0)</f>
      </c>
    </row>
    <row r="828">
      <c r="A828" t="n">
        <v>12.0</v>
      </c>
      <c r="B828">
        <f>IF((K828-G828-H828&gt;2400000),10,(L828/(K828-G828-H828)*100))</f>
      </c>
      <c r="C828">
        <f>IF(N828&gt;2400000,240000,(N828*S828)/100)</f>
      </c>
      <c r="D828">
        <f>IF(S828=0,0,IF((N828-I828)&gt;2400000,((((((N828-I828-J828)-240000))*0.1+(I828+J828)*0.1)))-7000,((((((N828-I828-J828)-(N828-I828-J828)*S828/100)))*0.1+(I828+J828)*0.1)-7000)))</f>
      </c>
      <c r="E828">
        <f>C828-O828</f>
      </c>
      <c r="F828">
        <f>D828-P828</f>
      </c>
      <c r="G828">
        <f>SUMIF(negtgel!U$2:BL$2,'Tsalin uzuulelt'!B$1,negtgel!U828:BL828) + SUMIF(negtgel!U$2:BL$2,'Tsalin uzuulelt'!B$2,negtgel!U828:BL828)+SUMIF(negtgel!U$2:BL$2,'Tsalin uzuulelt'!B$3,negtgel!U828:BL828)+SUMIF(negtgel!U$2:BL$2,'Tsalin uzuulelt'!B$4,negtgel!U828:BL828)+SUMIF(negtgel!U$2:BL$2,'Tsalin uzuulelt'!B$5,negtgel!U828:BL828)</f>
      </c>
      <c r="H828">
        <f>SUMIF(negtgel!U$2:BL$2,'Tsalin uzuulelt'!F$1,negtgel!U828:BL828) + SUMIF(negtgel!U$2:BL$2,'Tsalin uzuulelt'!F$2,negtgel!U828:BL828)+SUMIF(negtgel!U$2:BL$2,'Tsalin uzuulelt'!F$3,negtgel!U828:BL828)+SUMIF(negtgel!U$2:BL$2,'Tsalin uzuulelt'!F$4,negtgel!U828:BL828)+SUMIF(negtgel!U$2:BL$2,'Tsalin uzuulelt'!F$5,negtgel!U828:BL828)</f>
      </c>
      <c r="I828">
        <f>SUMIF(negtgel!U$2:BL$2,'Tsalin uzuulelt'!H$1,negtgel!U828:BL828) + SUMIF(negtgel!U$2:BL$2,'Tsalin uzuulelt'!H$2,negtgel!U828:BL828)+SUMIF(negtgel!U$2:BL$2,'Tsalin uzuulelt'!H$3,negtgel!U828:BL828)+SUMIF(negtgel!U$2:BL$2,'Tsalin uzuulelt'!H$4,negtgel!U828:BL828)+SUMIF(negtgel!U$2:BL$2,'Tsalin uzuulelt'!H$5,negtgel!U828:BL828)</f>
      </c>
      <c r="J828">
        <f>SUMIF(negtgel!U$2:BL$2,'Tsalin uzuulelt'!J$1,negtgel!U828:BL828) + SUMIF(negtgel!U$2:BL$2,'Tsalin uzuulelt'!J$2,negtgel!U828:BL828)+SUMIF(negtgel!U$2:BL$2,'Tsalin uzuulelt'!J$3,negtgel!U828:BL828)+SUMIF(negtgel!U$2:BL$2,'Tsalin uzuulelt'!J$4,negtgel!U828:BL828)+SUMIF(negtgel!U$2:BL$2,'Tsalin uzuulelt'!J$5,negtgel!U828:BL828)</f>
      </c>
      <c r="K828">
        <f>SUMIF(negtgel!U$2:BL$2,'Tsalin uzuulelt'!L$1,negtgel!U828:BL828) + SUMIF(negtgel!U$2:BL$2,'Tsalin uzuulelt'!L$2,negtgel!U828:BL828)+SUMIF(negtgel!U$2:BL$2,'Tsalin uzuulelt'!L$3,negtgel!U828:BL828)+SUMIF(negtgel!U$2:BL$2,'Tsalin uzuulelt'!L$4,negtgel!U828:BL828)+SUMIF(negtgel!U$2:BL$2,'Tsalin uzuulelt'!L$5,negtgel!U828:BL828)</f>
      </c>
      <c r="L828">
        <f>SUMIF(negtgel!U$2:BL$2,'Tsalin uzuulelt'!N$1,negtgel!U828:BL828) + SUMIF(negtgel!U$2:BL$2,'Tsalin uzuulelt'!N$2,negtgel!U828:BL828)+SUMIF(negtgel!U$2:BL$2,'Tsalin uzuulelt'!N$3,negtgel!U828:BL828)+SUMIF(negtgel!U$2:BL$2,'Tsalin uzuulelt'!N$4,negtgel!U828:BL828)+SUMIF(negtgel!U$2:BL$2,'Tsalin uzuulelt'!N$5,negtgel!U828:BL828)</f>
      </c>
      <c r="M828">
        <f>SUMIF(negtgel!U$2:BL$2,'Tsalin uzuulelt'!P$1,negtgel!U828:BL828) + SUMIF(negtgel!U$2:BL$2,'Tsalin uzuulelt'!P$2,negtgel!U828:BL828)+ SUMIF(negtgel!U$2:BL$2,'Tsalin uzuulelt'!P$3,negtgel!U828:BL828)+ SUMIF(negtgel!U$2:BL$2,'Tsalin uzuulelt'!P$4,negtgel!U828:BL828)+ SUMIF(negtgel!U$2:BL$2,'Tsalin uzuulelt'!P$5,negtgel!U828:BL828)</f>
      </c>
      <c r="N828">
        <f>IF(ISNUMBER(U828*1)=CF828,0,K828-H828-G828)</f>
      </c>
      <c r="O828">
        <f>IF(ISNUMBER(U828*1)=CF828,0,L828)</f>
      </c>
      <c r="P828">
        <f>IF(ISNUMBER(U828*1)=CF828,0,M828)</f>
      </c>
      <c r="Q828">
        <f>IF(N828&gt;2400000,N828,0)</f>
      </c>
      <c r="R828">
        <f>IF(L828/Q828*100&lt;3,2,10)</f>
      </c>
      <c r="S828">
        <f>IF(CH828=0,0,IF(B828&gt;9,10,IF(B828&gt;8,B828,IF(B828&gt;7.7,7.8,IF(B828&gt;3,B828,IF(B828&gt;1.5,2))))))</f>
      </c>
      <c r="T828">
        <f>IF(Q828=0,S828,R828)</f>
      </c>
      <c r="U828" t="n">
        <v>153.0</v>
      </c>
      <c r="V828" t="s">
        <v>3811</v>
      </c>
      <c r="W828" t="s">
        <v>3790</v>
      </c>
      <c r="X828" t="n">
        <v>580710.0</v>
      </c>
      <c r="Y828" t="n">
        <v>0.0</v>
      </c>
      <c r="Z828" t="n">
        <v>0.0</v>
      </c>
      <c r="AA828" t="n">
        <v>0.0</v>
      </c>
      <c r="AB828" t="n">
        <v>0.0</v>
      </c>
      <c r="AC828" t="n">
        <v>0.0</v>
      </c>
      <c r="AD828" t="n">
        <v>0.0</v>
      </c>
      <c r="AE828" t="n">
        <v>0.0</v>
      </c>
      <c r="AF828" t="n">
        <v>0.0</v>
      </c>
      <c r="AG828" t="n">
        <v>0.0</v>
      </c>
      <c r="AH828" t="n">
        <v>0.0</v>
      </c>
      <c r="AI828" t="n">
        <v>0.0</v>
      </c>
      <c r="AJ828" t="n">
        <v>0.0</v>
      </c>
      <c r="AK828" t="n">
        <v>0.0</v>
      </c>
      <c r="AL828" t="n">
        <v>0.0</v>
      </c>
      <c r="AM828" t="n">
        <v>0.0</v>
      </c>
      <c r="AN828" t="n">
        <v>0.0</v>
      </c>
      <c r="AO828" t="n">
        <v>0.0</v>
      </c>
      <c r="AP828" t="n">
        <v>0.0</v>
      </c>
      <c r="AQ828" t="n">
        <v>0.0</v>
      </c>
      <c r="CH828">
        <f>IFERROR(U828*1,0)</f>
      </c>
    </row>
    <row r="829">
      <c r="A829" t="n">
        <v>12.0</v>
      </c>
      <c r="B829">
        <f>IF((K829-G829-H829&gt;2400000),10,(L829/(K829-G829-H829)*100))</f>
      </c>
      <c r="C829">
        <f>IF(N829&gt;2400000,240000,(N829*S829)/100)</f>
      </c>
      <c r="D829">
        <f>IF(S829=0,0,IF((N829-I829)&gt;2400000,((((((N829-I829-J829)-240000))*0.1+(I829+J829)*0.1)))-7000,((((((N829-I829-J829)-(N829-I829-J829)*S829/100)))*0.1+(I829+J829)*0.1)-7000)))</f>
      </c>
      <c r="E829">
        <f>C829-O829</f>
      </c>
      <c r="F829">
        <f>D829-P829</f>
      </c>
      <c r="G829">
        <f>SUMIF(negtgel!U$2:BL$2,'Tsalin uzuulelt'!B$1,negtgel!U829:BL829) + SUMIF(negtgel!U$2:BL$2,'Tsalin uzuulelt'!B$2,negtgel!U829:BL829)+SUMIF(negtgel!U$2:BL$2,'Tsalin uzuulelt'!B$3,negtgel!U829:BL829)+SUMIF(negtgel!U$2:BL$2,'Tsalin uzuulelt'!B$4,negtgel!U829:BL829)+SUMIF(negtgel!U$2:BL$2,'Tsalin uzuulelt'!B$5,negtgel!U829:BL829)</f>
      </c>
      <c r="H829">
        <f>SUMIF(negtgel!U$2:BL$2,'Tsalin uzuulelt'!F$1,negtgel!U829:BL829) + SUMIF(negtgel!U$2:BL$2,'Tsalin uzuulelt'!F$2,negtgel!U829:BL829)+SUMIF(negtgel!U$2:BL$2,'Tsalin uzuulelt'!F$3,negtgel!U829:BL829)+SUMIF(negtgel!U$2:BL$2,'Tsalin uzuulelt'!F$4,negtgel!U829:BL829)+SUMIF(negtgel!U$2:BL$2,'Tsalin uzuulelt'!F$5,negtgel!U829:BL829)</f>
      </c>
      <c r="I829">
        <f>SUMIF(negtgel!U$2:BL$2,'Tsalin uzuulelt'!H$1,negtgel!U829:BL829) + SUMIF(negtgel!U$2:BL$2,'Tsalin uzuulelt'!H$2,negtgel!U829:BL829)+SUMIF(negtgel!U$2:BL$2,'Tsalin uzuulelt'!H$3,negtgel!U829:BL829)+SUMIF(negtgel!U$2:BL$2,'Tsalin uzuulelt'!H$4,negtgel!U829:BL829)+SUMIF(negtgel!U$2:BL$2,'Tsalin uzuulelt'!H$5,negtgel!U829:BL829)</f>
      </c>
      <c r="J829">
        <f>SUMIF(negtgel!U$2:BL$2,'Tsalin uzuulelt'!J$1,negtgel!U829:BL829) + SUMIF(negtgel!U$2:BL$2,'Tsalin uzuulelt'!J$2,negtgel!U829:BL829)+SUMIF(negtgel!U$2:BL$2,'Tsalin uzuulelt'!J$3,negtgel!U829:BL829)+SUMIF(negtgel!U$2:BL$2,'Tsalin uzuulelt'!J$4,negtgel!U829:BL829)+SUMIF(negtgel!U$2:BL$2,'Tsalin uzuulelt'!J$5,negtgel!U829:BL829)</f>
      </c>
      <c r="K829">
        <f>SUMIF(negtgel!U$2:BL$2,'Tsalin uzuulelt'!L$1,negtgel!U829:BL829) + SUMIF(negtgel!U$2:BL$2,'Tsalin uzuulelt'!L$2,negtgel!U829:BL829)+SUMIF(negtgel!U$2:BL$2,'Tsalin uzuulelt'!L$3,negtgel!U829:BL829)+SUMIF(negtgel!U$2:BL$2,'Tsalin uzuulelt'!L$4,negtgel!U829:BL829)+SUMIF(negtgel!U$2:BL$2,'Tsalin uzuulelt'!L$5,negtgel!U829:BL829)</f>
      </c>
      <c r="L829">
        <f>SUMIF(negtgel!U$2:BL$2,'Tsalin uzuulelt'!N$1,negtgel!U829:BL829) + SUMIF(negtgel!U$2:BL$2,'Tsalin uzuulelt'!N$2,negtgel!U829:BL829)+SUMIF(negtgel!U$2:BL$2,'Tsalin uzuulelt'!N$3,negtgel!U829:BL829)+SUMIF(negtgel!U$2:BL$2,'Tsalin uzuulelt'!N$4,negtgel!U829:BL829)+SUMIF(negtgel!U$2:BL$2,'Tsalin uzuulelt'!N$5,negtgel!U829:BL829)</f>
      </c>
      <c r="M829">
        <f>SUMIF(negtgel!U$2:BL$2,'Tsalin uzuulelt'!P$1,negtgel!U829:BL829) + SUMIF(negtgel!U$2:BL$2,'Tsalin uzuulelt'!P$2,negtgel!U829:BL829)+ SUMIF(negtgel!U$2:BL$2,'Tsalin uzuulelt'!P$3,negtgel!U829:BL829)+ SUMIF(negtgel!U$2:BL$2,'Tsalin uzuulelt'!P$4,negtgel!U829:BL829)+ SUMIF(negtgel!U$2:BL$2,'Tsalin uzuulelt'!P$5,negtgel!U829:BL829)</f>
      </c>
      <c r="N829">
        <f>IF(ISNUMBER(U829*1)=CF829,0,K829-H829-G829)</f>
      </c>
      <c r="O829">
        <f>IF(ISNUMBER(U829*1)=CF829,0,L829)</f>
      </c>
      <c r="P829">
        <f>IF(ISNUMBER(U829*1)=CF829,0,M829)</f>
      </c>
      <c r="Q829">
        <f>IF(N829&gt;2400000,N829,0)</f>
      </c>
      <c r="R829">
        <f>IF(L829/Q829*100&lt;3,2,10)</f>
      </c>
      <c r="S829">
        <f>IF(CH829=0,0,IF(B829&gt;9,10,IF(B829&gt;8,B829,IF(B829&gt;7.7,7.8,IF(B829&gt;3,B829,IF(B829&gt;1.5,2))))))</f>
      </c>
      <c r="T829">
        <f>IF(Q829=0,S829,R829)</f>
      </c>
      <c r="U829" t="n">
        <v>154.0</v>
      </c>
      <c r="V829" t="s">
        <v>3869</v>
      </c>
      <c r="W829" t="s">
        <v>3790</v>
      </c>
      <c r="X829" t="n">
        <v>613669.0</v>
      </c>
      <c r="Y829" t="n">
        <v>0.0</v>
      </c>
      <c r="Z829" t="n">
        <v>0.0</v>
      </c>
      <c r="AA829" t="n">
        <v>0.0</v>
      </c>
      <c r="AB829" t="n">
        <v>0.0</v>
      </c>
      <c r="AC829" t="n">
        <v>0.0</v>
      </c>
      <c r="AD829" t="n">
        <v>0.0</v>
      </c>
      <c r="AE829" t="n">
        <v>0.0</v>
      </c>
      <c r="AF829" t="n">
        <v>0.0</v>
      </c>
      <c r="AG829" t="n">
        <v>0.0</v>
      </c>
      <c r="AH829" t="n">
        <v>0.0</v>
      </c>
      <c r="AI829" t="n">
        <v>0.0</v>
      </c>
      <c r="AJ829" t="n">
        <v>0.0</v>
      </c>
      <c r="AK829" t="n">
        <v>0.0</v>
      </c>
      <c r="AL829" t="n">
        <v>0.0</v>
      </c>
      <c r="AM829" t="n">
        <v>0.0</v>
      </c>
      <c r="AN829" t="n">
        <v>0.0</v>
      </c>
      <c r="AO829" t="n">
        <v>0.0</v>
      </c>
      <c r="AP829" t="n">
        <v>0.0</v>
      </c>
      <c r="AQ829" t="n">
        <v>0.0</v>
      </c>
      <c r="CH829">
        <f>IFERROR(U829*1,0)</f>
      </c>
    </row>
    <row r="830">
      <c r="A830" t="n">
        <v>12.0</v>
      </c>
      <c r="B830">
        <f>IF((K830-G830-H830&gt;2400000),10,(L830/(K830-G830-H830)*100))</f>
      </c>
      <c r="C830">
        <f>IF(N830&gt;2400000,240000,(N830*S830)/100)</f>
      </c>
      <c r="D830">
        <f>IF(S830=0,0,IF((N830-I830)&gt;2400000,((((((N830-I830-J830)-240000))*0.1+(I830+J830)*0.1)))-7000,((((((N830-I830-J830)-(N830-I830-J830)*S830/100)))*0.1+(I830+J830)*0.1)-7000)))</f>
      </c>
      <c r="E830">
        <f>C830-O830</f>
      </c>
      <c r="F830">
        <f>D830-P830</f>
      </c>
      <c r="G830">
        <f>SUMIF(negtgel!U$2:BL$2,'Tsalin uzuulelt'!B$1,negtgel!U830:BL830) + SUMIF(negtgel!U$2:BL$2,'Tsalin uzuulelt'!B$2,negtgel!U830:BL830)+SUMIF(negtgel!U$2:BL$2,'Tsalin uzuulelt'!B$3,negtgel!U830:BL830)+SUMIF(negtgel!U$2:BL$2,'Tsalin uzuulelt'!B$4,negtgel!U830:BL830)+SUMIF(negtgel!U$2:BL$2,'Tsalin uzuulelt'!B$5,negtgel!U830:BL830)</f>
      </c>
      <c r="H830">
        <f>SUMIF(negtgel!U$2:BL$2,'Tsalin uzuulelt'!F$1,negtgel!U830:BL830) + SUMIF(negtgel!U$2:BL$2,'Tsalin uzuulelt'!F$2,negtgel!U830:BL830)+SUMIF(negtgel!U$2:BL$2,'Tsalin uzuulelt'!F$3,negtgel!U830:BL830)+SUMIF(negtgel!U$2:BL$2,'Tsalin uzuulelt'!F$4,negtgel!U830:BL830)+SUMIF(negtgel!U$2:BL$2,'Tsalin uzuulelt'!F$5,negtgel!U830:BL830)</f>
      </c>
      <c r="I830">
        <f>SUMIF(negtgel!U$2:BL$2,'Tsalin uzuulelt'!H$1,negtgel!U830:BL830) + SUMIF(negtgel!U$2:BL$2,'Tsalin uzuulelt'!H$2,negtgel!U830:BL830)+SUMIF(negtgel!U$2:BL$2,'Tsalin uzuulelt'!H$3,negtgel!U830:BL830)+SUMIF(negtgel!U$2:BL$2,'Tsalin uzuulelt'!H$4,negtgel!U830:BL830)+SUMIF(negtgel!U$2:BL$2,'Tsalin uzuulelt'!H$5,negtgel!U830:BL830)</f>
      </c>
      <c r="J830">
        <f>SUMIF(negtgel!U$2:BL$2,'Tsalin uzuulelt'!J$1,negtgel!U830:BL830) + SUMIF(negtgel!U$2:BL$2,'Tsalin uzuulelt'!J$2,negtgel!U830:BL830)+SUMIF(negtgel!U$2:BL$2,'Tsalin uzuulelt'!J$3,negtgel!U830:BL830)+SUMIF(negtgel!U$2:BL$2,'Tsalin uzuulelt'!J$4,negtgel!U830:BL830)+SUMIF(negtgel!U$2:BL$2,'Tsalin uzuulelt'!J$5,negtgel!U830:BL830)</f>
      </c>
      <c r="K830">
        <f>SUMIF(negtgel!U$2:BL$2,'Tsalin uzuulelt'!L$1,negtgel!U830:BL830) + SUMIF(negtgel!U$2:BL$2,'Tsalin uzuulelt'!L$2,negtgel!U830:BL830)+SUMIF(negtgel!U$2:BL$2,'Tsalin uzuulelt'!L$3,negtgel!U830:BL830)+SUMIF(negtgel!U$2:BL$2,'Tsalin uzuulelt'!L$4,negtgel!U830:BL830)+SUMIF(negtgel!U$2:BL$2,'Tsalin uzuulelt'!L$5,negtgel!U830:BL830)</f>
      </c>
      <c r="L830">
        <f>SUMIF(negtgel!U$2:BL$2,'Tsalin uzuulelt'!N$1,negtgel!U830:BL830) + SUMIF(negtgel!U$2:BL$2,'Tsalin uzuulelt'!N$2,negtgel!U830:BL830)+SUMIF(negtgel!U$2:BL$2,'Tsalin uzuulelt'!N$3,negtgel!U830:BL830)+SUMIF(negtgel!U$2:BL$2,'Tsalin uzuulelt'!N$4,negtgel!U830:BL830)+SUMIF(negtgel!U$2:BL$2,'Tsalin uzuulelt'!N$5,negtgel!U830:BL830)</f>
      </c>
      <c r="M830">
        <f>SUMIF(negtgel!U$2:BL$2,'Tsalin uzuulelt'!P$1,negtgel!U830:BL830) + SUMIF(negtgel!U$2:BL$2,'Tsalin uzuulelt'!P$2,negtgel!U830:BL830)+ SUMIF(negtgel!U$2:BL$2,'Tsalin uzuulelt'!P$3,negtgel!U830:BL830)+ SUMIF(negtgel!U$2:BL$2,'Tsalin uzuulelt'!P$4,negtgel!U830:BL830)+ SUMIF(negtgel!U$2:BL$2,'Tsalin uzuulelt'!P$5,negtgel!U830:BL830)</f>
      </c>
      <c r="N830">
        <f>IF(ISNUMBER(U830*1)=CF830,0,K830-H830-G830)</f>
      </c>
      <c r="O830">
        <f>IF(ISNUMBER(U830*1)=CF830,0,L830)</f>
      </c>
      <c r="P830">
        <f>IF(ISNUMBER(U830*1)=CF830,0,M830)</f>
      </c>
      <c r="Q830">
        <f>IF(N830&gt;2400000,N830,0)</f>
      </c>
      <c r="R830">
        <f>IF(L830/Q830*100&lt;3,2,10)</f>
      </c>
      <c r="S830">
        <f>IF(CH830=0,0,IF(B830&gt;9,10,IF(B830&gt;8,B830,IF(B830&gt;7.7,7.8,IF(B830&gt;3,B830,IF(B830&gt;1.5,2))))))</f>
      </c>
      <c r="T830">
        <f>IF(Q830=0,S830,R830)</f>
      </c>
      <c r="U830" t="n">
        <v>155.0</v>
      </c>
      <c r="V830" t="s">
        <v>3870</v>
      </c>
      <c r="W830" t="s">
        <v>3790</v>
      </c>
      <c r="X830" t="n">
        <v>580710.0</v>
      </c>
      <c r="Y830" t="n">
        <v>0.0</v>
      </c>
      <c r="Z830" t="n">
        <v>0.0</v>
      </c>
      <c r="AA830" t="n">
        <v>0.0</v>
      </c>
      <c r="AB830" t="n">
        <v>0.0</v>
      </c>
      <c r="AC830" t="n">
        <v>0.0</v>
      </c>
      <c r="AD830" t="n">
        <v>0.0</v>
      </c>
      <c r="AE830" t="n">
        <v>0.0</v>
      </c>
      <c r="AF830" t="n">
        <v>0.0</v>
      </c>
      <c r="AG830" t="n">
        <v>0.0</v>
      </c>
      <c r="AH830" t="n">
        <v>0.0</v>
      </c>
      <c r="AI830" t="n">
        <v>0.0</v>
      </c>
      <c r="AJ830" t="n">
        <v>0.0</v>
      </c>
      <c r="AK830" t="n">
        <v>0.0</v>
      </c>
      <c r="AL830" t="n">
        <v>0.0</v>
      </c>
      <c r="AM830" t="n">
        <v>0.0</v>
      </c>
      <c r="AN830" t="n">
        <v>0.0</v>
      </c>
      <c r="AO830" t="n">
        <v>0.0</v>
      </c>
      <c r="AP830" t="n">
        <v>0.0</v>
      </c>
      <c r="AQ830" t="n">
        <v>0.0</v>
      </c>
      <c r="CH830">
        <f>IFERROR(U830*1,0)</f>
      </c>
    </row>
    <row r="831">
      <c r="A831" t="n">
        <v>12.0</v>
      </c>
      <c r="B831">
        <f>IF((K831-G831-H831&gt;2400000),10,(L831/(K831-G831-H831)*100))</f>
      </c>
      <c r="C831">
        <f>IF(N831&gt;2400000,240000,(N831*S831)/100)</f>
      </c>
      <c r="D831">
        <f>IF(S831=0,0,IF((N831-I831)&gt;2400000,((((((N831-I831-J831)-240000))*0.1+(I831+J831)*0.1)))-7000,((((((N831-I831-J831)-(N831-I831-J831)*S831/100)))*0.1+(I831+J831)*0.1)-7000)))</f>
      </c>
      <c r="E831">
        <f>C831-O831</f>
      </c>
      <c r="F831">
        <f>D831-P831</f>
      </c>
      <c r="G831">
        <f>SUMIF(negtgel!U$2:BL$2,'Tsalin uzuulelt'!B$1,negtgel!U831:BL831) + SUMIF(negtgel!U$2:BL$2,'Tsalin uzuulelt'!B$2,negtgel!U831:BL831)+SUMIF(negtgel!U$2:BL$2,'Tsalin uzuulelt'!B$3,negtgel!U831:BL831)+SUMIF(negtgel!U$2:BL$2,'Tsalin uzuulelt'!B$4,negtgel!U831:BL831)+SUMIF(negtgel!U$2:BL$2,'Tsalin uzuulelt'!B$5,negtgel!U831:BL831)</f>
      </c>
      <c r="H831">
        <f>SUMIF(negtgel!U$2:BL$2,'Tsalin uzuulelt'!F$1,negtgel!U831:BL831) + SUMIF(negtgel!U$2:BL$2,'Tsalin uzuulelt'!F$2,negtgel!U831:BL831)+SUMIF(negtgel!U$2:BL$2,'Tsalin uzuulelt'!F$3,negtgel!U831:BL831)+SUMIF(negtgel!U$2:BL$2,'Tsalin uzuulelt'!F$4,negtgel!U831:BL831)+SUMIF(negtgel!U$2:BL$2,'Tsalin uzuulelt'!F$5,negtgel!U831:BL831)</f>
      </c>
      <c r="I831">
        <f>SUMIF(negtgel!U$2:BL$2,'Tsalin uzuulelt'!H$1,negtgel!U831:BL831) + SUMIF(negtgel!U$2:BL$2,'Tsalin uzuulelt'!H$2,negtgel!U831:BL831)+SUMIF(negtgel!U$2:BL$2,'Tsalin uzuulelt'!H$3,negtgel!U831:BL831)+SUMIF(negtgel!U$2:BL$2,'Tsalin uzuulelt'!H$4,negtgel!U831:BL831)+SUMIF(negtgel!U$2:BL$2,'Tsalin uzuulelt'!H$5,negtgel!U831:BL831)</f>
      </c>
      <c r="J831">
        <f>SUMIF(negtgel!U$2:BL$2,'Tsalin uzuulelt'!J$1,negtgel!U831:BL831) + SUMIF(negtgel!U$2:BL$2,'Tsalin uzuulelt'!J$2,negtgel!U831:BL831)+SUMIF(negtgel!U$2:BL$2,'Tsalin uzuulelt'!J$3,negtgel!U831:BL831)+SUMIF(negtgel!U$2:BL$2,'Tsalin uzuulelt'!J$4,negtgel!U831:BL831)+SUMIF(negtgel!U$2:BL$2,'Tsalin uzuulelt'!J$5,negtgel!U831:BL831)</f>
      </c>
      <c r="K831">
        <f>SUMIF(negtgel!U$2:BL$2,'Tsalin uzuulelt'!L$1,negtgel!U831:BL831) + SUMIF(negtgel!U$2:BL$2,'Tsalin uzuulelt'!L$2,negtgel!U831:BL831)+SUMIF(negtgel!U$2:BL$2,'Tsalin uzuulelt'!L$3,negtgel!U831:BL831)+SUMIF(negtgel!U$2:BL$2,'Tsalin uzuulelt'!L$4,negtgel!U831:BL831)+SUMIF(negtgel!U$2:BL$2,'Tsalin uzuulelt'!L$5,negtgel!U831:BL831)</f>
      </c>
      <c r="L831">
        <f>SUMIF(negtgel!U$2:BL$2,'Tsalin uzuulelt'!N$1,negtgel!U831:BL831) + SUMIF(negtgel!U$2:BL$2,'Tsalin uzuulelt'!N$2,negtgel!U831:BL831)+SUMIF(negtgel!U$2:BL$2,'Tsalin uzuulelt'!N$3,negtgel!U831:BL831)+SUMIF(negtgel!U$2:BL$2,'Tsalin uzuulelt'!N$4,negtgel!U831:BL831)+SUMIF(negtgel!U$2:BL$2,'Tsalin uzuulelt'!N$5,negtgel!U831:BL831)</f>
      </c>
      <c r="M831">
        <f>SUMIF(negtgel!U$2:BL$2,'Tsalin uzuulelt'!P$1,negtgel!U831:BL831) + SUMIF(negtgel!U$2:BL$2,'Tsalin uzuulelt'!P$2,negtgel!U831:BL831)+ SUMIF(negtgel!U$2:BL$2,'Tsalin uzuulelt'!P$3,negtgel!U831:BL831)+ SUMIF(negtgel!U$2:BL$2,'Tsalin uzuulelt'!P$4,negtgel!U831:BL831)+ SUMIF(negtgel!U$2:BL$2,'Tsalin uzuulelt'!P$5,negtgel!U831:BL831)</f>
      </c>
      <c r="N831">
        <f>IF(ISNUMBER(U831*1)=CF831,0,K831-H831-G831)</f>
      </c>
      <c r="O831">
        <f>IF(ISNUMBER(U831*1)=CF831,0,L831)</f>
      </c>
      <c r="P831">
        <f>IF(ISNUMBER(U831*1)=CF831,0,M831)</f>
      </c>
      <c r="Q831">
        <f>IF(N831&gt;2400000,N831,0)</f>
      </c>
      <c r="R831">
        <f>IF(L831/Q831*100&lt;3,2,10)</f>
      </c>
      <c r="S831">
        <f>IF(CH831=0,0,IF(B831&gt;9,10,IF(B831&gt;8,B831,IF(B831&gt;7.7,7.8,IF(B831&gt;3,B831,IF(B831&gt;1.5,2))))))</f>
      </c>
      <c r="T831">
        <f>IF(Q831=0,S831,R831)</f>
      </c>
      <c r="U831" t="n">
        <v>156.0</v>
      </c>
      <c r="V831" t="s">
        <v>3871</v>
      </c>
      <c r="W831" t="s">
        <v>3790</v>
      </c>
      <c r="X831" t="n">
        <v>613669.0</v>
      </c>
      <c r="Y831" t="n">
        <v>0.0</v>
      </c>
      <c r="Z831" t="n">
        <v>0.0</v>
      </c>
      <c r="AA831" t="n">
        <v>0.0</v>
      </c>
      <c r="AB831" t="n">
        <v>0.0</v>
      </c>
      <c r="AC831" t="n">
        <v>0.0</v>
      </c>
      <c r="AD831" t="n">
        <v>0.0</v>
      </c>
      <c r="AE831" t="n">
        <v>0.0</v>
      </c>
      <c r="AF831" t="n">
        <v>0.0</v>
      </c>
      <c r="AG831" t="n">
        <v>0.0</v>
      </c>
      <c r="AH831" t="n">
        <v>0.0</v>
      </c>
      <c r="AI831" t="n">
        <v>0.0</v>
      </c>
      <c r="AJ831" t="n">
        <v>0.0</v>
      </c>
      <c r="AK831" t="n">
        <v>0.0</v>
      </c>
      <c r="AL831" t="n">
        <v>0.0</v>
      </c>
      <c r="AM831" t="n">
        <v>0.0</v>
      </c>
      <c r="AN831" t="n">
        <v>0.0</v>
      </c>
      <c r="AO831" t="n">
        <v>0.0</v>
      </c>
      <c r="AP831" t="n">
        <v>0.0</v>
      </c>
      <c r="AQ831" t="n">
        <v>0.0</v>
      </c>
      <c r="CH831">
        <f>IFERROR(U831*1,0)</f>
      </c>
    </row>
    <row r="832">
      <c r="A832" t="n">
        <v>12.0</v>
      </c>
      <c r="B832">
        <f>IF((K832-G832-H832&gt;2400000),10,(L832/(K832-G832-H832)*100))</f>
      </c>
      <c r="C832">
        <f>IF(N832&gt;2400000,240000,(N832*S832)/100)</f>
      </c>
      <c r="D832">
        <f>IF(S832=0,0,IF((N832-I832)&gt;2400000,((((((N832-I832-J832)-240000))*0.1+(I832+J832)*0.1)))-7000,((((((N832-I832-J832)-(N832-I832-J832)*S832/100)))*0.1+(I832+J832)*0.1)-7000)))</f>
      </c>
      <c r="E832">
        <f>C832-O832</f>
      </c>
      <c r="F832">
        <f>D832-P832</f>
      </c>
      <c r="G832">
        <f>SUMIF(negtgel!U$2:BL$2,'Tsalin uzuulelt'!B$1,negtgel!U832:BL832) + SUMIF(negtgel!U$2:BL$2,'Tsalin uzuulelt'!B$2,negtgel!U832:BL832)+SUMIF(negtgel!U$2:BL$2,'Tsalin uzuulelt'!B$3,negtgel!U832:BL832)+SUMIF(negtgel!U$2:BL$2,'Tsalin uzuulelt'!B$4,negtgel!U832:BL832)+SUMIF(negtgel!U$2:BL$2,'Tsalin uzuulelt'!B$5,negtgel!U832:BL832)</f>
      </c>
      <c r="H832">
        <f>SUMIF(negtgel!U$2:BL$2,'Tsalin uzuulelt'!F$1,negtgel!U832:BL832) + SUMIF(negtgel!U$2:BL$2,'Tsalin uzuulelt'!F$2,negtgel!U832:BL832)+SUMIF(negtgel!U$2:BL$2,'Tsalin uzuulelt'!F$3,negtgel!U832:BL832)+SUMIF(negtgel!U$2:BL$2,'Tsalin uzuulelt'!F$4,negtgel!U832:BL832)+SUMIF(negtgel!U$2:BL$2,'Tsalin uzuulelt'!F$5,negtgel!U832:BL832)</f>
      </c>
      <c r="I832">
        <f>SUMIF(negtgel!U$2:BL$2,'Tsalin uzuulelt'!H$1,negtgel!U832:BL832) + SUMIF(negtgel!U$2:BL$2,'Tsalin uzuulelt'!H$2,negtgel!U832:BL832)+SUMIF(negtgel!U$2:BL$2,'Tsalin uzuulelt'!H$3,negtgel!U832:BL832)+SUMIF(negtgel!U$2:BL$2,'Tsalin uzuulelt'!H$4,negtgel!U832:BL832)+SUMIF(negtgel!U$2:BL$2,'Tsalin uzuulelt'!H$5,negtgel!U832:BL832)</f>
      </c>
      <c r="J832">
        <f>SUMIF(negtgel!U$2:BL$2,'Tsalin uzuulelt'!J$1,negtgel!U832:BL832) + SUMIF(negtgel!U$2:BL$2,'Tsalin uzuulelt'!J$2,negtgel!U832:BL832)+SUMIF(negtgel!U$2:BL$2,'Tsalin uzuulelt'!J$3,negtgel!U832:BL832)+SUMIF(negtgel!U$2:BL$2,'Tsalin uzuulelt'!J$4,negtgel!U832:BL832)+SUMIF(negtgel!U$2:BL$2,'Tsalin uzuulelt'!J$5,negtgel!U832:BL832)</f>
      </c>
      <c r="K832">
        <f>SUMIF(negtgel!U$2:BL$2,'Tsalin uzuulelt'!L$1,negtgel!U832:BL832) + SUMIF(negtgel!U$2:BL$2,'Tsalin uzuulelt'!L$2,negtgel!U832:BL832)+SUMIF(negtgel!U$2:BL$2,'Tsalin uzuulelt'!L$3,negtgel!U832:BL832)+SUMIF(negtgel!U$2:BL$2,'Tsalin uzuulelt'!L$4,negtgel!U832:BL832)+SUMIF(negtgel!U$2:BL$2,'Tsalin uzuulelt'!L$5,negtgel!U832:BL832)</f>
      </c>
      <c r="L832">
        <f>SUMIF(negtgel!U$2:BL$2,'Tsalin uzuulelt'!N$1,negtgel!U832:BL832) + SUMIF(negtgel!U$2:BL$2,'Tsalin uzuulelt'!N$2,negtgel!U832:BL832)+SUMIF(negtgel!U$2:BL$2,'Tsalin uzuulelt'!N$3,negtgel!U832:BL832)+SUMIF(negtgel!U$2:BL$2,'Tsalin uzuulelt'!N$4,negtgel!U832:BL832)+SUMIF(negtgel!U$2:BL$2,'Tsalin uzuulelt'!N$5,negtgel!U832:BL832)</f>
      </c>
      <c r="M832">
        <f>SUMIF(negtgel!U$2:BL$2,'Tsalin uzuulelt'!P$1,negtgel!U832:BL832) + SUMIF(negtgel!U$2:BL$2,'Tsalin uzuulelt'!P$2,negtgel!U832:BL832)+ SUMIF(negtgel!U$2:BL$2,'Tsalin uzuulelt'!P$3,negtgel!U832:BL832)+ SUMIF(negtgel!U$2:BL$2,'Tsalin uzuulelt'!P$4,negtgel!U832:BL832)+ SUMIF(negtgel!U$2:BL$2,'Tsalin uzuulelt'!P$5,negtgel!U832:BL832)</f>
      </c>
      <c r="N832">
        <f>IF(ISNUMBER(U832*1)=CF832,0,K832-H832-G832)</f>
      </c>
      <c r="O832">
        <f>IF(ISNUMBER(U832*1)=CF832,0,L832)</f>
      </c>
      <c r="P832">
        <f>IF(ISNUMBER(U832*1)=CF832,0,M832)</f>
      </c>
      <c r="Q832">
        <f>IF(N832&gt;2400000,N832,0)</f>
      </c>
      <c r="R832">
        <f>IF(L832/Q832*100&lt;3,2,10)</f>
      </c>
      <c r="S832">
        <f>IF(CH832=0,0,IF(B832&gt;9,10,IF(B832&gt;8,B832,IF(B832&gt;7.7,7.8,IF(B832&gt;3,B832,IF(B832&gt;1.5,2))))))</f>
      </c>
      <c r="T832">
        <f>IF(Q832=0,S832,R832)</f>
      </c>
      <c r="U832" t="n">
        <v>157.0</v>
      </c>
      <c r="V832" t="s">
        <v>3855</v>
      </c>
      <c r="W832" t="s">
        <v>3790</v>
      </c>
      <c r="X832" t="n">
        <v>580710.0</v>
      </c>
      <c r="Y832" t="n">
        <v>0.0</v>
      </c>
      <c r="Z832" t="n">
        <v>0.0</v>
      </c>
      <c r="AA832" t="n">
        <v>0.0</v>
      </c>
      <c r="AB832" t="n">
        <v>0.0</v>
      </c>
      <c r="AC832" t="n">
        <v>0.0</v>
      </c>
      <c r="AD832" t="n">
        <v>0.0</v>
      </c>
      <c r="AE832" t="n">
        <v>0.0</v>
      </c>
      <c r="AF832" t="n">
        <v>0.0</v>
      </c>
      <c r="AG832" t="n">
        <v>0.0</v>
      </c>
      <c r="AH832" t="n">
        <v>0.0</v>
      </c>
      <c r="AI832" t="n">
        <v>0.0</v>
      </c>
      <c r="AJ832" t="n">
        <v>0.0</v>
      </c>
      <c r="AK832" t="n">
        <v>0.0</v>
      </c>
      <c r="AL832" t="n">
        <v>0.0</v>
      </c>
      <c r="AM832" t="n">
        <v>0.0</v>
      </c>
      <c r="AN832" t="n">
        <v>0.0</v>
      </c>
      <c r="AO832" t="n">
        <v>0.0</v>
      </c>
      <c r="AP832" t="n">
        <v>0.0</v>
      </c>
      <c r="AQ832" t="n">
        <v>0.0</v>
      </c>
      <c r="CH832">
        <f>IFERROR(U832*1,0)</f>
      </c>
    </row>
    <row r="6291" spans="1:65">
      <c r="A6291"/>
      <c r="B6291" s="776"/>
      <c r="C6291" s="777"/>
      <c r="D6291" s="778"/>
      <c r="E6291" s="777"/>
      <c r="F6291" s="777"/>
      <c r="G6291" s="777"/>
      <c r="H6291" s="777"/>
      <c r="I6291" s="777"/>
      <c r="J6291" s="777"/>
      <c r="K6291" s="777"/>
      <c r="L6291" s="777"/>
      <c r="M6291" s="777"/>
      <c r="N6291" s="777"/>
      <c r="O6291" s="777"/>
      <c r="P6291" s="777"/>
      <c r="Q6291" s="777"/>
      <c r="R6291" s="777"/>
      <c r="S6291" s="777"/>
      <c r="T6291" s="777"/>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6"/>
  <sheetViews>
    <sheetView workbookViewId="0">
      <selection activeCell="I7" sqref="I7"/>
    </sheetView>
  </sheetViews>
  <sheetFormatPr defaultRowHeight="12"/>
  <cols>
    <col min="1" max="1" customWidth="true" style="1456" width="6.5703125" collapsed="true"/>
    <col min="2" max="2" customWidth="true" style="1456" width="17.0" collapsed="true"/>
    <col min="3" max="3" customWidth="true" style="1456" width="16.85546875" collapsed="true"/>
    <col min="4" max="4" customWidth="true" style="1456" width="16.5703125" collapsed="true"/>
    <col min="5" max="5" customWidth="true" style="1456" width="15.0" collapsed="true"/>
    <col min="6" max="6" customWidth="true" style="1456" width="15.28515625" collapsed="true"/>
    <col min="7" max="7" customWidth="true" style="1457" width="14.140625" collapsed="true"/>
    <col min="8" max="8" customWidth="true" style="1456" width="15.28515625" collapsed="true"/>
    <col min="9" max="10" customWidth="true" style="1456" width="15.5703125" collapsed="false"/>
    <col min="11" max="11" bestFit="true" customWidth="true" style="1456" width="12.42578125" collapsed="false"/>
    <col min="12" max="12" bestFit="true" customWidth="true" style="1456" width="11.42578125" collapsed="false"/>
    <col min="13" max="13" bestFit="true" customWidth="true" style="1456" width="12.42578125" collapsed="false"/>
    <col min="14" max="14" bestFit="true" customWidth="true" style="1456" width="15.0" collapsed="false"/>
    <col min="15" max="15" bestFit="true" customWidth="true" style="1456" width="10.5703125" collapsed="false"/>
    <col min="16" max="16" bestFit="true" customWidth="true" style="1456" width="23.140625" collapsed="false"/>
    <col min="17" max="16384" style="1456" width="9.140625" collapsed="false"/>
  </cols>
  <sheetData>
    <row customHeight="1" ht="27" r="1" spans="1:16">
      <c r="C1" s="1661" t="str">
        <f>"Байгууллагын нэр: "&amp;ЧХ!C7</f>
        <v xml:space="preserve">Байгууллагын нэр: </v>
      </c>
      <c r="D1" s="1661"/>
      <c r="E1" s="1661"/>
      <c r="F1" s="1661"/>
    </row>
    <row r="2" spans="1:16">
      <c r="C2" s="1458" t="str">
        <f>+"тайлант он: " &amp;ЧХ!$C$8</f>
        <v xml:space="preserve">тайлант он: </v>
      </c>
    </row>
    <row customHeight="1" ht="23.25" r="3" spans="1:16">
      <c r="A3" s="1656" t="s">
        <v>59</v>
      </c>
      <c r="B3" s="1658" t="s">
        <v>2652</v>
      </c>
      <c r="C3" s="1658"/>
      <c r="D3" s="1658"/>
      <c r="E3" s="1659" t="s">
        <v>2653</v>
      </c>
      <c r="F3" s="1660"/>
      <c r="G3" s="1659" t="s">
        <v>2654</v>
      </c>
      <c r="H3" s="1660"/>
      <c r="I3" s="1459"/>
      <c r="J3" s="1459"/>
    </row>
    <row customHeight="1" ht="24" r="4" spans="1:16">
      <c r="A4" s="1657"/>
      <c r="B4" s="1460" t="s">
        <v>2642</v>
      </c>
      <c r="C4" s="1460" t="s">
        <v>35</v>
      </c>
      <c r="D4" s="1460" t="s">
        <v>1209</v>
      </c>
      <c r="E4" s="1460" t="str">
        <f>+C4</f>
        <v>НДШ</v>
      </c>
      <c r="F4" s="1460" t="str">
        <f>+D4</f>
        <v>Ашиг</v>
      </c>
      <c r="G4" s="1460" t="str">
        <f>+C4</f>
        <v>НДШ</v>
      </c>
      <c r="H4" s="1460" t="str">
        <f>+D4</f>
        <v>Ашиг</v>
      </c>
      <c r="I4" s="1460">
        <v>2</v>
      </c>
      <c r="J4" s="1460">
        <v>7.8</v>
      </c>
      <c r="K4" s="1460">
        <v>10</v>
      </c>
      <c r="L4" s="1460" t="s">
        <v>2626</v>
      </c>
      <c r="M4" s="1460" t="s">
        <v>2655</v>
      </c>
      <c r="N4" s="1460" t="s">
        <v>2700</v>
      </c>
      <c r="O4" s="1460" t="s">
        <v>1250</v>
      </c>
    </row>
    <row r="5" spans="1:16">
      <c r="A5" s="1461">
        <v>1</v>
      </c>
      <c r="B5" s="1462">
        <f>SUMIF(negtgel!$A$3:$A$12000,A5,negtgel!N$3:N$12000)</f>
        <v>0</v>
      </c>
      <c r="C5" s="1462">
        <f>SUMIF(negtgel!$A$3:$A$12000,$A5,negtgel!O$3:O$12000)</f>
        <v>0</v>
      </c>
      <c r="D5" s="1462">
        <f>SUMIF(negtgel!$A$3:$A$12000,$A5,negtgel!P$3:P$12000)</f>
        <v>0</v>
      </c>
      <c r="E5" s="1462">
        <f>SUMIFS(negtgel!C$3:C$12000,negtgel!$A$3:$A$12000,$A5,negtgel!$N$3:$N$12000,"&gt;0")</f>
        <v>0</v>
      </c>
      <c r="F5" s="1462">
        <f>SUMIF(negtgel!$A$3:$A$12000,$A5,negtgel!D$3:D$12000)</f>
        <v>0</v>
      </c>
      <c r="G5" s="1463">
        <f>+C5-E5</f>
        <v>0</v>
      </c>
      <c r="H5" s="1464">
        <f>+D5-F5</f>
        <v>0</v>
      </c>
      <c r="I5" s="1462">
        <f>SUMIFS(negtgel!N$3:N$12000,negtgel!A$3:A$12000,A5,negtgel!T$3:T$12000,$I$4)</f>
        <v>0</v>
      </c>
      <c r="J5" s="1462">
        <f>SUMIFS(negtgel!N$3:N$12000,negtgel!A$3:A$12000,A5,negtgel!T$3:T$12000,$J$4)</f>
        <v>0</v>
      </c>
      <c r="K5" s="1462">
        <f>SUMIFS(negtgel!N$3:N$12000,negtgel!A$3:A$12000,A5,negtgel!T$3:T$12000,$K$4)</f>
        <v>0</v>
      </c>
      <c r="L5" s="1462">
        <f>SUMIF(negtgel!$A$3:$A$12000,A5,negtgel!G$3:G$12000)</f>
        <v>0</v>
      </c>
      <c r="M5" s="1462">
        <f>SUMIF(negtgel!$A$3:$A$12000,A5,negtgel!H$3:H$12000)</f>
        <v>0</v>
      </c>
      <c r="N5" s="1465"/>
      <c r="O5" s="1465"/>
      <c r="P5" s="1456" t="s">
        <v>3014</v>
      </c>
    </row>
    <row r="6" spans="1:16">
      <c r="A6" s="1461">
        <v>2</v>
      </c>
      <c r="B6" s="1462">
        <f>SUMIF(negtgel!$A$3:$A$12000,A6,negtgel!N$3:N$12000)</f>
        <v>0</v>
      </c>
      <c r="C6" s="1462">
        <f>SUMIF(negtgel!$A$3:$A$12000,$A6,negtgel!O$3:O$12000)</f>
        <v>0</v>
      </c>
      <c r="D6" s="1462">
        <f>SUMIF(negtgel!$A$3:$A$12000,$A6,negtgel!P$3:P$12000)</f>
        <v>0</v>
      </c>
      <c r="E6" s="1462">
        <f>SUMIFS(negtgel!C$3:C$12000,negtgel!$A$3:$A$12000,$A6,negtgel!$N$3:$N$12000,"&gt;0")</f>
        <v>0</v>
      </c>
      <c r="F6" s="1462">
        <f>SUMIF(negtgel!$A$3:$A$12000,$A6,negtgel!D$3:D$12000)</f>
        <v>0</v>
      </c>
      <c r="G6" s="1463">
        <f ref="G6:H16" si="0" t="shared">+C6-E6</f>
        <v>0</v>
      </c>
      <c r="H6" s="1464">
        <f si="0" t="shared"/>
        <v>0</v>
      </c>
      <c r="I6" s="1462">
        <f>SUMIFS(negtgel!N$3:N$12000,negtgel!A$3:A$12000,A6,negtgel!T$3:T$12000,$I$4)</f>
        <v>0</v>
      </c>
      <c r="J6" s="1462">
        <f>SUMIFS(negtgel!N$3:N$12000,negtgel!A$3:A$12000,A6,negtgel!T$3:T$12000,$J$4)</f>
        <v>0</v>
      </c>
      <c r="K6" s="1462">
        <f>SUMIFS(negtgel!N$3:N$12000,negtgel!A$3:A$12000,A6,negtgel!T$3:T$12000,$K$4)</f>
        <v>0</v>
      </c>
      <c r="L6" s="1462">
        <f>SUMIF(negtgel!$A$3:$A$12000,A6,negtgel!G$3:G$12000)</f>
        <v>0</v>
      </c>
      <c r="M6" s="1462">
        <f>SUMIF(negtgel!$A$3:$A$12000,A6,negtgel!H$3:H$12000)</f>
        <v>0</v>
      </c>
      <c r="N6" s="1465"/>
      <c r="O6" s="1465"/>
    </row>
    <row r="7" spans="1:16">
      <c r="A7" s="1461">
        <v>3</v>
      </c>
      <c r="B7" s="1462">
        <f>SUMIF(negtgel!$A$3:$A$12000,A7,negtgel!N$3:N$12000)</f>
        <v>0</v>
      </c>
      <c r="C7" s="1462">
        <f>SUMIF(negtgel!$A$3:$A$12000,$A7,negtgel!O$3:O$12000)</f>
        <v>0</v>
      </c>
      <c r="D7" s="1462">
        <f>SUMIF(negtgel!$A$3:$A$12000,$A7,negtgel!P$3:P$12000)</f>
        <v>0</v>
      </c>
      <c r="E7" s="1462">
        <f>SUMIFS(negtgel!C$3:C$12000,negtgel!$A$3:$A$12000,$A7,negtgel!$N$3:$N$12000,"&gt;0")</f>
        <v>0</v>
      </c>
      <c r="F7" s="1462">
        <f>SUMIF(negtgel!$A$3:$A$12000,$A7,negtgel!D$3:D$12000)</f>
        <v>0</v>
      </c>
      <c r="G7" s="1463">
        <f si="0" t="shared"/>
        <v>0</v>
      </c>
      <c r="H7" s="1464">
        <f si="0" t="shared"/>
        <v>0</v>
      </c>
      <c r="I7" s="1462">
        <f>SUMIFS(negtgel!N$3:N$12000,negtgel!A$3:A$12000,A7,negtgel!T$3:T$12000,$I$4)</f>
        <v>0</v>
      </c>
      <c r="J7" s="1462">
        <f>SUMIFS(negtgel!N$3:N$12000,negtgel!A$3:A$12000,A7,negtgel!T$3:T$12000,$J$4)</f>
        <v>0</v>
      </c>
      <c r="K7" s="1462">
        <f>SUMIFS(negtgel!N$3:N$12000,negtgel!A$3:A$12000,A7,negtgel!T$3:T$12000,$K$4)</f>
        <v>0</v>
      </c>
      <c r="L7" s="1462">
        <f>SUMIF(negtgel!$A$3:$A$12000,A7,negtgel!G$3:G$12000)</f>
        <v>0</v>
      </c>
      <c r="M7" s="1462">
        <f>SUMIF(negtgel!$A$3:$A$12000,A7,negtgel!H$3:H$12000)</f>
        <v>0</v>
      </c>
      <c r="N7" s="1465"/>
      <c r="O7" s="1465"/>
    </row>
    <row r="8" spans="1:16">
      <c r="A8" s="1461">
        <v>4</v>
      </c>
      <c r="B8" s="1462">
        <f>SUMIF(negtgel!$A$3:$A$12000,A8,negtgel!N$3:N$12000)</f>
        <v>0</v>
      </c>
      <c r="C8" s="1462">
        <f>SUMIF(negtgel!$A$3:$A$12000,$A8,negtgel!O$3:O$12000)</f>
        <v>0</v>
      </c>
      <c r="D8" s="1462">
        <f>SUMIF(negtgel!$A$3:$A$12000,$A8,negtgel!P$3:P$12000)</f>
        <v>0</v>
      </c>
      <c r="E8" s="1462">
        <f>SUMIFS(negtgel!C$3:C$12000,negtgel!$A$3:$A$12000,$A8,negtgel!$N$3:$N$12000,"&gt;0")</f>
        <v>0</v>
      </c>
      <c r="F8" s="1462">
        <f>SUMIF(negtgel!$A$3:$A$12000,$A8,negtgel!D$3:D$12000)</f>
        <v>0</v>
      </c>
      <c r="G8" s="1463">
        <f si="0" t="shared"/>
        <v>0</v>
      </c>
      <c r="H8" s="1464">
        <f si="0" t="shared"/>
        <v>0</v>
      </c>
      <c r="I8" s="1462">
        <f>SUMIFS(negtgel!N$3:N$12000,negtgel!A$3:A$12000,A8,negtgel!T$3:T$12000,$I$4)</f>
        <v>0</v>
      </c>
      <c r="J8" s="1462">
        <f>SUMIFS(negtgel!N$3:N$12000,negtgel!A$3:A$12000,A8,negtgel!T$3:T$12000,$J$4)</f>
        <v>0</v>
      </c>
      <c r="K8" s="1462">
        <f>SUMIFS(negtgel!N$3:N$12000,negtgel!A$3:A$12000,A8,negtgel!T$3:T$12000,$K$4)</f>
        <v>0</v>
      </c>
      <c r="L8" s="1462">
        <f>SUMIF(negtgel!$A$3:$A$12000,A8,negtgel!G$3:G$12000)</f>
        <v>0</v>
      </c>
      <c r="M8" s="1462">
        <f>SUMIF(negtgel!$A$3:$A$12000,A8,negtgel!H$3:H$12000)</f>
        <v>0</v>
      </c>
      <c r="N8" s="1465"/>
      <c r="O8" s="1465"/>
    </row>
    <row r="9" spans="1:16">
      <c r="A9" s="1461">
        <v>5</v>
      </c>
      <c r="B9" s="1462">
        <f>SUMIF(negtgel!$A$3:$A$12000,A9,negtgel!N$3:N$12000)</f>
        <v>0</v>
      </c>
      <c r="C9" s="1462">
        <f>SUMIF(negtgel!$A$3:$A$12000,$A9,negtgel!O$3:O$12000)</f>
        <v>0</v>
      </c>
      <c r="D9" s="1462">
        <f>SUMIF(negtgel!$A$3:$A$12000,$A9,negtgel!P$3:P$12000)</f>
        <v>0</v>
      </c>
      <c r="E9" s="1462">
        <f>SUMIFS(negtgel!C$3:C$12000,negtgel!$A$3:$A$12000,$A9,negtgel!$N$3:$N$12000,"&gt;0")</f>
        <v>0</v>
      </c>
      <c r="F9" s="1462">
        <f>SUMIF(negtgel!$A$3:$A$12000,$A9,negtgel!D$3:D$12000)</f>
        <v>0</v>
      </c>
      <c r="G9" s="1463">
        <f si="0" t="shared"/>
        <v>0</v>
      </c>
      <c r="H9" s="1464">
        <f si="0" t="shared"/>
        <v>0</v>
      </c>
      <c r="I9" s="1462">
        <f>SUMIFS(negtgel!N$3:N$12000,negtgel!A$3:A$12000,A9,negtgel!T$3:T$12000,$I$4)</f>
        <v>0</v>
      </c>
      <c r="J9" s="1462">
        <f>SUMIFS(negtgel!N$3:N$12000,negtgel!A$3:A$12000,A9,negtgel!T$3:T$12000,$J$4)</f>
        <v>0</v>
      </c>
      <c r="K9" s="1462">
        <f>SUMIFS(negtgel!N$3:N$12000,negtgel!A$3:A$12000,A9,negtgel!T$3:T$12000,$K$4)</f>
        <v>0</v>
      </c>
      <c r="L9" s="1462">
        <f>SUMIF(negtgel!$A$3:$A$12000,A9,negtgel!G$3:G$12000)</f>
        <v>0</v>
      </c>
      <c r="M9" s="1462">
        <f>SUMIF(negtgel!$A$3:$A$12000,A9,negtgel!H$3:H$12000)</f>
        <v>0</v>
      </c>
      <c r="N9" s="1465"/>
      <c r="O9" s="1465"/>
    </row>
    <row r="10" spans="1:16">
      <c r="A10" s="1461">
        <v>6</v>
      </c>
      <c r="B10" s="1462">
        <f>SUMIF(negtgel!$A$3:$A$12000,A10,negtgel!N$3:N$12000)</f>
        <v>0</v>
      </c>
      <c r="C10" s="1462">
        <f>SUMIF(negtgel!$A$3:$A$12000,$A10,negtgel!O$3:O$12000)</f>
        <v>0</v>
      </c>
      <c r="D10" s="1462">
        <f>SUMIF(negtgel!$A$3:$A$12000,$A10,negtgel!P$3:P$12000)</f>
        <v>0</v>
      </c>
      <c r="E10" s="1462">
        <f>SUMIFS(negtgel!C$3:C$12000,negtgel!$A$3:$A$12000,$A10,negtgel!$N$3:$N$12000,"&gt;0")</f>
        <v>0</v>
      </c>
      <c r="F10" s="1462">
        <f>SUMIF(negtgel!$A$3:$A$12000,$A10,negtgel!D$3:D$12000)</f>
        <v>0</v>
      </c>
      <c r="G10" s="1463">
        <f si="0" t="shared"/>
        <v>0</v>
      </c>
      <c r="H10" s="1464">
        <f si="0" t="shared"/>
        <v>0</v>
      </c>
      <c r="I10" s="1462">
        <f>SUMIFS(negtgel!N$3:N$12000,negtgel!A$3:A$12000,A10,negtgel!T$3:T$12000,$I$4)</f>
        <v>0</v>
      </c>
      <c r="J10" s="1462">
        <f>SUMIFS(negtgel!N$3:N$12000,negtgel!A$3:A$12000,A10,negtgel!T$3:T$12000,$J$4)</f>
        <v>0</v>
      </c>
      <c r="K10" s="1462">
        <f>SUMIFS(negtgel!N$3:N$12000,negtgel!A$3:A$12000,A10,negtgel!T$3:T$12000,$K$4)</f>
        <v>0</v>
      </c>
      <c r="L10" s="1462">
        <f>SUMIF(negtgel!$A$3:$A$12000,A10,negtgel!G$3:G$12000)</f>
        <v>0</v>
      </c>
      <c r="M10" s="1462">
        <f>SUMIF(negtgel!$A$3:$A$12000,A10,negtgel!H$3:H$12000)</f>
        <v>0</v>
      </c>
      <c r="N10" s="1465"/>
      <c r="O10" s="1465"/>
    </row>
    <row r="11" spans="1:16">
      <c r="A11" s="1461">
        <v>7</v>
      </c>
      <c r="B11" s="1462">
        <f>SUMIF(negtgel!$A$3:$A$12000,A11,negtgel!N$3:N$12000)</f>
        <v>0</v>
      </c>
      <c r="C11" s="1462">
        <f>SUMIF(negtgel!$A$3:$A$12000,$A11,negtgel!O$3:O$12000)</f>
        <v>0</v>
      </c>
      <c r="D11" s="1462">
        <f>SUMIF(negtgel!$A$3:$A$12000,$A11,negtgel!P$3:P$12000)</f>
        <v>0</v>
      </c>
      <c r="E11" s="1462">
        <f>SUMIFS(negtgel!C$3:C$12000,negtgel!$A$3:$A$12000,$A11,negtgel!$N$3:$N$12000,"&gt;0")</f>
        <v>0</v>
      </c>
      <c r="F11" s="1462">
        <f>SUMIF(negtgel!$A$3:$A$12000,$A11,negtgel!D$3:D$12000)</f>
        <v>0</v>
      </c>
      <c r="G11" s="1463">
        <f si="0" t="shared"/>
        <v>0</v>
      </c>
      <c r="H11" s="1464">
        <f si="0" t="shared"/>
        <v>0</v>
      </c>
      <c r="I11" s="1462">
        <f>SUMIFS(negtgel!N$3:N$12000,negtgel!A$3:A$12000,A11,negtgel!T$3:T$12000,$I$4)</f>
        <v>0</v>
      </c>
      <c r="J11" s="1462">
        <f>SUMIFS(negtgel!N$3:N$12000,negtgel!A$3:A$12000,A11,negtgel!T$3:T$12000,$J$4)</f>
        <v>0</v>
      </c>
      <c r="K11" s="1462">
        <f>SUMIFS(negtgel!N$3:N$12000,negtgel!A$3:A$12000,A11,negtgel!T$3:T$12000,$K$4)</f>
        <v>0</v>
      </c>
      <c r="L11" s="1462">
        <f>SUMIF(negtgel!$A$3:$A$12000,A11,negtgel!G$3:G$12000)</f>
        <v>0</v>
      </c>
      <c r="M11" s="1462">
        <f>SUMIF(negtgel!$A$3:$A$12000,A11,negtgel!H$3:H$12000)</f>
        <v>0</v>
      </c>
      <c r="N11" s="1465"/>
      <c r="O11" s="1465"/>
    </row>
    <row r="12" spans="1:16">
      <c r="A12" s="1461">
        <v>8</v>
      </c>
      <c r="B12" s="1462">
        <f>SUMIF(negtgel!$A$3:$A$12000,A12,negtgel!N$3:N$12000)</f>
        <v>0</v>
      </c>
      <c r="C12" s="1462">
        <f>SUMIF(negtgel!$A$3:$A$12000,$A12,negtgel!O$3:O$12000)</f>
        <v>0</v>
      </c>
      <c r="D12" s="1462">
        <f>SUMIF(negtgel!$A$3:$A$12000,$A12,negtgel!P$3:P$12000)</f>
        <v>0</v>
      </c>
      <c r="E12" s="1462">
        <f>SUMIFS(negtgel!C$3:C$12000,negtgel!$A$3:$A$12000,$A12,negtgel!$N$3:$N$12000,"&gt;0")</f>
        <v>0</v>
      </c>
      <c r="F12" s="1462">
        <f>SUMIF(negtgel!$A$3:$A$12000,$A12,negtgel!D$3:D$12000)</f>
        <v>0</v>
      </c>
      <c r="G12" s="1463">
        <f si="0" t="shared"/>
        <v>0</v>
      </c>
      <c r="H12" s="1464">
        <f si="0" t="shared"/>
        <v>0</v>
      </c>
      <c r="I12" s="1462">
        <f>SUMIFS(negtgel!N$3:N$12000,negtgel!A$3:A$12000,A12,negtgel!T$3:T$12000,$I$4)</f>
        <v>0</v>
      </c>
      <c r="J12" s="1462">
        <f>SUMIFS(negtgel!N$3:N$12000,negtgel!A$3:A$12000,A12,negtgel!T$3:T$12000,$J$4)</f>
        <v>0</v>
      </c>
      <c r="K12" s="1462">
        <f>SUMIFS(negtgel!N$3:N$12000,negtgel!A$3:A$12000,A12,negtgel!T$3:T$12000,$K$4)</f>
        <v>0</v>
      </c>
      <c r="L12" s="1462">
        <f>SUMIF(negtgel!$A$3:$A$12000,A12,negtgel!G$3:G$12000)</f>
        <v>0</v>
      </c>
      <c r="M12" s="1462">
        <f>SUMIF(negtgel!$A$3:$A$12000,A12,negtgel!H$3:H$12000)</f>
        <v>0</v>
      </c>
      <c r="N12" s="1465"/>
      <c r="O12" s="1465"/>
    </row>
    <row r="13" spans="1:16">
      <c r="A13" s="1461">
        <v>9</v>
      </c>
      <c r="B13" s="1462">
        <f>SUMIF(negtgel!$A$3:$A$12000,A13,negtgel!N$3:N$12000)</f>
        <v>0</v>
      </c>
      <c r="C13" s="1462">
        <f>SUMIF(negtgel!$A$3:$A$12000,$A13,negtgel!O$3:O$12000)</f>
        <v>0</v>
      </c>
      <c r="D13" s="1462">
        <f>SUMIF(negtgel!$A$3:$A$12000,$A13,negtgel!P$3:P$12000)</f>
        <v>0</v>
      </c>
      <c r="E13" s="1462">
        <f>SUMIFS(negtgel!C$3:C$12000,negtgel!$A$3:$A$12000,$A13,negtgel!$N$3:$N$12000,"&gt;0")</f>
        <v>0</v>
      </c>
      <c r="F13" s="1462">
        <f>SUMIF(negtgel!$A$3:$A$12000,$A13,negtgel!D$3:D$12000)</f>
        <v>0</v>
      </c>
      <c r="G13" s="1463">
        <f si="0" t="shared"/>
        <v>0</v>
      </c>
      <c r="H13" s="1464">
        <f si="0" t="shared"/>
        <v>0</v>
      </c>
      <c r="I13" s="1462">
        <f>SUMIFS(negtgel!N$3:N$12000,negtgel!A$3:A$12000,A13,negtgel!T$3:T$12000,$I$4)</f>
        <v>0</v>
      </c>
      <c r="J13" s="1462">
        <f>SUMIFS(negtgel!N$3:N$12000,negtgel!A$3:A$12000,A13,negtgel!T$3:T$12000,$J$4)</f>
        <v>0</v>
      </c>
      <c r="K13" s="1462">
        <f>SUMIFS(negtgel!N$3:N$12000,negtgel!A$3:A$12000,A13,negtgel!T$3:T$12000,$K$4)</f>
        <v>0</v>
      </c>
      <c r="L13" s="1462">
        <f>SUMIF(negtgel!$A$3:$A$12000,A13,negtgel!G$3:G$12000)</f>
        <v>0</v>
      </c>
      <c r="M13" s="1462">
        <f>SUMIF(negtgel!$A$3:$A$12000,A13,negtgel!H$3:H$12000)</f>
        <v>0</v>
      </c>
      <c r="N13" s="1465"/>
      <c r="O13" s="1465"/>
    </row>
    <row r="14" spans="1:16">
      <c r="A14" s="1461">
        <v>10</v>
      </c>
      <c r="B14" s="1462">
        <f>SUMIF(negtgel!$A$3:$A$12000,A14,negtgel!N$3:N$12000)</f>
        <v>0</v>
      </c>
      <c r="C14" s="1462">
        <f>SUMIF(negtgel!$A$3:$A$12000,$A14,negtgel!O$3:O$12000)</f>
        <v>0</v>
      </c>
      <c r="D14" s="1462">
        <f>SUMIF(negtgel!$A$3:$A$12000,$A14,negtgel!P$3:P$12000)</f>
        <v>0</v>
      </c>
      <c r="E14" s="1462">
        <f>SUMIFS(negtgel!C$3:C$12000,negtgel!$A$3:$A$12000,$A14,negtgel!$N$3:$N$12000,"&gt;0")</f>
        <v>0</v>
      </c>
      <c r="F14" s="1462">
        <f>SUMIF(negtgel!$A$3:$A$12000,$A14,negtgel!D$3:D$12000)</f>
        <v>0</v>
      </c>
      <c r="G14" s="1463">
        <f si="0" t="shared"/>
        <v>0</v>
      </c>
      <c r="H14" s="1464">
        <f si="0" t="shared"/>
        <v>0</v>
      </c>
      <c r="I14" s="1462">
        <f>SUMIFS(negtgel!N$3:N$12000,negtgel!A$3:A$12000,A14,negtgel!T$3:T$12000,$I$4)</f>
        <v>0</v>
      </c>
      <c r="J14" s="1462">
        <f>SUMIFS(negtgel!N$3:N$12000,negtgel!A$3:A$12000,A14,negtgel!T$3:T$12000,$J$4)</f>
        <v>0</v>
      </c>
      <c r="K14" s="1462">
        <f>SUMIFS(negtgel!N$3:N$12000,negtgel!A$3:A$12000,A14,negtgel!T$3:T$12000,$K$4)</f>
        <v>0</v>
      </c>
      <c r="L14" s="1462">
        <f>SUMIF(negtgel!$A$3:$A$12000,A14,negtgel!G$3:G$12000)</f>
        <v>0</v>
      </c>
      <c r="M14" s="1462">
        <f>SUMIF(negtgel!$A$3:$A$12000,A14,negtgel!H$3:H$12000)</f>
        <v>0</v>
      </c>
      <c r="N14" s="1465"/>
      <c r="O14" s="1465"/>
    </row>
    <row r="15" spans="1:16">
      <c r="A15" s="1461">
        <v>11</v>
      </c>
      <c r="B15" s="1462">
        <f>SUMIF(negtgel!$A$3:$A$12000,A15,negtgel!N$3:N$12000)</f>
        <v>0</v>
      </c>
      <c r="C15" s="1462">
        <f>SUMIF(negtgel!$A$3:$A$12000,$A15,negtgel!O$3:O$12000)</f>
        <v>0</v>
      </c>
      <c r="D15" s="1462">
        <f>SUMIF(negtgel!$A$3:$A$12000,$A15,negtgel!P$3:P$12000)</f>
        <v>0</v>
      </c>
      <c r="E15" s="1462">
        <f>SUMIFS(negtgel!C$3:C$12000,negtgel!$A$3:$A$12000,$A15,negtgel!$N$3:$N$12000,"&gt;0")</f>
        <v>0</v>
      </c>
      <c r="F15" s="1462">
        <f>SUMIF(negtgel!$A$3:$A$12000,$A15,negtgel!D$3:D$12000)</f>
        <v>0</v>
      </c>
      <c r="G15" s="1463">
        <f si="0" t="shared"/>
        <v>0</v>
      </c>
      <c r="H15" s="1464">
        <f si="0" t="shared"/>
        <v>0</v>
      </c>
      <c r="I15" s="1462">
        <f>SUMIFS(negtgel!N$3:N$12000,negtgel!A$3:A$12000,A15,negtgel!T$3:T$12000,$I$4)</f>
        <v>0</v>
      </c>
      <c r="J15" s="1462">
        <f>SUMIFS(negtgel!N$3:N$12000,negtgel!A$3:A$12000,A15,negtgel!T$3:T$12000,$J$4)</f>
        <v>0</v>
      </c>
      <c r="K15" s="1462">
        <f>SUMIFS(negtgel!N$3:N$12000,negtgel!A$3:A$12000,A15,negtgel!T$3:T$12000,$K$4)</f>
        <v>0</v>
      </c>
      <c r="L15" s="1462">
        <f>SUMIF(negtgel!$A$3:$A$12000,A15,negtgel!G$3:G$12000)</f>
        <v>0</v>
      </c>
      <c r="M15" s="1462">
        <f>SUMIF(negtgel!$A$3:$A$12000,A15,negtgel!H$3:H$12000)</f>
        <v>0</v>
      </c>
      <c r="N15" s="1465"/>
      <c r="O15" s="1465"/>
    </row>
    <row r="16" spans="1:16">
      <c r="A16" s="1461">
        <v>12</v>
      </c>
      <c r="B16" s="1462">
        <f>SUMIF(negtgel!$A$3:$A$12000,A16,negtgel!N$3:N$12000)</f>
        <v>0</v>
      </c>
      <c r="C16" s="1462">
        <f>SUMIF(negtgel!$A$3:$A$12000,$A16,negtgel!O$3:O$12000)</f>
        <v>0</v>
      </c>
      <c r="D16" s="1462">
        <f>SUMIF(negtgel!$A$3:$A$12000,$A16,negtgel!P$3:P$12000)</f>
        <v>0</v>
      </c>
      <c r="E16" s="1462">
        <f>SUMIFS(negtgel!C$3:C$12000,negtgel!$A$3:$A$12000,$A16,negtgel!$N$3:$N$12000,"&gt;0")</f>
        <v>0</v>
      </c>
      <c r="F16" s="1462">
        <f>SUMIF(negtgel!$A$3:$A$12000,$A16,negtgel!D$3:D$12000)</f>
        <v>0</v>
      </c>
      <c r="G16" s="1463">
        <f si="0" t="shared"/>
        <v>0</v>
      </c>
      <c r="H16" s="1464">
        <f si="0" t="shared"/>
        <v>0</v>
      </c>
      <c r="I16" s="1462">
        <f>SUMIFS(negtgel!N$3:N$12000,negtgel!A$3:A$12000,A16,negtgel!T$3:T$12000,$I$4)</f>
        <v>0</v>
      </c>
      <c r="J16" s="1462">
        <f>SUMIFS(negtgel!N$3:N$12000,negtgel!A$3:A$12000,A16,negtgel!T$3:T$12000,$J$4)</f>
        <v>0</v>
      </c>
      <c r="K16" s="1462">
        <f>SUMIFS(negtgel!N$3:N$12000,negtgel!A$3:A$12000,A16,negtgel!T$3:T$12000,$K$4)</f>
        <v>0</v>
      </c>
      <c r="L16" s="1462">
        <f>SUMIF(negtgel!$A$3:$A$12000,A16,negtgel!G$3:G$12000)</f>
        <v>0</v>
      </c>
      <c r="M16" s="1462">
        <f>SUMIF(negtgel!$A$3:$A$12000,A16,negtgel!H$3:H$12000)</f>
        <v>0</v>
      </c>
      <c r="N16" s="1465"/>
      <c r="O16" s="1465"/>
    </row>
    <row customFormat="1" r="17" s="1468" spans="1:16">
      <c r="A17" s="1466" t="s">
        <v>2657</v>
      </c>
      <c r="B17" s="1465">
        <f>B5+B6+B7+B8+B9+B10+B11+B12+B13+B14+B15+B16</f>
        <v>0</v>
      </c>
      <c r="C17" s="1465">
        <f>C5+C6+C7+C8+C9+C10+C11+C12+C13+C14+C15+C16</f>
        <v>0</v>
      </c>
      <c r="D17" s="1465">
        <f ref="D17:H17" si="1" t="shared">D5+D6+D7+D8+D9+D10+D11+D12+D13+D14+D15+D16</f>
        <v>0</v>
      </c>
      <c r="E17" s="1465">
        <f si="1" t="shared"/>
        <v>0</v>
      </c>
      <c r="F17" s="1465">
        <f si="1" t="shared"/>
        <v>0</v>
      </c>
      <c r="G17" s="1467">
        <f si="1" t="shared"/>
        <v>0</v>
      </c>
      <c r="H17" s="1465">
        <f si="1" t="shared"/>
        <v>0</v>
      </c>
      <c r="I17" s="1465">
        <f>SUM(I5:I16)</f>
        <v>0</v>
      </c>
      <c r="J17" s="1465">
        <f ref="J17:L17" si="2" t="shared">SUM(J5:J16)</f>
        <v>0</v>
      </c>
      <c r="K17" s="1465">
        <f si="2" t="shared"/>
        <v>0</v>
      </c>
      <c r="L17" s="1465">
        <f si="2" t="shared"/>
        <v>0</v>
      </c>
      <c r="M17" s="1465">
        <v>0</v>
      </c>
      <c r="N17" s="1465">
        <f>'3.CT2A'!D156</f>
        <v>0</v>
      </c>
      <c r="O17" s="1465">
        <f>N17-(I17+J17+K17)</f>
        <v>0</v>
      </c>
      <c r="P17" s="1468" t="s">
        <v>2701</v>
      </c>
    </row>
    <row r="18" spans="1:16">
      <c r="B18" s="1469"/>
      <c r="C18" s="1469"/>
      <c r="D18" s="1469"/>
      <c r="E18" s="1469"/>
      <c r="F18" s="1469"/>
      <c r="G18" s="1470"/>
      <c r="H18" s="1469"/>
      <c r="I18" s="1465">
        <f>+I17*0.02</f>
        <v>0</v>
      </c>
      <c r="J18" s="1465">
        <f>+J17*0.09</f>
        <v>0</v>
      </c>
      <c r="K18" s="1465">
        <f>+K17*0.11</f>
        <v>0</v>
      </c>
      <c r="L18" s="1465"/>
      <c r="M18" s="1465"/>
      <c r="N18" s="1465">
        <f>'3.CT2A'!D163</f>
        <v>0</v>
      </c>
      <c r="O18" s="1465">
        <f>N18-(I18+J18+K18)</f>
        <v>0</v>
      </c>
      <c r="P18" s="1456" t="s">
        <v>2702</v>
      </c>
    </row>
    <row r="19" spans="1:16">
      <c r="B19" s="1469"/>
      <c r="C19" s="1469"/>
      <c r="D19" s="1469"/>
      <c r="E19" s="1469"/>
      <c r="F19" s="1469"/>
      <c r="G19" s="1470"/>
      <c r="H19" s="1469"/>
      <c r="I19" s="1465">
        <f>+I17*0.04</f>
        <v>0</v>
      </c>
      <c r="J19" s="1465">
        <f>+J17*16.6/100</f>
        <v>0</v>
      </c>
      <c r="K19" s="1465">
        <f>+K17*0.21</f>
        <v>0</v>
      </c>
      <c r="L19" s="1465"/>
      <c r="M19" s="1465"/>
      <c r="N19" s="1469"/>
      <c r="O19" s="1465"/>
    </row>
    <row r="20" spans="1:16">
      <c r="I20" s="1471"/>
      <c r="J20" s="1471"/>
      <c r="K20" s="1471"/>
      <c r="L20" s="1471"/>
      <c r="M20" s="1471"/>
      <c r="N20" s="1471"/>
      <c r="O20" s="1471"/>
    </row>
    <row r="21" spans="1:16">
      <c r="I21" s="1471"/>
      <c r="J21" s="1471"/>
      <c r="K21" s="1471"/>
      <c r="L21" s="1471"/>
      <c r="M21" s="1471"/>
      <c r="N21" s="1471"/>
      <c r="O21" s="1471"/>
    </row>
    <row r="23" spans="1:16">
      <c r="A23" s="1476" t="s">
        <v>3493</v>
      </c>
      <c r="B23" s="1476" t="s">
        <v>3494</v>
      </c>
      <c r="C23" s="1476" t="s">
        <v>3495</v>
      </c>
      <c r="D23" s="1477" t="s">
        <v>2627</v>
      </c>
    </row>
    <row r="24" spans="1:16">
      <c r="A24" s="1472">
        <f>+A5</f>
        <v>1</v>
      </c>
      <c r="B24" s="1473">
        <f>+B5</f>
        <v>0</v>
      </c>
      <c r="C24" s="1474">
        <f>COUNTIFS(negtgel!$A$3:$A$12000,$A24,negtgel!V$3:V$12000,"*")</f>
        <v>0</v>
      </c>
      <c r="D24" s="1462">
        <f>SUMIF(negtgel!$A$3:$A$12000,$A24,negtgel!AF$3:AF$12000)</f>
        <v>0</v>
      </c>
    </row>
    <row r="25" spans="1:16">
      <c r="A25" s="1472">
        <f ref="A25:B36" si="3" t="shared">+A6</f>
        <v>2</v>
      </c>
      <c r="B25" s="1473">
        <f si="3" t="shared"/>
        <v>0</v>
      </c>
      <c r="C25" s="1474">
        <f>COUNTIFS(negtgel!$A$3:$A$12000,$A25,negtgel!V$3:V$12000,"*")</f>
        <v>0</v>
      </c>
      <c r="D25" s="1462">
        <f>SUMIF(negtgel!$A$3:$A$12000,$A25,negtgel!AF$3:AF$12000)</f>
        <v>0</v>
      </c>
    </row>
    <row r="26" spans="1:16">
      <c r="A26" s="1472">
        <f si="3" t="shared"/>
        <v>3</v>
      </c>
      <c r="B26" s="1473">
        <f si="3" t="shared"/>
        <v>0</v>
      </c>
      <c r="C26" s="1474">
        <f>COUNTIFS(negtgel!$A$3:$A$12000,$A26,negtgel!V$3:V$12000,"*")</f>
        <v>0</v>
      </c>
      <c r="D26" s="1462">
        <f>SUMIF(negtgel!$A$3:$A$12000,$A26,negtgel!AF$3:AF$12000)</f>
        <v>0</v>
      </c>
    </row>
    <row r="27" spans="1:16">
      <c r="A27" s="1472">
        <f si="3" t="shared"/>
        <v>4</v>
      </c>
      <c r="B27" s="1473">
        <f si="3" t="shared"/>
        <v>0</v>
      </c>
      <c r="C27" s="1474">
        <f>COUNTIFS(negtgel!$A$3:$A$12000,$A27,negtgel!V$3:V$12000,"*")</f>
        <v>0</v>
      </c>
      <c r="D27" s="1462">
        <f>SUMIF(negtgel!$A$3:$A$12000,$A27,negtgel!AF$3:AF$12000)</f>
        <v>0</v>
      </c>
    </row>
    <row r="28" spans="1:16">
      <c r="A28" s="1472">
        <f si="3" t="shared"/>
        <v>5</v>
      </c>
      <c r="B28" s="1473">
        <f si="3" t="shared"/>
        <v>0</v>
      </c>
      <c r="C28" s="1474">
        <f>COUNTIFS(negtgel!$A$3:$A$12000,$A28,negtgel!V$3:V$12000,"*")</f>
        <v>0</v>
      </c>
      <c r="D28" s="1462">
        <f>SUMIF(negtgel!$A$3:$A$12000,$A28,negtgel!AF$3:AF$12000)</f>
        <v>0</v>
      </c>
    </row>
    <row r="29" spans="1:16">
      <c r="A29" s="1472">
        <f si="3" t="shared"/>
        <v>6</v>
      </c>
      <c r="B29" s="1473">
        <f si="3" t="shared"/>
        <v>0</v>
      </c>
      <c r="C29" s="1474">
        <f>COUNTIFS(negtgel!$A$3:$A$12000,$A29,negtgel!V$3:V$12000,"*")</f>
        <v>0</v>
      </c>
      <c r="D29" s="1462">
        <f>SUMIF(negtgel!$A$3:$A$12000,$A29,negtgel!AF$3:AF$12000)</f>
        <v>0</v>
      </c>
    </row>
    <row r="30" spans="1:16">
      <c r="A30" s="1472">
        <f si="3" t="shared"/>
        <v>7</v>
      </c>
      <c r="B30" s="1473">
        <f si="3" t="shared"/>
        <v>0</v>
      </c>
      <c r="C30" s="1474">
        <f>COUNTIFS(negtgel!$A$3:$A$12000,$A30,negtgel!V$3:V$12000,"*")</f>
        <v>0</v>
      </c>
      <c r="D30" s="1462">
        <f>SUMIF(negtgel!$A$3:$A$12000,$A30,negtgel!AF$3:AF$12000)</f>
        <v>0</v>
      </c>
    </row>
    <row r="31" spans="1:16">
      <c r="A31" s="1472">
        <f si="3" t="shared"/>
        <v>8</v>
      </c>
      <c r="B31" s="1473">
        <f si="3" t="shared"/>
        <v>0</v>
      </c>
      <c r="C31" s="1474">
        <f>COUNTIFS(negtgel!$A$3:$A$12000,$A31,negtgel!V$3:V$12000,"*")</f>
        <v>0</v>
      </c>
      <c r="D31" s="1462">
        <f>SUMIF(negtgel!$A$3:$A$12000,$A31,negtgel!AF$3:AF$12000)</f>
        <v>0</v>
      </c>
    </row>
    <row r="32" spans="1:16">
      <c r="A32" s="1472">
        <f si="3" t="shared"/>
        <v>9</v>
      </c>
      <c r="B32" s="1473">
        <f si="3" t="shared"/>
        <v>0</v>
      </c>
      <c r="C32" s="1474">
        <f>COUNTIFS(negtgel!$A$3:$A$12000,$A32,negtgel!V$3:V$12000,"*")</f>
        <v>0</v>
      </c>
      <c r="D32" s="1462">
        <f>SUMIF(negtgel!$A$3:$A$12000,$A32,negtgel!AF$3:AF$12000)</f>
        <v>0</v>
      </c>
    </row>
    <row r="33" spans="1:4">
      <c r="A33" s="1472">
        <f si="3" t="shared"/>
        <v>10</v>
      </c>
      <c r="B33" s="1473">
        <f si="3" t="shared"/>
        <v>0</v>
      </c>
      <c r="C33" s="1474">
        <f>COUNTIFS(negtgel!$A$3:$A$12000,$A33,negtgel!V$3:V$12000,"*")</f>
        <v>0</v>
      </c>
      <c r="D33" s="1462">
        <f>SUMIF(negtgel!$A$3:$A$12000,$A33,negtgel!AF$3:AF$12000)</f>
        <v>0</v>
      </c>
    </row>
    <row r="34" spans="1:4">
      <c r="A34" s="1472">
        <f si="3" t="shared"/>
        <v>11</v>
      </c>
      <c r="B34" s="1473">
        <f si="3" t="shared"/>
        <v>0</v>
      </c>
      <c r="C34" s="1474">
        <f>COUNTIFS(negtgel!$A$3:$A$12000,$A34,negtgel!V$3:V$12000,"*")</f>
        <v>0</v>
      </c>
      <c r="D34" s="1462">
        <f>SUMIF(negtgel!$A$3:$A$12000,$A34,negtgel!AF$3:AF$12000)</f>
        <v>0</v>
      </c>
    </row>
    <row r="35" spans="1:4">
      <c r="A35" s="1472">
        <f si="3" t="shared"/>
        <v>12</v>
      </c>
      <c r="B35" s="1473">
        <f si="3" t="shared"/>
        <v>0</v>
      </c>
      <c r="C35" s="1474">
        <f>COUNTIFS(negtgel!$A$3:$A$12000,$A35,negtgel!V$3:V$12000,"*")</f>
        <v>0</v>
      </c>
      <c r="D35" s="1462">
        <f>SUMIF(negtgel!$A$3:$A$12000,$A35,negtgel!AF$3:AF$12000)</f>
        <v>0</v>
      </c>
    </row>
    <row r="36" spans="1:4">
      <c r="A36" s="1473" t="str">
        <f si="3" t="shared"/>
        <v xml:space="preserve">Нийт </v>
      </c>
      <c r="B36" s="1473">
        <f si="3" t="shared"/>
        <v>0</v>
      </c>
      <c r="C36" s="1475">
        <f>C24+C25+C26+C27+C28+C29+C30+C31+C32+C33+C34+C35</f>
        <v>0</v>
      </c>
      <c r="D36" s="1475">
        <f>D24+D25+D26+D27+D28+D29+D30+D31+D32+D33+D34+D35</f>
        <v>0</v>
      </c>
    </row>
  </sheetData>
  <mergeCells count="5">
    <mergeCell ref="A3:A4"/>
    <mergeCell ref="B3:D3"/>
    <mergeCell ref="E3:F3"/>
    <mergeCell ref="G3:H3"/>
    <mergeCell ref="C1:F1"/>
  </mergeCells>
  <pageMargins bottom="0.75" footer="0.3" header="0.3" left="0.7" right="0.7" top="0.75"/>
  <pageSetup orientation="portrait" r:id="rId1"/>
  <ignoredErrors>
    <ignoredError emptyCellReference="1" sqref="B24:D35 I5:M16 B5:F16"/>
  </ignoredErrors>
  <drawing r:id="rId2"/>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92D050"/>
  </sheetPr>
  <dimension ref="A1:L102"/>
  <sheetViews>
    <sheetView tabSelected="1" topLeftCell="A42" workbookViewId="0" zoomScale="85" zoomScaleNormal="85">
      <selection activeCell="C49" sqref="C49"/>
    </sheetView>
  </sheetViews>
  <sheetFormatPr defaultRowHeight="12.75"/>
  <cols>
    <col min="1" max="1" customWidth="true" style="44" width="8.42578125" collapsed="false"/>
    <col min="2" max="2" customWidth="true" style="91" width="41.42578125" collapsed="false"/>
    <col min="3" max="3" customWidth="true" style="91" width="56.140625" collapsed="false"/>
    <col min="4" max="4" customWidth="true" style="85" width="29.28515625" collapsed="false"/>
    <col min="5" max="5" customWidth="true" style="85" width="16.85546875" collapsed="false"/>
    <col min="6" max="6" customWidth="true" style="44" width="22.42578125" collapsed="false"/>
    <col min="7" max="7" customWidth="true" style="87" width="25.0" collapsed="false"/>
    <col min="8" max="8" customWidth="true" style="87" width="24.28515625" collapsed="false"/>
    <col min="9" max="9" customWidth="true" style="87" width="15.0" collapsed="false"/>
    <col min="10" max="10" customWidth="true" style="85" width="19.42578125" collapsed="false"/>
    <col min="11" max="11" customWidth="true" style="85" width="14.0" collapsed="false"/>
    <col min="12" max="12" customWidth="true" style="85" width="21.5703125" collapsed="false"/>
    <col min="13" max="13" customWidth="true" style="85" width="16.5703125" collapsed="false"/>
    <col min="14" max="16384" style="85" width="9.140625" collapsed="false"/>
  </cols>
  <sheetData>
    <row r="1" spans="1:10">
      <c r="B1" s="30" t="s">
        <v>1763</v>
      </c>
    </row>
    <row customFormat="1" customHeight="1" ht="17.25" r="3" s="1444" spans="1:10">
      <c r="A3" s="1442"/>
      <c r="B3" s="1620" t="s">
        <v>1198</v>
      </c>
      <c r="D3" s="1442" t="s">
        <v>3477</v>
      </c>
      <c r="E3" s="1442" t="s">
        <v>3478</v>
      </c>
      <c r="F3" s="1442" t="s">
        <v>3479</v>
      </c>
      <c r="G3" s="1445" t="s">
        <v>3480</v>
      </c>
      <c r="H3" s="1445" t="s">
        <v>718</v>
      </c>
      <c r="I3" s="1445" t="s">
        <v>3481</v>
      </c>
      <c r="J3" s="1442" t="s">
        <v>3482</v>
      </c>
    </row>
    <row customHeight="1" ht="52.5" r="4" spans="1:10">
      <c r="B4" s="91" t="s">
        <v>2978</v>
      </c>
      <c r="C4" s="556"/>
      <c r="D4" s="1621" t="s">
        <v>3596</v>
      </c>
      <c r="G4" s="556" t="s">
        <v>3598</v>
      </c>
      <c r="H4" s="98">
        <v>315558</v>
      </c>
      <c r="I4" s="1446" t="s">
        <v>3483</v>
      </c>
      <c r="J4" s="1447" t="s">
        <v>3484</v>
      </c>
    </row>
    <row customHeight="1" ht="18" r="5" spans="1:10">
      <c r="B5" s="40" t="s">
        <v>431</v>
      </c>
      <c r="C5" s="40" t="s">
        <v>431</v>
      </c>
      <c r="D5" s="1627" t="s">
        <v>3595</v>
      </c>
      <c r="H5" s="1444">
        <v>327734</v>
      </c>
    </row>
    <row customHeight="1" ht="17.25" r="6" spans="1:10">
      <c r="B6" s="91" t="s">
        <v>1765</v>
      </c>
      <c r="C6" s="1444" t="s">
        <v>2717</v>
      </c>
      <c r="D6" s="406"/>
      <c r="F6" s="85"/>
      <c r="H6" s="98">
        <v>325093</v>
      </c>
    </row>
    <row customHeight="1" ht="18.75" r="7" spans="1:10">
      <c r="B7" s="40" t="s">
        <v>1766</v>
      </c>
      <c r="C7" s="825" t="s">
        <v>431</v>
      </c>
      <c r="D7" s="406"/>
      <c r="E7" s="824"/>
      <c r="F7" s="85"/>
    </row>
    <row r="8" spans="1:10">
      <c r="B8" s="91" t="s">
        <v>1767</v>
      </c>
      <c r="C8" s="1443">
        <v>22</v>
      </c>
      <c r="D8" s="406" t="s">
        <v>3485</v>
      </c>
      <c r="E8" s="406"/>
      <c r="F8" s="85"/>
    </row>
    <row r="9" spans="1:10">
      <c r="B9" s="40" t="s">
        <v>1768</v>
      </c>
      <c r="C9" s="40" t="s">
        <v>431</v>
      </c>
      <c r="D9" s="406"/>
      <c r="F9" s="85"/>
    </row>
    <row r="10" spans="1:10">
      <c r="B10" s="41" t="s">
        <v>1769</v>
      </c>
      <c r="C10" s="41"/>
      <c r="D10" s="406"/>
      <c r="F10" s="85"/>
    </row>
    <row r="11" spans="1:10">
      <c r="B11" s="40" t="s">
        <v>2026</v>
      </c>
      <c r="C11" s="40"/>
      <c r="F11" s="85"/>
    </row>
    <row r="12" spans="1:10">
      <c r="B12" s="41" t="s">
        <v>1770</v>
      </c>
      <c r="C12" s="41"/>
      <c r="F12" s="85"/>
    </row>
    <row customHeight="1" ht="28.5" r="13" spans="1:10">
      <c r="B13" s="42" t="s">
        <v>1771</v>
      </c>
      <c r="C13" s="40" t="s">
        <v>2717</v>
      </c>
      <c r="F13" s="85"/>
    </row>
    <row customHeight="1" ht="26.25" r="14" spans="1:10">
      <c r="B14" s="43" t="s">
        <v>1772</v>
      </c>
      <c r="C14" s="41" t="s">
        <v>2717</v>
      </c>
      <c r="D14" s="1597" t="str">
        <f>+C14&amp;" "&amp;C15</f>
        <v xml:space="preserve"> </v>
      </c>
      <c r="F14" s="85"/>
    </row>
    <row customHeight="1" ht="19.5" r="15" spans="1:10">
      <c r="B15" s="40" t="s">
        <v>1773</v>
      </c>
      <c r="C15" s="40" t="s">
        <v>2717</v>
      </c>
      <c r="D15" s="1647"/>
      <c r="F15" s="85"/>
    </row>
    <row customHeight="1" ht="22.5" r="16" spans="1:10">
      <c r="B16" s="1575" t="s">
        <v>1909</v>
      </c>
      <c r="C16" s="41" t="s">
        <v>2717</v>
      </c>
      <c r="D16" s="1597" t="str">
        <f>+C16&amp;" "&amp;C17</f>
        <v xml:space="preserve"> санхүүгийн нэгдсэн тайланд</v>
      </c>
      <c r="F16" s="85"/>
    </row>
    <row customHeight="1" ht="17.25" r="17" spans="1:9">
      <c r="B17" s="91" t="s">
        <v>3487</v>
      </c>
      <c r="C17" s="91" t="s">
        <v>3488</v>
      </c>
    </row>
    <row customHeight="1" ht="22.5" r="18" spans="1:9">
      <c r="B18" s="91" t="s">
        <v>3486</v>
      </c>
      <c r="C18" s="1449" t="str">
        <f>'В-1-2'!B8</f>
        <v>2017-...-...-ний .... тоот</v>
      </c>
    </row>
    <row customHeight="1" ht="98.25" r="19" spans="1:9">
      <c r="B19" s="1535" t="s">
        <v>3246</v>
      </c>
      <c r="C19" s="1515"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customHeight="1" ht="40.5" r="20" spans="1:9">
      <c r="B20" s="1522" t="s">
        <v>3249</v>
      </c>
      <c r="C20" s="1515" t="str">
        <f>VLOOKUP(B20,'А-1'!C134:F174,2,FALSE)</f>
        <v>Тус байгууллагын үндсэн үйл ажиллагаанй гол үзүүлэлт, түүний гүйцэтгэл. 
00 иргэнд төрийн үйлчилгээг үзүүлсэн байна.</v>
      </c>
    </row>
    <row customHeight="1" ht="74.25" r="21" spans="1:9">
      <c r="B21" s="1522" t="s">
        <v>3278</v>
      </c>
      <c r="C21" s="1515" t="str">
        <f>VLOOKUP(B21,'А-1'!C135:F175,2,FALSE)</f>
        <v>Сангын Яамны 2017 оны үйл ажиллагааны санхүүжилтийн эрхийг нээн төсвийн хуваарийн дагуу Төв төрийн сангаас олгож байна</v>
      </c>
    </row>
    <row customHeight="1" ht="129.75" r="22" spans="1:9">
      <c r="B22" s="1536" t="s">
        <v>3269</v>
      </c>
      <c r="C22" s="1515"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customHeight="1" ht="48.75" r="23" spans="1:9">
      <c r="B23" s="1536" t="s">
        <v>3266</v>
      </c>
      <c r="C23" s="1515"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customHeight="1" ht="37.5" r="24" spans="1:9">
      <c r="B24" s="1543" t="s">
        <v>3489</v>
      </c>
      <c r="C24" s="1518" t="str">
        <f>+'В-2-1'!C17</f>
        <v xml:space="preserve">ДУНД </v>
      </c>
    </row>
    <row customHeight="1" ht="47.25" r="25" spans="1:9">
      <c r="B25" s="1515" t="s">
        <v>3490</v>
      </c>
      <c r="C25" s="1515" t="str">
        <f>+'В-2-1'!E13</f>
        <v xml:space="preserve">Аудитын арга хандлагыг тодорхойлоход Мэдээлэл технологийн аудитын мэргэжилтний оролцоо шаардлагатай. </v>
      </c>
    </row>
    <row customHeight="1" ht="66" r="26" spans="1:9">
      <c r="B26" s="1546"/>
      <c r="C26" s="1545"/>
    </row>
    <row customHeight="1" ht="61.5" r="27" spans="1:9">
      <c r="B27" s="1536" t="s">
        <v>3250</v>
      </c>
      <c r="C27" s="1515"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customHeight="1" ht="88.5" r="28" spans="1:9">
      <c r="B28" s="1536" t="s">
        <v>2590</v>
      </c>
      <c r="C28" s="1515"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customFormat="1" customHeight="1" ht="57.75" r="29" s="1484" spans="1:9">
      <c r="A29" s="1527"/>
      <c r="B29" s="1522" t="s">
        <v>3582</v>
      </c>
      <c r="C29" s="1525" t="str">
        <f>VLOOKUP(B29,'А-1'!C122:F217,2,FALSE)</f>
        <v>Өмнөх оны санхүүгийн тайлангаар 5 зөвлөмж өгсөний 1-ыг бүрэн хэрэгжүүлж ажилласан байна.</v>
      </c>
      <c r="F29" s="1527"/>
      <c r="G29" s="432"/>
      <c r="H29" s="432"/>
      <c r="I29" s="432"/>
    </row>
    <row customFormat="1" customHeight="1" ht="45" r="30" s="1484" spans="1:9">
      <c r="A30" s="1527"/>
      <c r="B30" s="1522" t="s">
        <v>3583</v>
      </c>
      <c r="C30" s="1525"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27"/>
      <c r="G30" s="432"/>
      <c r="H30" s="432"/>
      <c r="I30" s="432"/>
    </row>
    <row customFormat="1" customHeight="1" ht="50.25" r="31" s="1484" spans="1:9">
      <c r="A31" s="1527"/>
      <c r="B31" s="1522" t="s">
        <v>3584</v>
      </c>
      <c r="C31" s="1525" t="str">
        <f>VLOOKUP(B31,'А-1'!C122:F219,2,FALSE)</f>
        <v>Өмнөх онуудын аудитаар нягтлан бодох бүртгэлтэй холбоотой алдаа зөрчил давтагдан гарсан байна.</v>
      </c>
      <c r="F31" s="1527"/>
      <c r="G31" s="432"/>
      <c r="H31" s="432"/>
      <c r="I31" s="432"/>
    </row>
    <row customHeight="1" ht="70.5" r="32" spans="1:9">
      <c r="B32" s="1536" t="s">
        <v>3273</v>
      </c>
      <c r="C32" s="1515"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customFormat="1" customHeight="1" ht="48" r="33" s="1484" spans="1:9">
      <c r="A33" s="1527"/>
      <c r="B33" s="1574" t="s">
        <v>1913</v>
      </c>
      <c r="C33" s="1574" t="str">
        <f>'А-8'!C12&amp;" "&amp;'А-8'!C13</f>
        <v>Суурин компьютер 1 ш, сканнер, принтер, зургийн аппарат, хувилагчаар хангагдсан.  СТАУС програм ашиглана.</v>
      </c>
      <c r="F33" s="1527"/>
      <c r="G33" s="432"/>
      <c r="H33" s="432"/>
      <c r="I33" s="432"/>
    </row>
    <row customFormat="1" customHeight="1" ht="23.25" r="34" s="1484" spans="1:9">
      <c r="A34" s="1527"/>
      <c r="B34" s="1526" t="s">
        <v>1911</v>
      </c>
      <c r="C34" s="1574" t="str">
        <f>VLOOKUP(B34,'А-8'!B7:C15,2,FALSE)</f>
        <v xml:space="preserve">00 хүн өдөр </v>
      </c>
      <c r="F34" s="1527"/>
      <c r="G34" s="432"/>
      <c r="H34" s="432"/>
      <c r="I34" s="432"/>
    </row>
    <row customFormat="1" customHeight="1" ht="23.25" r="35" s="1484" spans="1:9">
      <c r="A35" s="1527"/>
      <c r="B35" s="1646"/>
      <c r="C35" s="1525"/>
      <c r="F35" s="1527"/>
      <c r="G35" s="432"/>
      <c r="H35" s="432"/>
      <c r="I35" s="432"/>
    </row>
    <row customFormat="1" customHeight="1" ht="37.5" r="36" s="1484" spans="1:9">
      <c r="A36" s="1527"/>
      <c r="B36" s="1526" t="s">
        <v>3567</v>
      </c>
      <c r="C36" s="1525" t="str">
        <f>'А-4'!A24</f>
        <v>Төлөвлөлтийн явцад шинж чанарын болон орчин нөхцлийн хувьд материаллаг байдал илэрсэнгүй.</v>
      </c>
      <c r="F36" s="1527"/>
      <c r="G36" s="432"/>
      <c r="H36" s="432"/>
      <c r="I36" s="432"/>
    </row>
    <row customFormat="1" customHeight="1" ht="60" r="37" s="1484" spans="1:9">
      <c r="A37" s="1527"/>
      <c r="B37" s="1560" t="s">
        <v>3566</v>
      </c>
      <c r="C37" s="1558" t="str">
        <f>'А-4'!A18</f>
        <v>0 Дотоод хяналт хангалтгүй, эрсдэл ихтэй байдлуудыг үндэслэн доорхи хувиар тооцох нь зүйтэй гэж тус тус сонгов.</v>
      </c>
      <c r="D37" s="1530">
        <f>'А-4'!C19*100</f>
        <v>0</v>
      </c>
      <c r="E37" s="1531">
        <f>'А-4'!D19</f>
        <v>0</v>
      </c>
      <c r="F37" s="1527"/>
      <c r="G37" s="432"/>
      <c r="H37" s="432"/>
      <c r="I37" s="432"/>
    </row>
    <row customHeight="1" ht="39" r="38" spans="1:9">
      <c r="B38" s="1561" t="s">
        <v>3557</v>
      </c>
      <c r="C38" s="1529">
        <f>+'А-5.3'!K19</f>
        <v>0</v>
      </c>
      <c r="D38" s="1562"/>
      <c r="E38" s="46"/>
    </row>
    <row customHeight="1" ht="24.75" r="39" spans="1:9">
      <c r="B39" s="1561" t="s">
        <v>3555</v>
      </c>
      <c r="C39" s="1650" t="str">
        <f>D86&amp;" дансанд "&amp;D71</f>
        <v>0 дансанд 0</v>
      </c>
      <c r="D39" s="1562"/>
      <c r="E39" s="46"/>
    </row>
    <row customHeight="1" ht="22.5" r="40" spans="1:9">
      <c r="B40" s="1561" t="s">
        <v>3556</v>
      </c>
      <c r="C40" s="1650" t="str">
        <f>D102&amp;" дансанд "&amp;D87</f>
        <v>0 дансанд 0</v>
      </c>
      <c r="D40" s="1651">
        <f>COUNTIF('А-5.3'!F11:F18,"Үр нөлөөгүй")</f>
        <v>0</v>
      </c>
      <c r="E40" s="46"/>
    </row>
    <row customHeight="1" ht="22.5" r="41" spans="1:9">
      <c r="B41" s="1561" t="s">
        <v>3558</v>
      </c>
      <c r="C41" s="309">
        <f>+H67</f>
        <v>0</v>
      </c>
      <c r="D41" s="1561"/>
      <c r="E41" s="1561"/>
      <c r="F41" s="1505"/>
      <c r="G41" s="1505"/>
      <c r="H41" s="1505"/>
      <c r="I41" s="1505"/>
    </row>
    <row customHeight="1" ht="18" r="42" spans="1:9">
      <c r="B42" s="1561" t="s">
        <v>3559</v>
      </c>
      <c r="C42" s="1529">
        <f>IF(E42&gt;0,E42,D42)</f>
        <v>0</v>
      </c>
      <c r="D42" s="1561">
        <f>(F58+F59+F60+F61)/(E58+E59+E60+E61)*100</f>
        <v>0</v>
      </c>
      <c r="E42" s="1561">
        <f>+G66/(E58+E59+E60+E61)*100</f>
        <v>0</v>
      </c>
      <c r="F42" s="1505"/>
      <c r="G42" s="1505"/>
      <c r="H42" s="1505"/>
      <c r="I42" s="1505"/>
    </row>
    <row customHeight="1" ht="21" r="43" spans="1:9">
      <c r="B43" s="1561" t="s">
        <v>3565</v>
      </c>
      <c r="C43" s="1529">
        <f ref="C43:C44" si="0" t="shared">IF(E43&gt;0,E43,D43)</f>
        <v>0</v>
      </c>
      <c r="D43" s="1561">
        <f>+F64/E64*100</f>
        <v>0</v>
      </c>
      <c r="E43" s="1561">
        <f>G66/E64*100</f>
        <v>0</v>
      </c>
      <c r="F43" s="1505"/>
      <c r="G43" s="1505"/>
      <c r="H43" s="1505"/>
      <c r="I43" s="1505"/>
    </row>
    <row customHeight="1" ht="21" r="44" spans="1:9">
      <c r="B44" s="1561" t="s">
        <v>3564</v>
      </c>
      <c r="C44" s="1529">
        <f si="0" t="shared"/>
        <v>0</v>
      </c>
      <c r="D44" s="1561">
        <f>+F65/E65*100</f>
        <v>0</v>
      </c>
      <c r="E44" s="1561">
        <f>G66/E65*100</f>
        <v>0</v>
      </c>
      <c r="F44" s="1505"/>
      <c r="G44" s="1505"/>
      <c r="H44" s="1505"/>
      <c r="I44" s="1505"/>
    </row>
    <row customHeight="1" ht="42.75" r="45" spans="1:9">
      <c r="B45" s="1653" t="s">
        <v>1909</v>
      </c>
      <c r="C45" s="1653">
        <f>VLOOKUP(B45,'А-8'!B8:C15,2,FALSE)</f>
        <v>0</v>
      </c>
      <c r="D45" s="1561"/>
      <c r="E45" s="1561"/>
      <c r="F45" s="1517"/>
      <c r="G45" s="1517"/>
      <c r="H45" s="1517"/>
      <c r="I45" s="1517"/>
    </row>
    <row customHeight="1" ht="39.75" r="46" spans="1:9">
      <c r="B46" s="1563" t="s">
        <v>3575</v>
      </c>
      <c r="C46" s="1558"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61"/>
      <c r="E46" s="1561"/>
      <c r="F46" s="1517"/>
      <c r="G46" s="1517"/>
      <c r="H46" s="1517"/>
      <c r="I46" s="1517"/>
    </row>
    <row customHeight="1" ht="144.75" r="47" spans="1:9">
      <c r="B47" s="1590" t="s">
        <v>3589</v>
      </c>
      <c r="C47" s="1595"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17"/>
      <c r="E47" s="1517"/>
      <c r="F47" s="1517"/>
      <c r="G47" s="1517"/>
      <c r="H47" s="1517"/>
      <c r="I47" s="1517"/>
    </row>
    <row ht="51" r="48" spans="1:9">
      <c r="B48" s="1635" t="s">
        <v>3599</v>
      </c>
      <c r="C48" s="1628" t="str">
        <f>VLOOKUP(B48,'А-1'!C111:F249,2,FALSE)</f>
        <v>Сангийн Яамны</v>
      </c>
      <c r="D48" s="1517"/>
      <c r="E48" s="1517"/>
      <c r="F48" s="1517"/>
      <c r="G48" s="1517"/>
      <c r="H48" s="1517"/>
      <c r="I48" s="1517"/>
    </row>
    <row r="49" spans="2:12">
      <c r="B49" s="1517"/>
      <c r="C49" s="1593" t="str">
        <f>+C13</f>
        <v>2</v>
      </c>
      <c r="D49" s="1517"/>
      <c r="E49" s="1517"/>
      <c r="F49" s="1517"/>
      <c r="G49" s="1517"/>
      <c r="H49" s="1517"/>
      <c r="I49" s="1517"/>
    </row>
    <row r="50" spans="2:12">
      <c r="B50" s="1517"/>
      <c r="C50" s="1593" t="str">
        <f>+C14</f>
        <v>2</v>
      </c>
      <c r="D50" s="1517"/>
      <c r="E50" s="1517"/>
      <c r="F50" s="1517"/>
      <c r="G50" s="1517"/>
      <c r="H50" s="1517"/>
      <c r="I50" s="1517"/>
    </row>
    <row r="51" spans="2:12">
      <c r="B51" s="1517"/>
      <c r="C51" s="1593" t="str">
        <f>+C14</f>
        <v>2</v>
      </c>
      <c r="D51" s="1517"/>
      <c r="E51" s="1517"/>
      <c r="F51" s="1517"/>
      <c r="G51" s="1517"/>
      <c r="H51" s="1517"/>
      <c r="I51" s="1517"/>
    </row>
    <row r="52" spans="2:12">
      <c r="B52" s="1517"/>
      <c r="C52" s="1517" t="str">
        <f>+C14</f>
        <v>2</v>
      </c>
      <c r="D52" s="1517"/>
      <c r="E52" s="1517"/>
      <c r="F52" s="1517"/>
      <c r="G52" s="1517"/>
      <c r="H52" s="1517"/>
      <c r="I52" s="1517"/>
    </row>
    <row r="53" spans="2:12">
      <c r="B53" s="1517"/>
      <c r="C53" s="1517"/>
      <c r="D53" s="1517"/>
      <c r="E53" s="1517"/>
      <c r="F53" s="1517"/>
      <c r="G53" s="1517"/>
      <c r="H53" s="1517"/>
      <c r="I53" s="1517"/>
    </row>
    <row r="54" spans="2:12">
      <c r="C54" s="1517"/>
      <c r="D54" s="1517"/>
      <c r="E54" s="1517"/>
      <c r="F54" s="1517"/>
      <c r="G54" s="1517"/>
      <c r="H54" s="1517"/>
      <c r="I54" s="1517"/>
    </row>
    <row customHeight="1" ht="12.75" r="57" spans="2:12">
      <c r="E57" s="1484"/>
      <c r="F57" s="85" t="s">
        <v>3562</v>
      </c>
      <c r="G57" s="1517" t="s">
        <v>1316</v>
      </c>
      <c r="H57" s="1517" t="s">
        <v>1320</v>
      </c>
      <c r="I57" s="87" t="s">
        <v>1318</v>
      </c>
      <c r="J57" s="87" t="s">
        <v>1319</v>
      </c>
      <c r="K57" s="87" t="s">
        <v>1323</v>
      </c>
    </row>
    <row r="58" spans="2:12">
      <c r="D58" s="85" t="str">
        <f>'А-5.3'!B11</f>
        <v>МӨНГӨН ХӨРӨНГӨ</v>
      </c>
      <c r="E58" s="1484">
        <f>'А-4АБ'!C4</f>
        <v>0</v>
      </c>
      <c r="F58" s="1517">
        <f>+'В-3-1Т'!$I$8</f>
        <v>0</v>
      </c>
      <c r="G58" s="1517">
        <f>+'В-3-1Т'!$I$4</f>
        <v>0</v>
      </c>
      <c r="H58" s="1517">
        <f>+'В-3-1Т'!$D$8</f>
        <v>0</v>
      </c>
      <c r="I58" s="1517">
        <f>+'В-3-1Т'!$I$5</f>
        <v>0</v>
      </c>
      <c r="J58" s="1517">
        <f>+'В-3-1Т'!$I$8</f>
        <v>0</v>
      </c>
      <c r="K58" s="1517">
        <f>+'В-3-1Т'!$I$8</f>
        <v>0</v>
      </c>
      <c r="L58" s="1517">
        <f>+'В-3-1Т'!$I$8</f>
        <v>0</v>
      </c>
    </row>
    <row r="59" spans="2:12">
      <c r="D59" s="1484" t="str">
        <f>'А-5.3'!B12</f>
        <v>АВЛАГА</v>
      </c>
      <c r="E59" s="1484">
        <f>'А-4АБ'!C6</f>
        <v>0</v>
      </c>
      <c r="F59" s="1517">
        <f>+'В-3-2Т'!$I$8</f>
        <v>0</v>
      </c>
      <c r="G59" s="1517">
        <f>+'В-3-2Т'!$I$4</f>
        <v>0</v>
      </c>
      <c r="H59" s="1517">
        <f>+'В-3-2Т'!$D$8</f>
        <v>0</v>
      </c>
      <c r="I59" s="1517">
        <f>+'В-3-2Т'!$I$5</f>
        <v>0</v>
      </c>
      <c r="J59" s="1517">
        <f>+'В-3-2Т'!$I$8</f>
        <v>0</v>
      </c>
      <c r="K59" s="1517">
        <f>+'В-3-2Т'!$I$8</f>
        <v>0</v>
      </c>
      <c r="L59" s="1517">
        <f>+'В-3-2Т'!$I$8</f>
        <v>0</v>
      </c>
    </row>
    <row r="60" spans="2:12">
      <c r="D60" s="1484" t="str">
        <f>'А-5.3'!B13</f>
        <v>БАРАА МАТЕРИАЛ</v>
      </c>
      <c r="E60" s="1484">
        <f>'А-4АБ'!C8+0.00001</f>
        <v>1.0000000000000001E-5</v>
      </c>
      <c r="F60" s="1517">
        <f>+'В-3-3Т'!$I$8</f>
        <v>0</v>
      </c>
      <c r="G60" s="1517">
        <f>+'В-3-3Т'!$I$4</f>
        <v>0</v>
      </c>
      <c r="H60" s="1517">
        <f>+'В-3-3Т'!$D$8</f>
        <v>0</v>
      </c>
      <c r="I60" s="1517">
        <f>+'В-3-3Т'!$I$5</f>
        <v>0</v>
      </c>
      <c r="J60" s="1517">
        <f>+'В-3-3Т'!$I$8</f>
        <v>0</v>
      </c>
      <c r="K60" s="1517">
        <f>+'В-3-3Т'!$I$8</f>
        <v>0</v>
      </c>
      <c r="L60" s="1517">
        <f>+'В-3-3Т'!$I$8</f>
        <v>0</v>
      </c>
    </row>
    <row r="61" spans="2:12">
      <c r="D61" s="1484" t="str">
        <f>'А-5.3'!B14</f>
        <v>ҮНДСЭН ХӨРӨНГӨ 
(биет болон биет бус хөрөнгө)</v>
      </c>
      <c r="E61" s="1484">
        <f>'А-4АБ'!C12</f>
        <v>0</v>
      </c>
      <c r="F61" s="1517">
        <f>+'В-3-4Т'!$I$8</f>
        <v>0</v>
      </c>
      <c r="G61" s="1517">
        <f>+'В-3-4Т'!$I$4</f>
        <v>0</v>
      </c>
      <c r="H61" s="1517">
        <f>+'В-3-4Т'!$D$8</f>
        <v>0</v>
      </c>
      <c r="I61" s="1517">
        <f>+'В-3-4Т'!$I$5</f>
        <v>0</v>
      </c>
      <c r="J61" s="1517">
        <f>+'В-3-4Т'!$I$8</f>
        <v>0</v>
      </c>
      <c r="K61" s="1517">
        <f>+'В-3-4Т'!$I$8</f>
        <v>0</v>
      </c>
      <c r="L61" s="1517">
        <f>+'В-3-4Т'!$I$8</f>
        <v>0</v>
      </c>
    </row>
    <row r="62" spans="2:12">
      <c r="D62" s="1484" t="str">
        <f>'А-5.3'!B15</f>
        <v xml:space="preserve">НИЙТ ӨР ТӨЛБӨР 
(Урьдчилж орсон орлого) </v>
      </c>
      <c r="E62" s="1484">
        <f>'А-4АБ'!C15</f>
        <v>0</v>
      </c>
      <c r="F62" s="1517">
        <f>+'В-3-5Т'!$I$8</f>
        <v>0</v>
      </c>
      <c r="G62" s="1517">
        <f>+'В-3-5Т'!$I$4</f>
        <v>0</v>
      </c>
      <c r="H62" s="1517">
        <f>+'В-3-5Т'!$D$8</f>
        <v>0</v>
      </c>
      <c r="I62" s="1517">
        <f>+'В-3-5Т'!$I$5</f>
        <v>0</v>
      </c>
      <c r="J62" s="1517">
        <f>+'В-3-5Т'!$I$8</f>
        <v>0</v>
      </c>
      <c r="K62" s="1517">
        <f>+'В-3-5Т'!$I$8</f>
        <v>0</v>
      </c>
      <c r="L62" s="1517">
        <f>+'В-3-5Т'!$I$8</f>
        <v>0</v>
      </c>
    </row>
    <row r="63" spans="2:12">
      <c r="D63" s="1484" t="str">
        <f>'А-5.3'!B16</f>
        <v>ЦЭВЭР ХӨРӨНГӨ ӨМЧИЙН ДҮН</v>
      </c>
      <c r="E63" s="1484">
        <f>'А-4АБ'!C18+0.00001</f>
        <v>1.0000000000000001E-5</v>
      </c>
      <c r="F63" s="1517">
        <f>+'В-3-6Т'!$I$8</f>
        <v>0</v>
      </c>
      <c r="G63" s="1517">
        <f>+'В-3-6Т'!$I$4</f>
        <v>0</v>
      </c>
      <c r="H63" s="1517">
        <f>+'В-3-6Т'!$D$8</f>
        <v>0</v>
      </c>
      <c r="I63" s="1517">
        <f>+'В-3-6Т'!$I$5</f>
        <v>0</v>
      </c>
      <c r="J63" s="1517">
        <f>+'В-3-6Т'!$I$8</f>
        <v>0</v>
      </c>
      <c r="K63" s="1517">
        <f>+'В-3-6Т'!$I$8</f>
        <v>0</v>
      </c>
      <c r="L63" s="1517">
        <f>+'В-3-6Т'!$I$8</f>
        <v>0</v>
      </c>
    </row>
    <row r="64" spans="2:12">
      <c r="D64" s="1484" t="str">
        <f>'А-5.3'!B17</f>
        <v>ОРЛОГО</v>
      </c>
      <c r="E64" s="1484">
        <f>'А-4АБ'!C22+'А-4АБ'!C30+0.00001</f>
        <v>1.0000000000000001E-5</v>
      </c>
      <c r="F64" s="1517">
        <f>+'В-3-7Т'!$I$8</f>
        <v>0</v>
      </c>
      <c r="G64" s="1517">
        <f>+'В-3-7Т'!$I$4</f>
        <v>0</v>
      </c>
      <c r="H64" s="1517">
        <f>+'В-3-7Т'!$D$8</f>
        <v>0</v>
      </c>
      <c r="I64" s="1517">
        <f>+'В-3-7Т'!$I$5</f>
        <v>0</v>
      </c>
      <c r="J64" s="1517">
        <f>+'В-3-7Т'!$I$8</f>
        <v>0</v>
      </c>
      <c r="K64" s="1517">
        <f>+'В-3-7Т'!$I$8</f>
        <v>0</v>
      </c>
      <c r="L64" s="1517">
        <f>+'В-3-7Т'!$I$8</f>
        <v>0</v>
      </c>
    </row>
    <row r="65" spans="2:12">
      <c r="D65" s="1484" t="str">
        <f>'А-5.3'!B18</f>
        <v>ЗАРДАЛ</v>
      </c>
      <c r="E65" s="1484">
        <f>+'А-4АБ'!C26+'А-4АБ'!C31+0.00001</f>
        <v>1.0000000000000001E-5</v>
      </c>
      <c r="F65" s="1517">
        <f>+'В-3-8Т'!$I$8</f>
        <v>0</v>
      </c>
      <c r="G65" s="1517">
        <f>+'В-3-8Т'!$I$4</f>
        <v>0</v>
      </c>
      <c r="H65" s="1517">
        <f>+'В-3-8Т'!$D$8</f>
        <v>0</v>
      </c>
      <c r="I65" s="1517">
        <f>+'В-3-8Т'!$I$5</f>
        <v>0</v>
      </c>
      <c r="J65" s="1517">
        <f>+'В-3-8Т'!$I$8</f>
        <v>0</v>
      </c>
      <c r="K65" s="1517">
        <f>+'В-3-8Т'!$I$8</f>
        <v>0</v>
      </c>
      <c r="L65" s="1517">
        <f>+'В-3-8Т'!$I$8</f>
        <v>0</v>
      </c>
    </row>
    <row r="66" spans="2:12">
      <c r="D66" s="85" t="s">
        <v>3563</v>
      </c>
      <c r="E66" s="1484"/>
      <c r="F66" s="1517">
        <f>+'В-3-9Т'!$I$8</f>
        <v>0</v>
      </c>
      <c r="G66" s="1517">
        <f>+'В-3-9Т'!$I$4</f>
        <v>0</v>
      </c>
      <c r="H66" s="1517">
        <f>+'В-3-9Т'!$D$8</f>
        <v>0</v>
      </c>
      <c r="I66" s="1517">
        <f>+'В-3-9Т'!$I$5</f>
        <v>0</v>
      </c>
      <c r="J66" s="1517">
        <f>+'В-3-9Т'!$I$8</f>
        <v>0</v>
      </c>
      <c r="K66" s="1517">
        <f>+'В-3-9Т'!$I$8</f>
        <v>0</v>
      </c>
      <c r="L66" s="1517">
        <f>+'В-3-9Т'!$I$8</f>
        <v>0</v>
      </c>
    </row>
    <row r="67" spans="2:12">
      <c r="E67" s="432">
        <f ref="E67:G67" si="1" t="shared">SUM(E58:E66)</f>
        <v>4.0000000000000003E-5</v>
      </c>
      <c r="F67" s="432">
        <f si="1" t="shared"/>
        <v>0</v>
      </c>
      <c r="G67" s="432">
        <f si="1" t="shared"/>
        <v>0</v>
      </c>
      <c r="H67" s="432">
        <f>SUM(H58:H66)</f>
        <v>0</v>
      </c>
    </row>
    <row r="71" spans="2:12">
      <c r="D71" s="1649">
        <f>SUM(D72:D85)</f>
        <v>0</v>
      </c>
    </row>
    <row r="72" spans="2:12">
      <c r="B72" s="91">
        <v>1</v>
      </c>
      <c r="C72" s="91" t="str">
        <f>+'А-5.1'!A8</f>
        <v>НББ хөтлөлт</v>
      </c>
      <c r="D72" s="410">
        <f>COUNTIF('А-5.1'!C8:C14,"Тийм")</f>
        <v>0</v>
      </c>
    </row>
    <row r="73" spans="2:12">
      <c r="B73" s="91">
        <v>2</v>
      </c>
      <c r="C73" s="1647" t="str">
        <f>+'А-5.1'!A15</f>
        <v>Мөнгө ба түүнтэй адилтгах хөрөнгө</v>
      </c>
      <c r="D73" s="410">
        <f>COUNTIF('А-5.1'!C15:C25,"Тийм")</f>
        <v>0</v>
      </c>
    </row>
    <row r="74" spans="2:12">
      <c r="B74" s="1647">
        <v>3</v>
      </c>
      <c r="C74" s="1647" t="str">
        <f>'А-5.1'!A26</f>
        <v>Авлага</v>
      </c>
      <c r="D74" s="410">
        <f>COUNTIF('А-5.1'!C26:C39,"Тийм")</f>
        <v>0</v>
      </c>
    </row>
    <row r="75" spans="2:12">
      <c r="B75" s="1647">
        <v>4</v>
      </c>
      <c r="C75" s="1647" t="str">
        <f>+'А-5.1'!A40</f>
        <v>Урьдчилж төлсөн төлбөр</v>
      </c>
      <c r="D75" s="410">
        <f>COUNTIF('А-5.1'!C40:C45,"Тийм")</f>
        <v>0</v>
      </c>
    </row>
    <row r="76" spans="2:12">
      <c r="B76" s="1647">
        <v>5</v>
      </c>
      <c r="C76" s="1647" t="str">
        <f>+'А-5.1'!A46</f>
        <v>Бараа материал</v>
      </c>
      <c r="D76" s="410">
        <f>COUNTIF('А-5.1'!C46:C60,"Тийм")</f>
        <v>0</v>
      </c>
    </row>
    <row r="77" spans="2:12">
      <c r="B77" s="1647">
        <v>6</v>
      </c>
      <c r="C77" s="1647" t="str">
        <f>+'А-5.1'!A61</f>
        <v>Үндсэн хөрөнгө</v>
      </c>
      <c r="D77" s="410">
        <f>COUNTIF('А-5.1'!C61:C78,"Тийм")</f>
        <v>0</v>
      </c>
    </row>
    <row r="78" spans="2:12">
      <c r="B78" s="1647">
        <v>7</v>
      </c>
      <c r="C78" s="91" t="str">
        <f>+'А-5.1'!A79</f>
        <v>Биет бус хөрөнгө</v>
      </c>
      <c r="D78" s="410">
        <f>COUNTIF('А-5.1'!C79:C96,"Тийм")</f>
        <v>0</v>
      </c>
    </row>
    <row r="79" spans="2:12">
      <c r="B79" s="1647">
        <v>8</v>
      </c>
      <c r="C79" s="91" t="str">
        <f>+'А-5.1'!A97</f>
        <v>Өглөг</v>
      </c>
      <c r="D79" s="410">
        <f>COUNTIF('А-5.1'!C97:C106,"Тийм")</f>
        <v>0</v>
      </c>
    </row>
    <row r="80" spans="2:12">
      <c r="B80" s="1647">
        <v>9</v>
      </c>
      <c r="C80" s="91" t="str">
        <f>+'А-5.1'!A107</f>
        <v>Урьдчилж орсон орлого</v>
      </c>
      <c r="D80" s="410">
        <f>COUNTIF('А-5.1'!C107:C113,"Тийм")</f>
        <v>0</v>
      </c>
    </row>
    <row r="81" spans="2:4">
      <c r="B81" s="1647">
        <v>10</v>
      </c>
      <c r="C81" s="91" t="str">
        <f>+'А-5.1'!A114</f>
        <v>Урт хугацаат өр төлбөр</v>
      </c>
      <c r="D81" s="410">
        <f>COUNTIF('А-5.1'!C114:C121,"Тийм")</f>
        <v>0</v>
      </c>
    </row>
    <row r="82" spans="2:4">
      <c r="B82" s="1647">
        <v>11</v>
      </c>
      <c r="C82" s="91" t="str">
        <f>+'А-5.1'!A122</f>
        <v>Цэвэр хөрөнгө өмчийн дүн</v>
      </c>
      <c r="D82" s="410">
        <f>COUNTIF('А-5.1'!C122:C127,"Тийм")</f>
        <v>0</v>
      </c>
    </row>
    <row r="83" spans="2:4">
      <c r="B83" s="1647">
        <v>12</v>
      </c>
      <c r="C83" s="91" t="str">
        <f>+'А-5.1'!A128</f>
        <v>Орлого</v>
      </c>
      <c r="D83" s="410">
        <f>COUNTIF('А-5.1'!C128:C142,"Тийм")</f>
        <v>0</v>
      </c>
    </row>
    <row r="84" spans="2:4">
      <c r="B84" s="1647">
        <v>13</v>
      </c>
      <c r="C84" s="91" t="str">
        <f>+'А-5.1'!A143</f>
        <v>Зардал</v>
      </c>
      <c r="D84" s="410">
        <f>COUNTIF('А-5.1'!C143:C170,"Тийм")</f>
        <v>0</v>
      </c>
    </row>
    <row r="85" spans="2:4">
      <c r="B85" s="1647">
        <v>14</v>
      </c>
      <c r="C85" s="91" t="str">
        <f>+'А-5.1'!A171</f>
        <v>Санхүүгийн тайлангийн нэмэлт тодруулгууд</v>
      </c>
      <c r="D85" s="410">
        <f>COUNTIF('А-5.1'!C171:C188,"Тийм")</f>
        <v>0</v>
      </c>
    </row>
    <row r="86" spans="2:4">
      <c r="D86" s="410">
        <f>COUNTIF(D72:D85,"&gt;=1")</f>
        <v>0</v>
      </c>
    </row>
    <row r="87" spans="2:4">
      <c r="D87" s="410">
        <f>SUM(D88:D101)</f>
        <v>0</v>
      </c>
    </row>
    <row r="88" spans="2:4">
      <c r="B88" s="91">
        <v>1</v>
      </c>
      <c r="C88" s="91" t="str">
        <f>+'А-5.2'!B8</f>
        <v>Мөнгөн хөрөнгө</v>
      </c>
      <c r="D88" s="410">
        <f>COUNTIF('А-5.2'!D9:D21,"Үр нөлөөгүй")</f>
        <v>0</v>
      </c>
    </row>
    <row r="89" spans="2:4">
      <c r="B89" s="91">
        <v>2</v>
      </c>
      <c r="C89" s="91" t="str">
        <f>+'А-5.2'!B22</f>
        <v>Бараа материал</v>
      </c>
      <c r="D89" s="410">
        <f>COUNTIF('А-5.2'!D23:D25,"Үр нөлөөгүй")</f>
        <v>0</v>
      </c>
    </row>
    <row r="90" spans="2:4">
      <c r="B90" s="1647">
        <v>3</v>
      </c>
      <c r="C90" s="91" t="str">
        <f>+'А-5.2'!B26</f>
        <v>Авлага, өглөг</v>
      </c>
      <c r="D90" s="410">
        <f>COUNTIF('А-5.2'!D27:D29,"Үр нөлөөгүй")</f>
        <v>0</v>
      </c>
    </row>
    <row r="91" spans="2:4">
      <c r="B91" s="1647">
        <v>4</v>
      </c>
      <c r="C91" s="91" t="str">
        <f>+'А-5.2'!B30</f>
        <v>Үндсэн хөрөнгө</v>
      </c>
      <c r="D91" s="410">
        <f>COUNTIF('А-5.2'!D31:D35,"Үр нөлөөгүй")</f>
        <v>0</v>
      </c>
    </row>
    <row r="92" spans="2:4">
      <c r="B92" s="1647">
        <v>5</v>
      </c>
      <c r="C92" s="91" t="str">
        <f>+'А-5.2'!B36</f>
        <v>Зардал</v>
      </c>
      <c r="D92" s="410">
        <f>COUNTIF('А-5.2'!D37,"Үр нөлөөгүй")</f>
        <v>0</v>
      </c>
    </row>
    <row r="93" spans="2:4">
      <c r="B93" s="1647">
        <v>6</v>
      </c>
      <c r="C93" s="91" t="str">
        <f>+'А-5.2'!B38</f>
        <v>Хөрөнгө оруулалтын санхүүжилт</v>
      </c>
      <c r="D93" s="410">
        <f>COUNTIF('А-5.2'!D38,"Үр нөлөөгүй")</f>
        <v>0</v>
      </c>
    </row>
    <row r="94" spans="2:4">
      <c r="B94" s="1647">
        <v>7</v>
      </c>
      <c r="C94" s="91" t="str">
        <f>+'А-5.2'!B39</f>
        <v>Урсгал зардал</v>
      </c>
      <c r="D94" s="410">
        <f>COUNTIF('А-5.2'!D39,"Үр нөлөөгүй")</f>
        <v>0</v>
      </c>
    </row>
    <row r="95" spans="2:4">
      <c r="B95" s="1647">
        <v>8</v>
      </c>
      <c r="C95" s="91" t="str">
        <f>+'А-5.2'!B40</f>
        <v>Цалингийн зардал</v>
      </c>
      <c r="D95" s="410">
        <f>COUNTIF('А-5.2'!D40:D42,"Үр нөлөөгүй")</f>
        <v>0</v>
      </c>
    </row>
    <row r="96" spans="2:4">
      <c r="B96" s="1647">
        <v>9</v>
      </c>
      <c r="C96" s="91" t="str">
        <f>+'А-5.2'!B43</f>
        <v>Томилолтын зардал</v>
      </c>
      <c r="D96" s="410">
        <f>COUNTIF('А-5.2'!D43,"Үр нөлөөгүй")</f>
        <v>0</v>
      </c>
    </row>
    <row r="97" spans="2:4">
      <c r="B97" s="1647">
        <v>10</v>
      </c>
      <c r="C97" s="1647" t="str">
        <f>+'А-5.2'!B44</f>
        <v>Тэтгэмж урамшууллын зардал</v>
      </c>
      <c r="D97" s="410">
        <f>COUNTIF('А-5.2'!D44,"Үр нөлөөгүй")</f>
        <v>0</v>
      </c>
    </row>
    <row r="98" spans="2:4">
      <c r="B98" s="1647">
        <v>11</v>
      </c>
      <c r="C98" s="1647" t="str">
        <f>+'А-5.2'!B45</f>
        <v>Шуудан холбооны зардал</v>
      </c>
      <c r="D98" s="410">
        <f>COUNTIF('А-5.2'!D45,"Үр нөлөөгүй")</f>
        <v>0</v>
      </c>
    </row>
    <row r="99" spans="2:4">
      <c r="B99" s="1647">
        <v>12</v>
      </c>
      <c r="C99" s="1647" t="str">
        <f>+'А-5.2'!B46</f>
        <v>Төлбөр хураамж бусад зардал</v>
      </c>
      <c r="D99" s="410">
        <f>COUNTIF('А-5.2'!D46:D47,"Үр нөлөөгүй")</f>
        <v>0</v>
      </c>
    </row>
    <row r="100" spans="2:4">
      <c r="B100" s="1647">
        <v>13</v>
      </c>
      <c r="C100" s="1647" t="str">
        <f>'А-5.2'!B48</f>
        <v>Цэвэр хөрөнгө өмчийн дүн</v>
      </c>
      <c r="D100" s="410">
        <f>COUNTIF('А-5.2'!D49:D50,"Үр нөлөөгүй")</f>
        <v>0</v>
      </c>
    </row>
    <row r="101" spans="2:4">
      <c r="B101" s="1647">
        <v>14</v>
      </c>
      <c r="C101" s="91" t="str">
        <f>+'А-5.2'!B51</f>
        <v>Орлого</v>
      </c>
      <c r="D101" s="410">
        <f>COUNTIF('А-5.2'!D52:D53,"Үр нөлөөгүй")</f>
        <v>0</v>
      </c>
    </row>
    <row r="102" spans="2:4">
      <c r="D102" s="410">
        <f>COUNTIF(D88:D101,"&gt;=1")</f>
        <v>0</v>
      </c>
    </row>
  </sheetData>
  <hyperlinks>
    <hyperlink display="mailto:ub@audit.mn" r:id="rId1" ref="I4"/>
    <hyperlink r:id="rId2" ref="J4"/>
  </hyperlinks>
  <pageMargins bottom="0.75" footer="0.3" header="0.3" left="0.7" right="0.7" top="0.75"/>
  <pageSetup orientation="landscape" r:id="rId3" scale="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F24"/>
  <sheetViews>
    <sheetView workbookViewId="0">
      <selection activeCell="E6" sqref="E6"/>
    </sheetView>
  </sheetViews>
  <sheetFormatPr defaultRowHeight="12.75"/>
  <cols>
    <col min="1" max="1" customWidth="true" style="1" width="28.28515625" collapsed="false"/>
    <col min="2" max="2" bestFit="true" customWidth="true" style="1" width="24.7109375" collapsed="false"/>
    <col min="3" max="4" customWidth="true" style="1" width="19.28515625" collapsed="false"/>
    <col min="5" max="6" bestFit="true" customWidth="true" style="1" width="15.28515625" collapsed="false"/>
    <col min="7" max="16384" style="1" width="9.140625" collapsed="false"/>
  </cols>
  <sheetData>
    <row customFormat="1" customHeight="1" ht="24.75" r="1" s="50" spans="1:6">
      <c r="A1" s="685" t="s">
        <v>1373</v>
      </c>
      <c r="B1" s="686" t="s">
        <v>2499</v>
      </c>
      <c r="C1" s="686" t="s">
        <v>3041</v>
      </c>
      <c r="D1" s="686" t="s">
        <v>3042</v>
      </c>
      <c r="E1" s="686" t="s">
        <v>3043</v>
      </c>
      <c r="F1" s="686" t="s">
        <v>3044</v>
      </c>
    </row>
    <row customFormat="1" customHeight="1" ht="27.75" r="2" s="47" spans="1:6">
      <c r="A2" s="16" t="s">
        <v>2339</v>
      </c>
      <c r="B2" s="558"/>
      <c r="C2" s="558"/>
      <c r="D2" s="558"/>
      <c r="E2" s="558"/>
      <c r="F2" s="558"/>
    </row>
    <row customFormat="1" customHeight="1" ht="24.75" r="3" s="47" spans="1:6">
      <c r="A3" s="20" t="s">
        <v>2334</v>
      </c>
      <c r="B3" s="558"/>
      <c r="C3" s="558"/>
      <c r="D3" s="558"/>
      <c r="E3" s="558"/>
      <c r="F3" s="558"/>
    </row>
    <row customHeight="1" ht="23.25" r="4" spans="1:6">
      <c r="A4" s="20" t="s">
        <v>2333</v>
      </c>
      <c r="B4" s="558"/>
      <c r="C4" s="558"/>
      <c r="D4" s="558"/>
      <c r="E4" s="558"/>
      <c r="F4" s="558"/>
    </row>
    <row customHeight="1" ht="29.25" r="5" spans="1:6">
      <c r="A5" s="16" t="s">
        <v>2337</v>
      </c>
      <c r="B5" s="558"/>
      <c r="C5" s="558"/>
      <c r="D5" s="558"/>
      <c r="E5" s="558"/>
      <c r="F5" s="558"/>
    </row>
    <row customHeight="1" ht="24.75" r="6" spans="1:6">
      <c r="A6" s="20" t="s">
        <v>1806</v>
      </c>
      <c r="B6" s="558"/>
      <c r="C6" s="558"/>
      <c r="D6" s="558"/>
      <c r="E6" s="558"/>
      <c r="F6" s="558"/>
    </row>
    <row customHeight="1" ht="24" r="7" spans="1:6">
      <c r="A7" s="20" t="s">
        <v>1807</v>
      </c>
      <c r="B7" s="558"/>
      <c r="C7" s="558"/>
      <c r="D7" s="558"/>
      <c r="E7" s="558"/>
      <c r="F7" s="558"/>
    </row>
    <row customHeight="1" ht="27" r="8" spans="1:6">
      <c r="A8" s="20" t="s">
        <v>1808</v>
      </c>
      <c r="B8" s="558"/>
      <c r="C8" s="558"/>
      <c r="D8" s="558"/>
      <c r="E8" s="558"/>
      <c r="F8" s="558"/>
    </row>
    <row customHeight="1" ht="24.75" r="9" spans="1:6">
      <c r="A9" s="20" t="s">
        <v>1809</v>
      </c>
      <c r="B9" s="558"/>
      <c r="C9" s="558"/>
      <c r="D9" s="558"/>
      <c r="E9" s="558"/>
      <c r="F9" s="558"/>
    </row>
    <row customHeight="1" ht="30.75" r="10" spans="1:6">
      <c r="A10" s="16" t="s">
        <v>1811</v>
      </c>
      <c r="B10" s="558"/>
      <c r="C10" s="558"/>
      <c r="D10" s="558"/>
      <c r="E10" s="558"/>
      <c r="F10" s="558"/>
    </row>
    <row customHeight="1" ht="26.25" r="11" spans="1:6">
      <c r="A11" s="20" t="s">
        <v>1810</v>
      </c>
      <c r="B11" s="558"/>
      <c r="C11" s="558"/>
      <c r="D11" s="558"/>
      <c r="E11" s="558"/>
      <c r="F11" s="558"/>
    </row>
    <row customHeight="1" ht="27.75" r="12" spans="1:6">
      <c r="A12" s="16" t="s">
        <v>2338</v>
      </c>
      <c r="B12" s="1334"/>
      <c r="C12" s="558"/>
      <c r="D12" s="558"/>
      <c r="E12" s="558"/>
      <c r="F12" s="558"/>
    </row>
    <row customHeight="1" ht="19.5" r="13" spans="1:6">
      <c r="A13" s="20" t="s">
        <v>2332</v>
      </c>
      <c r="B13" s="558"/>
      <c r="C13" s="558"/>
      <c r="D13" s="558"/>
      <c r="E13" s="558"/>
      <c r="F13" s="558"/>
    </row>
    <row customHeight="1" ht="21" r="14" spans="1:6">
      <c r="A14" s="20" t="s">
        <v>2335</v>
      </c>
      <c r="B14" s="558"/>
      <c r="C14" s="558"/>
      <c r="D14" s="558"/>
      <c r="E14" s="558"/>
      <c r="F14" s="558"/>
    </row>
    <row customHeight="1" ht="24.75" r="15" spans="1:6">
      <c r="A15" s="20" t="s">
        <v>2340</v>
      </c>
      <c r="B15" s="558"/>
      <c r="C15" s="558"/>
      <c r="D15" s="558"/>
      <c r="E15" s="558"/>
      <c r="F15" s="558"/>
    </row>
    <row customHeight="1" ht="23.25" r="16" spans="1:6">
      <c r="A16" s="20" t="s">
        <v>2341</v>
      </c>
      <c r="B16" s="558"/>
      <c r="C16" s="558"/>
      <c r="D16" s="558"/>
      <c r="E16" s="558"/>
      <c r="F16" s="558"/>
    </row>
    <row customHeight="1" ht="22.5" r="17" spans="1:6">
      <c r="A17" s="20" t="s">
        <v>2336</v>
      </c>
      <c r="B17" s="558"/>
      <c r="C17" s="558"/>
      <c r="D17" s="558"/>
      <c r="E17" s="558"/>
      <c r="F17" s="558"/>
    </row>
    <row customHeight="1" ht="27.75" r="18" spans="1:6">
      <c r="A18" s="16" t="s">
        <v>2331</v>
      </c>
      <c r="B18" s="558"/>
      <c r="C18" s="558"/>
      <c r="D18" s="558"/>
      <c r="E18" s="558"/>
      <c r="F18" s="558"/>
    </row>
    <row ht="25.5" r="19" spans="1:6">
      <c r="A19" s="758" t="s">
        <v>1912</v>
      </c>
      <c r="B19" s="684"/>
      <c r="C19" s="684"/>
      <c r="D19" s="684"/>
      <c r="E19" s="684"/>
      <c r="F19" s="684"/>
    </row>
    <row customHeight="1" ht="29.25" r="20" spans="1:6">
      <c r="A20" s="758" t="s">
        <v>1915</v>
      </c>
      <c r="B20" s="684"/>
      <c r="C20" s="684"/>
      <c r="D20" s="684"/>
      <c r="E20" s="684"/>
      <c r="F20" s="684"/>
    </row>
    <row ht="38.25" r="21" spans="1:6">
      <c r="A21" s="758" t="s">
        <v>1916</v>
      </c>
      <c r="B21" s="684"/>
      <c r="C21" s="684"/>
      <c r="D21" s="684"/>
      <c r="E21" s="684"/>
      <c r="F21" s="684"/>
    </row>
    <row customHeight="1" ht="23.25" r="22" spans="1:6">
      <c r="A22" s="758" t="s">
        <v>1911</v>
      </c>
      <c r="B22" s="558"/>
      <c r="C22" s="558"/>
      <c r="D22" s="558"/>
      <c r="E22" s="558"/>
      <c r="F22" s="558"/>
    </row>
    <row customHeight="1" ht="23.25" r="23" spans="1:6">
      <c r="A23" s="758" t="s">
        <v>2364</v>
      </c>
      <c r="B23" s="558"/>
      <c r="C23" s="558"/>
      <c r="D23" s="558"/>
      <c r="E23" s="558"/>
      <c r="F23" s="558"/>
    </row>
    <row customHeight="1" ht="22.5" r="24" spans="1:6">
      <c r="A24" s="20" t="s">
        <v>1210</v>
      </c>
      <c r="B24" s="558"/>
      <c r="C24" s="558"/>
      <c r="D24" s="558"/>
      <c r="E24" s="558"/>
      <c r="F24" s="558"/>
    </row>
  </sheetData>
  <dataValidations count="3" xWindow="290" yWindow="361">
    <dataValidation allowBlank="1" showErrorMessage="1" showInputMessage="1" sqref="B4:F4" type="list">
      <formula1>"Үндсэн, Гэрээт, Туслах, Үнэлгээний ажилтан, Бусад"</formula1>
    </dataValidation>
    <dataValidation allowBlank="1" showErrorMessage="1" showInputMessage="1" sqref="B18:F18" type="list">
      <formula1>"Өөрийн байранд, Түрээс, Бусад"</formula1>
    </dataValidation>
    <dataValidation allowBlank="1" showErrorMessage="1" showInputMessage="1" sqref="B5:F5" type="list">
      <formula1>"Мэргэшсэн нягтлан бодогч, Үнэлгээчин, Эрх зүйч, Бусад"</formula1>
    </dataValidation>
  </dataValidations>
  <pageMargins bottom="0.75" footer="0.3" header="0.3" left="0.7" right="0.7" top="0.75"/>
  <pageSetup horizontalDpi="0" orientation="portrait" r:id="rId1" verticalDpi="0"/>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G56"/>
  <sheetViews>
    <sheetView workbookViewId="0" zoomScale="106" zoomScaleNormal="106">
      <selection activeCell="F9" sqref="F9"/>
    </sheetView>
  </sheetViews>
  <sheetFormatPr defaultColWidth="27" defaultRowHeight="12.75"/>
  <cols>
    <col min="1" max="1" customWidth="true" style="407" width="7.42578125" collapsed="false"/>
    <col min="2" max="2" customWidth="true" style="409" width="16.7109375" collapsed="false"/>
    <col min="3" max="3" customWidth="true" style="407" width="25.140625" collapsed="false"/>
    <col min="4" max="4" customWidth="true" style="407" width="13.5703125" collapsed="false"/>
    <col min="5" max="5" customWidth="true" style="407" width="13.42578125" collapsed="false"/>
    <col min="6" max="6" customWidth="true" style="406" width="13.0" collapsed="false"/>
    <col min="7" max="7" customWidth="true" style="406" width="29.28515625" collapsed="false"/>
    <col min="8" max="16384" style="406" width="27.0" collapsed="false"/>
  </cols>
  <sheetData>
    <row r="1" spans="1:7">
      <c r="G1" s="69" t="s">
        <v>2214</v>
      </c>
    </row>
    <row customHeight="1" ht="23.25" r="2" spans="1:7">
      <c r="A2" s="53" t="s">
        <v>2168</v>
      </c>
      <c r="B2" s="1678" t="s">
        <v>3335</v>
      </c>
      <c r="C2" s="1678"/>
      <c r="D2" s="1678"/>
      <c r="E2" s="1678"/>
      <c r="F2" s="1678"/>
    </row>
    <row customHeight="1" ht="15" r="3" spans="1:7">
      <c r="B3" s="1674" t="str">
        <f>"Байгууллагын нэр: "&amp;ЧХ!C7</f>
        <v xml:space="preserve">Байгууллагын нэр: </v>
      </c>
      <c r="C3" s="1674"/>
      <c r="D3" s="1674"/>
      <c r="E3" s="1674"/>
      <c r="F3" s="1674"/>
    </row>
    <row r="4" spans="1:7">
      <c r="B4" s="1100" t="str">
        <f>+"тайлант он: " &amp;ЧХ!$C$8</f>
        <v xml:space="preserve">тайлант он: </v>
      </c>
      <c r="C4" s="45"/>
      <c r="D4" s="45"/>
      <c r="E4" s="45"/>
      <c r="F4" s="45"/>
    </row>
    <row r="5" spans="1:7">
      <c r="B5" s="58"/>
      <c r="D5" s="58"/>
      <c r="E5" s="58"/>
      <c r="F5" s="58"/>
    </row>
    <row customFormat="1" customHeight="1" ht="42" r="6" s="407" spans="1:7">
      <c r="A6" s="1343" t="s">
        <v>649</v>
      </c>
      <c r="B6" s="1342" t="s">
        <v>78</v>
      </c>
      <c r="C6" s="1665" t="s">
        <v>2206</v>
      </c>
      <c r="D6" s="1665"/>
      <c r="E6" s="1665"/>
      <c r="F6" s="1342" t="s">
        <v>3336</v>
      </c>
      <c r="G6" s="1344" t="s">
        <v>2175</v>
      </c>
    </row>
    <row customFormat="1" customHeight="1" ht="33" r="7" s="434" spans="1:7">
      <c r="A7" s="433"/>
      <c r="B7" s="431" t="s">
        <v>2156</v>
      </c>
      <c r="C7" s="1675" t="s">
        <v>2215</v>
      </c>
      <c r="D7" s="1676"/>
      <c r="E7" s="1677"/>
      <c r="F7" s="1354">
        <v>1</v>
      </c>
      <c r="G7" s="1355"/>
    </row>
    <row customHeight="1" ht="49.5" r="8" spans="1:7">
      <c r="A8" s="1680">
        <v>1</v>
      </c>
      <c r="B8" s="1691" t="s">
        <v>1851</v>
      </c>
      <c r="C8" s="1694" t="s">
        <v>2171</v>
      </c>
      <c r="D8" s="1695"/>
      <c r="E8" s="1696"/>
      <c r="F8" s="1354">
        <v>1</v>
      </c>
      <c r="G8" s="1356"/>
    </row>
    <row customHeight="1" ht="49.5" r="9" spans="1:7">
      <c r="A9" s="1680"/>
      <c r="B9" s="1692"/>
      <c r="C9" s="1670" t="s">
        <v>3459</v>
      </c>
      <c r="D9" s="1671"/>
      <c r="E9" s="1672"/>
      <c r="F9" s="1354">
        <v>1</v>
      </c>
      <c r="G9" s="1356"/>
    </row>
    <row customHeight="1" ht="49.5" r="10" spans="1:7">
      <c r="A10" s="1680"/>
      <c r="B10" s="1692"/>
      <c r="C10" s="1670" t="s">
        <v>3460</v>
      </c>
      <c r="D10" s="1671"/>
      <c r="E10" s="1672"/>
      <c r="F10" s="1354">
        <v>1</v>
      </c>
      <c r="G10" s="1356"/>
    </row>
    <row customHeight="1" ht="49.5" r="11" spans="1:7">
      <c r="A11" s="1680"/>
      <c r="B11" s="1692"/>
      <c r="C11" s="1670" t="s">
        <v>3461</v>
      </c>
      <c r="D11" s="1671"/>
      <c r="E11" s="1672"/>
      <c r="F11" s="1354">
        <v>1</v>
      </c>
      <c r="G11" s="1356"/>
    </row>
    <row customHeight="1" ht="49.5" r="12" spans="1:7">
      <c r="A12" s="1680"/>
      <c r="B12" s="1692"/>
      <c r="C12" s="1670" t="s">
        <v>3462</v>
      </c>
      <c r="D12" s="1671"/>
      <c r="E12" s="1672"/>
      <c r="F12" s="1354">
        <v>1</v>
      </c>
      <c r="G12" s="1356"/>
    </row>
    <row customHeight="1" ht="49.5" r="13" spans="1:7">
      <c r="A13" s="1680"/>
      <c r="B13" s="1692"/>
      <c r="C13" s="1670" t="s">
        <v>3463</v>
      </c>
      <c r="D13" s="1671"/>
      <c r="E13" s="1672"/>
      <c r="F13" s="1354">
        <v>1</v>
      </c>
      <c r="G13" s="1356"/>
    </row>
    <row customHeight="1" ht="49.5" r="14" spans="1:7">
      <c r="A14" s="1680"/>
      <c r="B14" s="1692"/>
      <c r="C14" s="1670" t="s">
        <v>3464</v>
      </c>
      <c r="D14" s="1671"/>
      <c r="E14" s="1672"/>
      <c r="F14" s="1354">
        <v>1</v>
      </c>
      <c r="G14" s="1356"/>
    </row>
    <row customHeight="1" ht="29.25" r="15" spans="1:7">
      <c r="A15" s="1680"/>
      <c r="B15" s="1692"/>
      <c r="C15" s="1697" t="s">
        <v>2172</v>
      </c>
      <c r="D15" s="1697"/>
      <c r="E15" s="1697"/>
      <c r="F15" s="1354">
        <v>1</v>
      </c>
      <c r="G15" s="1356"/>
    </row>
    <row customHeight="1" ht="37.5" r="16" spans="1:7">
      <c r="A16" s="1680"/>
      <c r="B16" s="1692"/>
      <c r="C16" s="1673" t="s">
        <v>2173</v>
      </c>
      <c r="D16" s="1673"/>
      <c r="E16" s="1673"/>
      <c r="F16" s="1354">
        <v>1</v>
      </c>
      <c r="G16" s="1356"/>
    </row>
    <row customHeight="1" ht="27" r="17" spans="1:7">
      <c r="A17" s="1680"/>
      <c r="B17" s="1692"/>
      <c r="C17" s="1673" t="s">
        <v>2174</v>
      </c>
      <c r="D17" s="1673"/>
      <c r="E17" s="1673"/>
      <c r="F17" s="1354">
        <v>1</v>
      </c>
      <c r="G17" s="1356"/>
    </row>
    <row customHeight="1" ht="47.25" r="18" spans="1:7">
      <c r="A18" s="1680"/>
      <c r="B18" s="1692"/>
      <c r="C18" s="1673" t="s">
        <v>2176</v>
      </c>
      <c r="D18" s="1673"/>
      <c r="E18" s="1673"/>
      <c r="F18" s="1354">
        <v>1</v>
      </c>
      <c r="G18" s="1356"/>
    </row>
    <row customHeight="1" ht="39.75" r="19" spans="1:7">
      <c r="A19" s="1680"/>
      <c r="B19" s="1693"/>
      <c r="C19" s="1673" t="s">
        <v>2177</v>
      </c>
      <c r="D19" s="1673"/>
      <c r="E19" s="1673"/>
      <c r="F19" s="1354">
        <v>1</v>
      </c>
      <c r="G19" s="1356"/>
    </row>
    <row customHeight="1" ht="30" r="20" spans="1:7">
      <c r="A20" s="1680">
        <v>2</v>
      </c>
      <c r="B20" s="1666" t="s">
        <v>1855</v>
      </c>
      <c r="C20" s="1673" t="s">
        <v>2178</v>
      </c>
      <c r="D20" s="1673"/>
      <c r="E20" s="1673"/>
      <c r="F20" s="1354">
        <v>1</v>
      </c>
      <c r="G20" s="1356"/>
    </row>
    <row customHeight="1" ht="37.5" r="21" spans="1:7">
      <c r="A21" s="1680"/>
      <c r="B21" s="1666"/>
      <c r="C21" s="1673" t="s">
        <v>2179</v>
      </c>
      <c r="D21" s="1673"/>
      <c r="E21" s="1673"/>
      <c r="F21" s="1354">
        <v>1</v>
      </c>
      <c r="G21" s="1356"/>
    </row>
    <row customHeight="1" ht="51" r="22" spans="1:7">
      <c r="A22" s="1680">
        <v>3</v>
      </c>
      <c r="B22" s="1666" t="s">
        <v>1861</v>
      </c>
      <c r="C22" s="1681" t="s">
        <v>3466</v>
      </c>
      <c r="D22" s="1681"/>
      <c r="E22" s="1681"/>
      <c r="F22" s="1354">
        <v>1</v>
      </c>
      <c r="G22" s="1356"/>
    </row>
    <row customHeight="1" ht="55.5" r="23" spans="1:7">
      <c r="A23" s="1680"/>
      <c r="B23" s="1666"/>
      <c r="C23" s="1673" t="s">
        <v>2180</v>
      </c>
      <c r="D23" s="1673"/>
      <c r="E23" s="1673"/>
      <c r="F23" s="1354">
        <v>1</v>
      </c>
      <c r="G23" s="1356"/>
    </row>
    <row customHeight="1" ht="25.5" r="24" spans="1:7">
      <c r="A24" s="1680">
        <v>4</v>
      </c>
      <c r="B24" s="1666" t="s">
        <v>1863</v>
      </c>
      <c r="C24" s="1673" t="s">
        <v>2181</v>
      </c>
      <c r="D24" s="1673"/>
      <c r="E24" s="1673"/>
      <c r="F24" s="1354">
        <v>1</v>
      </c>
      <c r="G24" s="1356"/>
    </row>
    <row customHeight="1" ht="27.75" r="25" spans="1:7">
      <c r="A25" s="1680"/>
      <c r="B25" s="1666"/>
      <c r="C25" s="1673" t="s">
        <v>2182</v>
      </c>
      <c r="D25" s="1673"/>
      <c r="E25" s="1673"/>
      <c r="F25" s="1354">
        <v>1</v>
      </c>
      <c r="G25" s="1356"/>
    </row>
    <row customHeight="1" ht="25.5" r="26" spans="1:7">
      <c r="A26" s="1680"/>
      <c r="B26" s="1666"/>
      <c r="C26" s="1673" t="s">
        <v>3045</v>
      </c>
      <c r="D26" s="1673"/>
      <c r="E26" s="1673"/>
      <c r="F26" s="1354">
        <v>1</v>
      </c>
      <c r="G26" s="1356"/>
    </row>
    <row customHeight="1" ht="32.25" r="27" spans="1:7">
      <c r="A27" s="1680"/>
      <c r="B27" s="1666"/>
      <c r="C27" s="1673" t="s">
        <v>2183</v>
      </c>
      <c r="D27" s="1673"/>
      <c r="E27" s="1673"/>
      <c r="F27" s="1354">
        <v>1</v>
      </c>
      <c r="G27" s="1356"/>
    </row>
    <row customHeight="1" ht="37.5" r="28" spans="1:7">
      <c r="A28" s="433">
        <v>5</v>
      </c>
      <c r="B28" s="408" t="s">
        <v>1875</v>
      </c>
      <c r="C28" s="1681" t="s">
        <v>3046</v>
      </c>
      <c r="D28" s="1681"/>
      <c r="E28" s="1681"/>
      <c r="F28" s="1354">
        <v>1</v>
      </c>
      <c r="G28" s="1356"/>
    </row>
    <row customHeight="1" ht="41.25" r="29" spans="1:7">
      <c r="A29" s="433">
        <v>6</v>
      </c>
      <c r="B29" s="1432" t="s">
        <v>1867</v>
      </c>
      <c r="C29" s="1433" t="s">
        <v>2184</v>
      </c>
      <c r="D29" s="1433"/>
      <c r="E29" s="1433"/>
      <c r="F29" s="1354">
        <v>1</v>
      </c>
      <c r="G29" s="1356"/>
    </row>
    <row customHeight="1" ht="41.25" r="30" spans="1:7">
      <c r="A30" s="1429">
        <v>7</v>
      </c>
      <c r="B30" s="1437" t="s">
        <v>93</v>
      </c>
      <c r="C30" s="1418" t="s">
        <v>3467</v>
      </c>
      <c r="D30" s="1438"/>
      <c r="E30" s="1439"/>
      <c r="F30" s="1354">
        <v>1</v>
      </c>
      <c r="G30" s="1356"/>
    </row>
    <row customHeight="1" ht="41.25" r="31" spans="1:7">
      <c r="A31" s="1682">
        <v>8</v>
      </c>
      <c r="B31" s="1667" t="s">
        <v>1869</v>
      </c>
      <c r="C31" s="1662" t="s">
        <v>3468</v>
      </c>
      <c r="D31" s="1663"/>
      <c r="E31" s="1664"/>
      <c r="F31" s="1354">
        <v>1</v>
      </c>
      <c r="G31" s="1356"/>
    </row>
    <row customHeight="1" ht="41.25" r="32" spans="1:7">
      <c r="A32" s="1683"/>
      <c r="B32" s="1668"/>
      <c r="C32" s="1685" t="s">
        <v>3469</v>
      </c>
      <c r="D32" s="1686"/>
      <c r="E32" s="1687"/>
      <c r="F32" s="1354">
        <v>1</v>
      </c>
      <c r="G32" s="1356"/>
    </row>
    <row customHeight="1" ht="41.25" r="33" spans="1:7">
      <c r="A33" s="1684"/>
      <c r="B33" s="1669"/>
      <c r="C33" s="1685" t="s">
        <v>3470</v>
      </c>
      <c r="D33" s="1686"/>
      <c r="E33" s="1687"/>
      <c r="F33" s="1354">
        <v>1</v>
      </c>
      <c r="G33" s="1356"/>
    </row>
    <row customHeight="1" ht="54" r="34" spans="1:7">
      <c r="A34" s="433">
        <v>9</v>
      </c>
      <c r="B34" s="426" t="s">
        <v>1870</v>
      </c>
      <c r="C34" s="1662" t="s">
        <v>3471</v>
      </c>
      <c r="D34" s="1663"/>
      <c r="E34" s="1664"/>
      <c r="F34" s="1354">
        <v>1</v>
      </c>
      <c r="G34" s="1356"/>
    </row>
    <row customHeight="1" ht="39" r="35" spans="1:7">
      <c r="A35" s="1429">
        <v>10</v>
      </c>
      <c r="B35" s="426" t="s">
        <v>1871</v>
      </c>
      <c r="C35" s="1662" t="s">
        <v>3472</v>
      </c>
      <c r="D35" s="1663"/>
      <c r="E35" s="1664"/>
      <c r="F35" s="1354">
        <v>1</v>
      </c>
      <c r="G35" s="1356"/>
    </row>
    <row customHeight="1" ht="35.25" r="36" spans="1:7">
      <c r="A36" s="1430">
        <v>11</v>
      </c>
      <c r="B36" s="426" t="s">
        <v>1872</v>
      </c>
      <c r="C36" s="1662" t="s">
        <v>3473</v>
      </c>
      <c r="D36" s="1663"/>
      <c r="E36" s="1664"/>
      <c r="F36" s="1354">
        <v>1</v>
      </c>
      <c r="G36" s="1356"/>
    </row>
    <row customHeight="1" ht="35.25" r="37" spans="1:7">
      <c r="A37" s="1431">
        <v>12</v>
      </c>
      <c r="B37" s="1437" t="s">
        <v>3465</v>
      </c>
      <c r="C37" s="1670" t="s">
        <v>3474</v>
      </c>
      <c r="D37" s="1671"/>
      <c r="E37" s="1672"/>
      <c r="F37" s="1354">
        <v>1</v>
      </c>
      <c r="G37" s="1356"/>
    </row>
    <row customHeight="1" ht="45" r="38" spans="1:7">
      <c r="A38" s="1428">
        <v>13</v>
      </c>
      <c r="B38" s="441" t="s">
        <v>2203</v>
      </c>
      <c r="C38" s="1688" t="s">
        <v>2204</v>
      </c>
      <c r="D38" s="1688"/>
      <c r="E38" s="1688"/>
      <c r="F38" s="1354">
        <v>1</v>
      </c>
      <c r="G38" s="1356"/>
    </row>
    <row customHeight="1" ht="25.5" r="39" spans="1:7">
      <c r="A39" s="1428">
        <v>14</v>
      </c>
      <c r="B39" s="1432" t="s">
        <v>1868</v>
      </c>
      <c r="C39" s="1690" t="s">
        <v>3038</v>
      </c>
      <c r="D39" s="1690"/>
      <c r="E39" s="1690"/>
      <c r="F39" s="1354">
        <v>1</v>
      </c>
      <c r="G39" s="46"/>
    </row>
    <row r="41" spans="1:7">
      <c r="A41" s="409" t="s">
        <v>1897</v>
      </c>
      <c r="C41" s="409"/>
      <c r="D41" s="406"/>
      <c r="E41" s="406"/>
    </row>
    <row r="42" spans="1:7">
      <c r="A42" s="406">
        <f>+ЧХ!$C$15</f>
        <v>0</v>
      </c>
      <c r="B42" s="406"/>
      <c r="C42" s="1679">
        <f>+ЧХ!$C$16</f>
        <v>0</v>
      </c>
      <c r="D42" s="1679"/>
      <c r="E42" s="405" t="s">
        <v>1777</v>
      </c>
    </row>
    <row r="43" spans="1:7">
      <c r="A43" s="406"/>
      <c r="B43" s="406"/>
      <c r="C43" s="405"/>
      <c r="D43" s="405"/>
      <c r="E43" s="405"/>
    </row>
    <row r="44" spans="1:7">
      <c r="A44" s="409" t="s">
        <v>1873</v>
      </c>
      <c r="C44" s="406"/>
      <c r="D44" s="406"/>
      <c r="E44" s="405"/>
    </row>
    <row r="45" spans="1:7">
      <c r="A45" s="406" t="str">
        <f>+ЧХ!$B$6</f>
        <v>Аудитын менежер</v>
      </c>
      <c r="B45" s="406"/>
      <c r="C45" s="1679">
        <f>+ЧХ!$C$6</f>
        <v>0</v>
      </c>
      <c r="D45" s="1679"/>
      <c r="E45" s="405" t="s">
        <v>1777</v>
      </c>
    </row>
    <row r="46" spans="1:7">
      <c r="A46" s="406"/>
      <c r="B46" s="406"/>
      <c r="C46" s="405"/>
      <c r="D46" s="405"/>
      <c r="E46" s="405"/>
    </row>
    <row r="47" spans="1:7">
      <c r="A47" s="409" t="s">
        <v>2035</v>
      </c>
      <c r="C47" s="406"/>
      <c r="D47" s="406"/>
      <c r="E47" s="405"/>
    </row>
    <row r="48" spans="1:7">
      <c r="A48" s="406" t="str">
        <f>+ЧХ!$B$5</f>
        <v>Тэргүүлэх аудитор</v>
      </c>
      <c r="B48" s="406"/>
      <c r="C48" s="1689" t="str">
        <f>+ЧХ!$C$5</f>
        <v>С.Энхбаатар</v>
      </c>
      <c r="D48" s="1689"/>
      <c r="E48" s="405" t="s">
        <v>1777</v>
      </c>
    </row>
    <row r="49" spans="1:5">
      <c r="A49" s="406"/>
      <c r="B49" s="406"/>
      <c r="C49" s="406"/>
      <c r="D49" s="406"/>
      <c r="E49" s="406"/>
    </row>
    <row r="50" spans="1:5">
      <c r="A50" s="406"/>
      <c r="B50" s="406"/>
      <c r="C50" s="406"/>
      <c r="D50" s="406"/>
      <c r="E50" s="406"/>
    </row>
    <row r="51" spans="1:5">
      <c r="A51" s="406" t="str">
        <f>+ЧХ!$B$6&amp;"ийн санал: ………………………………………………………………………………………"</f>
        <v>Аудитын менежерийн санал: ………………………………………………………………………………………</v>
      </c>
      <c r="B51" s="406"/>
      <c r="C51" s="406"/>
      <c r="D51" s="406"/>
      <c r="E51" s="406"/>
    </row>
    <row r="52" spans="1:5">
      <c r="A52" s="406"/>
      <c r="B52" s="406"/>
      <c r="C52" s="406"/>
      <c r="D52" s="406"/>
      <c r="E52" s="406"/>
    </row>
    <row r="53" spans="1:5">
      <c r="A53" s="406"/>
      <c r="B53" s="406"/>
      <c r="C53" s="406"/>
      <c r="D53" s="406"/>
      <c r="E53" s="406"/>
    </row>
    <row r="54" spans="1:5">
      <c r="A54" s="406" t="str">
        <f>+ЧХ!$B$5&amp;"ын санал: ..........................................................................................................."</f>
        <v>Тэргүүлэх аудиторын санал: ...........................................................................................................</v>
      </c>
      <c r="B54" s="406"/>
      <c r="C54" s="406"/>
      <c r="D54" s="406"/>
      <c r="E54" s="406"/>
    </row>
    <row r="55" spans="1:5">
      <c r="A55" s="406"/>
      <c r="B55" s="406"/>
      <c r="C55" s="406"/>
      <c r="D55" s="406"/>
      <c r="E55" s="406"/>
    </row>
    <row r="56" spans="1:5">
      <c r="A56" s="424"/>
      <c r="B56" s="407"/>
      <c r="D56" s="406"/>
      <c r="E56" s="406"/>
    </row>
  </sheetData>
  <mergeCells count="4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s>
  <dataValidations count="1">
    <dataValidation allowBlank="1" showErrorMessage="1" showInputMessage="1" sqref="F7:F39" type="list">
      <formula1>"0, 1"</formula1>
    </dataValidation>
  </dataValidations>
  <pageMargins bottom="0.75" footer="0.3" header="0.3" left="0.7" right="0.7" top="0.75"/>
  <pageSetup orientation="landscape"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customWidth="true" style="1" width="24.28515625" collapsed="false"/>
    <col min="2" max="2" customWidth="true" style="1" width="11.42578125" collapsed="false"/>
    <col min="3" max="3" customWidth="true" style="1" width="22.5703125" collapsed="false"/>
    <col min="4" max="4" customWidth="true" style="1" width="26.5703125" collapsed="false"/>
    <col min="5" max="16384" style="1" width="9.140625" collapsed="false"/>
  </cols>
  <sheetData>
    <row r="1" spans="1:4">
      <c r="B1" s="85"/>
      <c r="D1" s="83" t="s">
        <v>1802</v>
      </c>
    </row>
    <row r="2" spans="1:4">
      <c r="B2" s="85"/>
      <c r="D2" s="83" t="s">
        <v>1803</v>
      </c>
    </row>
    <row r="3" spans="1:4">
      <c r="A3" s="91"/>
      <c r="B3" s="85"/>
      <c r="C3" s="85"/>
      <c r="D3" s="85"/>
    </row>
    <row customHeight="1" ht="30" r="4" spans="1:4">
      <c r="A4" s="1708" t="s">
        <v>1804</v>
      </c>
      <c r="B4" s="1708"/>
      <c r="C4" s="1708"/>
      <c r="D4" s="1708"/>
    </row>
    <row customHeight="1" ht="12" r="5" spans="1:4">
      <c r="A5" s="91"/>
      <c r="B5" s="85"/>
      <c r="C5" s="85"/>
      <c r="D5" s="85"/>
    </row>
    <row r="6" spans="1:4">
      <c r="A6" s="317" t="s">
        <v>1805</v>
      </c>
      <c r="B6" s="85"/>
      <c r="C6" s="85"/>
      <c r="D6" s="85"/>
    </row>
    <row r="7" spans="1:4">
      <c r="A7" s="91"/>
      <c r="B7" s="85"/>
      <c r="C7" s="85"/>
      <c r="D7" s="85"/>
    </row>
    <row customHeight="1" ht="23.25" r="8" spans="1:4">
      <c r="A8" s="99" t="s">
        <v>1806</v>
      </c>
      <c r="B8" s="1709" t="s">
        <v>1807</v>
      </c>
      <c r="C8" s="1709"/>
      <c r="D8" s="99" t="s">
        <v>1808</v>
      </c>
    </row>
    <row customHeight="1" ht="23.25" r="9" spans="1:4">
      <c r="A9" s="1357"/>
      <c r="B9" s="1710"/>
      <c r="C9" s="1710"/>
      <c r="D9" s="1357"/>
    </row>
    <row customHeight="1" ht="24.75" r="10" spans="1:4">
      <c r="A10" s="1711" t="s">
        <v>1809</v>
      </c>
      <c r="B10" s="1711"/>
      <c r="C10" s="1711" t="s">
        <v>1810</v>
      </c>
      <c r="D10" s="1711"/>
    </row>
    <row customHeight="1" ht="17.25" r="11" spans="1:4">
      <c r="A11" s="1710"/>
      <c r="B11" s="1710"/>
      <c r="C11" s="1712"/>
      <c r="D11" s="1713"/>
    </row>
    <row customHeight="1" ht="28.5" r="12" spans="1:4">
      <c r="A12" s="1711" t="s">
        <v>1811</v>
      </c>
      <c r="B12" s="1711"/>
      <c r="C12" s="1714" t="s">
        <v>1812</v>
      </c>
      <c r="D12" s="1714"/>
    </row>
    <row customHeight="1" ht="39.75" r="13" spans="1:4">
      <c r="A13" s="1715"/>
      <c r="B13" s="1716"/>
      <c r="C13" s="1715"/>
      <c r="D13" s="1716"/>
    </row>
    <row customHeight="1" ht="24.75" r="14" spans="1:4">
      <c r="A14" s="318" t="s">
        <v>1813</v>
      </c>
      <c r="B14" s="324" t="s">
        <v>1814</v>
      </c>
      <c r="C14" s="1688"/>
      <c r="D14" s="1688"/>
    </row>
    <row customHeight="1" ht="24.75" r="15" spans="1:4">
      <c r="A15" s="318" t="s">
        <v>1815</v>
      </c>
      <c r="B15" s="1705" t="str">
        <f>ЧХ!C8&amp;" "&amp;"оны Санхүүгийн тайлангийн аудит хийх"</f>
        <v xml:space="preserve"> оны Санхүүгийн тайлангийн аудит хийх</v>
      </c>
      <c r="C15" s="1706"/>
      <c r="D15" s="1707"/>
    </row>
    <row r="16" spans="1:4">
      <c r="A16" s="60"/>
      <c r="B16" s="60"/>
      <c r="C16" s="60"/>
      <c r="D16" s="60"/>
    </row>
    <row r="17" spans="1:4">
      <c r="A17" s="91"/>
      <c r="B17" s="85"/>
      <c r="C17" s="85"/>
      <c r="D17" s="85"/>
    </row>
    <row r="18" spans="1:4">
      <c r="A18" s="319" t="s">
        <v>1816</v>
      </c>
      <c r="B18" s="85"/>
      <c r="C18" s="85"/>
      <c r="D18" s="85"/>
    </row>
    <row r="19" spans="1:4">
      <c r="A19" s="85"/>
      <c r="B19" s="91"/>
      <c r="C19" s="85"/>
      <c r="D19" s="85"/>
    </row>
    <row r="20" spans="1:4">
      <c r="A20" s="317" t="s">
        <v>1817</v>
      </c>
      <c r="B20" s="85"/>
      <c r="C20" s="85"/>
      <c r="D20" s="85"/>
    </row>
    <row r="21" spans="1:4">
      <c r="A21" s="91"/>
      <c r="B21" s="85"/>
      <c r="C21" s="85"/>
      <c r="D21" s="85"/>
    </row>
    <row r="22" spans="1:4">
      <c r="A22" s="319" t="s">
        <v>1818</v>
      </c>
      <c r="B22" s="85"/>
      <c r="C22" s="85"/>
      <c r="D22" s="85"/>
    </row>
    <row customHeight="1" ht="22.5" r="23" spans="1:4">
      <c r="A23" s="334">
        <f>+B9</f>
        <v>0</v>
      </c>
      <c r="B23" s="319" t="s">
        <v>1819</v>
      </c>
      <c r="C23" s="334">
        <f>+D9</f>
        <v>0</v>
      </c>
      <c r="D23" s="85"/>
    </row>
    <row customHeight="1" ht="44.25" r="24" spans="1:4">
      <c r="A24" s="1700" t="s">
        <v>1820</v>
      </c>
      <c r="B24" s="1700"/>
      <c r="C24" s="1700"/>
      <c r="D24" s="1700"/>
    </row>
    <row customHeight="1" ht="15.75" r="25" spans="1:4">
      <c r="A25" s="91"/>
      <c r="B25" s="85"/>
      <c r="C25" s="85"/>
      <c r="D25" s="85"/>
    </row>
    <row r="26" spans="1:4">
      <c r="A26" s="1698" t="s">
        <v>1821</v>
      </c>
      <c r="B26" s="1698"/>
      <c r="C26" s="1698"/>
      <c r="D26" s="1698"/>
    </row>
    <row r="27" spans="1:4">
      <c r="A27" s="91"/>
      <c r="B27" s="85"/>
      <c r="C27" s="85"/>
      <c r="D27" s="85"/>
    </row>
    <row customHeight="1" ht="15" r="28" spans="1:4">
      <c r="A28" s="1701" t="s">
        <v>1822</v>
      </c>
      <c r="B28" s="1701"/>
      <c r="C28" s="1701"/>
      <c r="D28" s="1701"/>
    </row>
    <row r="29" spans="1:4">
      <c r="A29" s="91"/>
      <c r="B29" s="85"/>
      <c r="C29" s="85"/>
      <c r="D29" s="85"/>
    </row>
    <row r="30" spans="1:4">
      <c r="A30" s="320" t="s">
        <v>1823</v>
      </c>
      <c r="B30" s="85"/>
      <c r="C30" s="85"/>
      <c r="D30" s="85"/>
    </row>
    <row r="31" spans="1:4">
      <c r="A31" s="320" t="s">
        <v>1824</v>
      </c>
      <c r="B31" s="85"/>
      <c r="C31" s="85"/>
      <c r="D31" s="85"/>
    </row>
    <row r="32" spans="1:4">
      <c r="A32" s="98"/>
      <c r="B32" s="333"/>
      <c r="C32" s="333"/>
      <c r="D32" s="333"/>
    </row>
    <row r="33" spans="1:4">
      <c r="A33" s="349"/>
      <c r="B33" s="153"/>
      <c r="C33" s="153"/>
      <c r="D33" s="153"/>
    </row>
    <row r="34" spans="1:4">
      <c r="A34" s="91"/>
      <c r="B34" s="85"/>
      <c r="C34" s="85"/>
      <c r="D34" s="85"/>
    </row>
    <row customHeight="1" ht="36.75" r="35" spans="1:4">
      <c r="A35" s="1702" t="s">
        <v>2144</v>
      </c>
      <c r="B35" s="1702"/>
      <c r="C35" s="1702"/>
      <c r="D35" s="1702"/>
    </row>
    <row r="36" spans="1:4">
      <c r="A36" s="98"/>
      <c r="B36" s="333"/>
      <c r="C36" s="333"/>
      <c r="D36" s="333"/>
    </row>
    <row r="37" spans="1:4">
      <c r="A37" s="349"/>
      <c r="B37" s="153"/>
      <c r="C37" s="153"/>
      <c r="D37" s="153"/>
    </row>
    <row r="38" spans="1:4">
      <c r="A38" s="91"/>
      <c r="B38" s="85"/>
      <c r="C38" s="85"/>
      <c r="D38" s="85"/>
    </row>
    <row r="39" spans="1:4">
      <c r="A39" s="320" t="s">
        <v>2145</v>
      </c>
      <c r="B39" s="85"/>
      <c r="C39" s="85"/>
      <c r="D39" s="85"/>
    </row>
    <row r="40" spans="1:4">
      <c r="A40" s="333" t="s">
        <v>2146</v>
      </c>
      <c r="B40" s="333"/>
      <c r="C40" s="333"/>
      <c r="D40" s="333"/>
    </row>
    <row r="41" spans="1:4">
      <c r="A41" s="98"/>
      <c r="B41" s="333"/>
      <c r="C41" s="333"/>
      <c r="D41" s="333"/>
    </row>
    <row r="42" spans="1:4">
      <c r="A42" s="349"/>
      <c r="B42" s="153"/>
      <c r="C42" s="153"/>
      <c r="D42" s="153"/>
    </row>
    <row r="43" spans="1:4">
      <c r="A43" s="332"/>
      <c r="B43" s="85"/>
      <c r="C43" s="85"/>
      <c r="D43" s="85"/>
    </row>
    <row r="44" spans="1:4">
      <c r="A44" s="321" t="s">
        <v>1825</v>
      </c>
      <c r="B44" s="85"/>
      <c r="C44" s="85"/>
      <c r="D44" s="85"/>
    </row>
    <row r="45" spans="1:4">
      <c r="B45" s="85"/>
      <c r="C45" s="85"/>
      <c r="D45" s="85"/>
    </row>
    <row r="46" spans="1:4">
      <c r="A46" s="349"/>
      <c r="B46" s="153"/>
      <c r="C46" s="153"/>
      <c r="D46" s="153"/>
    </row>
    <row r="47" spans="1:4">
      <c r="A47" s="91"/>
      <c r="B47" s="85"/>
      <c r="C47" s="85"/>
      <c r="D47" s="85"/>
    </row>
    <row r="48" spans="1:4">
      <c r="A48" s="85"/>
      <c r="B48" s="85"/>
      <c r="C48" s="85"/>
      <c r="D48" s="85"/>
    </row>
    <row customHeight="1" ht="54.75" r="49" spans="1:4">
      <c r="A49" s="1703" t="s">
        <v>1826</v>
      </c>
      <c r="B49" s="1703"/>
      <c r="C49" s="1703"/>
      <c r="D49" s="1703"/>
    </row>
    <row r="50" spans="1:4">
      <c r="A50" s="91"/>
      <c r="B50" s="85"/>
      <c r="C50" s="85"/>
      <c r="D50" s="85"/>
    </row>
    <row r="51" spans="1:4">
      <c r="A51" s="1698" t="s">
        <v>2147</v>
      </c>
      <c r="B51" s="1698"/>
      <c r="C51" s="1698"/>
      <c r="D51" s="1698"/>
    </row>
    <row r="52" spans="1:4">
      <c r="A52" s="91"/>
      <c r="B52" s="85"/>
      <c r="C52" s="85"/>
      <c r="D52" s="85"/>
    </row>
    <row customHeight="1" ht="36.75" r="53" spans="1:4">
      <c r="A53" s="1703" t="s">
        <v>1827</v>
      </c>
      <c r="B53" s="1703"/>
      <c r="C53" s="1703"/>
      <c r="D53" s="1703"/>
    </row>
    <row r="54" spans="1:4">
      <c r="A54" s="91"/>
      <c r="B54" s="85"/>
      <c r="C54" s="85"/>
      <c r="D54" s="85"/>
    </row>
    <row r="55" spans="1:4">
      <c r="A55" s="330">
        <f>+ЧХ!C15</f>
        <v>0</v>
      </c>
      <c r="B55" s="85"/>
      <c r="C55" s="85" t="s">
        <v>2148</v>
      </c>
      <c r="D55" s="44">
        <f>+ЧХ!C16</f>
        <v>0</v>
      </c>
    </row>
    <row r="56" spans="1:4">
      <c r="A56" s="11" t="s">
        <v>2150</v>
      </c>
      <c r="B56" s="332"/>
      <c r="C56" s="44" t="s">
        <v>2149</v>
      </c>
      <c r="D56" s="11" t="s">
        <v>2151</v>
      </c>
    </row>
    <row r="57" spans="1:4">
      <c r="A57" s="11"/>
      <c r="B57" s="332"/>
      <c r="C57" s="44"/>
      <c r="D57" s="11"/>
    </row>
    <row r="58" spans="1:4">
      <c r="A58" s="11"/>
      <c r="B58" s="332"/>
      <c r="C58" s="44"/>
      <c r="D58" s="11"/>
    </row>
    <row r="59" spans="1:4">
      <c r="B59" s="85"/>
      <c r="C59" s="51" t="s">
        <v>3597</v>
      </c>
      <c r="D59" s="85"/>
    </row>
    <row r="60" spans="1:4">
      <c r="A60" s="47"/>
      <c r="B60" s="333"/>
      <c r="C60" s="350"/>
      <c r="D60" s="333"/>
    </row>
    <row r="61" spans="1:4">
      <c r="A61" s="276"/>
      <c r="B61" s="153"/>
      <c r="C61" s="351"/>
      <c r="D61" s="153"/>
    </row>
    <row r="62" spans="1:4">
      <c r="A62" s="91"/>
      <c r="B62" s="85"/>
      <c r="C62" s="85"/>
      <c r="D62" s="85"/>
    </row>
    <row r="63" spans="1:4">
      <c r="A63" s="1704" t="s">
        <v>1828</v>
      </c>
      <c r="B63" s="1704"/>
      <c r="C63" s="1704"/>
      <c r="D63" s="1704"/>
    </row>
    <row r="64" spans="1:4">
      <c r="A64" s="91"/>
      <c r="B64" s="85"/>
      <c r="C64" s="85"/>
      <c r="D64" s="85"/>
    </row>
    <row customHeight="1" ht="33" r="65" spans="1:4">
      <c r="A65" s="1703" t="s">
        <v>1829</v>
      </c>
      <c r="B65" s="1703"/>
      <c r="C65" s="1703"/>
      <c r="D65" s="1703"/>
    </row>
    <row r="66" spans="1:4">
      <c r="A66" s="91"/>
      <c r="B66" s="85"/>
      <c r="C66" s="85"/>
      <c r="D66" s="85"/>
    </row>
    <row r="67" spans="1:4">
      <c r="A67" s="1699" t="s">
        <v>1830</v>
      </c>
      <c r="B67" s="1699"/>
      <c r="C67" s="1699"/>
      <c r="D67" s="1699"/>
    </row>
    <row r="68" spans="1:4">
      <c r="A68" s="91"/>
      <c r="B68" s="85"/>
      <c r="C68" s="85"/>
      <c r="D68" s="85"/>
    </row>
    <row r="69" spans="1:4">
      <c r="A69" s="321" t="s">
        <v>1831</v>
      </c>
      <c r="B69" s="85"/>
      <c r="C69" s="85"/>
      <c r="D69" s="85"/>
    </row>
    <row r="70" spans="1:4">
      <c r="A70" s="91"/>
      <c r="B70" s="85"/>
      <c r="C70" s="85"/>
      <c r="D70" s="85"/>
    </row>
    <row r="71" spans="1:4">
      <c r="A71" s="321" t="s">
        <v>1832</v>
      </c>
      <c r="B71" s="85"/>
      <c r="C71" s="85"/>
      <c r="D71" s="85"/>
    </row>
    <row r="72" spans="1:4">
      <c r="A72" s="91"/>
      <c r="B72" s="85"/>
      <c r="C72" s="85"/>
      <c r="D72" s="85"/>
    </row>
    <row r="73" spans="1:4">
      <c r="A73" s="321" t="s">
        <v>1833</v>
      </c>
      <c r="B73" s="85"/>
      <c r="C73" s="85"/>
      <c r="D73" s="85"/>
    </row>
    <row r="74" spans="1:4">
      <c r="A74" s="91"/>
      <c r="B74" s="85"/>
      <c r="C74" s="85"/>
      <c r="D74" s="85"/>
    </row>
    <row r="75" spans="1:4">
      <c r="A75" s="91"/>
      <c r="B75" s="85"/>
      <c r="C75" s="85"/>
      <c r="D75" s="85"/>
    </row>
    <row r="76" spans="1:4">
      <c r="A76" s="321" t="s">
        <v>1834</v>
      </c>
      <c r="B76" s="85"/>
      <c r="C76" s="85"/>
      <c r="D76" s="85"/>
    </row>
    <row r="77" spans="1:4">
      <c r="A77" s="91"/>
      <c r="B77" s="85"/>
      <c r="C77" s="85"/>
      <c r="D77" s="85"/>
    </row>
    <row r="78" spans="1:4">
      <c r="A78" s="330"/>
      <c r="B78" s="331"/>
      <c r="C78" s="331" t="s">
        <v>2148</v>
      </c>
      <c r="D78" s="330"/>
    </row>
    <row r="79" spans="1:4">
      <c r="A79" s="11" t="s">
        <v>2150</v>
      </c>
      <c r="B79" s="332"/>
      <c r="C79" s="44" t="s">
        <v>2149</v>
      </c>
      <c r="D79" s="11" t="s">
        <v>2151</v>
      </c>
    </row>
    <row r="80" spans="1:4">
      <c r="A80" s="91"/>
      <c r="B80" s="85"/>
      <c r="C80" s="85"/>
      <c r="D80" s="85"/>
    </row>
    <row r="81" spans="2:4">
      <c r="B81" s="85"/>
      <c r="C81" s="23" t="s">
        <v>1835</v>
      </c>
      <c r="D81" s="85"/>
    </row>
  </sheetData>
  <mergeCells count="23">
    <mergeCell ref="B15:D15"/>
    <mergeCell ref="A4:D4"/>
    <mergeCell ref="B8:C8"/>
    <mergeCell ref="B9:C9"/>
    <mergeCell ref="A10:B10"/>
    <mergeCell ref="C10:D10"/>
    <mergeCell ref="A11:B11"/>
    <mergeCell ref="C11:D11"/>
    <mergeCell ref="A12:B12"/>
    <mergeCell ref="C12:D12"/>
    <mergeCell ref="A13:B13"/>
    <mergeCell ref="C13:D13"/>
    <mergeCell ref="C14:D14"/>
    <mergeCell ref="A51:D51"/>
    <mergeCell ref="A67:D67"/>
    <mergeCell ref="A24:D24"/>
    <mergeCell ref="A26:D26"/>
    <mergeCell ref="A28:D28"/>
    <mergeCell ref="A35:D35"/>
    <mergeCell ref="A49:D49"/>
    <mergeCell ref="A53:D53"/>
    <mergeCell ref="A63:D63"/>
    <mergeCell ref="A65:D65"/>
  </mergeCells>
  <pageMargins bottom="0.75" footer="0.3" header="0.3" left="0.7" right="0.7" top="0.75"/>
  <pageSetup horizontalDpi="0" orientation="portrait" r:id="rId1" verticalDpi="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I227"/>
  <sheetViews>
    <sheetView topLeftCell="A133" workbookViewId="0">
      <selection activeCell="D137" sqref="D137:F137"/>
    </sheetView>
  </sheetViews>
  <sheetFormatPr defaultColWidth="9" defaultRowHeight="12.75"/>
  <cols>
    <col min="1" max="1" customWidth="true" style="1491" width="3.7109375" collapsed="false"/>
    <col min="2" max="2" customWidth="true" style="1534" width="6.5703125" collapsed="false"/>
    <col min="3" max="3" customWidth="true" style="1" width="26.0" collapsed="false"/>
    <col min="4" max="4" customWidth="true" style="1" width="13.5703125" collapsed="false"/>
    <col min="5" max="5" customWidth="true" style="1" width="29.85546875" collapsed="false"/>
    <col min="6" max="6" customWidth="true" style="1" width="31.5703125" collapsed="false"/>
    <col min="7" max="7" customWidth="true" style="1" width="20.570312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s="1538" t="s">
        <v>102</v>
      </c>
      <c r="C1" t="s">
        <v>102</v>
      </c>
      <c r="D1" t="s">
        <v>102</v>
      </c>
      <c r="E1" t="s">
        <v>102</v>
      </c>
      <c r="G1" s="1481" t="s">
        <v>3499</v>
      </c>
    </row>
    <row r="3" spans="1:7">
      <c r="A3" s="1717" t="s">
        <v>3500</v>
      </c>
      <c r="B3" s="1717" t="s">
        <v>102</v>
      </c>
      <c r="C3" s="1717" t="s">
        <v>102</v>
      </c>
      <c r="D3" s="1717" t="s">
        <v>102</v>
      </c>
      <c r="E3" s="1717" t="s">
        <v>102</v>
      </c>
      <c r="F3" s="1717" t="s">
        <v>102</v>
      </c>
      <c r="G3" s="1717" t="s">
        <v>102</v>
      </c>
    </row>
    <row r="4" spans="1:7">
      <c r="A4" s="11" t="s">
        <v>102</v>
      </c>
      <c r="B4" s="11" t="s">
        <v>102</v>
      </c>
      <c r="C4" s="11" t="s">
        <v>102</v>
      </c>
      <c r="D4" s="11" t="s">
        <v>102</v>
      </c>
      <c r="E4" s="11" t="s">
        <v>102</v>
      </c>
      <c r="F4" s="11" t="s">
        <v>102</v>
      </c>
      <c r="G4" s="11" t="s">
        <v>102</v>
      </c>
    </row>
    <row customHeight="1" ht="21" r="5" spans="1:7">
      <c r="A5" s="11" t="s">
        <v>102</v>
      </c>
      <c r="B5" s="1718" t="s">
        <v>699</v>
      </c>
      <c r="C5" s="1718" t="s">
        <v>102</v>
      </c>
      <c r="D5" s="1718" t="s">
        <v>102</v>
      </c>
      <c r="E5" s="1719"/>
      <c r="F5" s="1719"/>
      <c r="G5" s="1719"/>
    </row>
    <row r="6" spans="1:7">
      <c r="A6" s="11" t="s">
        <v>102</v>
      </c>
      <c r="B6" s="1533" t="s">
        <v>102</v>
      </c>
      <c r="C6" s="1484" t="s">
        <v>102</v>
      </c>
      <c r="D6" s="1484" t="s">
        <v>102</v>
      </c>
      <c r="E6" s="1493" t="s">
        <v>102</v>
      </c>
      <c r="F6" s="1493" t="s">
        <v>102</v>
      </c>
      <c r="G6" s="1491" t="s">
        <v>102</v>
      </c>
    </row>
    <row ht="15" r="7" spans="1:7">
      <c r="A7" t="s">
        <v>102</v>
      </c>
      <c r="B7" s="1534" t="s">
        <v>102</v>
      </c>
      <c r="C7" t="s">
        <v>102</v>
      </c>
      <c r="D7" t="s">
        <v>102</v>
      </c>
      <c r="E7" t="s">
        <v>102</v>
      </c>
    </row>
    <row customHeight="1" ht="42.75" r="8" spans="1:7">
      <c r="A8" s="1496" t="s">
        <v>649</v>
      </c>
      <c r="B8" s="1720" t="s">
        <v>12</v>
      </c>
      <c r="C8" s="1720" t="s">
        <v>102</v>
      </c>
      <c r="D8" s="1720" t="s">
        <v>102</v>
      </c>
      <c r="E8" s="1720" t="s">
        <v>102</v>
      </c>
      <c r="F8" s="1496" t="s">
        <v>700</v>
      </c>
      <c r="G8" s="1496" t="s">
        <v>701</v>
      </c>
    </row>
    <row customHeight="1" ht="14.25" r="9" spans="1:7">
      <c r="A9" s="138" t="s">
        <v>702</v>
      </c>
      <c r="B9" s="138">
        <v>1</v>
      </c>
      <c r="C9" s="139">
        <v>2</v>
      </c>
      <c r="D9" s="1721">
        <v>3</v>
      </c>
      <c r="E9" s="1722" t="s">
        <v>102</v>
      </c>
      <c r="F9" s="138">
        <v>4</v>
      </c>
      <c r="G9" s="138">
        <v>6</v>
      </c>
    </row>
    <row customFormat="1" customHeight="1" ht="21.75" r="10" s="548" spans="1:7">
      <c r="A10" s="1568">
        <v>1</v>
      </c>
      <c r="B10" s="1750" t="s">
        <v>703</v>
      </c>
      <c r="C10" s="1723" t="s">
        <v>698</v>
      </c>
      <c r="D10" s="1726" t="s">
        <v>704</v>
      </c>
      <c r="E10" s="1726" t="s">
        <v>102</v>
      </c>
      <c r="F10" s="141">
        <f>+'1.Info'!F10</f>
        <v>0</v>
      </c>
      <c r="G10" s="142" t="s">
        <v>102</v>
      </c>
    </row>
    <row customFormat="1" customHeight="1" ht="23.25" r="11" s="548" spans="1:7">
      <c r="A11" s="1568">
        <f>A10+1</f>
        <v>2</v>
      </c>
      <c r="B11" s="1751"/>
      <c r="C11" s="1724" t="s">
        <v>102</v>
      </c>
      <c r="D11" s="1726" t="s">
        <v>705</v>
      </c>
      <c r="E11" s="1726" t="s">
        <v>102</v>
      </c>
      <c r="F11" s="141">
        <f>+'1.Info'!F11</f>
        <v>0</v>
      </c>
      <c r="G11" s="143" t="s">
        <v>102</v>
      </c>
    </row>
    <row customFormat="1" customHeight="1" ht="21.75" r="12" s="548" spans="1:7">
      <c r="A12" s="1568">
        <f ref="A12:A52" si="0" t="shared">A11+1</f>
        <v>3</v>
      </c>
      <c r="B12" s="1751"/>
      <c r="C12" s="1724" t="s">
        <v>102</v>
      </c>
      <c r="D12" s="1726" t="s">
        <v>706</v>
      </c>
      <c r="E12" s="1726" t="s">
        <v>102</v>
      </c>
      <c r="F12" s="141">
        <f>+'1.Info'!F12</f>
        <v>0</v>
      </c>
      <c r="G12" s="143" t="s">
        <v>102</v>
      </c>
    </row>
    <row customFormat="1" customHeight="1" ht="22.5" r="13" s="548" spans="1:7">
      <c r="A13" s="1568">
        <f si="0" t="shared"/>
        <v>4</v>
      </c>
      <c r="B13" s="1751"/>
      <c r="C13" s="1724" t="s">
        <v>102</v>
      </c>
      <c r="D13" s="1728" t="s">
        <v>707</v>
      </c>
      <c r="E13" s="1728" t="s">
        <v>102</v>
      </c>
      <c r="F13" s="141">
        <f>+'1.Info'!F13</f>
        <v>0</v>
      </c>
      <c r="G13" s="143" t="s">
        <v>102</v>
      </c>
    </row>
    <row customFormat="1" customHeight="1" ht="30.75" r="14" s="548" spans="1:7">
      <c r="A14" s="1568">
        <f si="0" t="shared"/>
        <v>5</v>
      </c>
      <c r="B14" s="1751"/>
      <c r="C14" s="1724" t="s">
        <v>102</v>
      </c>
      <c r="D14" s="1728" t="s">
        <v>708</v>
      </c>
      <c r="E14" s="1728" t="s">
        <v>102</v>
      </c>
      <c r="F14" s="141">
        <f>+'1.Info'!F14</f>
        <v>0</v>
      </c>
      <c r="G14" s="143" t="s">
        <v>102</v>
      </c>
    </row>
    <row customFormat="1" customHeight="1" ht="20.25" r="15" s="548" spans="1:7">
      <c r="A15" s="1568">
        <f si="0" t="shared"/>
        <v>6</v>
      </c>
      <c r="B15" s="1751"/>
      <c r="C15" s="1724" t="s">
        <v>102</v>
      </c>
      <c r="D15" s="1726" t="s">
        <v>709</v>
      </c>
      <c r="E15" s="1726" t="s">
        <v>102</v>
      </c>
      <c r="F15" s="141">
        <f>+'1.Info'!F15</f>
        <v>0</v>
      </c>
      <c r="G15" s="143" t="s">
        <v>102</v>
      </c>
    </row>
    <row customFormat="1" customHeight="1" ht="21.75" r="16" s="548" spans="1:7">
      <c r="A16" s="1568">
        <f si="0" t="shared"/>
        <v>7</v>
      </c>
      <c r="B16" s="1751"/>
      <c r="C16" s="1724" t="s">
        <v>102</v>
      </c>
      <c r="D16" s="1726" t="s">
        <v>710</v>
      </c>
      <c r="E16" s="1726" t="s">
        <v>102</v>
      </c>
      <c r="F16" s="141">
        <f>+'1.Info'!F16</f>
        <v>0</v>
      </c>
      <c r="G16" s="143" t="s">
        <v>102</v>
      </c>
    </row>
    <row customFormat="1" customHeight="1" ht="20.25" r="17" s="548" spans="1:7">
      <c r="A17" s="1568">
        <f si="0" t="shared"/>
        <v>8</v>
      </c>
      <c r="B17" s="1751"/>
      <c r="C17" s="1724" t="s">
        <v>102</v>
      </c>
      <c r="D17" s="1726" t="s">
        <v>711</v>
      </c>
      <c r="E17" s="1726" t="s">
        <v>102</v>
      </c>
      <c r="F17" s="141">
        <f>+'1.Info'!F17</f>
        <v>0</v>
      </c>
      <c r="G17" s="143" t="s">
        <v>102</v>
      </c>
    </row>
    <row customFormat="1" customHeight="1" ht="19.5" r="18" s="548" spans="1:7">
      <c r="A18" s="1568">
        <f si="0" t="shared"/>
        <v>9</v>
      </c>
      <c r="B18" s="1751"/>
      <c r="C18" s="1724" t="s">
        <v>102</v>
      </c>
      <c r="D18" s="1726" t="s">
        <v>712</v>
      </c>
      <c r="E18" s="1726" t="s">
        <v>102</v>
      </c>
      <c r="F18" s="141">
        <f>+'1.Info'!F18</f>
        <v>0</v>
      </c>
      <c r="G18" s="1727" t="s">
        <v>713</v>
      </c>
    </row>
    <row customFormat="1" customHeight="1" ht="22.5" r="19" s="548" spans="1:7">
      <c r="A19" s="1568">
        <f si="0" t="shared"/>
        <v>10</v>
      </c>
      <c r="B19" s="1751"/>
      <c r="C19" s="1724" t="s">
        <v>102</v>
      </c>
      <c r="D19" s="1726" t="s">
        <v>714</v>
      </c>
      <c r="E19" s="1726" t="s">
        <v>102</v>
      </c>
      <c r="F19" s="141">
        <f>+'1.Info'!F19</f>
        <v>0</v>
      </c>
      <c r="G19" s="1727" t="s">
        <v>102</v>
      </c>
    </row>
    <row customFormat="1" customHeight="1" ht="20.25" r="20" s="548" spans="1:7">
      <c r="A20" s="1568">
        <f si="0" t="shared"/>
        <v>11</v>
      </c>
      <c r="B20" s="1751"/>
      <c r="C20" s="1724" t="s">
        <v>102</v>
      </c>
      <c r="D20" s="1726" t="s">
        <v>715</v>
      </c>
      <c r="E20" s="1726" t="s">
        <v>102</v>
      </c>
      <c r="F20" s="141">
        <f>+'1.Info'!F20</f>
        <v>0</v>
      </c>
      <c r="G20" s="144" t="s">
        <v>102</v>
      </c>
    </row>
    <row customFormat="1" customHeight="1" ht="18" r="21" s="548" spans="1:7">
      <c r="A21" s="1568">
        <f si="0" t="shared"/>
        <v>12</v>
      </c>
      <c r="B21" s="1751"/>
      <c r="C21" s="1724" t="s">
        <v>102</v>
      </c>
      <c r="D21" s="1726" t="s">
        <v>716</v>
      </c>
      <c r="E21" s="1726" t="s">
        <v>102</v>
      </c>
      <c r="F21" s="141">
        <f>+'1.Info'!F21</f>
        <v>0</v>
      </c>
      <c r="G21" s="144" t="s">
        <v>102</v>
      </c>
    </row>
    <row customFormat="1" customHeight="1" ht="20.25" r="22" s="548" spans="1:7">
      <c r="A22" s="1568">
        <f si="0" t="shared"/>
        <v>13</v>
      </c>
      <c r="B22" s="1751"/>
      <c r="C22" s="1724" t="s">
        <v>102</v>
      </c>
      <c r="D22" s="1728" t="s">
        <v>717</v>
      </c>
      <c r="E22" s="1728" t="s">
        <v>102</v>
      </c>
      <c r="F22" s="141">
        <f>+'1.Info'!F22</f>
        <v>0</v>
      </c>
      <c r="G22" s="144" t="s">
        <v>102</v>
      </c>
    </row>
    <row customFormat="1" customHeight="1" ht="22.5" r="23" s="548" spans="1:7">
      <c r="A23" s="1568">
        <f si="0" t="shared"/>
        <v>14</v>
      </c>
      <c r="B23" s="1751"/>
      <c r="C23" s="1724" t="s">
        <v>102</v>
      </c>
      <c r="D23" s="1728" t="s">
        <v>718</v>
      </c>
      <c r="E23" s="1728" t="s">
        <v>102</v>
      </c>
      <c r="F23" s="141">
        <f>+'1.Info'!F23</f>
        <v>0</v>
      </c>
      <c r="G23" s="144" t="s">
        <v>102</v>
      </c>
    </row>
    <row customFormat="1" customHeight="1" ht="22.5" r="24" s="548" spans="1:7">
      <c r="A24" s="1568">
        <f si="0" t="shared"/>
        <v>15</v>
      </c>
      <c r="B24" s="1751"/>
      <c r="C24" s="1724" t="s">
        <v>102</v>
      </c>
      <c r="D24" s="1726" t="s">
        <v>719</v>
      </c>
      <c r="E24" s="1726" t="s">
        <v>102</v>
      </c>
      <c r="F24" s="141">
        <f>+'1.Info'!F24</f>
        <v>0</v>
      </c>
      <c r="G24" s="144" t="s">
        <v>102</v>
      </c>
    </row>
    <row customFormat="1" customHeight="1" ht="38.25" r="25" s="548" spans="1:7">
      <c r="A25" s="1568">
        <f si="0" t="shared"/>
        <v>16</v>
      </c>
      <c r="B25" s="1751"/>
      <c r="C25" s="1724" t="s">
        <v>102</v>
      </c>
      <c r="D25" s="1726" t="s">
        <v>720</v>
      </c>
      <c r="E25" s="1726" t="s">
        <v>102</v>
      </c>
      <c r="F25" s="141">
        <f>+'1.Info'!F25</f>
        <v>0</v>
      </c>
      <c r="G25" s="145" t="s">
        <v>721</v>
      </c>
    </row>
    <row customFormat="1" customHeight="1" ht="33.75" r="26" s="548" spans="1:7">
      <c r="A26" s="1568">
        <f si="0" t="shared"/>
        <v>17</v>
      </c>
      <c r="B26" s="1751"/>
      <c r="C26" s="1724" t="s">
        <v>102</v>
      </c>
      <c r="D26" s="1723" t="s">
        <v>722</v>
      </c>
      <c r="E26" s="1494" t="s">
        <v>723</v>
      </c>
      <c r="F26" s="141">
        <f>+'1.Info'!F26</f>
        <v>0</v>
      </c>
      <c r="G26" s="145" t="s">
        <v>102</v>
      </c>
    </row>
    <row customFormat="1" customHeight="1" ht="43.5" r="27" s="548" spans="1:7">
      <c r="A27" s="1568">
        <f si="0" t="shared"/>
        <v>18</v>
      </c>
      <c r="B27" s="1751"/>
      <c r="C27" s="1725" t="s">
        <v>102</v>
      </c>
      <c r="D27" s="1725" t="s">
        <v>102</v>
      </c>
      <c r="E27" s="1494" t="s">
        <v>724</v>
      </c>
      <c r="F27" s="141">
        <f>+'1.Info'!F27</f>
        <v>0</v>
      </c>
      <c r="G27" s="145" t="s">
        <v>102</v>
      </c>
    </row>
    <row customFormat="1" customHeight="1" ht="19.5" r="28" s="548" spans="1:7">
      <c r="A28" s="1568">
        <f si="0" t="shared"/>
        <v>19</v>
      </c>
      <c r="B28" s="1751"/>
      <c r="C28" s="1731" t="s">
        <v>725</v>
      </c>
      <c r="D28" s="1726" t="s">
        <v>61</v>
      </c>
      <c r="E28" s="1726" t="s">
        <v>102</v>
      </c>
      <c r="F28" s="141">
        <f>+'1.Info'!F28</f>
        <v>0</v>
      </c>
      <c r="G28" s="144" t="s">
        <v>102</v>
      </c>
    </row>
    <row customFormat="1" customHeight="1" ht="19.5" r="29" s="548" spans="1:7">
      <c r="A29" s="1568">
        <f si="0" t="shared"/>
        <v>20</v>
      </c>
      <c r="B29" s="1751"/>
      <c r="C29" s="1731" t="s">
        <v>102</v>
      </c>
      <c r="D29" s="1726" t="s">
        <v>62</v>
      </c>
      <c r="E29" s="1726" t="s">
        <v>102</v>
      </c>
      <c r="F29" s="141">
        <f>+'1.Info'!F29</f>
        <v>0</v>
      </c>
      <c r="G29" s="144" t="s">
        <v>102</v>
      </c>
    </row>
    <row customFormat="1" customHeight="1" ht="19.5" r="30" s="548" spans="1:7">
      <c r="A30" s="1568">
        <f si="0" t="shared"/>
        <v>21</v>
      </c>
      <c r="B30" s="1751"/>
      <c r="C30" s="1731" t="s">
        <v>102</v>
      </c>
      <c r="D30" s="1726" t="s">
        <v>726</v>
      </c>
      <c r="E30" s="1726" t="s">
        <v>102</v>
      </c>
      <c r="F30" s="141">
        <f>+'1.Info'!F30</f>
        <v>0</v>
      </c>
      <c r="G30" s="144" t="s">
        <v>102</v>
      </c>
    </row>
    <row customFormat="1" customHeight="1" ht="19.5" r="31" s="548" spans="1:7">
      <c r="A31" s="1568">
        <f si="0" t="shared"/>
        <v>22</v>
      </c>
      <c r="B31" s="1751"/>
      <c r="C31" s="1731" t="s">
        <v>102</v>
      </c>
      <c r="D31" s="1726" t="s">
        <v>718</v>
      </c>
      <c r="E31" s="1726" t="s">
        <v>102</v>
      </c>
      <c r="F31" s="141">
        <f>+'1.Info'!F31</f>
        <v>0</v>
      </c>
      <c r="G31" s="144" t="s">
        <v>102</v>
      </c>
    </row>
    <row customFormat="1" customHeight="1" ht="19.5" r="32" s="548" spans="1:7">
      <c r="A32" s="1568">
        <f si="0" t="shared"/>
        <v>23</v>
      </c>
      <c r="B32" s="1751"/>
      <c r="C32" s="1731" t="s">
        <v>102</v>
      </c>
      <c r="D32" s="1726" t="s">
        <v>716</v>
      </c>
      <c r="E32" s="1726" t="s">
        <v>102</v>
      </c>
      <c r="F32" s="141">
        <f>+'1.Info'!F32</f>
        <v>0</v>
      </c>
      <c r="G32" s="144" t="s">
        <v>102</v>
      </c>
    </row>
    <row customFormat="1" customHeight="1" ht="19.5" r="33" s="548" spans="1:7">
      <c r="A33" s="1568">
        <f si="0" t="shared"/>
        <v>24</v>
      </c>
      <c r="B33" s="1751"/>
      <c r="C33" s="1731" t="s">
        <v>102</v>
      </c>
      <c r="D33" s="1726" t="s">
        <v>727</v>
      </c>
      <c r="E33" s="1726" t="s">
        <v>102</v>
      </c>
      <c r="F33" s="141">
        <f>+'1.Info'!F33</f>
        <v>0</v>
      </c>
      <c r="G33" s="144" t="s">
        <v>102</v>
      </c>
    </row>
    <row customFormat="1" customHeight="1" ht="19.5" r="34" s="548" spans="1:7">
      <c r="A34" s="1568">
        <f si="0" t="shared"/>
        <v>25</v>
      </c>
      <c r="B34" s="1751"/>
      <c r="C34" s="1731" t="s">
        <v>102</v>
      </c>
      <c r="D34" s="1726" t="s">
        <v>728</v>
      </c>
      <c r="E34" s="1726" t="s">
        <v>102</v>
      </c>
      <c r="F34" s="141">
        <f>+'1.Info'!F34</f>
        <v>0</v>
      </c>
      <c r="G34" s="144" t="s">
        <v>102</v>
      </c>
    </row>
    <row customFormat="1" customHeight="1" ht="20.25" r="35" s="548" spans="1:7">
      <c r="A35" s="1568">
        <f si="0" t="shared"/>
        <v>26</v>
      </c>
      <c r="B35" s="1751"/>
      <c r="C35" s="1729" t="s">
        <v>729</v>
      </c>
      <c r="D35" s="1730" t="s">
        <v>61</v>
      </c>
      <c r="E35" s="1730"/>
      <c r="F35" s="141">
        <f>+'1.Info'!F35</f>
        <v>0</v>
      </c>
      <c r="G35" s="144" t="s">
        <v>102</v>
      </c>
    </row>
    <row customFormat="1" customHeight="1" ht="19.5" r="36" s="548" spans="1:7">
      <c r="A36" s="1568">
        <f si="0" t="shared"/>
        <v>27</v>
      </c>
      <c r="B36" s="1751"/>
      <c r="C36" s="1729"/>
      <c r="D36" s="1730" t="s">
        <v>62</v>
      </c>
      <c r="E36" s="1730"/>
      <c r="F36" s="141" t="str">
        <f>+'1.Info'!F36</f>
        <v/>
      </c>
      <c r="G36" s="144" t="s">
        <v>102</v>
      </c>
    </row>
    <row customFormat="1" customHeight="1" ht="19.5" r="37" s="548" spans="1:7">
      <c r="A37" s="1568">
        <f si="0" t="shared"/>
        <v>28</v>
      </c>
      <c r="B37" s="1751"/>
      <c r="C37" s="1729"/>
      <c r="D37" s="1730" t="s">
        <v>726</v>
      </c>
      <c r="E37" s="1730"/>
      <c r="F37" s="141" t="str">
        <f>+'1.Info'!F37</f>
        <v/>
      </c>
      <c r="G37" s="144" t="s">
        <v>102</v>
      </c>
    </row>
    <row customFormat="1" customHeight="1" ht="19.5" r="38" s="548" spans="1:7">
      <c r="A38" s="1568">
        <f si="0" t="shared"/>
        <v>29</v>
      </c>
      <c r="B38" s="1751"/>
      <c r="C38" s="1729"/>
      <c r="D38" s="1730" t="s">
        <v>718</v>
      </c>
      <c r="E38" s="1730"/>
      <c r="F38" s="141" t="str">
        <f>+'1.Info'!F38</f>
        <v/>
      </c>
      <c r="G38" s="144" t="s">
        <v>102</v>
      </c>
    </row>
    <row customFormat="1" customHeight="1" ht="19.5" r="39" s="548" spans="1:7">
      <c r="A39" s="1568">
        <f si="0" t="shared"/>
        <v>30</v>
      </c>
      <c r="B39" s="1751"/>
      <c r="C39" s="1729"/>
      <c r="D39" s="1730" t="s">
        <v>716</v>
      </c>
      <c r="E39" s="1730"/>
      <c r="F39" s="141" t="str">
        <f>+'1.Info'!F39</f>
        <v/>
      </c>
      <c r="G39" s="144" t="s">
        <v>102</v>
      </c>
    </row>
    <row customFormat="1" customHeight="1" ht="19.5" r="40" s="548" spans="1:7">
      <c r="A40" s="1568">
        <f si="0" t="shared"/>
        <v>31</v>
      </c>
      <c r="B40" s="1751"/>
      <c r="C40" s="1729"/>
      <c r="D40" s="1730" t="s">
        <v>727</v>
      </c>
      <c r="E40" s="1730"/>
      <c r="F40" s="141" t="str">
        <f>+'1.Info'!F40</f>
        <v/>
      </c>
      <c r="G40" s="144" t="s">
        <v>102</v>
      </c>
    </row>
    <row customFormat="1" customHeight="1" ht="19.5" r="41" s="548" spans="1:7">
      <c r="A41" s="1568">
        <f si="0" t="shared"/>
        <v>32</v>
      </c>
      <c r="B41" s="1751"/>
      <c r="C41" s="1729"/>
      <c r="D41" s="1730" t="s">
        <v>728</v>
      </c>
      <c r="E41" s="1730"/>
      <c r="F41" s="141" t="str">
        <f>+'1.Info'!F41</f>
        <v/>
      </c>
      <c r="G41" s="144" t="s">
        <v>102</v>
      </c>
    </row>
    <row customFormat="1" ht="38.25" r="42" s="548" spans="1:7">
      <c r="A42" s="1568">
        <f si="0" t="shared"/>
        <v>33</v>
      </c>
      <c r="B42" s="1751"/>
      <c r="C42" s="1729" t="s">
        <v>730</v>
      </c>
      <c r="D42" s="1729"/>
      <c r="E42" s="1565" t="s">
        <v>734</v>
      </c>
      <c r="F42" s="141" t="str">
        <f>+'1.Info'!F42</f>
        <v/>
      </c>
      <c r="G42" s="145" t="s">
        <v>732</v>
      </c>
    </row>
    <row customFormat="1" customHeight="1" ht="17.25" r="43" s="548" spans="1:7">
      <c r="A43" s="1568">
        <f si="0" t="shared"/>
        <v>34</v>
      </c>
      <c r="B43" s="1751"/>
      <c r="C43" s="1729"/>
      <c r="D43" s="1729"/>
      <c r="E43" s="1565" t="s">
        <v>3573</v>
      </c>
      <c r="F43" s="141" t="str">
        <f>+'1.Info'!F43</f>
        <v/>
      </c>
      <c r="G43" s="1732" t="s">
        <v>102</v>
      </c>
    </row>
    <row customFormat="1" customHeight="1" ht="17.25" r="44" s="548" spans="1:7">
      <c r="A44" s="1568">
        <f si="0" t="shared"/>
        <v>35</v>
      </c>
      <c r="B44" s="1751"/>
      <c r="C44" s="1729"/>
      <c r="D44" s="1729"/>
      <c r="E44" s="1565" t="s">
        <v>2703</v>
      </c>
      <c r="F44" s="141" t="str">
        <f>+'1.Info'!F44</f>
        <v/>
      </c>
      <c r="G44" s="1732" t="s">
        <v>102</v>
      </c>
    </row>
    <row customFormat="1" customHeight="1" ht="17.25" r="45" s="548" spans="1:7">
      <c r="A45" s="1568">
        <f si="0" t="shared"/>
        <v>36</v>
      </c>
      <c r="B45" s="1751"/>
      <c r="C45" s="1729" t="s">
        <v>735</v>
      </c>
      <c r="D45" s="1729"/>
      <c r="E45" s="1565" t="s">
        <v>734</v>
      </c>
      <c r="F45" s="141" t="str">
        <f>+'1.Info'!F45</f>
        <v/>
      </c>
      <c r="G45" s="1732" t="s">
        <v>102</v>
      </c>
    </row>
    <row customFormat="1" customHeight="1" ht="17.25" r="46" s="548" spans="1:7">
      <c r="A46" s="1568">
        <f si="0" t="shared"/>
        <v>37</v>
      </c>
      <c r="B46" s="1751"/>
      <c r="C46" s="1729"/>
      <c r="D46" s="1729"/>
      <c r="E46" s="1565" t="s">
        <v>3573</v>
      </c>
      <c r="F46" s="141" t="str">
        <f>+'1.Info'!F46</f>
        <v/>
      </c>
      <c r="G46" s="1732" t="s">
        <v>102</v>
      </c>
    </row>
    <row customFormat="1" customHeight="1" ht="17.25" r="47" s="548" spans="1:7">
      <c r="A47" s="1568">
        <f si="0" t="shared"/>
        <v>38</v>
      </c>
      <c r="B47" s="1751"/>
      <c r="C47" s="1729"/>
      <c r="D47" s="1729"/>
      <c r="E47" s="1565" t="s">
        <v>2703</v>
      </c>
      <c r="F47" s="141" t="str">
        <f>+'1.Info'!F47</f>
        <v/>
      </c>
      <c r="G47" s="1732" t="s">
        <v>102</v>
      </c>
    </row>
    <row customFormat="1" customHeight="1" ht="28.5" r="48" s="548" spans="1:7">
      <c r="A48" s="1568">
        <f si="0" t="shared"/>
        <v>39</v>
      </c>
      <c r="B48" s="1751"/>
      <c r="C48" s="1723" t="s">
        <v>791</v>
      </c>
      <c r="D48" s="1733" t="s">
        <v>80</v>
      </c>
      <c r="E48" s="1734"/>
      <c r="F48" s="141" t="str">
        <f>+'1.Info'!F48</f>
        <v/>
      </c>
      <c r="G48" s="1732" t="s">
        <v>102</v>
      </c>
    </row>
    <row customFormat="1" customHeight="1" ht="22.5" r="49" s="548" spans="1:7">
      <c r="A49" s="1568">
        <f si="0" t="shared"/>
        <v>40</v>
      </c>
      <c r="B49" s="1751"/>
      <c r="C49" s="1724"/>
      <c r="D49" s="1728" t="s">
        <v>81</v>
      </c>
      <c r="E49" s="1728" t="s">
        <v>102</v>
      </c>
      <c r="F49" s="141" t="str">
        <f>+'1.Info'!F49</f>
        <v/>
      </c>
      <c r="G49" s="1495" t="s">
        <v>102</v>
      </c>
    </row>
    <row customFormat="1" customHeight="1" ht="22.5" r="50" s="548" spans="1:7">
      <c r="A50" s="1568">
        <f si="0" t="shared"/>
        <v>41</v>
      </c>
      <c r="B50" s="1751"/>
      <c r="C50" s="1724"/>
      <c r="D50" s="1728" t="s">
        <v>661</v>
      </c>
      <c r="E50" s="1728" t="s">
        <v>102</v>
      </c>
      <c r="F50" s="141" t="str">
        <f>+'1.Info'!F50</f>
        <v/>
      </c>
      <c r="G50" s="1495" t="s">
        <v>102</v>
      </c>
    </row>
    <row customFormat="1" customHeight="1" ht="22.5" r="51" s="548" spans="1:7">
      <c r="A51" s="1568">
        <f si="0" t="shared"/>
        <v>42</v>
      </c>
      <c r="B51" s="1751"/>
      <c r="C51" s="1724"/>
      <c r="D51" s="1728" t="s">
        <v>662</v>
      </c>
      <c r="E51" s="1728" t="s">
        <v>102</v>
      </c>
      <c r="F51" s="141" t="str">
        <f>+'1.Info'!F51</f>
        <v/>
      </c>
      <c r="G51" s="1495" t="s">
        <v>102</v>
      </c>
    </row>
    <row customFormat="1" customHeight="1" ht="22.5" r="52" s="548" spans="1:7">
      <c r="A52" s="1569">
        <f si="0" t="shared"/>
        <v>43</v>
      </c>
      <c r="B52" s="1751"/>
      <c r="C52" s="1724"/>
      <c r="D52" s="1728" t="s">
        <v>792</v>
      </c>
      <c r="E52" s="1728" t="s">
        <v>102</v>
      </c>
      <c r="F52" s="141" t="str">
        <f>+'1.Info'!F52</f>
        <v/>
      </c>
      <c r="G52" s="1495" t="s">
        <v>102</v>
      </c>
    </row>
    <row customFormat="1" customHeight="1" ht="22.5" r="53" s="548" spans="1:7">
      <c r="A53" s="1749">
        <v>44</v>
      </c>
      <c r="B53" s="1753" t="s">
        <v>736</v>
      </c>
      <c r="C53" s="1729" t="s">
        <v>737</v>
      </c>
      <c r="D53" s="1752" t="s">
        <v>731</v>
      </c>
      <c r="E53" s="1566" t="s">
        <v>738</v>
      </c>
      <c r="F53" s="141" t="str">
        <f>+'1.Info'!F53</f>
        <v/>
      </c>
      <c r="G53" s="1576" t="s">
        <v>739</v>
      </c>
    </row>
    <row customFormat="1" customHeight="1" ht="17.25" r="54" s="548" spans="1:7">
      <c r="A54" s="1749"/>
      <c r="B54" s="1753"/>
      <c r="C54" s="1729"/>
      <c r="D54" s="1752"/>
      <c r="E54" s="1566" t="s">
        <v>740</v>
      </c>
      <c r="F54" s="141" t="str">
        <f>+'1.Info'!F54</f>
        <v/>
      </c>
      <c r="G54" s="1735" t="s">
        <v>102</v>
      </c>
    </row>
    <row customFormat="1" customHeight="1" ht="17.25" r="55" s="548" spans="1:7">
      <c r="A55" s="1749"/>
      <c r="B55" s="1753"/>
      <c r="C55" s="1729"/>
      <c r="D55" s="1752"/>
      <c r="E55" s="1566" t="s">
        <v>741</v>
      </c>
      <c r="F55" s="141" t="str">
        <f>+'1.Info'!F55</f>
        <v/>
      </c>
      <c r="G55" s="1735" t="s">
        <v>102</v>
      </c>
    </row>
    <row customFormat="1" customHeight="1" ht="17.25" r="56" s="548" spans="1:7">
      <c r="A56" s="1749"/>
      <c r="B56" s="1753"/>
      <c r="C56" s="1729"/>
      <c r="D56" s="1752"/>
      <c r="E56" s="1566" t="s">
        <v>742</v>
      </c>
      <c r="F56" s="141" t="str">
        <f>+'1.Info'!F56</f>
        <v/>
      </c>
      <c r="G56" s="1735" t="s">
        <v>102</v>
      </c>
    </row>
    <row customFormat="1" customHeight="1" ht="27" r="57" s="548" spans="1:7">
      <c r="A57" s="1749"/>
      <c r="B57" s="1753"/>
      <c r="C57" s="1729"/>
      <c r="D57" s="1752"/>
      <c r="E57" s="1567" t="s">
        <v>743</v>
      </c>
      <c r="F57" s="141" t="str">
        <f>+'1.Info'!F57</f>
        <v/>
      </c>
      <c r="G57" s="1735" t="s">
        <v>102</v>
      </c>
    </row>
    <row customFormat="1" customHeight="1" ht="27.75" r="58" s="548" spans="1:7">
      <c r="A58" s="1749"/>
      <c r="B58" s="1753"/>
      <c r="C58" s="1729"/>
      <c r="D58" s="1752"/>
      <c r="E58" s="1566" t="s">
        <v>744</v>
      </c>
      <c r="F58" s="141" t="str">
        <f>+'1.Info'!F58</f>
        <v/>
      </c>
      <c r="G58" s="1735" t="s">
        <v>102</v>
      </c>
    </row>
    <row customFormat="1" customHeight="1" ht="17.25" r="59" s="548" spans="1:7">
      <c r="A59" s="1749">
        <v>45</v>
      </c>
      <c r="B59" s="1753"/>
      <c r="C59" s="1729"/>
      <c r="D59" s="1752" t="s">
        <v>733</v>
      </c>
      <c r="E59" s="1566" t="s">
        <v>738</v>
      </c>
      <c r="F59" s="141" t="str">
        <f>+'1.Info'!F59</f>
        <v/>
      </c>
      <c r="G59" s="1735" t="s">
        <v>739</v>
      </c>
    </row>
    <row customFormat="1" customHeight="1" ht="18.75" r="60" s="548" spans="1:7">
      <c r="A60" s="1749"/>
      <c r="B60" s="1753"/>
      <c r="C60" s="1729"/>
      <c r="D60" s="1752"/>
      <c r="E60" s="1566" t="s">
        <v>740</v>
      </c>
      <c r="F60" s="141" t="str">
        <f>+'1.Info'!F60</f>
        <v/>
      </c>
      <c r="G60" s="1577" t="s">
        <v>102</v>
      </c>
    </row>
    <row customFormat="1" customHeight="1" ht="19.5" r="61" s="548" spans="1:7">
      <c r="A61" s="1749"/>
      <c r="B61" s="1753"/>
      <c r="C61" s="1729"/>
      <c r="D61" s="1752"/>
      <c r="E61" s="1566" t="s">
        <v>741</v>
      </c>
      <c r="F61" s="141" t="str">
        <f>+'1.Info'!F61</f>
        <v/>
      </c>
      <c r="G61" s="1577" t="s">
        <v>102</v>
      </c>
    </row>
    <row customFormat="1" customHeight="1" ht="18" r="62" s="548" spans="1:7">
      <c r="A62" s="1749"/>
      <c r="B62" s="1753"/>
      <c r="C62" s="1729"/>
      <c r="D62" s="1752"/>
      <c r="E62" s="1566" t="s">
        <v>742</v>
      </c>
      <c r="F62" s="141" t="str">
        <f>+'1.Info'!F62</f>
        <v/>
      </c>
      <c r="G62" s="1577" t="s">
        <v>102</v>
      </c>
    </row>
    <row customFormat="1" customHeight="1" ht="18.75" r="63" s="548" spans="1:7">
      <c r="A63" s="1749"/>
      <c r="B63" s="1753"/>
      <c r="C63" s="1729"/>
      <c r="D63" s="1752"/>
      <c r="E63" s="1567" t="s">
        <v>743</v>
      </c>
      <c r="F63" s="141" t="str">
        <f>+'1.Info'!F63</f>
        <v/>
      </c>
      <c r="G63" s="1577" t="s">
        <v>102</v>
      </c>
    </row>
    <row customFormat="1" customHeight="1" ht="22.5" r="64" s="548" spans="1:7">
      <c r="A64" s="1749"/>
      <c r="B64" s="1753"/>
      <c r="C64" s="1729"/>
      <c r="D64" s="1752"/>
      <c r="E64" s="1566" t="s">
        <v>744</v>
      </c>
      <c r="F64" s="141" t="str">
        <f>+'1.Info'!F64</f>
        <v/>
      </c>
      <c r="G64" s="1577" t="s">
        <v>102</v>
      </c>
    </row>
    <row customFormat="1" customHeight="1" ht="18" r="65" s="548" spans="1:7">
      <c r="A65" s="1749">
        <v>46</v>
      </c>
      <c r="B65" s="1753"/>
      <c r="C65" s="1729"/>
      <c r="D65" s="1752" t="s">
        <v>734</v>
      </c>
      <c r="E65" s="1566" t="s">
        <v>738</v>
      </c>
      <c r="F65" s="141" t="str">
        <f>+'1.Info'!F65</f>
        <v/>
      </c>
      <c r="G65" s="1577" t="s">
        <v>739</v>
      </c>
    </row>
    <row customFormat="1" r="66" s="548" spans="1:7">
      <c r="A66" s="1749"/>
      <c r="B66" s="1753"/>
      <c r="C66" s="1729"/>
      <c r="D66" s="1752"/>
      <c r="E66" s="1566" t="s">
        <v>740</v>
      </c>
      <c r="F66" s="141" t="str">
        <f>+'1.Info'!F66</f>
        <v/>
      </c>
      <c r="G66" s="1577" t="s">
        <v>102</v>
      </c>
    </row>
    <row customFormat="1" r="67" s="548" spans="1:7">
      <c r="A67" s="1749"/>
      <c r="B67" s="1753"/>
      <c r="C67" s="1729"/>
      <c r="D67" s="1752"/>
      <c r="E67" s="1566" t="s">
        <v>741</v>
      </c>
      <c r="F67" s="141" t="str">
        <f>+'1.Info'!F67</f>
        <v/>
      </c>
      <c r="G67" s="1577" t="s">
        <v>102</v>
      </c>
    </row>
    <row customFormat="1" r="68" s="548" spans="1:7">
      <c r="A68" s="1749"/>
      <c r="B68" s="1753"/>
      <c r="C68" s="1729"/>
      <c r="D68" s="1752"/>
      <c r="E68" s="1566" t="s">
        <v>742</v>
      </c>
      <c r="F68" s="141" t="str">
        <f>+'1.Info'!F68</f>
        <v/>
      </c>
      <c r="G68" s="1577" t="s">
        <v>102</v>
      </c>
    </row>
    <row customFormat="1" ht="25.5" r="69" s="548" spans="1:7">
      <c r="A69" s="1749"/>
      <c r="B69" s="1753"/>
      <c r="C69" s="1729"/>
      <c r="D69" s="1752"/>
      <c r="E69" s="1567" t="s">
        <v>743</v>
      </c>
      <c r="F69" s="141" t="str">
        <f>+'1.Info'!F69</f>
        <v/>
      </c>
      <c r="G69" s="1577" t="s">
        <v>102</v>
      </c>
    </row>
    <row customFormat="1" customHeight="1" ht="24" r="70" s="548" spans="1:7">
      <c r="A70" s="1749"/>
      <c r="B70" s="1753"/>
      <c r="C70" s="1729"/>
      <c r="D70" s="1752"/>
      <c r="E70" s="1566" t="s">
        <v>744</v>
      </c>
      <c r="F70" s="141" t="str">
        <f>+'1.Info'!F70</f>
        <v/>
      </c>
      <c r="G70" s="1577" t="s">
        <v>102</v>
      </c>
    </row>
    <row customFormat="1" customHeight="1" ht="17.25" r="71" s="548" spans="1:7">
      <c r="A71" s="1749">
        <v>47</v>
      </c>
      <c r="B71" s="1753"/>
      <c r="C71" s="1729" t="s">
        <v>745</v>
      </c>
      <c r="D71" s="1730" t="s">
        <v>746</v>
      </c>
      <c r="E71" s="1730"/>
      <c r="F71" s="141" t="str">
        <f>+'1.Info'!F71</f>
        <v/>
      </c>
      <c r="G71" s="1577" t="s">
        <v>102</v>
      </c>
    </row>
    <row customFormat="1" customHeight="1" ht="17.25" r="72" s="548" spans="1:7">
      <c r="A72" s="1749"/>
      <c r="B72" s="1753"/>
      <c r="C72" s="1729"/>
      <c r="D72" s="1730" t="s">
        <v>747</v>
      </c>
      <c r="E72" s="1730"/>
      <c r="F72" s="141" t="str">
        <f>+'1.Info'!F72</f>
        <v/>
      </c>
      <c r="G72" s="143" t="s">
        <v>102</v>
      </c>
    </row>
    <row customFormat="1" customHeight="1" ht="17.25" r="73" s="548" spans="1:7">
      <c r="A73" s="1749"/>
      <c r="B73" s="1753"/>
      <c r="C73" s="1729"/>
      <c r="D73" s="1730" t="s">
        <v>748</v>
      </c>
      <c r="E73" s="1730"/>
      <c r="F73" s="141" t="str">
        <f>+'1.Info'!F73</f>
        <v/>
      </c>
      <c r="G73" s="143" t="s">
        <v>102</v>
      </c>
    </row>
    <row customFormat="1" customHeight="1" ht="17.25" r="74" s="548" spans="1:7">
      <c r="A74" s="1749"/>
      <c r="B74" s="1753"/>
      <c r="C74" s="1729"/>
      <c r="D74" s="1730" t="s">
        <v>749</v>
      </c>
      <c r="E74" s="1730"/>
      <c r="F74" s="141" t="str">
        <f>+'1.Info'!F74</f>
        <v/>
      </c>
      <c r="G74" s="143" t="s">
        <v>102</v>
      </c>
    </row>
    <row customFormat="1" customHeight="1" ht="17.25" r="75" s="548" spans="1:7">
      <c r="A75" s="1749"/>
      <c r="B75" s="1753"/>
      <c r="C75" s="1729"/>
      <c r="D75" s="1730" t="s">
        <v>750</v>
      </c>
      <c r="E75" s="1730"/>
      <c r="F75" s="141" t="str">
        <f>+'1.Info'!F75</f>
        <v/>
      </c>
      <c r="G75" s="143" t="s">
        <v>102</v>
      </c>
    </row>
    <row customFormat="1" customHeight="1" ht="17.25" r="76" s="548" spans="1:7">
      <c r="A76" s="1749"/>
      <c r="B76" s="1753"/>
      <c r="C76" s="1729"/>
      <c r="D76" s="1730" t="s">
        <v>751</v>
      </c>
      <c r="E76" s="1730"/>
      <c r="F76" s="141" t="str">
        <f>+'1.Info'!F76</f>
        <v/>
      </c>
      <c r="G76" s="143" t="s">
        <v>102</v>
      </c>
    </row>
    <row customFormat="1" customHeight="1" ht="17.25" r="77" s="548" spans="1:7">
      <c r="A77" s="1749"/>
      <c r="B77" s="1753"/>
      <c r="C77" s="1729"/>
      <c r="D77" s="1730" t="s">
        <v>752</v>
      </c>
      <c r="E77" s="1730"/>
      <c r="F77" s="141" t="str">
        <f>+'1.Info'!F77</f>
        <v/>
      </c>
      <c r="G77" s="143" t="s">
        <v>102</v>
      </c>
    </row>
    <row customFormat="1" customHeight="1" ht="17.25" r="78" s="548" spans="1:7">
      <c r="A78" s="1749"/>
      <c r="B78" s="1753"/>
      <c r="C78" s="1729"/>
      <c r="D78" s="1730" t="s">
        <v>753</v>
      </c>
      <c r="E78" s="1730"/>
      <c r="F78" s="141" t="str">
        <f>+'1.Info'!F78</f>
        <v/>
      </c>
      <c r="G78" s="143" t="s">
        <v>102</v>
      </c>
    </row>
    <row customFormat="1" customHeight="1" ht="17.25" r="79" s="548" spans="1:7">
      <c r="A79" s="1749"/>
      <c r="B79" s="1753"/>
      <c r="C79" s="1729"/>
      <c r="D79" s="1730" t="s">
        <v>754</v>
      </c>
      <c r="E79" s="1730"/>
      <c r="F79" s="141" t="str">
        <f>+'1.Info'!F79</f>
        <v/>
      </c>
      <c r="G79" s="143" t="s">
        <v>102</v>
      </c>
    </row>
    <row customFormat="1" customHeight="1" ht="17.25" r="80" s="548" spans="1:7">
      <c r="A80" s="1749"/>
      <c r="B80" s="1753"/>
      <c r="C80" s="1729"/>
      <c r="D80" s="1730" t="s">
        <v>82</v>
      </c>
      <c r="E80" s="1730"/>
      <c r="F80" s="141" t="str">
        <f>+'1.Info'!F80</f>
        <v/>
      </c>
      <c r="G80" s="143" t="s">
        <v>102</v>
      </c>
    </row>
    <row customFormat="1" customHeight="1" ht="17.25" r="81" s="548" spans="1:7">
      <c r="A81" s="1749">
        <v>48</v>
      </c>
      <c r="B81" s="1753"/>
      <c r="C81" s="1729" t="s">
        <v>755</v>
      </c>
      <c r="D81" s="1736" t="s">
        <v>756</v>
      </c>
      <c r="E81" s="1736"/>
      <c r="F81" s="141" t="str">
        <f>+'1.Info'!F81</f>
        <v/>
      </c>
      <c r="G81" s="143" t="s">
        <v>102</v>
      </c>
    </row>
    <row customFormat="1" customHeight="1" ht="17.25" r="82" s="548" spans="1:7">
      <c r="A82" s="1749"/>
      <c r="B82" s="1753"/>
      <c r="C82" s="1729"/>
      <c r="D82" s="1736" t="s">
        <v>757</v>
      </c>
      <c r="E82" s="1736"/>
      <c r="F82" s="141" t="str">
        <f>+'1.Info'!F82</f>
        <v/>
      </c>
      <c r="G82" s="143" t="s">
        <v>102</v>
      </c>
    </row>
    <row customFormat="1" customHeight="1" ht="17.25" r="83" s="548" spans="1:7">
      <c r="A83" s="1749"/>
      <c r="B83" s="1753"/>
      <c r="C83" s="1729"/>
      <c r="D83" s="1736" t="s">
        <v>758</v>
      </c>
      <c r="E83" s="1736"/>
      <c r="F83" s="141" t="str">
        <f>+'1.Info'!F83</f>
        <v/>
      </c>
      <c r="G83" s="143" t="s">
        <v>102</v>
      </c>
    </row>
    <row customFormat="1" customHeight="1" ht="17.25" r="84" s="548" spans="1:7">
      <c r="A84" s="1749"/>
      <c r="B84" s="1753"/>
      <c r="C84" s="1729"/>
      <c r="D84" s="1736" t="s">
        <v>759</v>
      </c>
      <c r="E84" s="1736"/>
      <c r="F84" s="141" t="str">
        <f>+'1.Info'!F84</f>
        <v/>
      </c>
      <c r="G84" s="143" t="s">
        <v>102</v>
      </c>
    </row>
    <row customFormat="1" customHeight="1" ht="30" r="85" s="548" spans="1:7">
      <c r="A85" s="1749"/>
      <c r="B85" s="1753"/>
      <c r="C85" s="1729"/>
      <c r="D85" s="1736" t="s">
        <v>760</v>
      </c>
      <c r="E85" s="1736"/>
      <c r="F85" s="141" t="str">
        <f>+'1.Info'!F85</f>
        <v/>
      </c>
      <c r="G85" s="143" t="s">
        <v>102</v>
      </c>
    </row>
    <row customFormat="1" customHeight="1" ht="20.25" r="86" s="548" spans="1:7">
      <c r="A86" s="1749"/>
      <c r="B86" s="1753"/>
      <c r="C86" s="1729"/>
      <c r="D86" s="1736" t="s">
        <v>761</v>
      </c>
      <c r="E86" s="1736"/>
      <c r="F86" s="141" t="str">
        <f>+'1.Info'!F86</f>
        <v/>
      </c>
      <c r="G86" s="143" t="s">
        <v>102</v>
      </c>
    </row>
    <row customFormat="1" customHeight="1" ht="31.5" r="87" s="548" spans="1:7">
      <c r="A87" s="1749"/>
      <c r="B87" s="1753"/>
      <c r="C87" s="1729"/>
      <c r="D87" s="1736" t="s">
        <v>762</v>
      </c>
      <c r="E87" s="1736"/>
      <c r="F87" s="141" t="str">
        <f>+'1.Info'!F87</f>
        <v/>
      </c>
      <c r="G87" s="143" t="s">
        <v>102</v>
      </c>
    </row>
    <row customFormat="1" customHeight="1" ht="23.25" r="88" s="548" spans="1:7">
      <c r="A88" s="1749"/>
      <c r="B88" s="1753"/>
      <c r="C88" s="1729"/>
      <c r="D88" s="1736" t="s">
        <v>763</v>
      </c>
      <c r="E88" s="1736"/>
      <c r="F88" s="141" t="str">
        <f>+'1.Info'!F88</f>
        <v/>
      </c>
      <c r="G88" s="143" t="s">
        <v>102</v>
      </c>
    </row>
    <row customFormat="1" customHeight="1" ht="30.75" r="89" s="548" spans="1:7">
      <c r="A89" s="1749"/>
      <c r="B89" s="1753"/>
      <c r="C89" s="1729"/>
      <c r="D89" s="1736" t="s">
        <v>764</v>
      </c>
      <c r="E89" s="1736"/>
      <c r="F89" s="141" t="str">
        <f>+'1.Info'!F89</f>
        <v/>
      </c>
      <c r="G89" s="143" t="s">
        <v>102</v>
      </c>
    </row>
    <row customFormat="1" customHeight="1" ht="21.75" r="90" s="548" spans="1:7">
      <c r="A90" s="1749"/>
      <c r="B90" s="1753"/>
      <c r="C90" s="1729"/>
      <c r="D90" s="1736" t="s">
        <v>765</v>
      </c>
      <c r="E90" s="1736"/>
      <c r="F90" s="141" t="str">
        <f>+'1.Info'!F90</f>
        <v/>
      </c>
      <c r="G90" s="143" t="s">
        <v>102</v>
      </c>
    </row>
    <row customFormat="1" customHeight="1" ht="17.25" r="91" s="548" spans="1:7">
      <c r="A91" s="1749"/>
      <c r="B91" s="1753"/>
      <c r="C91" s="1729"/>
      <c r="D91" s="1736" t="s">
        <v>766</v>
      </c>
      <c r="E91" s="1736"/>
      <c r="F91" s="141" t="str">
        <f>+'1.Info'!F91</f>
        <v/>
      </c>
      <c r="G91" s="143" t="s">
        <v>102</v>
      </c>
    </row>
    <row customFormat="1" customHeight="1" ht="17.25" r="92" s="548" spans="1:7">
      <c r="A92" s="1749"/>
      <c r="B92" s="1753"/>
      <c r="C92" s="1729"/>
      <c r="D92" s="1736" t="s">
        <v>767</v>
      </c>
      <c r="E92" s="1736"/>
      <c r="F92" s="141" t="str">
        <f>+'1.Info'!F92</f>
        <v/>
      </c>
      <c r="G92" s="143" t="s">
        <v>102</v>
      </c>
    </row>
    <row customFormat="1" customHeight="1" ht="17.25" r="93" s="548" spans="1:7">
      <c r="A93" s="1749"/>
      <c r="B93" s="1753"/>
      <c r="C93" s="1729"/>
      <c r="D93" s="1738" t="s">
        <v>768</v>
      </c>
      <c r="E93" s="1738"/>
      <c r="F93" s="141" t="str">
        <f>+'1.Info'!F93</f>
        <v/>
      </c>
      <c r="G93" s="143" t="s">
        <v>102</v>
      </c>
    </row>
    <row customFormat="1" customHeight="1" ht="30.75" r="94" s="548" spans="1:7">
      <c r="A94" s="1749"/>
      <c r="B94" s="1753"/>
      <c r="C94" s="1729"/>
      <c r="D94" s="1736" t="s">
        <v>769</v>
      </c>
      <c r="E94" s="1736"/>
      <c r="F94" s="141" t="str">
        <f>+'1.Info'!F94</f>
        <v/>
      </c>
      <c r="G94" s="143" t="s">
        <v>102</v>
      </c>
    </row>
    <row customFormat="1" customHeight="1" ht="26.25" r="95" s="548" spans="1:7">
      <c r="A95" s="1749">
        <v>49</v>
      </c>
      <c r="B95" s="1753"/>
      <c r="C95" s="1729" t="s">
        <v>770</v>
      </c>
      <c r="D95" s="1737" t="s">
        <v>771</v>
      </c>
      <c r="E95" s="1737"/>
      <c r="F95" s="141" t="str">
        <f>+'1.Info'!F95</f>
        <v/>
      </c>
      <c r="G95" s="143" t="s">
        <v>102</v>
      </c>
    </row>
    <row customFormat="1" customHeight="1" ht="21" r="96" s="548" spans="1:7">
      <c r="A96" s="1749"/>
      <c r="B96" s="1753"/>
      <c r="C96" s="1729"/>
      <c r="D96" s="1737" t="s">
        <v>772</v>
      </c>
      <c r="E96" s="1737"/>
      <c r="F96" s="141" t="str">
        <f>+'1.Info'!F96</f>
        <v/>
      </c>
      <c r="G96" s="152" t="s">
        <v>102</v>
      </c>
    </row>
    <row customFormat="1" customHeight="1" ht="18.75" r="97" s="548" spans="1:7">
      <c r="A97" s="1749"/>
      <c r="B97" s="1753"/>
      <c r="C97" s="1729"/>
      <c r="D97" s="1737" t="s">
        <v>773</v>
      </c>
      <c r="E97" s="1737"/>
      <c r="F97" s="141" t="str">
        <f>+'1.Info'!F97</f>
        <v/>
      </c>
      <c r="G97" s="152" t="s">
        <v>102</v>
      </c>
    </row>
    <row customFormat="1" customHeight="1" ht="29.25" r="98" s="548" spans="1:7">
      <c r="A98" s="1749"/>
      <c r="B98" s="1753"/>
      <c r="C98" s="1729"/>
      <c r="D98" s="1737" t="s">
        <v>774</v>
      </c>
      <c r="E98" s="1737"/>
      <c r="F98" s="141" t="str">
        <f>+'1.Info'!F98</f>
        <v/>
      </c>
      <c r="G98" s="152" t="s">
        <v>102</v>
      </c>
    </row>
    <row customFormat="1" customHeight="1" ht="25.5" r="99" s="548" spans="1:7">
      <c r="A99" s="1749"/>
      <c r="B99" s="1753"/>
      <c r="C99" s="1729"/>
      <c r="D99" s="1737" t="s">
        <v>775</v>
      </c>
      <c r="E99" s="1737"/>
      <c r="F99" s="141" t="str">
        <f>+'1.Info'!F99</f>
        <v/>
      </c>
      <c r="G99" s="152" t="s">
        <v>102</v>
      </c>
    </row>
    <row customFormat="1" customHeight="1" ht="27.75" r="100" s="548" spans="1:7">
      <c r="A100" s="1749"/>
      <c r="B100" s="1753"/>
      <c r="C100" s="1729"/>
      <c r="D100" s="1737" t="s">
        <v>776</v>
      </c>
      <c r="E100" s="1737"/>
      <c r="F100" s="141" t="str">
        <f>+'1.Info'!F100</f>
        <v/>
      </c>
      <c r="G100" s="152" t="s">
        <v>102</v>
      </c>
    </row>
    <row customFormat="1" customHeight="1" ht="23.25" r="101" s="548" spans="1:7">
      <c r="A101" s="1749"/>
      <c r="B101" s="1753"/>
      <c r="C101" s="1729"/>
      <c r="D101" s="1737" t="s">
        <v>777</v>
      </c>
      <c r="E101" s="1737"/>
      <c r="F101" s="141" t="str">
        <f>+'1.Info'!F101</f>
        <v/>
      </c>
      <c r="G101" s="152" t="s">
        <v>102</v>
      </c>
    </row>
    <row customFormat="1" customHeight="1" ht="29.25" r="102" s="548" spans="1:7">
      <c r="A102" s="1749"/>
      <c r="B102" s="1753"/>
      <c r="C102" s="1729"/>
      <c r="D102" s="1737" t="s">
        <v>778</v>
      </c>
      <c r="E102" s="1737"/>
      <c r="F102" s="141" t="str">
        <f>+'1.Info'!F102</f>
        <v/>
      </c>
      <c r="G102" s="152" t="s">
        <v>102</v>
      </c>
    </row>
    <row customFormat="1" customHeight="1" ht="21.75" r="103" s="548" spans="1:7">
      <c r="A103" s="1749"/>
      <c r="B103" s="1753"/>
      <c r="C103" s="1729"/>
      <c r="D103" s="1737" t="s">
        <v>779</v>
      </c>
      <c r="E103" s="1737"/>
      <c r="F103" s="141" t="str">
        <f>+'1.Info'!F103</f>
        <v/>
      </c>
      <c r="G103" s="152" t="s">
        <v>102</v>
      </c>
    </row>
    <row customFormat="1" customHeight="1" ht="21" r="104" s="548" spans="1:7">
      <c r="A104" s="1749"/>
      <c r="B104" s="1753"/>
      <c r="C104" s="1729"/>
      <c r="D104" s="1737" t="s">
        <v>780</v>
      </c>
      <c r="E104" s="1737"/>
      <c r="F104" s="141" t="str">
        <f>+'1.Info'!F104</f>
        <v/>
      </c>
      <c r="G104" s="152" t="s">
        <v>102</v>
      </c>
    </row>
    <row customFormat="1" customHeight="1" ht="21.75" r="105" s="548" spans="1:7">
      <c r="A105" s="1749"/>
      <c r="B105" s="1753"/>
      <c r="C105" s="1729"/>
      <c r="D105" s="1737" t="s">
        <v>781</v>
      </c>
      <c r="E105" s="1737"/>
      <c r="F105" s="141" t="str">
        <f>+'1.Info'!F105</f>
        <v/>
      </c>
      <c r="G105" s="152" t="s">
        <v>102</v>
      </c>
    </row>
    <row customFormat="1" customHeight="1" ht="21.75" r="106" s="548" spans="1:7">
      <c r="A106" s="1749"/>
      <c r="B106" s="1753"/>
      <c r="C106" s="1729"/>
      <c r="D106" s="1737" t="s">
        <v>782</v>
      </c>
      <c r="E106" s="1737"/>
      <c r="F106" s="141" t="str">
        <f>+'1.Info'!F106</f>
        <v/>
      </c>
      <c r="G106" s="152" t="s">
        <v>102</v>
      </c>
    </row>
    <row customFormat="1" customHeight="1" ht="19.5" r="107" s="548" spans="1:7">
      <c r="A107" s="1749"/>
      <c r="B107" s="1753"/>
      <c r="C107" s="1729"/>
      <c r="D107" s="1737" t="s">
        <v>783</v>
      </c>
      <c r="E107" s="1737"/>
      <c r="F107" s="141" t="str">
        <f>+'1.Info'!F107</f>
        <v/>
      </c>
      <c r="G107" s="152" t="s">
        <v>102</v>
      </c>
    </row>
    <row customFormat="1" customHeight="1" ht="19.5" r="108" s="548" spans="1:7">
      <c r="A108" s="1749"/>
      <c r="B108" s="1753"/>
      <c r="C108" s="1729"/>
      <c r="D108" s="1737" t="s">
        <v>784</v>
      </c>
      <c r="E108" s="1737"/>
      <c r="F108" s="141" t="str">
        <f>+'1.Info'!F108</f>
        <v/>
      </c>
      <c r="G108" s="152" t="s">
        <v>102</v>
      </c>
    </row>
    <row customFormat="1" customHeight="1" ht="21" r="109" s="548" spans="1:7">
      <c r="A109" s="1749"/>
      <c r="B109" s="1753"/>
      <c r="C109" s="1729"/>
      <c r="D109" s="1737" t="s">
        <v>785</v>
      </c>
      <c r="E109" s="1737"/>
      <c r="F109" s="141" t="str">
        <f>+'1.Info'!F109</f>
        <v/>
      </c>
      <c r="G109" s="152" t="s">
        <v>102</v>
      </c>
    </row>
    <row customFormat="1" customHeight="1" ht="17.25" r="110" s="548" spans="1:7">
      <c r="A110" s="1749"/>
      <c r="B110" s="1753"/>
      <c r="C110" s="1729"/>
      <c r="D110" s="1737" t="s">
        <v>786</v>
      </c>
      <c r="E110" s="1737"/>
      <c r="F110" s="141" t="str">
        <f>+'1.Info'!F110</f>
        <v/>
      </c>
      <c r="G110" s="152" t="s">
        <v>102</v>
      </c>
    </row>
    <row customFormat="1" customHeight="1" ht="16.5" r="111" s="548" spans="1:7">
      <c r="A111" s="1749"/>
      <c r="B111" s="1753"/>
      <c r="C111" s="1729"/>
      <c r="D111" s="1737" t="s">
        <v>787</v>
      </c>
      <c r="E111" s="1737"/>
      <c r="F111" s="141" t="str">
        <f>+'1.Info'!F111</f>
        <v/>
      </c>
      <c r="G111" s="152" t="s">
        <v>102</v>
      </c>
    </row>
    <row customFormat="1" customHeight="1" ht="17.25" r="112" s="548" spans="1:7">
      <c r="A112" s="1749"/>
      <c r="B112" s="1753"/>
      <c r="C112" s="1729"/>
      <c r="D112" s="1737" t="s">
        <v>788</v>
      </c>
      <c r="E112" s="1737"/>
      <c r="F112" s="141" t="str">
        <f>+'1.Info'!F112</f>
        <v/>
      </c>
      <c r="G112" s="152" t="s">
        <v>102</v>
      </c>
    </row>
    <row customFormat="1" customHeight="1" ht="18" r="113" s="548" spans="1:7">
      <c r="A113" s="1749"/>
      <c r="B113" s="1753"/>
      <c r="C113" s="1729"/>
      <c r="D113" s="1737" t="s">
        <v>789</v>
      </c>
      <c r="E113" s="1737"/>
      <c r="F113" s="141" t="str">
        <f>+'1.Info'!F113</f>
        <v/>
      </c>
      <c r="G113" s="152" t="s">
        <v>102</v>
      </c>
    </row>
    <row customFormat="1" customHeight="1" ht="21" r="114" s="548" spans="1:7">
      <c r="A114" s="1749"/>
      <c r="B114" s="1753"/>
      <c r="C114" s="1729"/>
      <c r="D114" s="1737" t="s">
        <v>790</v>
      </c>
      <c r="E114" s="1737"/>
      <c r="F114" s="141" t="str">
        <f>+'1.Info'!F114</f>
        <v/>
      </c>
      <c r="G114" s="152" t="s">
        <v>102</v>
      </c>
    </row>
    <row customFormat="1" customHeight="1" ht="21" r="115" s="1578" spans="1:7">
      <c r="A115" s="1571"/>
      <c r="B115" s="1570"/>
      <c r="C115" s="1572"/>
      <c r="D115" s="1573"/>
      <c r="E115" s="1573"/>
      <c r="G115" s="1579"/>
    </row>
    <row customHeight="1" ht="20.25" r="116" spans="1:7">
      <c r="B116" s="1739" t="s">
        <v>3227</v>
      </c>
      <c r="C116" s="1740"/>
      <c r="D116" s="1740"/>
      <c r="E116" s="1740"/>
      <c r="F116" s="1740"/>
      <c r="G116" s="1741"/>
    </row>
    <row customHeight="1" ht="59.25" r="117" spans="1:7">
      <c r="B117" s="1580" t="s">
        <v>649</v>
      </c>
      <c r="C117" s="1580" t="s">
        <v>3228</v>
      </c>
      <c r="D117" s="1739" t="s">
        <v>3229</v>
      </c>
      <c r="E117" s="1740"/>
      <c r="F117" s="1741"/>
      <c r="G117" s="1580"/>
    </row>
    <row customHeight="1" ht="119.25" r="118" spans="1:7">
      <c r="B118" s="1589">
        <v>1</v>
      </c>
      <c r="C118" s="1522" t="s">
        <v>3589</v>
      </c>
      <c r="D118" s="1670" t="s">
        <v>3592</v>
      </c>
      <c r="E118" s="1671"/>
      <c r="F118" s="1672"/>
      <c r="G118" s="1480" t="s">
        <v>1692</v>
      </c>
    </row>
    <row customHeight="1" ht="57" r="119" spans="1:7">
      <c r="A119" s="1592"/>
      <c r="B119" s="1591">
        <v>1</v>
      </c>
      <c r="C119" s="1594" t="s">
        <v>3230</v>
      </c>
      <c r="D119" s="1670" t="s">
        <v>3590</v>
      </c>
      <c r="E119" s="1671"/>
      <c r="F119" s="1672"/>
      <c r="G119" s="1480" t="s">
        <v>1692</v>
      </c>
    </row>
    <row customHeight="1" ht="34.5" r="120" spans="1:7">
      <c r="A120" s="1"/>
      <c r="B120" s="1589">
        <v>2</v>
      </c>
      <c r="C120" s="1168" t="s">
        <v>3231</v>
      </c>
      <c r="D120" s="1670" t="s">
        <v>3232</v>
      </c>
      <c r="E120" s="1671"/>
      <c r="F120" s="1672"/>
      <c r="G120" s="1480" t="s">
        <v>1692</v>
      </c>
    </row>
    <row customHeight="1" ht="58.5" r="121" spans="1:7">
      <c r="A121" s="1"/>
      <c r="B121" s="1589">
        <v>3</v>
      </c>
      <c r="C121" s="1168" t="s">
        <v>3571</v>
      </c>
      <c r="D121" s="1670" t="s">
        <v>3591</v>
      </c>
      <c r="E121" s="1671"/>
      <c r="F121" s="1672"/>
      <c r="G121" s="1480" t="s">
        <v>1692</v>
      </c>
    </row>
    <row customHeight="1" ht="69.75" r="122" spans="1:7">
      <c r="A122" s="1"/>
      <c r="B122" s="1589">
        <v>4</v>
      </c>
      <c r="C122" s="1585" t="s">
        <v>3225</v>
      </c>
      <c r="D122" s="1670" t="s">
        <v>3574</v>
      </c>
      <c r="E122" s="1671"/>
      <c r="F122" s="1672"/>
      <c r="G122" s="1480" t="s">
        <v>1692</v>
      </c>
    </row>
    <row customHeight="1" ht="32.25" r="123" spans="1:7">
      <c r="A123" s="1"/>
      <c r="B123" s="1589">
        <v>5</v>
      </c>
      <c r="C123" s="1585" t="s">
        <v>3233</v>
      </c>
      <c r="D123" s="1670"/>
      <c r="E123" s="1671"/>
      <c r="F123" s="1672"/>
      <c r="G123" s="1480" t="s">
        <v>1692</v>
      </c>
    </row>
    <row customHeight="1" ht="34.5" r="124" spans="1:7">
      <c r="A124" s="1"/>
      <c r="B124" s="1589">
        <v>6</v>
      </c>
      <c r="C124" s="1586" t="s">
        <v>3234</v>
      </c>
      <c r="D124" s="1670"/>
      <c r="E124" s="1671"/>
      <c r="F124" s="1672"/>
      <c r="G124" s="1480" t="s">
        <v>1692</v>
      </c>
    </row>
    <row customHeight="1" ht="87.75" r="125" spans="1:7">
      <c r="A125" s="1"/>
      <c r="B125" s="1589">
        <v>7</v>
      </c>
      <c r="C125" s="1585" t="s">
        <v>3235</v>
      </c>
      <c r="D125" s="1670"/>
      <c r="E125" s="1671"/>
      <c r="F125" s="1672"/>
      <c r="G125" s="1480" t="s">
        <v>1692</v>
      </c>
    </row>
    <row customHeight="1" ht="18" r="126" spans="1:7">
      <c r="A126" s="1"/>
      <c r="B126" s="1739" t="s">
        <v>3588</v>
      </c>
      <c r="C126" s="1740"/>
      <c r="D126" s="1740"/>
      <c r="E126" s="1740"/>
      <c r="F126" s="1740"/>
      <c r="G126" s="1741"/>
    </row>
    <row customHeight="1" ht="76.5" r="127" spans="1:7">
      <c r="A127" s="1"/>
      <c r="B127" s="1589">
        <v>1</v>
      </c>
      <c r="C127" s="1168" t="s">
        <v>3236</v>
      </c>
      <c r="D127" s="1670"/>
      <c r="E127" s="1671"/>
      <c r="F127" s="1672"/>
      <c r="G127" s="1480" t="s">
        <v>1692</v>
      </c>
    </row>
    <row customHeight="1" ht="45.75" r="128" spans="1:7">
      <c r="A128" s="1"/>
      <c r="B128" s="1589">
        <v>2</v>
      </c>
      <c r="C128" s="1168" t="s">
        <v>3237</v>
      </c>
      <c r="D128" s="1670"/>
      <c r="E128" s="1671"/>
      <c r="F128" s="1672"/>
      <c r="G128" s="1480" t="s">
        <v>1692</v>
      </c>
    </row>
    <row customHeight="1" ht="86.25" r="129" spans="1:9">
      <c r="A129" s="1"/>
      <c r="B129" s="1589">
        <v>3</v>
      </c>
      <c r="C129" s="1581" t="s">
        <v>3238</v>
      </c>
      <c r="D129" s="1670"/>
      <c r="E129" s="1671"/>
      <c r="F129" s="1672"/>
      <c r="G129" s="1480" t="s">
        <v>1692</v>
      </c>
    </row>
    <row customHeight="1" ht="55.5" r="130" spans="1:9">
      <c r="A130" s="1"/>
      <c r="B130" s="1589">
        <v>4</v>
      </c>
      <c r="C130" s="1581" t="s">
        <v>3240</v>
      </c>
      <c r="D130" s="1670"/>
      <c r="E130" s="1671"/>
      <c r="F130" s="1672"/>
      <c r="G130" s="1480" t="s">
        <v>1692</v>
      </c>
    </row>
    <row customHeight="1" ht="81" r="131" spans="1:9">
      <c r="A131" s="1"/>
      <c r="B131" s="1589">
        <v>5</v>
      </c>
      <c r="C131" s="1581" t="s">
        <v>3241</v>
      </c>
      <c r="D131" s="1670"/>
      <c r="E131" s="1671"/>
      <c r="F131" s="1672"/>
      <c r="G131" s="1480" t="s">
        <v>1692</v>
      </c>
    </row>
    <row customHeight="1" ht="12.75" r="132" spans="1:9">
      <c r="A132" s="1"/>
      <c r="B132" s="1742" t="s">
        <v>3242</v>
      </c>
      <c r="C132" s="1742"/>
      <c r="D132" s="1742"/>
      <c r="E132" s="1742"/>
      <c r="F132" s="1742"/>
      <c r="G132" s="1742"/>
    </row>
    <row ht="51" r="133" spans="1:9">
      <c r="A133" s="1"/>
      <c r="B133" s="1580" t="s">
        <v>649</v>
      </c>
      <c r="C133" s="1581" t="s">
        <v>3243</v>
      </c>
      <c r="D133" s="1670" t="s">
        <v>3244</v>
      </c>
      <c r="E133" s="1671"/>
      <c r="F133" s="1672"/>
      <c r="G133" s="1580" t="s">
        <v>3245</v>
      </c>
    </row>
    <row customHeight="1" ht="49.5" r="134" spans="1:9">
      <c r="A134" s="1"/>
      <c r="B134" s="1580">
        <v>1</v>
      </c>
      <c r="C134" s="1563" t="s">
        <v>3575</v>
      </c>
      <c r="D134" s="1743" t="s">
        <v>3616</v>
      </c>
      <c r="E134" s="1744"/>
      <c r="F134" s="1745"/>
      <c r="G134" s="1480" t="s">
        <v>1692</v>
      </c>
    </row>
    <row customHeight="1" ht="115.5" r="135" spans="1:9">
      <c r="A135" s="1"/>
      <c r="B135" s="1580">
        <v>2</v>
      </c>
      <c r="C135" s="1535" t="s">
        <v>3246</v>
      </c>
      <c r="D135" s="1670" t="s">
        <v>3576</v>
      </c>
      <c r="E135" s="1671"/>
      <c r="F135" s="1672"/>
      <c r="G135" s="1480" t="s">
        <v>1692</v>
      </c>
      <c r="I135" s="548"/>
    </row>
    <row customHeight="1" ht="37.5" r="136" spans="1:9">
      <c r="A136" s="1"/>
      <c r="B136" s="1580">
        <v>3</v>
      </c>
      <c r="C136" s="1581" t="s">
        <v>3247</v>
      </c>
      <c r="D136" s="1670" t="s">
        <v>3577</v>
      </c>
      <c r="E136" s="1671"/>
      <c r="F136" s="1672"/>
      <c r="G136" s="1480" t="s">
        <v>1692</v>
      </c>
      <c r="I136" s="548"/>
    </row>
    <row customHeight="1" ht="38.25" r="137" spans="1:9">
      <c r="A137" s="1"/>
      <c r="B137" s="1580">
        <v>4</v>
      </c>
      <c r="C137" s="1581" t="s">
        <v>3248</v>
      </c>
      <c r="D137" s="1670" t="s">
        <v>3587</v>
      </c>
      <c r="E137" s="1671"/>
      <c r="F137" s="1672"/>
      <c r="G137" s="1480" t="s">
        <v>1692</v>
      </c>
    </row>
    <row customHeight="1" ht="51" r="138" spans="1:9">
      <c r="A138" s="1"/>
      <c r="B138" s="1580">
        <v>5</v>
      </c>
      <c r="C138" s="1522" t="s">
        <v>3249</v>
      </c>
      <c r="D138" s="1670" t="s">
        <v>3586</v>
      </c>
      <c r="E138" s="1671"/>
      <c r="F138" s="1672"/>
      <c r="G138" s="1480" t="s">
        <v>1692</v>
      </c>
    </row>
    <row customHeight="1" ht="43.5" r="139" spans="1:9">
      <c r="A139" s="1"/>
      <c r="B139" s="1580">
        <v>6</v>
      </c>
      <c r="C139" s="1581" t="s">
        <v>3578</v>
      </c>
      <c r="D139" s="1670"/>
      <c r="E139" s="1671"/>
      <c r="F139" s="1672"/>
      <c r="G139" s="1480" t="s">
        <v>1692</v>
      </c>
    </row>
    <row customHeight="1" ht="60" r="140" spans="1:9">
      <c r="A140" s="1"/>
      <c r="B140" s="1580">
        <v>7</v>
      </c>
      <c r="C140" s="1536" t="s">
        <v>3250</v>
      </c>
      <c r="D140" s="1670" t="s">
        <v>3579</v>
      </c>
      <c r="E140" s="1671"/>
      <c r="F140" s="1672"/>
      <c r="G140" s="1480" t="s">
        <v>1692</v>
      </c>
    </row>
    <row customHeight="1" ht="66.75" r="141" spans="1:9">
      <c r="A141" s="1"/>
      <c r="B141" s="1580">
        <v>8</v>
      </c>
      <c r="C141" s="1581" t="s">
        <v>3251</v>
      </c>
      <c r="D141" s="1670"/>
      <c r="E141" s="1671"/>
      <c r="F141" s="1672"/>
      <c r="G141" s="1480" t="s">
        <v>1692</v>
      </c>
    </row>
    <row customHeight="1" ht="48" r="142" spans="1:9">
      <c r="A142" s="1"/>
      <c r="B142" s="1580">
        <v>9</v>
      </c>
      <c r="C142" s="1581" t="s">
        <v>3252</v>
      </c>
      <c r="D142" s="1670"/>
      <c r="E142" s="1671"/>
      <c r="F142" s="1672"/>
      <c r="G142" s="1480" t="s">
        <v>1692</v>
      </c>
    </row>
    <row customHeight="1" ht="37.5" r="143" spans="1:9">
      <c r="A143" s="1"/>
      <c r="B143" s="1580">
        <v>10</v>
      </c>
      <c r="C143" s="1581" t="s">
        <v>3253</v>
      </c>
      <c r="D143" s="1670"/>
      <c r="E143" s="1671"/>
      <c r="F143" s="1672"/>
      <c r="G143" s="1480" t="s">
        <v>1692</v>
      </c>
    </row>
    <row customHeight="1" ht="66" r="144" spans="1:9">
      <c r="A144" s="1"/>
      <c r="B144" s="1580">
        <v>11</v>
      </c>
      <c r="C144" s="1581" t="s">
        <v>3254</v>
      </c>
      <c r="D144" s="1670"/>
      <c r="E144" s="1671"/>
      <c r="F144" s="1672"/>
      <c r="G144" s="1480" t="s">
        <v>1692</v>
      </c>
    </row>
    <row customHeight="1" ht="55.5" r="145" spans="1:7">
      <c r="A145" s="1"/>
      <c r="B145" s="1580">
        <v>12</v>
      </c>
      <c r="C145" s="1581" t="s">
        <v>3255</v>
      </c>
      <c r="D145" s="1670"/>
      <c r="E145" s="1671"/>
      <c r="F145" s="1672"/>
      <c r="G145" s="1480" t="s">
        <v>1692</v>
      </c>
    </row>
    <row customHeight="1" ht="63.75" r="146" spans="1:7">
      <c r="A146" s="1"/>
      <c r="B146" s="1580">
        <v>13</v>
      </c>
      <c r="C146" s="1581" t="s">
        <v>3256</v>
      </c>
      <c r="D146" s="1670"/>
      <c r="E146" s="1671"/>
      <c r="F146" s="1672"/>
      <c r="G146" s="1480" t="s">
        <v>1692</v>
      </c>
    </row>
    <row customHeight="1" ht="69.75" r="147" spans="1:7">
      <c r="A147" s="1"/>
      <c r="B147" s="1580">
        <v>14</v>
      </c>
      <c r="C147" s="1581" t="s">
        <v>3257</v>
      </c>
      <c r="D147" s="1670"/>
      <c r="E147" s="1671"/>
      <c r="F147" s="1672"/>
      <c r="G147" s="1480" t="s">
        <v>1692</v>
      </c>
    </row>
    <row customHeight="1" ht="63.75" r="148" spans="1:7">
      <c r="A148" s="1"/>
      <c r="B148" s="1580">
        <v>15</v>
      </c>
      <c r="C148" s="1581" t="s">
        <v>3315</v>
      </c>
      <c r="D148" s="1670"/>
      <c r="E148" s="1671"/>
      <c r="F148" s="1672"/>
      <c r="G148" s="1480" t="s">
        <v>1692</v>
      </c>
    </row>
    <row customHeight="1" ht="114.75" r="149" spans="1:7">
      <c r="A149" s="1"/>
      <c r="B149" s="1580">
        <v>16</v>
      </c>
      <c r="C149" s="1581" t="s">
        <v>3258</v>
      </c>
      <c r="D149" s="1670"/>
      <c r="E149" s="1671"/>
      <c r="F149" s="1672"/>
      <c r="G149" s="1480" t="s">
        <v>1692</v>
      </c>
    </row>
    <row customHeight="1" ht="18.75" r="150" spans="1:7">
      <c r="A150" s="1"/>
      <c r="B150" s="1742" t="s">
        <v>3259</v>
      </c>
      <c r="C150" s="1742"/>
      <c r="D150" s="1742"/>
      <c r="E150" s="1742"/>
      <c r="F150" s="1742"/>
      <c r="G150" s="1742"/>
    </row>
    <row ht="51" r="151" spans="1:7">
      <c r="A151" s="1"/>
      <c r="B151" s="1580" t="s">
        <v>649</v>
      </c>
      <c r="C151" s="1581" t="s">
        <v>3260</v>
      </c>
      <c r="D151" s="1670" t="s">
        <v>3244</v>
      </c>
      <c r="E151" s="1671"/>
      <c r="F151" s="1672"/>
      <c r="G151" s="1580" t="s">
        <v>3245</v>
      </c>
    </row>
    <row customHeight="1" ht="57.75" r="152" spans="1:7">
      <c r="A152" s="1"/>
      <c r="B152" s="1580">
        <v>1</v>
      </c>
      <c r="C152" s="1581" t="s">
        <v>3261</v>
      </c>
      <c r="D152" s="1670"/>
      <c r="E152" s="1671"/>
      <c r="F152" s="1672"/>
      <c r="G152" s="1480" t="s">
        <v>1692</v>
      </c>
    </row>
    <row customHeight="1" ht="41.25" r="153" spans="1:7">
      <c r="A153" s="1"/>
      <c r="B153" s="1580">
        <v>2</v>
      </c>
      <c r="C153" s="1581" t="s">
        <v>3262</v>
      </c>
      <c r="D153" s="1670"/>
      <c r="E153" s="1671"/>
      <c r="F153" s="1672"/>
      <c r="G153" s="1480" t="s">
        <v>1692</v>
      </c>
    </row>
    <row customHeight="1" ht="84.75" r="154" spans="1:7">
      <c r="A154" s="1"/>
      <c r="B154" s="1580">
        <v>3</v>
      </c>
      <c r="C154" s="1581" t="s">
        <v>3263</v>
      </c>
      <c r="D154" s="1670"/>
      <c r="E154" s="1671"/>
      <c r="F154" s="1672"/>
      <c r="G154" s="1480" t="s">
        <v>1692</v>
      </c>
    </row>
    <row customHeight="1" ht="81" r="155" spans="1:7">
      <c r="A155" s="1"/>
      <c r="B155" s="1580">
        <v>4</v>
      </c>
      <c r="C155" s="1581" t="s">
        <v>3264</v>
      </c>
      <c r="D155" s="1670"/>
      <c r="E155" s="1671"/>
      <c r="F155" s="1672"/>
      <c r="G155" s="1480" t="s">
        <v>1692</v>
      </c>
    </row>
    <row customHeight="1" ht="63.75" r="156" spans="1:7">
      <c r="A156" s="1"/>
      <c r="B156" s="1580">
        <v>5</v>
      </c>
      <c r="C156" s="1581" t="s">
        <v>3265</v>
      </c>
      <c r="D156" s="1670"/>
      <c r="E156" s="1671"/>
      <c r="F156" s="1672"/>
      <c r="G156" s="1480" t="s">
        <v>1692</v>
      </c>
    </row>
    <row ht="38.25" r="157" spans="1:7">
      <c r="A157" s="1"/>
      <c r="B157" s="1580">
        <v>6</v>
      </c>
      <c r="C157" s="1536" t="s">
        <v>3266</v>
      </c>
      <c r="D157" s="1670" t="s">
        <v>3267</v>
      </c>
      <c r="E157" s="1671"/>
      <c r="F157" s="1672"/>
      <c r="G157" s="1480" t="s">
        <v>1692</v>
      </c>
    </row>
    <row customHeight="1" ht="87" r="158" spans="1:7">
      <c r="A158" s="1"/>
      <c r="B158" s="1580">
        <v>7</v>
      </c>
      <c r="C158" s="1581" t="s">
        <v>3268</v>
      </c>
      <c r="D158" s="1670"/>
      <c r="E158" s="1671"/>
      <c r="F158" s="1672"/>
      <c r="G158" s="1480" t="s">
        <v>1692</v>
      </c>
    </row>
    <row customHeight="1" ht="102" r="159" spans="1:7">
      <c r="A159" s="1"/>
      <c r="B159" s="1580">
        <v>8</v>
      </c>
      <c r="C159" s="1536" t="s">
        <v>3269</v>
      </c>
      <c r="D159" s="1670" t="s">
        <v>3580</v>
      </c>
      <c r="E159" s="1671"/>
      <c r="F159" s="1672"/>
      <c r="G159" s="1480" t="s">
        <v>1692</v>
      </c>
    </row>
    <row customHeight="1" ht="51.75" r="160" spans="1:7">
      <c r="A160" s="1"/>
      <c r="B160" s="1580">
        <v>9</v>
      </c>
      <c r="C160" s="1537" t="s">
        <v>3270</v>
      </c>
      <c r="D160" s="1670"/>
      <c r="E160" s="1671"/>
      <c r="F160" s="1672"/>
      <c r="G160" s="1480" t="s">
        <v>1692</v>
      </c>
    </row>
    <row customHeight="1" ht="89.25" r="161" spans="1:7">
      <c r="A161" s="1"/>
      <c r="B161" s="1580">
        <v>10</v>
      </c>
      <c r="C161" s="1581" t="s">
        <v>3271</v>
      </c>
      <c r="D161" s="1670"/>
      <c r="E161" s="1671"/>
      <c r="F161" s="1672"/>
      <c r="G161" s="1480" t="s">
        <v>1692</v>
      </c>
    </row>
    <row customHeight="1" ht="66" r="162" spans="1:7">
      <c r="A162" s="1"/>
      <c r="B162" s="1580">
        <v>11</v>
      </c>
      <c r="C162" s="1536" t="s">
        <v>3272</v>
      </c>
      <c r="D162" s="1670" t="s">
        <v>3581</v>
      </c>
      <c r="E162" s="1671"/>
      <c r="F162" s="1672"/>
      <c r="G162" s="1480" t="s">
        <v>1692</v>
      </c>
    </row>
    <row customHeight="1" ht="87" r="163" spans="1:7">
      <c r="A163" s="1"/>
      <c r="B163" s="1580">
        <v>12</v>
      </c>
      <c r="C163" s="1522" t="s">
        <v>3582</v>
      </c>
      <c r="D163" s="1670" t="s">
        <v>3611</v>
      </c>
      <c r="E163" s="1671"/>
      <c r="F163" s="1672"/>
      <c r="G163" s="1480"/>
    </row>
    <row customHeight="1" ht="69" r="164" spans="1:7">
      <c r="A164" s="1"/>
      <c r="B164" s="1580"/>
      <c r="C164" s="1522" t="s">
        <v>3583</v>
      </c>
      <c r="D164" s="1670" t="s">
        <v>3612</v>
      </c>
      <c r="E164" s="1671"/>
      <c r="F164" s="1672"/>
      <c r="G164" s="1480"/>
    </row>
    <row customHeight="1" ht="71.25" r="165" spans="1:7">
      <c r="A165" s="1"/>
      <c r="B165" s="1580">
        <v>13</v>
      </c>
      <c r="C165" s="1522" t="s">
        <v>3584</v>
      </c>
      <c r="D165" s="1670" t="s">
        <v>3613</v>
      </c>
      <c r="E165" s="1671"/>
      <c r="F165" s="1672"/>
      <c r="G165" s="1480" t="s">
        <v>1692</v>
      </c>
    </row>
    <row customHeight="1" ht="132.75" r="166" spans="1:7">
      <c r="A166" s="1"/>
      <c r="B166" s="1580">
        <v>14</v>
      </c>
      <c r="C166" s="1522" t="s">
        <v>3273</v>
      </c>
      <c r="D166" s="1670" t="s">
        <v>3614</v>
      </c>
      <c r="E166" s="1671"/>
      <c r="F166" s="1672"/>
      <c r="G166" s="1480" t="s">
        <v>1692</v>
      </c>
    </row>
    <row customHeight="1" ht="69.75" r="167" spans="1:7">
      <c r="A167" s="1"/>
      <c r="B167" s="1580">
        <v>15</v>
      </c>
      <c r="C167" s="1581" t="s">
        <v>3274</v>
      </c>
      <c r="D167" s="1670"/>
      <c r="E167" s="1671"/>
      <c r="F167" s="1672"/>
      <c r="G167" s="1480" t="s">
        <v>1692</v>
      </c>
    </row>
    <row customHeight="1" ht="63.75" r="168" spans="1:7">
      <c r="A168" s="1"/>
      <c r="B168" s="1580">
        <v>16</v>
      </c>
      <c r="C168" s="1581" t="s">
        <v>3275</v>
      </c>
      <c r="D168" s="1670"/>
      <c r="E168" s="1671"/>
      <c r="F168" s="1672"/>
      <c r="G168" s="1480" t="s">
        <v>1692</v>
      </c>
    </row>
    <row customHeight="1" ht="12.75" r="169" spans="1:7">
      <c r="A169" s="1"/>
      <c r="B169" s="1742" t="s">
        <v>3276</v>
      </c>
      <c r="C169" s="1742"/>
      <c r="D169" s="1742"/>
      <c r="E169" s="1742"/>
      <c r="F169" s="1742"/>
      <c r="G169" s="1742"/>
    </row>
    <row ht="51" r="170" spans="1:7">
      <c r="A170" s="1"/>
      <c r="B170" s="1580" t="s">
        <v>649</v>
      </c>
      <c r="C170" s="1581" t="s">
        <v>3277</v>
      </c>
      <c r="D170" s="1670" t="s">
        <v>3244</v>
      </c>
      <c r="E170" s="1671"/>
      <c r="F170" s="1672"/>
      <c r="G170" s="1580" t="s">
        <v>3245</v>
      </c>
    </row>
    <row customHeight="1" ht="84" r="171" spans="1:7">
      <c r="A171" s="1"/>
      <c r="B171" s="1580">
        <v>1</v>
      </c>
      <c r="C171" s="1522" t="s">
        <v>3278</v>
      </c>
      <c r="D171" s="1670" t="s">
        <v>3615</v>
      </c>
      <c r="E171" s="1671"/>
      <c r="F171" s="1672"/>
      <c r="G171" s="1480" t="s">
        <v>1692</v>
      </c>
    </row>
    <row customHeight="1" ht="74.25" r="172" spans="1:7">
      <c r="A172" s="1"/>
      <c r="B172" s="1580">
        <v>2</v>
      </c>
      <c r="C172" s="1581" t="s">
        <v>3279</v>
      </c>
      <c r="D172" s="1670" t="s">
        <v>3585</v>
      </c>
      <c r="E172" s="1671"/>
      <c r="F172" s="1672"/>
      <c r="G172" s="1480" t="s">
        <v>1692</v>
      </c>
    </row>
    <row customHeight="1" ht="93" r="173" spans="1:7">
      <c r="A173" s="1"/>
      <c r="B173" s="1580">
        <v>3</v>
      </c>
      <c r="C173" s="1581" t="s">
        <v>3280</v>
      </c>
      <c r="D173" s="1670"/>
      <c r="E173" s="1671"/>
      <c r="F173" s="1672"/>
      <c r="G173" s="1480" t="s">
        <v>1692</v>
      </c>
    </row>
    <row customHeight="1" ht="26.25" r="174" spans="1:7">
      <c r="A174" s="1"/>
      <c r="B174" s="1742" t="s">
        <v>3281</v>
      </c>
      <c r="C174" s="1742"/>
      <c r="D174" s="1742"/>
      <c r="E174" s="1742"/>
      <c r="F174" s="1742"/>
      <c r="G174" s="1742"/>
    </row>
    <row ht="51" r="175" spans="1:7">
      <c r="A175" s="1"/>
      <c r="B175" s="1580" t="s">
        <v>649</v>
      </c>
      <c r="C175" s="1581" t="s">
        <v>3282</v>
      </c>
      <c r="D175" s="1670" t="s">
        <v>3244</v>
      </c>
      <c r="E175" s="1671"/>
      <c r="F175" s="1672"/>
      <c r="G175" s="1580" t="s">
        <v>3245</v>
      </c>
    </row>
    <row customHeight="1" ht="117.75" r="176" spans="1:7">
      <c r="A176" s="1"/>
      <c r="B176" s="1580">
        <v>1</v>
      </c>
      <c r="C176" s="1581" t="s">
        <v>3283</v>
      </c>
      <c r="D176" s="1670"/>
      <c r="E176" s="1671"/>
      <c r="F176" s="1672"/>
      <c r="G176" s="1480" t="s">
        <v>1692</v>
      </c>
    </row>
    <row ht="76.5" r="177" spans="1:7">
      <c r="A177" s="1"/>
      <c r="B177" s="1580">
        <v>2</v>
      </c>
      <c r="C177" s="1581" t="s">
        <v>3284</v>
      </c>
      <c r="D177" s="1670"/>
      <c r="E177" s="1671"/>
      <c r="F177" s="1672"/>
      <c r="G177" s="1480" t="s">
        <v>1692</v>
      </c>
    </row>
    <row customHeight="1" ht="55.5" r="178" spans="1:7">
      <c r="A178" s="1"/>
      <c r="B178" s="1580">
        <v>3</v>
      </c>
      <c r="C178" s="1581" t="s">
        <v>3285</v>
      </c>
      <c r="D178" s="1670"/>
      <c r="E178" s="1671"/>
      <c r="F178" s="1672"/>
      <c r="G178" s="1480" t="s">
        <v>1692</v>
      </c>
    </row>
    <row ht="63.75" r="179" spans="1:7">
      <c r="A179" s="1"/>
      <c r="B179" s="1580">
        <v>4</v>
      </c>
      <c r="C179" s="1581" t="s">
        <v>3286</v>
      </c>
      <c r="D179" s="1670"/>
      <c r="E179" s="1671"/>
      <c r="F179" s="1672"/>
      <c r="G179" s="1480" t="s">
        <v>1692</v>
      </c>
    </row>
    <row ht="51" r="180" spans="1:7">
      <c r="A180" s="1"/>
      <c r="B180" s="1580">
        <v>5</v>
      </c>
      <c r="C180" s="1581" t="s">
        <v>3287</v>
      </c>
      <c r="D180" s="1670"/>
      <c r="E180" s="1671"/>
      <c r="F180" s="1672"/>
      <c r="G180" s="1480" t="s">
        <v>1692</v>
      </c>
    </row>
    <row ht="76.5" r="181" spans="1:7">
      <c r="A181" s="1"/>
      <c r="B181" s="1580">
        <v>6</v>
      </c>
      <c r="C181" s="1581" t="s">
        <v>3288</v>
      </c>
      <c r="D181" s="1670"/>
      <c r="E181" s="1671"/>
      <c r="F181" s="1672"/>
      <c r="G181" s="1480" t="s">
        <v>1692</v>
      </c>
    </row>
    <row ht="76.5" r="182" spans="1:7">
      <c r="A182" s="1"/>
      <c r="B182" s="1587">
        <v>7</v>
      </c>
      <c r="C182" s="1168" t="s">
        <v>3289</v>
      </c>
      <c r="D182" s="1670"/>
      <c r="E182" s="1671"/>
      <c r="F182" s="1672"/>
      <c r="G182" s="1480" t="s">
        <v>1692</v>
      </c>
    </row>
    <row customHeight="1" ht="63.75" r="183" spans="1:7">
      <c r="A183" s="1"/>
      <c r="B183" s="1580">
        <v>8</v>
      </c>
      <c r="C183" s="1581" t="s">
        <v>3290</v>
      </c>
      <c r="D183" s="1670"/>
      <c r="E183" s="1671"/>
      <c r="F183" s="1672"/>
      <c r="G183" s="1480" t="s">
        <v>1692</v>
      </c>
    </row>
    <row customHeight="1" ht="89.25" r="184" spans="1:7">
      <c r="A184" s="1"/>
      <c r="B184" s="1580">
        <v>9</v>
      </c>
      <c r="C184" s="1581" t="s">
        <v>3291</v>
      </c>
      <c r="D184" s="1670"/>
      <c r="E184" s="1671"/>
      <c r="F184" s="1672"/>
      <c r="G184" s="1480" t="s">
        <v>1692</v>
      </c>
    </row>
    <row customHeight="1" ht="47.25" r="185" spans="1:7">
      <c r="A185" s="1"/>
      <c r="B185" s="1580">
        <v>10</v>
      </c>
      <c r="C185" s="1581" t="s">
        <v>3292</v>
      </c>
      <c r="D185" s="1670"/>
      <c r="E185" s="1671"/>
      <c r="F185" s="1672"/>
      <c r="G185" s="1480" t="s">
        <v>1692</v>
      </c>
    </row>
    <row customHeight="1" ht="12.75" r="186" spans="1:7">
      <c r="A186" s="1"/>
      <c r="B186" s="1742" t="s">
        <v>3293</v>
      </c>
      <c r="C186" s="1742"/>
      <c r="D186" s="1742"/>
      <c r="E186" s="1742"/>
      <c r="F186" s="1742"/>
      <c r="G186" s="1742"/>
    </row>
    <row ht="51" r="187" spans="1:7">
      <c r="A187" s="1"/>
      <c r="B187" s="1580" t="s">
        <v>649</v>
      </c>
      <c r="C187" s="1581" t="s">
        <v>3294</v>
      </c>
      <c r="D187" s="1670" t="s">
        <v>3244</v>
      </c>
      <c r="E187" s="1671"/>
      <c r="F187" s="1672"/>
      <c r="G187" s="1580" t="s">
        <v>3245</v>
      </c>
    </row>
    <row customHeight="1" ht="72.75" r="188" spans="1:7">
      <c r="A188" s="1"/>
      <c r="B188" s="1580">
        <v>1</v>
      </c>
      <c r="C188" s="1581" t="s">
        <v>3295</v>
      </c>
      <c r="D188" s="1670"/>
      <c r="E188" s="1671"/>
      <c r="F188" s="1672"/>
      <c r="G188" s="1480" t="s">
        <v>1692</v>
      </c>
    </row>
    <row customHeight="1" ht="135.75" r="189" spans="1:7">
      <c r="A189" s="1"/>
      <c r="B189" s="1580">
        <v>2</v>
      </c>
      <c r="C189" s="1581" t="s">
        <v>3296</v>
      </c>
      <c r="D189" s="1670"/>
      <c r="E189" s="1671"/>
      <c r="F189" s="1672"/>
      <c r="G189" s="1480" t="s">
        <v>1692</v>
      </c>
    </row>
    <row customHeight="1" ht="86.25" r="190" spans="1:7">
      <c r="A190" s="1"/>
      <c r="B190" s="1580">
        <v>3</v>
      </c>
      <c r="C190" s="1581" t="s">
        <v>3297</v>
      </c>
      <c r="D190" s="1670"/>
      <c r="E190" s="1671"/>
      <c r="F190" s="1672"/>
      <c r="G190" s="1480" t="s">
        <v>1692</v>
      </c>
    </row>
    <row customHeight="1" ht="57" r="191" spans="1:7">
      <c r="A191" s="1"/>
      <c r="B191" s="1580">
        <v>4</v>
      </c>
      <c r="C191" s="1582" t="s">
        <v>3298</v>
      </c>
      <c r="D191" s="1670"/>
      <c r="E191" s="1671"/>
      <c r="F191" s="1672"/>
      <c r="G191" s="1480" t="s">
        <v>1692</v>
      </c>
    </row>
    <row customHeight="1" ht="63.75" r="192" spans="1:7">
      <c r="A192" s="1"/>
      <c r="B192" s="1580">
        <v>5</v>
      </c>
      <c r="C192" s="1581" t="s">
        <v>3299</v>
      </c>
      <c r="D192" s="1670"/>
      <c r="E192" s="1671"/>
      <c r="F192" s="1672"/>
      <c r="G192" s="1480" t="s">
        <v>1692</v>
      </c>
    </row>
    <row customHeight="1" ht="39.75" r="193" spans="1:7">
      <c r="A193" s="1"/>
      <c r="B193" s="1580">
        <v>6</v>
      </c>
      <c r="C193" s="1581" t="s">
        <v>3300</v>
      </c>
      <c r="D193" s="1670"/>
      <c r="E193" s="1671"/>
      <c r="F193" s="1672"/>
      <c r="G193" s="1480" t="s">
        <v>1692</v>
      </c>
    </row>
    <row customHeight="1" ht="20.25" r="194" spans="1:7">
      <c r="A194" s="1"/>
      <c r="B194" s="1670" t="s">
        <v>3301</v>
      </c>
      <c r="C194" s="1671"/>
      <c r="D194" s="1671"/>
      <c r="E194" s="1671"/>
      <c r="F194" s="1671"/>
      <c r="G194" s="1672"/>
    </row>
    <row ht="51" r="195" spans="1:7">
      <c r="A195" s="1"/>
      <c r="B195" s="1580" t="s">
        <v>649</v>
      </c>
      <c r="C195" s="1581" t="s">
        <v>3302</v>
      </c>
      <c r="D195" s="1670" t="s">
        <v>3244</v>
      </c>
      <c r="E195" s="1671"/>
      <c r="F195" s="1672"/>
      <c r="G195" s="1580" t="s">
        <v>3245</v>
      </c>
    </row>
    <row customHeight="1" ht="61.5" r="196" spans="1:7">
      <c r="A196" s="1"/>
      <c r="B196" s="1589">
        <v>1</v>
      </c>
      <c r="C196" s="1588" t="s">
        <v>3303</v>
      </c>
      <c r="D196" s="1670"/>
      <c r="E196" s="1671"/>
      <c r="F196" s="1672"/>
      <c r="G196" s="1480" t="s">
        <v>1692</v>
      </c>
    </row>
    <row customHeight="1" ht="72" r="197" spans="1:7">
      <c r="A197" s="1"/>
      <c r="B197" s="1587">
        <v>2</v>
      </c>
      <c r="C197" s="1168" t="s">
        <v>3304</v>
      </c>
      <c r="D197" s="1670"/>
      <c r="E197" s="1671"/>
      <c r="F197" s="1672"/>
      <c r="G197" s="1480" t="s">
        <v>1692</v>
      </c>
    </row>
    <row customHeight="1" ht="51.75" r="198" spans="1:7">
      <c r="A198" s="1"/>
      <c r="B198" s="1580">
        <v>3</v>
      </c>
      <c r="C198" s="1581" t="s">
        <v>3305</v>
      </c>
      <c r="D198" s="1670"/>
      <c r="E198" s="1671"/>
      <c r="F198" s="1672"/>
      <c r="G198" s="1480" t="s">
        <v>1692</v>
      </c>
    </row>
    <row customHeight="1" ht="58.5" r="199" spans="1:7">
      <c r="A199" s="1"/>
      <c r="B199" s="1587">
        <v>4</v>
      </c>
      <c r="C199" s="1168" t="s">
        <v>3306</v>
      </c>
      <c r="D199" s="1670"/>
      <c r="E199" s="1671"/>
      <c r="F199" s="1672"/>
      <c r="G199" s="1480" t="s">
        <v>1692</v>
      </c>
    </row>
    <row ht="89.25" r="200" spans="1:7">
      <c r="A200" s="1"/>
      <c r="B200" s="1580">
        <v>5</v>
      </c>
      <c r="C200" s="1581" t="s">
        <v>3307</v>
      </c>
      <c r="D200" s="1670"/>
      <c r="E200" s="1671"/>
      <c r="F200" s="1672"/>
      <c r="G200" s="1480" t="s">
        <v>1692</v>
      </c>
    </row>
    <row customHeight="1" ht="72.75" r="201" spans="1:7">
      <c r="A201" s="1"/>
      <c r="B201" s="1580">
        <v>6</v>
      </c>
      <c r="C201" s="1581" t="s">
        <v>3308</v>
      </c>
      <c r="D201" s="1670"/>
      <c r="E201" s="1671"/>
      <c r="F201" s="1672"/>
      <c r="G201" s="1480" t="s">
        <v>1692</v>
      </c>
    </row>
    <row customHeight="1" ht="114.75" r="202" spans="1:7">
      <c r="A202" s="1"/>
      <c r="B202" s="1580">
        <v>7</v>
      </c>
      <c r="C202" s="1581" t="s">
        <v>3309</v>
      </c>
      <c r="D202" s="1670"/>
      <c r="E202" s="1671"/>
      <c r="F202" s="1672"/>
      <c r="G202" s="1480" t="s">
        <v>1692</v>
      </c>
    </row>
    <row customHeight="1" ht="102" r="203" spans="1:7">
      <c r="A203" s="1"/>
      <c r="B203" s="1580">
        <v>8</v>
      </c>
      <c r="C203" s="1581" t="s">
        <v>3310</v>
      </c>
      <c r="D203" s="1670"/>
      <c r="E203" s="1671"/>
      <c r="F203" s="1672"/>
      <c r="G203" s="1480" t="s">
        <v>1692</v>
      </c>
    </row>
    <row customHeight="1" ht="89.25" r="204" spans="1:7">
      <c r="A204" s="1"/>
      <c r="B204" s="1580">
        <v>9</v>
      </c>
      <c r="C204" s="1581" t="s">
        <v>3311</v>
      </c>
      <c r="D204" s="1670"/>
      <c r="E204" s="1671"/>
      <c r="F204" s="1672"/>
      <c r="G204" s="1480" t="s">
        <v>1692</v>
      </c>
    </row>
    <row customHeight="1" ht="84.75" r="205" spans="1:7">
      <c r="A205" s="1"/>
      <c r="B205" s="1580">
        <v>10</v>
      </c>
      <c r="C205" s="1581" t="s">
        <v>3312</v>
      </c>
      <c r="D205" s="1670"/>
      <c r="E205" s="1671"/>
      <c r="F205" s="1672"/>
      <c r="G205" s="1480" t="s">
        <v>1692</v>
      </c>
    </row>
    <row customHeight="1" ht="114.75" r="206" spans="1:7">
      <c r="A206" s="1"/>
      <c r="B206" s="1580">
        <v>11</v>
      </c>
      <c r="C206" s="1581" t="s">
        <v>3560</v>
      </c>
      <c r="D206" s="1670"/>
      <c r="E206" s="1671"/>
      <c r="F206" s="1672"/>
      <c r="G206" s="1480" t="s">
        <v>1692</v>
      </c>
    </row>
    <row customHeight="1" ht="63.75" r="207" spans="1:7">
      <c r="A207" s="1"/>
      <c r="B207" s="1580">
        <v>12</v>
      </c>
      <c r="C207" s="1581" t="s">
        <v>3313</v>
      </c>
      <c r="D207" s="1670"/>
      <c r="E207" s="1671"/>
      <c r="F207" s="1672"/>
      <c r="G207" s="1480" t="s">
        <v>1692</v>
      </c>
    </row>
    <row customHeight="1" ht="76.5" r="208" spans="1:7">
      <c r="A208" s="1"/>
      <c r="B208" s="1580">
        <v>13</v>
      </c>
      <c r="C208" s="1581" t="s">
        <v>3314</v>
      </c>
      <c r="D208" s="1670"/>
      <c r="E208" s="1671"/>
      <c r="F208" s="1672"/>
      <c r="G208" s="1480" t="s">
        <v>1692</v>
      </c>
    </row>
    <row customHeight="1" ht="60" r="209" spans="1:7">
      <c r="A209" s="1"/>
      <c r="B209" s="1583">
        <v>14</v>
      </c>
      <c r="C209" s="1536" t="s">
        <v>2590</v>
      </c>
      <c r="D209" s="1688" t="s">
        <v>2591</v>
      </c>
      <c r="E209" s="1688"/>
      <c r="F209" s="1688"/>
      <c r="G209" s="1480" t="s">
        <v>1692</v>
      </c>
    </row>
    <row ht="76.5" r="210" spans="1:7">
      <c r="B210" s="1629">
        <v>15</v>
      </c>
      <c r="C210" s="1635" t="s">
        <v>3599</v>
      </c>
      <c r="D210" s="1746" t="s">
        <v>3600</v>
      </c>
      <c r="E210" s="1747"/>
      <c r="F210" s="1748"/>
      <c r="G210" s="1584"/>
    </row>
    <row customFormat="1" r="211" s="1641" spans="1:7">
      <c r="A211" s="1636"/>
      <c r="B211" s="1637"/>
      <c r="C211" s="1638"/>
      <c r="D211" s="1639"/>
      <c r="E211" s="1639"/>
      <c r="F211" s="1639"/>
      <c r="G211" s="1640"/>
    </row>
    <row r="212" spans="1:7">
      <c r="A212" s="1"/>
      <c r="B212" s="1532" t="s">
        <v>1897</v>
      </c>
      <c r="C212" s="1492"/>
      <c r="D212" s="1492"/>
      <c r="E212" s="1484"/>
      <c r="F212" s="1484"/>
      <c r="G212" s="1484"/>
    </row>
    <row r="213" spans="1:7">
      <c r="A213" s="1"/>
      <c r="B213" s="1533">
        <f>+ЧХ!$C$15</f>
        <v>0</v>
      </c>
      <c r="C213" s="1484"/>
      <c r="D213" s="1679">
        <f>+ЧХ!$C$16</f>
        <v>0</v>
      </c>
      <c r="E213" s="1679"/>
      <c r="F213" s="1488" t="s">
        <v>1777</v>
      </c>
      <c r="G213" s="1484"/>
    </row>
    <row r="214" spans="1:7">
      <c r="A214" s="1"/>
      <c r="B214" s="1533"/>
      <c r="C214" s="1484"/>
      <c r="D214" s="1488"/>
      <c r="E214" s="1488"/>
      <c r="F214" s="1488"/>
      <c r="G214" s="1484"/>
    </row>
    <row r="215" spans="1:7">
      <c r="A215" s="1"/>
      <c r="B215" s="1532" t="s">
        <v>1873</v>
      </c>
      <c r="C215" s="1492"/>
      <c r="D215" s="1484"/>
      <c r="E215" s="1484"/>
      <c r="F215" s="1488"/>
      <c r="G215" s="1484"/>
    </row>
    <row r="216" spans="1:7">
      <c r="A216" s="1"/>
      <c r="B216" s="1533" t="str">
        <f>+ЧХ!$B$6</f>
        <v>Аудитын менежер</v>
      </c>
      <c r="C216" s="1484"/>
      <c r="D216" s="1679">
        <f>+ЧХ!$C$6</f>
        <v>0</v>
      </c>
      <c r="E216" s="1679"/>
      <c r="F216" s="1488" t="s">
        <v>1777</v>
      </c>
      <c r="G216" s="1484"/>
    </row>
    <row r="217" spans="1:7">
      <c r="A217" s="1"/>
      <c r="B217" s="1533"/>
      <c r="C217" s="1484"/>
      <c r="D217" s="1488"/>
      <c r="E217" s="1488"/>
      <c r="F217" s="1488"/>
      <c r="G217" s="1484"/>
    </row>
    <row r="218" spans="1:7">
      <c r="A218" s="1"/>
      <c r="B218" s="1532" t="s">
        <v>2035</v>
      </c>
      <c r="C218" s="1492"/>
      <c r="D218" s="1484"/>
      <c r="E218" s="1484"/>
      <c r="F218" s="1488"/>
      <c r="G218" s="1484"/>
    </row>
    <row r="219" spans="1:7">
      <c r="A219" s="1"/>
      <c r="B219" s="1533" t="str">
        <f>+ЧХ!$B$5</f>
        <v>Тэргүүлэх аудитор</v>
      </c>
      <c r="C219" s="1484"/>
      <c r="D219" s="1689" t="str">
        <f>+ЧХ!$C$5</f>
        <v>С.Энхбаатар</v>
      </c>
      <c r="E219" s="1689"/>
      <c r="F219" s="1488" t="s">
        <v>1777</v>
      </c>
      <c r="G219" s="1484"/>
    </row>
    <row r="220" spans="1:7">
      <c r="A220" s="1"/>
      <c r="B220" s="1533"/>
      <c r="C220" s="1484"/>
      <c r="D220" s="1484"/>
      <c r="E220" s="1484"/>
      <c r="F220" s="1484"/>
      <c r="G220" s="1484"/>
    </row>
    <row r="221" spans="1:7">
      <c r="A221" s="1"/>
      <c r="B221" s="1533"/>
      <c r="C221" s="1484"/>
      <c r="D221" s="1484"/>
      <c r="E221" s="1484"/>
      <c r="F221" s="1484"/>
      <c r="G221" s="1484"/>
    </row>
    <row r="222" spans="1:7">
      <c r="A222" s="1"/>
      <c r="B222" s="1533" t="str">
        <f>+ЧХ!$B$6&amp;"ийн санал: ………………………………………………………………………………………"</f>
        <v>Аудитын менежерийн санал: ………………………………………………………………………………………</v>
      </c>
      <c r="C222" s="1484"/>
      <c r="D222" s="1484"/>
      <c r="E222" s="1484"/>
      <c r="F222" s="1484"/>
      <c r="G222" s="1484"/>
    </row>
    <row r="223" spans="1:7">
      <c r="A223" s="1"/>
      <c r="B223" s="1533"/>
      <c r="C223" s="1484"/>
      <c r="D223" s="1484"/>
      <c r="E223" s="1484"/>
      <c r="F223" s="1484"/>
      <c r="G223" s="1484"/>
    </row>
    <row r="224" spans="1:7">
      <c r="A224" s="1"/>
      <c r="B224" s="1533"/>
      <c r="C224" s="1484"/>
      <c r="D224" s="1484"/>
      <c r="E224" s="1484"/>
      <c r="F224" s="1484"/>
      <c r="G224" s="1484"/>
    </row>
    <row r="225" spans="1:7">
      <c r="A225" s="1"/>
      <c r="B225" s="1533" t="str">
        <f>+ЧХ!$B$5&amp;"ын санал: ..........................................................................................................."</f>
        <v>Тэргүүлэх аудиторын санал: ...........................................................................................................</v>
      </c>
      <c r="C225" s="1484"/>
      <c r="D225" s="1484"/>
      <c r="E225" s="1484"/>
      <c r="F225" s="1484"/>
      <c r="G225" s="1484"/>
    </row>
    <row r="226" spans="1:7">
      <c r="A226" s="1"/>
      <c r="B226" s="1533"/>
      <c r="C226" s="1484"/>
      <c r="D226" s="1484"/>
      <c r="E226" s="1484"/>
      <c r="F226" s="1484"/>
      <c r="G226" s="1484"/>
    </row>
    <row r="227" spans="1:7">
      <c r="A227" s="1"/>
      <c r="B227" s="49"/>
      <c r="C227" s="1493"/>
      <c r="D227" s="1493"/>
      <c r="E227" s="1484"/>
      <c r="F227" s="1484"/>
      <c r="G227" s="1484"/>
    </row>
  </sheetData>
  <mergeCells count="20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 ref="D200:F200"/>
    <mergeCell ref="D201:F201"/>
    <mergeCell ref="D198:F198"/>
    <mergeCell ref="D193:F193"/>
    <mergeCell ref="B194:G194"/>
    <mergeCell ref="D195:F195"/>
    <mergeCell ref="D196:F196"/>
    <mergeCell ref="D199:F199"/>
    <mergeCell ref="D197:F197"/>
    <mergeCell ref="D213:E213"/>
    <mergeCell ref="D216:E216"/>
    <mergeCell ref="D219:E219"/>
    <mergeCell ref="D209:F209"/>
    <mergeCell ref="D207:F207"/>
    <mergeCell ref="D208:F208"/>
    <mergeCell ref="D202:F202"/>
    <mergeCell ref="D203:F203"/>
    <mergeCell ref="D204:F204"/>
    <mergeCell ref="D205:F205"/>
    <mergeCell ref="D206:F206"/>
    <mergeCell ref="D210:F210"/>
    <mergeCell ref="D191:F191"/>
    <mergeCell ref="D192:F192"/>
    <mergeCell ref="D183:F183"/>
    <mergeCell ref="D184:F184"/>
    <mergeCell ref="D185:F185"/>
    <mergeCell ref="B186:G186"/>
    <mergeCell ref="D187:F187"/>
    <mergeCell ref="D188:F188"/>
    <mergeCell ref="D189:F189"/>
    <mergeCell ref="D190:F190"/>
    <mergeCell ref="D177:F177"/>
    <mergeCell ref="D178:F178"/>
    <mergeCell ref="D179:F179"/>
    <mergeCell ref="D180:F180"/>
    <mergeCell ref="D181:F181"/>
    <mergeCell ref="D182:F182"/>
    <mergeCell ref="D172:F172"/>
    <mergeCell ref="D173:F173"/>
    <mergeCell ref="B174:G174"/>
    <mergeCell ref="D175:F175"/>
    <mergeCell ref="D176:F176"/>
    <mergeCell ref="D171:F171"/>
    <mergeCell ref="D162:F162"/>
    <mergeCell ref="D167:F167"/>
    <mergeCell ref="D168:F168"/>
    <mergeCell ref="B169:G169"/>
    <mergeCell ref="D170:F170"/>
    <mergeCell ref="D166:F166"/>
    <mergeCell ref="D163:F163"/>
    <mergeCell ref="D165:F165"/>
    <mergeCell ref="D164:F164"/>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11:E111"/>
    <mergeCell ref="D112:E112"/>
    <mergeCell ref="D101:E101"/>
    <mergeCell ref="D102:E102"/>
    <mergeCell ref="D103:E103"/>
    <mergeCell ref="D104:E104"/>
    <mergeCell ref="D105:E105"/>
    <mergeCell ref="D106:E106"/>
    <mergeCell ref="D93:E93"/>
    <mergeCell ref="D88:E88"/>
    <mergeCell ref="D89:E89"/>
    <mergeCell ref="D90:E90"/>
    <mergeCell ref="D91:E91"/>
    <mergeCell ref="D92:E92"/>
    <mergeCell ref="D100:E100"/>
    <mergeCell ref="D107:E107"/>
    <mergeCell ref="D108:E108"/>
    <mergeCell ref="D99:E99"/>
    <mergeCell ref="D98:E9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G43:G48"/>
    <mergeCell ref="D49:E49"/>
    <mergeCell ref="D50:E50"/>
    <mergeCell ref="D51:E51"/>
    <mergeCell ref="D52:E52"/>
    <mergeCell ref="D34:E34"/>
    <mergeCell ref="D36:E36"/>
    <mergeCell ref="D37:E37"/>
    <mergeCell ref="D38:E38"/>
    <mergeCell ref="D39:E39"/>
    <mergeCell ref="D40:E40"/>
    <mergeCell ref="D41:E41"/>
    <mergeCell ref="D48:E48"/>
    <mergeCell ref="C35:C41"/>
    <mergeCell ref="D35:E35"/>
    <mergeCell ref="C42:D44"/>
    <mergeCell ref="C45:D47"/>
    <mergeCell ref="C48:C52"/>
    <mergeCell ref="D26:D27"/>
    <mergeCell ref="C28:C34"/>
    <mergeCell ref="D28:E28"/>
    <mergeCell ref="D29:E29"/>
    <mergeCell ref="D30:E30"/>
    <mergeCell ref="D31:E31"/>
    <mergeCell ref="D32:E32"/>
    <mergeCell ref="D33:E33"/>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s>
  <dataValidations count="1">
    <dataValidation allowBlank="1" showErrorMessage="1" showInputMessage="1" sqref="G171:G173 G188:G193 G196:G209 G134:G149 G152:G168 G127:G131 G176:G185 G118:G125" type="list">
      <formula1>"Бага, Дунд, Их"</formula1>
    </dataValidation>
  </dataValidations>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customWidth="true" style="44" width="8.5703125" collapsed="false"/>
    <col min="2" max="2" customWidth="true" style="44" width="21.140625" collapsed="false"/>
    <col min="3" max="3" customWidth="true" style="44" width="10.5703125" collapsed="false"/>
    <col min="4" max="4" customWidth="true" style="85" width="27.42578125" collapsed="false"/>
    <col min="5" max="5" customWidth="true" style="85" width="17.0" collapsed="false"/>
    <col min="6" max="16384" style="85" width="9.140625" collapsed="false"/>
  </cols>
  <sheetData>
    <row r="1" spans="1:8">
      <c r="E1" s="52" t="s">
        <v>1836</v>
      </c>
    </row>
    <row customHeight="1" ht="16.5" r="2" spans="1:8">
      <c r="B2" s="1678" t="s">
        <v>1837</v>
      </c>
      <c r="C2" s="1678"/>
      <c r="D2" s="1678"/>
      <c r="E2" s="53"/>
      <c r="H2" s="54"/>
    </row>
    <row r="3" spans="1:8">
      <c r="B3" s="406"/>
    </row>
    <row customFormat="1" customHeight="1" ht="30.75" r="4" s="343" spans="1:8">
      <c r="A4" s="44"/>
      <c r="B4" s="1755" t="str">
        <f>"Байгууллагын нэр: "&amp;ЧХ!C7</f>
        <v xml:space="preserve">Байгууллагын нэр: </v>
      </c>
      <c r="C4" s="1755"/>
      <c r="D4" s="1755"/>
      <c r="E4" s="344"/>
    </row>
    <row customHeight="1" ht="39" r="6" spans="1:8">
      <c r="A6" s="1754" t="s">
        <v>1838</v>
      </c>
      <c r="B6" s="1754"/>
      <c r="C6" s="1754"/>
      <c r="D6" s="1754"/>
      <c r="E6" s="1754"/>
    </row>
    <row customHeight="1" ht="33.75" r="7" spans="1:8">
      <c r="A7" s="80" t="s">
        <v>649</v>
      </c>
      <c r="B7" s="1670" t="s">
        <v>1839</v>
      </c>
      <c r="C7" s="1671"/>
      <c r="D7" s="1672"/>
      <c r="E7" s="80" t="s">
        <v>27</v>
      </c>
    </row>
    <row customHeight="1" ht="144" r="8" spans="1:8">
      <c r="A8" s="80">
        <v>1</v>
      </c>
      <c r="B8" s="1670" t="s">
        <v>2704</v>
      </c>
      <c r="C8" s="1671"/>
      <c r="D8" s="1672"/>
      <c r="E8" s="80" t="s">
        <v>2703</v>
      </c>
    </row>
    <row customHeight="1" ht="18.75" r="9" spans="1:8">
      <c r="A9" s="80">
        <v>2</v>
      </c>
      <c r="B9" s="1670" t="s">
        <v>1840</v>
      </c>
      <c r="C9" s="1671"/>
      <c r="D9" s="1672"/>
      <c r="E9" s="15" t="s">
        <v>3603</v>
      </c>
    </row>
    <row customHeight="1" ht="18.75" r="10" spans="1:8">
      <c r="A10" s="80">
        <v>3</v>
      </c>
      <c r="B10" s="1670" t="s">
        <v>1842</v>
      </c>
      <c r="C10" s="1671"/>
      <c r="D10" s="1672"/>
      <c r="E10" s="1480" t="s">
        <v>3603</v>
      </c>
    </row>
    <row customHeight="1" ht="15" r="11" spans="1:8">
      <c r="A11" s="80">
        <v>4</v>
      </c>
      <c r="B11" s="1670" t="s">
        <v>1843</v>
      </c>
      <c r="C11" s="1671"/>
      <c r="D11" s="1672"/>
      <c r="E11" s="1480" t="s">
        <v>3603</v>
      </c>
    </row>
    <row customFormat="1" r="13" s="343" spans="1:8">
      <c r="A13" s="348" t="s">
        <v>1897</v>
      </c>
      <c r="B13" s="348"/>
      <c r="C13" s="348"/>
      <c r="F13" s="44"/>
    </row>
    <row customFormat="1" r="14" s="343" spans="1:8">
      <c r="A14" s="343">
        <f>+ЧХ!$C$15</f>
        <v>0</v>
      </c>
      <c r="C14" s="1679">
        <f>+ЧХ!$C$16</f>
        <v>0</v>
      </c>
      <c r="D14" s="1679"/>
      <c r="E14" s="347" t="s">
        <v>1777</v>
      </c>
    </row>
    <row customFormat="1" r="15" s="343" spans="1:8">
      <c r="C15" s="347"/>
      <c r="D15" s="347"/>
      <c r="E15" s="347"/>
    </row>
    <row customFormat="1" r="16" s="343" spans="1:8">
      <c r="A16" s="348" t="s">
        <v>1873</v>
      </c>
      <c r="B16" s="348"/>
      <c r="E16" s="347"/>
    </row>
    <row customFormat="1" r="17" s="343" spans="1:5">
      <c r="A17" s="343" t="str">
        <f>+ЧХ!$B$6</f>
        <v>Аудитын менежер</v>
      </c>
      <c r="C17" s="1679">
        <f>+ЧХ!$C$6</f>
        <v>0</v>
      </c>
      <c r="D17" s="1679"/>
      <c r="E17" s="347" t="s">
        <v>1777</v>
      </c>
    </row>
    <row customFormat="1" r="18" s="343" spans="1:5">
      <c r="C18" s="347"/>
      <c r="D18" s="347"/>
      <c r="E18" s="347"/>
    </row>
    <row customFormat="1" r="19" s="343" spans="1:5">
      <c r="A19" s="348" t="s">
        <v>2035</v>
      </c>
      <c r="B19" s="348"/>
      <c r="E19" s="347"/>
    </row>
    <row customFormat="1" r="20" s="343" spans="1:5">
      <c r="A20" s="343" t="str">
        <f>+ЧХ!$B$5</f>
        <v>Тэргүүлэх аудитор</v>
      </c>
      <c r="C20" s="1689" t="str">
        <f>+ЧХ!$C$5</f>
        <v>С.Энхбаатар</v>
      </c>
      <c r="D20" s="1689"/>
      <c r="E20" s="347" t="s">
        <v>1777</v>
      </c>
    </row>
    <row r="23" spans="1:5">
      <c r="A23" s="406" t="str">
        <f>+ЧХ!$B$6&amp;"ийн санал: ………………………………………………………………………………………"</f>
        <v>Аудитын менежерийн санал: ………………………………………………………………………………………</v>
      </c>
    </row>
    <row r="24" spans="1:5">
      <c r="A24" s="406"/>
    </row>
    <row r="25" spans="1:5">
      <c r="A25" s="406"/>
    </row>
    <row r="26" spans="1:5">
      <c r="A26" s="406"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allowBlank="1" showErrorMessage="1" showInputMessage="1" sqref="E9:E11" type="list">
      <formula1>"Байхгүй, Байгаа"</formula1>
    </dataValidation>
  </dataValidations>
  <pageMargins bottom="0.75" footer="0.3" header="0.3" left="0.7" right="0.7" top="0.75"/>
  <pageSetup horizontalDpi="0" orientation="portrait" r:id="rId1" verticalDpi="0"/>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5"/>
  <sheetViews>
    <sheetView topLeftCell="A4" workbookViewId="0" zoomScale="98" zoomScaleNormal="98">
      <selection activeCell="H16" sqref="H16:H17"/>
    </sheetView>
  </sheetViews>
  <sheetFormatPr defaultRowHeight="12.75"/>
  <cols>
    <col min="1" max="1" customWidth="true" style="44" width="5.42578125" collapsed="false"/>
    <col min="2" max="2" customWidth="true" style="406" width="21.0" collapsed="false"/>
    <col min="3" max="3" customWidth="true" style="85" width="19.85546875" collapsed="false"/>
    <col min="4" max="4" customWidth="true" style="85" width="20.85546875" collapsed="false"/>
    <col min="5" max="5" customWidth="true" style="85" width="19.7109375" collapsed="false"/>
    <col min="6" max="6" customWidth="true" style="85" width="21.140625" collapsed="false"/>
    <col min="7" max="7" customWidth="true" style="85" width="17.42578125" collapsed="false"/>
    <col min="8" max="8" customWidth="true" style="85" width="24.5703125" collapsed="false"/>
    <col min="9" max="9" customWidth="true" style="85" width="21.85546875" collapsed="false"/>
    <col min="10" max="16384" style="85" width="9.140625" collapsed="false"/>
  </cols>
  <sheetData>
    <row r="1" spans="1:9">
      <c r="H1" s="52" t="s">
        <v>1844</v>
      </c>
    </row>
    <row customHeight="1" ht="29.25" r="2" spans="1:9">
      <c r="C2" s="1678" t="s">
        <v>2152</v>
      </c>
      <c r="D2" s="1678"/>
      <c r="E2" s="1678"/>
      <c r="F2" s="1678"/>
      <c r="G2" s="1678"/>
    </row>
    <row customFormat="1" customHeight="1" ht="16.5" r="3" s="406" spans="1:9">
      <c r="A3" s="1109"/>
      <c r="C3" s="1100"/>
      <c r="D3" s="1100"/>
      <c r="E3" s="1100"/>
      <c r="F3" s="1100"/>
      <c r="G3" s="1100"/>
    </row>
    <row customFormat="1" customHeight="1" ht="18" r="4" s="343" spans="1:9">
      <c r="A4" s="44"/>
      <c r="B4" s="406" t="str">
        <f>"Байгууллагын нэр: "&amp;ЧХ!C7</f>
        <v xml:space="preserve">Байгууллагын нэр: </v>
      </c>
      <c r="C4" s="346"/>
      <c r="D4" s="346"/>
      <c r="E4" s="346"/>
      <c r="F4" s="346"/>
      <c r="G4" s="346"/>
    </row>
    <row r="5" spans="1:9">
      <c r="B5" s="1100" t="str">
        <f>+"тайлант он: " &amp;ЧХ!$C$8</f>
        <v xml:space="preserve">тайлант он: </v>
      </c>
      <c r="D5" s="344"/>
      <c r="E5" s="344"/>
      <c r="F5" s="344"/>
    </row>
    <row customFormat="1" customHeight="1" ht="72" r="7" s="44" spans="1:9">
      <c r="A7" s="435" t="s">
        <v>649</v>
      </c>
      <c r="B7" s="435" t="s">
        <v>2198</v>
      </c>
      <c r="C7" s="80" t="s">
        <v>1845</v>
      </c>
      <c r="D7" s="93" t="s">
        <v>1846</v>
      </c>
      <c r="E7" s="80" t="s">
        <v>1847</v>
      </c>
      <c r="F7" s="80" t="s">
        <v>1848</v>
      </c>
      <c r="G7" s="93" t="s">
        <v>1849</v>
      </c>
      <c r="H7" s="1139" t="s">
        <v>3222</v>
      </c>
      <c r="I7" s="1341" t="s">
        <v>3226</v>
      </c>
    </row>
    <row customFormat="1" customHeight="1" ht="15.75" r="8" s="44" spans="1:9">
      <c r="A8" s="435" t="s">
        <v>702</v>
      </c>
      <c r="B8" s="435">
        <v>0</v>
      </c>
      <c r="C8" s="80">
        <v>1</v>
      </c>
      <c r="D8" s="80">
        <v>2</v>
      </c>
      <c r="E8" s="80">
        <v>3</v>
      </c>
      <c r="F8" s="80">
        <v>4</v>
      </c>
      <c r="G8" s="435">
        <v>5</v>
      </c>
      <c r="H8" s="73">
        <v>6</v>
      </c>
      <c r="I8" s="73">
        <v>7</v>
      </c>
    </row>
    <row customFormat="1" customHeight="1" ht="63" r="9" s="44" spans="1:9">
      <c r="A9" s="435">
        <v>0</v>
      </c>
      <c r="B9" s="430" t="s">
        <v>2201</v>
      </c>
      <c r="C9" s="558" t="s">
        <v>1841</v>
      </c>
      <c r="D9" s="558" t="s">
        <v>1841</v>
      </c>
      <c r="E9" s="558" t="s">
        <v>1841</v>
      </c>
      <c r="F9" s="558" t="s">
        <v>1841</v>
      </c>
      <c r="G9" s="558" t="s">
        <v>1841</v>
      </c>
      <c r="H9" s="781" t="s">
        <v>3219</v>
      </c>
      <c r="I9" s="15" t="s">
        <v>1475</v>
      </c>
    </row>
    <row customFormat="1" customHeight="1" ht="46.5" r="10" s="44" spans="1:9">
      <c r="A10" s="445">
        <v>31</v>
      </c>
      <c r="B10" s="441" t="s">
        <v>2188</v>
      </c>
      <c r="C10" s="558" t="s">
        <v>1841</v>
      </c>
      <c r="D10" s="558" t="s">
        <v>1841</v>
      </c>
      <c r="E10" s="558" t="s">
        <v>1841</v>
      </c>
      <c r="F10" s="558" t="s">
        <v>1841</v>
      </c>
      <c r="G10" s="558" t="s">
        <v>1841</v>
      </c>
      <c r="H10" s="1756" t="s">
        <v>3220</v>
      </c>
      <c r="I10" s="15" t="s">
        <v>1475</v>
      </c>
    </row>
    <row customFormat="1" customHeight="1" ht="46.5" r="11" s="44" spans="1:9">
      <c r="A11" s="445">
        <v>33</v>
      </c>
      <c r="B11" s="441" t="s">
        <v>2185</v>
      </c>
      <c r="C11" s="558" t="s">
        <v>1841</v>
      </c>
      <c r="D11" s="558" t="s">
        <v>1841</v>
      </c>
      <c r="E11" s="558" t="s">
        <v>1841</v>
      </c>
      <c r="F11" s="558" t="s">
        <v>1841</v>
      </c>
      <c r="G11" s="558" t="s">
        <v>1841</v>
      </c>
      <c r="H11" s="1757"/>
      <c r="I11" s="15" t="s">
        <v>1475</v>
      </c>
    </row>
    <row customFormat="1" customHeight="1" ht="46.5" r="12" s="44" spans="1:9">
      <c r="A12" s="445">
        <v>35</v>
      </c>
      <c r="B12" s="441" t="s">
        <v>2186</v>
      </c>
      <c r="C12" s="558" t="s">
        <v>1841</v>
      </c>
      <c r="D12" s="558" t="s">
        <v>1841</v>
      </c>
      <c r="E12" s="558" t="s">
        <v>1841</v>
      </c>
      <c r="F12" s="558" t="s">
        <v>1841</v>
      </c>
      <c r="G12" s="558" t="s">
        <v>1841</v>
      </c>
      <c r="H12" s="1757"/>
      <c r="I12" s="15" t="s">
        <v>1475</v>
      </c>
    </row>
    <row customHeight="1" ht="78.75" r="13" spans="1:9">
      <c r="A13" s="445">
        <v>39</v>
      </c>
      <c r="B13" s="441" t="s">
        <v>2187</v>
      </c>
      <c r="C13" s="558" t="s">
        <v>1841</v>
      </c>
      <c r="D13" s="558" t="s">
        <v>1841</v>
      </c>
      <c r="E13" s="558" t="s">
        <v>1841</v>
      </c>
      <c r="F13" s="558" t="s">
        <v>1841</v>
      </c>
      <c r="G13" s="558" t="s">
        <v>1841</v>
      </c>
      <c r="H13" s="1757"/>
      <c r="I13" s="15" t="s">
        <v>1475</v>
      </c>
    </row>
    <row customFormat="1" customHeight="1" ht="33" r="14" s="406" spans="1:9">
      <c r="A14" s="445">
        <v>4</v>
      </c>
      <c r="B14" s="441" t="s">
        <v>243</v>
      </c>
      <c r="C14" s="558" t="s">
        <v>1841</v>
      </c>
      <c r="D14" s="558" t="s">
        <v>1841</v>
      </c>
      <c r="E14" s="558" t="s">
        <v>1841</v>
      </c>
      <c r="F14" s="558" t="s">
        <v>1841</v>
      </c>
      <c r="G14" s="558" t="s">
        <v>1841</v>
      </c>
      <c r="H14" s="1757"/>
      <c r="I14" s="15" t="s">
        <v>1475</v>
      </c>
    </row>
    <row customHeight="1" ht="72" r="15" spans="1:9">
      <c r="A15" s="442">
        <v>5</v>
      </c>
      <c r="B15" s="441" t="s">
        <v>2193</v>
      </c>
      <c r="C15" s="558" t="s">
        <v>1841</v>
      </c>
      <c r="D15" s="558" t="s">
        <v>1841</v>
      </c>
      <c r="E15" s="558" t="s">
        <v>1841</v>
      </c>
      <c r="F15" s="558" t="s">
        <v>1841</v>
      </c>
      <c r="G15" s="558" t="s">
        <v>1841</v>
      </c>
      <c r="H15" s="1758"/>
      <c r="I15" s="15" t="s">
        <v>1475</v>
      </c>
    </row>
    <row ht="25.5" r="16" spans="1:9">
      <c r="A16" s="443">
        <v>1</v>
      </c>
      <c r="B16" s="441" t="s">
        <v>2199</v>
      </c>
      <c r="C16" s="558" t="s">
        <v>1841</v>
      </c>
      <c r="D16" s="558" t="s">
        <v>1841</v>
      </c>
      <c r="E16" s="558" t="s">
        <v>1841</v>
      </c>
      <c r="F16" s="558" t="s">
        <v>1841</v>
      </c>
      <c r="G16" s="558" t="s">
        <v>1841</v>
      </c>
      <c r="H16" s="1759" t="s">
        <v>3221</v>
      </c>
      <c r="I16" s="15" t="s">
        <v>1475</v>
      </c>
    </row>
    <row ht="25.5" r="17" spans="1:9">
      <c r="A17" s="444">
        <v>2</v>
      </c>
      <c r="B17" s="441" t="s">
        <v>2200</v>
      </c>
      <c r="C17" s="558" t="s">
        <v>1841</v>
      </c>
      <c r="D17" s="558" t="s">
        <v>1841</v>
      </c>
      <c r="E17" s="558" t="s">
        <v>1841</v>
      </c>
      <c r="F17" s="558" t="s">
        <v>1841</v>
      </c>
      <c r="G17" s="558" t="s">
        <v>1841</v>
      </c>
      <c r="H17" s="1760"/>
      <c r="I17" s="15" t="s">
        <v>1475</v>
      </c>
    </row>
    <row r="19" spans="1:9">
      <c r="A19" s="85"/>
      <c r="B19" s="85"/>
    </row>
    <row r="22" spans="1:9">
      <c r="B22" s="557" t="s">
        <v>1897</v>
      </c>
      <c r="C22" s="557"/>
      <c r="D22" s="557"/>
      <c r="E22" s="406"/>
      <c r="F22" s="406"/>
    </row>
    <row r="23" spans="1:9">
      <c r="B23" s="406">
        <f>+ЧХ!$C$15</f>
        <v>0</v>
      </c>
      <c r="C23" s="406"/>
      <c r="D23" s="1679">
        <f>+ЧХ!$C$16</f>
        <v>0</v>
      </c>
      <c r="E23" s="1679"/>
      <c r="F23" s="553" t="s">
        <v>1777</v>
      </c>
    </row>
    <row r="24" spans="1:9">
      <c r="C24" s="406"/>
      <c r="D24" s="553"/>
      <c r="E24" s="553"/>
      <c r="F24" s="553"/>
    </row>
    <row r="25" spans="1:9">
      <c r="B25" s="557" t="s">
        <v>1873</v>
      </c>
      <c r="C25" s="557"/>
      <c r="D25" s="406"/>
      <c r="E25" s="406"/>
      <c r="F25" s="553"/>
    </row>
    <row r="26" spans="1:9">
      <c r="B26" s="406" t="str">
        <f>+ЧХ!$B$6</f>
        <v>Аудитын менежер</v>
      </c>
      <c r="C26" s="406"/>
      <c r="D26" s="1679">
        <f>+ЧХ!$C$6</f>
        <v>0</v>
      </c>
      <c r="E26" s="1679"/>
      <c r="F26" s="553" t="s">
        <v>1777</v>
      </c>
    </row>
    <row r="27" spans="1:9">
      <c r="C27" s="406"/>
      <c r="D27" s="553"/>
      <c r="E27" s="553"/>
      <c r="F27" s="553"/>
    </row>
    <row r="28" spans="1:9">
      <c r="B28" s="557" t="s">
        <v>2035</v>
      </c>
      <c r="C28" s="557"/>
      <c r="D28" s="406"/>
      <c r="E28" s="406"/>
      <c r="F28" s="553"/>
    </row>
    <row r="29" spans="1:9">
      <c r="B29" s="406" t="str">
        <f>+ЧХ!$B$5</f>
        <v>Тэргүүлэх аудитор</v>
      </c>
      <c r="C29" s="406"/>
      <c r="D29" s="1689" t="str">
        <f>+ЧХ!$C$5</f>
        <v>С.Энхбаатар</v>
      </c>
      <c r="E29" s="1689"/>
      <c r="F29" s="553" t="s">
        <v>1777</v>
      </c>
    </row>
    <row r="32" spans="1:9">
      <c r="B32" s="406" t="str">
        <f>+ЧХ!$B$6&amp;"ийн санал: ………………………………………………………………………………………"</f>
        <v>Аудитын менежерийн санал: ………………………………………………………………………………………</v>
      </c>
    </row>
    <row r="35" spans="2:2">
      <c r="B35" s="406"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allowBlank="1" showErrorMessage="1" showInputMessage="1" sqref="C9:G17" type="list">
      <formula1>"Байгаа, Байхгүй"</formula1>
    </dataValidation>
    <dataValidation allowBlank="1" showErrorMessage="1" showInputMessage="1" sqref="I9:I17" type="list">
      <formula1>"Тийм, Үгүй"</formula1>
    </dataValidation>
  </dataValidations>
  <pageMargins bottom="0.75" footer="0.3" header="0.3" left="0.7" right="0.7" top="0.75"/>
  <pageSetup horizontalDpi="0" orientation="landscape" r:id="rId1" verticalDpi="0"/>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BC39"/>
  <sheetViews>
    <sheetView workbookViewId="0">
      <selection activeCell="B13" sqref="B13"/>
    </sheetView>
  </sheetViews>
  <sheetFormatPr defaultRowHeight="12.75"/>
  <cols>
    <col min="1" max="1" customWidth="true" style="85" width="22.42578125" collapsed="false"/>
    <col min="2" max="2" customWidth="true" style="85" width="19.28515625" collapsed="false"/>
    <col min="3" max="3" customWidth="true" style="85" width="15.85546875" collapsed="false"/>
    <col min="4" max="4" customWidth="true" style="85" width="19.0" collapsed="false"/>
    <col min="5" max="5" customWidth="true" style="85" width="14.28515625" collapsed="false"/>
    <col min="6" max="50" customWidth="true" style="406" width="14.28515625" collapsed="false"/>
    <col min="51" max="51" customWidth="true" style="85" width="10.0" collapsed="false"/>
    <col min="52" max="53" style="85" width="9.140625" collapsed="false"/>
    <col min="54" max="54" customWidth="true" style="85" width="14.7109375" collapsed="false"/>
    <col min="55" max="55" customWidth="true" style="85" width="54.7109375" collapsed="false"/>
    <col min="56" max="16384" style="85" width="9.140625" collapsed="false"/>
  </cols>
  <sheetData>
    <row customFormat="1" r="1" s="327" spans="1:55">
      <c r="E1" s="560" t="s">
        <v>2141</v>
      </c>
      <c r="F1" s="1333"/>
      <c r="G1" s="1333"/>
      <c r="H1" s="1333"/>
      <c r="I1" s="1333"/>
      <c r="J1" s="1333"/>
      <c r="K1" s="1333"/>
      <c r="L1" s="1333"/>
      <c r="M1" s="1333"/>
      <c r="N1" s="1333"/>
      <c r="O1" s="1333"/>
      <c r="P1" s="1333"/>
      <c r="Q1" s="1333"/>
      <c r="R1" s="1333"/>
      <c r="S1" s="1333"/>
      <c r="T1" s="1333"/>
      <c r="U1" s="1333"/>
      <c r="V1" s="1333"/>
      <c r="W1" s="1333"/>
      <c r="X1" s="1333"/>
      <c r="Y1" s="1333"/>
      <c r="Z1" s="1333"/>
      <c r="AA1" s="1333"/>
      <c r="AB1" s="1333"/>
      <c r="AC1" s="1333"/>
      <c r="AD1" s="1333"/>
      <c r="AE1" s="1333"/>
      <c r="AF1" s="1333"/>
      <c r="AG1" s="1333"/>
      <c r="AH1" s="1333"/>
      <c r="AI1" s="1333"/>
      <c r="AJ1" s="1333"/>
      <c r="AK1" s="1333"/>
      <c r="AL1" s="1333"/>
      <c r="AM1" s="1333"/>
      <c r="AN1" s="1333"/>
      <c r="AO1" s="1333"/>
      <c r="AP1" s="1333"/>
      <c r="AQ1" s="1333"/>
      <c r="AR1" s="1333"/>
      <c r="AS1" s="1333"/>
      <c r="AT1" s="1333"/>
      <c r="AU1" s="1333"/>
      <c r="AV1" s="1333"/>
      <c r="AW1" s="1333"/>
      <c r="AX1" s="1333"/>
    </row>
    <row customFormat="1" customHeight="1" ht="19.5" r="2" s="327" spans="1:55">
      <c r="A2" s="547" t="s">
        <v>1762</v>
      </c>
      <c r="B2" s="1703" t="str">
        <f>+ЧХ!B5</f>
        <v>Тэргүүлэх аудитор</v>
      </c>
      <c r="C2" s="1703"/>
      <c r="D2" s="1703" t="str">
        <f>+ЧХ!C5</f>
        <v>С.Энхбаатар</v>
      </c>
      <c r="E2" s="1703"/>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c r="AD2" s="1330"/>
      <c r="AE2" s="1330"/>
      <c r="AF2" s="1330"/>
      <c r="AG2" s="1330"/>
      <c r="AH2" s="1330"/>
      <c r="AI2" s="1330"/>
      <c r="AJ2" s="1330"/>
      <c r="AK2" s="1330"/>
      <c r="AL2" s="1330"/>
      <c r="AM2" s="1330"/>
      <c r="AN2" s="1330"/>
      <c r="AO2" s="1330"/>
      <c r="AP2" s="1330"/>
      <c r="AQ2" s="1330"/>
      <c r="AR2" s="1330"/>
      <c r="AS2" s="1330"/>
      <c r="AT2" s="1330"/>
      <c r="AU2" s="1330"/>
      <c r="AV2" s="1330"/>
      <c r="AW2" s="1330"/>
      <c r="AX2" s="1330"/>
    </row>
    <row customFormat="1" r="3" s="327" spans="1:55">
      <c r="A3" s="338"/>
      <c r="B3" s="338"/>
      <c r="C3" s="338"/>
      <c r="D3" s="338"/>
      <c r="E3" s="338"/>
      <c r="F3" s="338"/>
      <c r="G3" s="338"/>
      <c r="H3" s="338"/>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customFormat="1" r="5" s="327" spans="1:55">
      <c r="A5" s="57"/>
      <c r="B5" s="57"/>
      <c r="C5" s="57"/>
      <c r="D5" s="57"/>
      <c r="E5" s="57"/>
      <c r="F5" s="555"/>
      <c r="G5" s="555"/>
      <c r="H5" s="555"/>
      <c r="I5" s="555"/>
      <c r="J5" s="555"/>
      <c r="K5" s="555"/>
      <c r="L5" s="555"/>
      <c r="M5" s="555"/>
      <c r="N5" s="555"/>
      <c r="O5" s="555"/>
      <c r="P5" s="555"/>
      <c r="Q5" s="555"/>
      <c r="R5" s="555"/>
      <c r="S5" s="555"/>
      <c r="T5" s="555"/>
      <c r="U5" s="555"/>
      <c r="V5" s="555"/>
      <c r="W5" s="555"/>
      <c r="X5" s="555"/>
      <c r="Y5" s="555"/>
      <c r="Z5" s="555"/>
      <c r="AA5" s="555"/>
      <c r="AB5" s="555"/>
      <c r="AC5" s="555"/>
      <c r="AD5" s="555"/>
      <c r="AE5" s="555"/>
      <c r="AF5" s="555"/>
      <c r="AG5" s="555"/>
      <c r="AH5" s="555"/>
      <c r="AI5" s="555"/>
      <c r="AJ5" s="555"/>
      <c r="AK5" s="555"/>
      <c r="AL5" s="555"/>
      <c r="AM5" s="555"/>
      <c r="AN5" s="555"/>
      <c r="AO5" s="555"/>
      <c r="AP5" s="555"/>
      <c r="AQ5" s="555"/>
      <c r="AR5" s="555"/>
      <c r="AS5" s="555"/>
      <c r="AT5" s="555"/>
      <c r="AU5" s="555"/>
      <c r="AV5" s="555"/>
      <c r="AW5" s="555"/>
      <c r="AX5" s="555"/>
    </row>
    <row customFormat="1" customHeight="1" ht="14.25" r="6" s="327" spans="1:55">
      <c r="A6" s="1100" t="str">
        <f>"Байгууллагын нэр: "&amp;ЧХ!C7</f>
        <v xml:space="preserve">Байгууллагын нэр: </v>
      </c>
      <c r="B6" s="1674"/>
      <c r="C6" s="1674"/>
      <c r="D6" s="1674"/>
      <c r="E6" s="57"/>
      <c r="F6" s="555"/>
      <c r="G6" s="555"/>
      <c r="H6" s="555"/>
      <c r="I6" s="555"/>
      <c r="J6" s="555"/>
      <c r="K6" s="555"/>
      <c r="L6" s="555"/>
      <c r="M6" s="555"/>
      <c r="N6" s="555"/>
      <c r="O6" s="555"/>
      <c r="P6" s="555"/>
      <c r="Q6" s="555"/>
      <c r="R6" s="555"/>
      <c r="S6" s="555"/>
      <c r="T6" s="555"/>
      <c r="U6" s="555"/>
      <c r="V6" s="555"/>
      <c r="W6" s="555"/>
      <c r="X6" s="555"/>
      <c r="Y6" s="555"/>
      <c r="Z6" s="555"/>
      <c r="AA6" s="555"/>
      <c r="AB6" s="555"/>
      <c r="AC6" s="555"/>
      <c r="AD6" s="555"/>
      <c r="AE6" s="555"/>
      <c r="AF6" s="555"/>
      <c r="AG6" s="555"/>
      <c r="AH6" s="555"/>
      <c r="AI6" s="555"/>
      <c r="AJ6" s="555"/>
      <c r="AK6" s="555"/>
      <c r="AL6" s="555"/>
      <c r="AM6" s="555"/>
      <c r="AN6" s="555"/>
      <c r="AO6" s="555"/>
      <c r="AP6" s="555"/>
      <c r="AQ6" s="555"/>
      <c r="AR6" s="555"/>
      <c r="AS6" s="555"/>
      <c r="AT6" s="555"/>
      <c r="AU6" s="555"/>
      <c r="AV6" s="555"/>
      <c r="AW6" s="555"/>
      <c r="AX6" s="555"/>
    </row>
    <row customFormat="1" r="7" s="406" spans="1:55">
      <c r="A7" s="1100" t="str">
        <f>+"тайлант он: " &amp;ЧХ!$C$8</f>
        <v xml:space="preserve">тайлант он: </v>
      </c>
      <c r="B7" s="702"/>
      <c r="C7" s="702"/>
      <c r="D7" s="702"/>
      <c r="E7" s="555"/>
      <c r="F7" s="555"/>
      <c r="G7" s="555"/>
      <c r="H7" s="555"/>
      <c r="I7" s="555"/>
      <c r="J7" s="555"/>
      <c r="K7" s="555"/>
      <c r="L7" s="555"/>
      <c r="M7" s="555"/>
      <c r="N7" s="555"/>
      <c r="O7" s="555"/>
      <c r="P7" s="555"/>
      <c r="Q7" s="555"/>
      <c r="R7" s="555"/>
      <c r="S7" s="555"/>
      <c r="T7" s="555"/>
      <c r="U7" s="555"/>
      <c r="V7" s="555"/>
      <c r="W7" s="555"/>
      <c r="X7" s="555"/>
      <c r="Y7" s="555"/>
      <c r="Z7" s="555"/>
      <c r="AA7" s="555"/>
      <c r="AB7" s="555"/>
      <c r="AC7" s="555"/>
      <c r="AD7" s="555"/>
      <c r="AE7" s="555"/>
      <c r="AF7" s="555"/>
      <c r="AG7" s="555"/>
      <c r="AH7" s="555"/>
      <c r="AI7" s="555"/>
      <c r="AJ7" s="555"/>
      <c r="AK7" s="555"/>
      <c r="AL7" s="555"/>
      <c r="AM7" s="555"/>
      <c r="AN7" s="555"/>
      <c r="AO7" s="555"/>
      <c r="AP7" s="555"/>
      <c r="AQ7" s="555"/>
      <c r="AR7" s="555"/>
      <c r="AS7" s="555"/>
      <c r="AT7" s="555"/>
      <c r="AU7" s="555"/>
      <c r="AV7" s="555"/>
      <c r="AW7" s="555"/>
      <c r="AX7" s="555"/>
    </row>
    <row customHeight="1" ht="21" r="8" spans="1:55">
      <c r="E8" s="858" t="s">
        <v>451</v>
      </c>
      <c r="F8" s="1335"/>
      <c r="G8" s="1335"/>
      <c r="H8" s="1335"/>
      <c r="I8" s="1335"/>
      <c r="J8" s="1335"/>
      <c r="K8" s="1335"/>
      <c r="L8" s="1335"/>
      <c r="M8" s="1335"/>
      <c r="N8" s="1335"/>
      <c r="O8" s="1335"/>
      <c r="P8" s="1335"/>
      <c r="Q8" s="1335"/>
      <c r="R8" s="1335"/>
      <c r="S8" s="1335"/>
      <c r="T8" s="1335"/>
      <c r="U8" s="1335"/>
      <c r="V8" s="1335"/>
      <c r="W8" s="1335"/>
      <c r="X8" s="1335"/>
      <c r="Y8" s="1335"/>
      <c r="Z8" s="1335"/>
      <c r="AA8" s="1335"/>
      <c r="AB8" s="1335"/>
      <c r="AC8" s="1335"/>
      <c r="AD8" s="1335"/>
      <c r="AE8" s="1335"/>
      <c r="AF8" s="1335"/>
      <c r="AG8" s="1335"/>
      <c r="AH8" s="1335"/>
      <c r="AI8" s="1335"/>
      <c r="AJ8" s="1335"/>
      <c r="AK8" s="1335"/>
      <c r="AL8" s="1335"/>
      <c r="AM8" s="1335"/>
      <c r="AN8" s="1335"/>
      <c r="AO8" s="1335"/>
      <c r="AP8" s="1335"/>
      <c r="AQ8" s="1335"/>
      <c r="AR8" s="1335"/>
      <c r="AS8" s="1335"/>
      <c r="AT8" s="1335"/>
      <c r="AU8" s="1335"/>
      <c r="AV8" s="1335"/>
      <c r="AW8" s="1335"/>
      <c r="AX8" s="1335"/>
      <c r="AY8" s="54"/>
    </row>
    <row customHeight="1" ht="30.75" r="9" spans="1:55">
      <c r="A9" s="1761" t="s">
        <v>1580</v>
      </c>
      <c r="B9" s="1761" t="s">
        <v>2139</v>
      </c>
      <c r="C9" s="705" t="s">
        <v>2164</v>
      </c>
      <c r="D9" s="705" t="s">
        <v>2163</v>
      </c>
      <c r="E9" s="705"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8"/>
    </row>
    <row customFormat="1" customHeight="1" ht="21.75" r="10" s="343" spans="1:55">
      <c r="A10" s="1762"/>
      <c r="B10" s="1762"/>
      <c r="C10" s="403">
        <v>2E-3</v>
      </c>
      <c r="D10" s="1122">
        <f>+C19</f>
        <v>0</v>
      </c>
      <c r="E10" s="402">
        <v>0.02</v>
      </c>
      <c r="F10" s="1336"/>
      <c r="G10" s="1336"/>
      <c r="H10" s="1336"/>
      <c r="I10" s="1336"/>
      <c r="J10" s="1336"/>
      <c r="K10" s="1336"/>
      <c r="L10" s="1336"/>
      <c r="M10" s="1336"/>
      <c r="N10" s="1336"/>
      <c r="O10" s="1336"/>
      <c r="P10" s="1336"/>
      <c r="Q10" s="1336"/>
      <c r="R10" s="1336"/>
      <c r="S10" s="1336"/>
      <c r="T10" s="1336"/>
      <c r="U10" s="1336"/>
      <c r="V10" s="1336"/>
      <c r="W10" s="1336"/>
      <c r="X10" s="1336"/>
      <c r="Y10" s="1336"/>
      <c r="Z10" s="1336"/>
      <c r="AA10" s="1336"/>
      <c r="AB10" s="1336"/>
      <c r="AC10" s="1336"/>
      <c r="AD10" s="1336"/>
      <c r="AE10" s="1336"/>
      <c r="AF10" s="1336"/>
      <c r="AG10" s="1336"/>
      <c r="AH10" s="1336"/>
      <c r="AI10" s="1336"/>
      <c r="AJ10" s="1336"/>
      <c r="AK10" s="1336"/>
      <c r="AL10" s="1336"/>
      <c r="AM10" s="1336"/>
      <c r="AN10" s="1336"/>
      <c r="AO10" s="1336"/>
      <c r="AP10" s="1336"/>
      <c r="AQ10" s="1336"/>
      <c r="AR10" s="1336"/>
      <c r="AS10" s="1336"/>
      <c r="AT10" s="1336"/>
      <c r="AU10" s="1336"/>
      <c r="AV10" s="1336"/>
      <c r="AW10" s="1336"/>
      <c r="AX10" s="1336"/>
      <c r="BC10" s="548"/>
    </row>
    <row r="11" spans="1:55">
      <c r="A11" s="705" t="s">
        <v>702</v>
      </c>
      <c r="B11" s="705" t="s">
        <v>1583</v>
      </c>
      <c r="C11" s="705">
        <v>1</v>
      </c>
      <c r="D11" s="705">
        <v>2</v>
      </c>
      <c r="E11" s="705">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4"/>
      <c r="BC11" s="784"/>
    </row>
    <row ht="25.5" r="12" spans="1:55">
      <c r="A12" s="701" t="s">
        <v>2956</v>
      </c>
      <c r="B12" s="412">
        <f>('А-4АБ'!C22+'А-4АБ'!C30)/1000</f>
        <v>0</v>
      </c>
      <c r="C12" s="412">
        <f>+B12*$C$10</f>
        <v>0</v>
      </c>
      <c r="D12" s="412">
        <f>IF(A12=B$19,B12*C$19,0)</f>
        <v>0</v>
      </c>
      <c r="E12" s="412">
        <f>+B12*$E$10</f>
        <v>0</v>
      </c>
      <c r="F12" s="1337"/>
      <c r="G12" s="1337"/>
      <c r="H12" s="1337"/>
      <c r="I12" s="1337"/>
      <c r="J12" s="1337"/>
      <c r="K12" s="1337"/>
      <c r="L12" s="1337"/>
      <c r="M12" s="1337"/>
      <c r="N12" s="1337"/>
      <c r="O12" s="1337"/>
      <c r="P12" s="1337"/>
      <c r="Q12" s="1337"/>
      <c r="R12" s="1337"/>
      <c r="S12" s="1337"/>
      <c r="T12" s="1337"/>
      <c r="U12" s="1337"/>
      <c r="V12" s="1337"/>
      <c r="W12" s="1337"/>
      <c r="X12" s="1337"/>
      <c r="Y12" s="1337"/>
      <c r="Z12" s="1337"/>
      <c r="AA12" s="1337"/>
      <c r="AB12" s="1337"/>
      <c r="AC12" s="1337"/>
      <c r="AD12" s="1337"/>
      <c r="AE12" s="1337"/>
      <c r="AF12" s="1337"/>
      <c r="AG12" s="1337"/>
      <c r="AH12" s="1337"/>
      <c r="AI12" s="1337"/>
      <c r="AJ12" s="1337"/>
      <c r="AK12" s="1337"/>
      <c r="AL12" s="1337"/>
      <c r="AM12" s="1337"/>
      <c r="AN12" s="1337"/>
      <c r="AO12" s="1337"/>
      <c r="AP12" s="1337"/>
      <c r="AQ12" s="1337"/>
      <c r="AR12" s="1337"/>
      <c r="AS12" s="1337"/>
      <c r="AT12" s="1337"/>
      <c r="AU12" s="1337"/>
      <c r="AV12" s="1337"/>
      <c r="AW12" s="1337"/>
      <c r="AX12" s="1337"/>
      <c r="BB12" s="784">
        <f>IF(D12&gt;0,1,0)</f>
        <v>0</v>
      </c>
      <c r="BC12" s="783" t="s">
        <v>3604</v>
      </c>
    </row>
    <row ht="25.5" r="13" spans="1:55">
      <c r="A13" s="701" t="s">
        <v>2957</v>
      </c>
      <c r="B13" s="412">
        <f>('А-4АБ'!C26+'А-4АБ'!C31)/1000</f>
        <v>0</v>
      </c>
      <c r="C13" s="412">
        <f ref="C13:C17" si="0" t="shared">+B13*$C$10</f>
        <v>0</v>
      </c>
      <c r="D13" s="412">
        <f ref="D13:D17" si="1" t="shared">IF(A13=B$19,B13*C$19,0)</f>
        <v>0</v>
      </c>
      <c r="E13" s="412">
        <f ref="E13:E17" si="2" t="shared">+B13*$E$10</f>
        <v>0</v>
      </c>
      <c r="F13" s="1337"/>
      <c r="G13" s="1337"/>
      <c r="H13" s="1337"/>
      <c r="I13" s="1337"/>
      <c r="J13" s="1337"/>
      <c r="K13" s="1337"/>
      <c r="L13" s="1337"/>
      <c r="M13" s="1337"/>
      <c r="N13" s="1337"/>
      <c r="O13" s="1337"/>
      <c r="P13" s="1337"/>
      <c r="Q13" s="1337"/>
      <c r="R13" s="1337"/>
      <c r="S13" s="1337"/>
      <c r="T13" s="1337"/>
      <c r="U13" s="1337"/>
      <c r="V13" s="1337"/>
      <c r="W13" s="1337"/>
      <c r="X13" s="1337"/>
      <c r="Y13" s="1337"/>
      <c r="Z13" s="1337"/>
      <c r="AA13" s="1337"/>
      <c r="AB13" s="1337"/>
      <c r="AC13" s="1337"/>
      <c r="AD13" s="1337"/>
      <c r="AE13" s="1337"/>
      <c r="AF13" s="1337"/>
      <c r="AG13" s="1337"/>
      <c r="AH13" s="1337"/>
      <c r="AI13" s="1337"/>
      <c r="AJ13" s="1337"/>
      <c r="AK13" s="1337"/>
      <c r="AL13" s="1337"/>
      <c r="AM13" s="1337"/>
      <c r="AN13" s="1337"/>
      <c r="AO13" s="1337"/>
      <c r="AP13" s="1337"/>
      <c r="AQ13" s="1337"/>
      <c r="AR13" s="1337"/>
      <c r="AS13" s="1337"/>
      <c r="AT13" s="1337"/>
      <c r="AU13" s="1337"/>
      <c r="AV13" s="1337"/>
      <c r="AW13" s="1337"/>
      <c r="AX13" s="1337"/>
      <c r="BB13" s="784">
        <f ref="BB13:BB17" si="3" t="shared">IF(D13&gt;0,1,0)</f>
        <v>0</v>
      </c>
      <c r="BC13" s="785" t="s">
        <v>3605</v>
      </c>
    </row>
    <row customFormat="1" ht="25.5" r="14" s="406" spans="1:55">
      <c r="A14" s="782" t="s">
        <v>2958</v>
      </c>
      <c r="B14" s="412">
        <f>('4.CT3A'!D9+'4.CT3A'!D284)/1000</f>
        <v>0</v>
      </c>
      <c r="C14" s="412">
        <f si="0" t="shared"/>
        <v>0</v>
      </c>
      <c r="D14" s="412">
        <f si="1" t="shared"/>
        <v>0</v>
      </c>
      <c r="E14" s="412">
        <f si="2" t="shared"/>
        <v>0</v>
      </c>
      <c r="F14" s="1337"/>
      <c r="G14" s="1337"/>
      <c r="H14" s="1337"/>
      <c r="I14" s="1337"/>
      <c r="J14" s="1337"/>
      <c r="K14" s="1337"/>
      <c r="L14" s="1337"/>
      <c r="M14" s="1337"/>
      <c r="N14" s="1337"/>
      <c r="O14" s="1337"/>
      <c r="P14" s="1337"/>
      <c r="Q14" s="1337"/>
      <c r="R14" s="1337"/>
      <c r="S14" s="1337"/>
      <c r="T14" s="1337"/>
      <c r="U14" s="1337"/>
      <c r="V14" s="1337"/>
      <c r="W14" s="1337"/>
      <c r="X14" s="1337"/>
      <c r="Y14" s="1337"/>
      <c r="Z14" s="1337"/>
      <c r="AA14" s="1337"/>
      <c r="AB14" s="1337"/>
      <c r="AC14" s="1337"/>
      <c r="AD14" s="1337"/>
      <c r="AE14" s="1337"/>
      <c r="AF14" s="1337"/>
      <c r="AG14" s="1337"/>
      <c r="AH14" s="1337"/>
      <c r="AI14" s="1337"/>
      <c r="AJ14" s="1337"/>
      <c r="AK14" s="1337"/>
      <c r="AL14" s="1337"/>
      <c r="AM14" s="1337"/>
      <c r="AN14" s="1337"/>
      <c r="AO14" s="1337"/>
      <c r="AP14" s="1337"/>
      <c r="AQ14" s="1337"/>
      <c r="AR14" s="1337"/>
      <c r="AS14" s="1337"/>
      <c r="AT14" s="1337"/>
      <c r="AU14" s="1337"/>
      <c r="AV14" s="1337"/>
      <c r="AW14" s="1337"/>
      <c r="AX14" s="1337"/>
      <c r="BB14" s="784">
        <f si="3" t="shared"/>
        <v>0</v>
      </c>
      <c r="BC14" s="783" t="s">
        <v>3606</v>
      </c>
    </row>
    <row customFormat="1" ht="25.5" r="15" s="406" spans="1:55">
      <c r="A15" s="782" t="s">
        <v>2959</v>
      </c>
      <c r="B15" s="412">
        <f>('4.CT3A'!D152+'4.CT3A'!D267+'4.CT3A'!D291+'4.CT3A'!D295+'4.CT3A'!D299)/1000</f>
        <v>0</v>
      </c>
      <c r="C15" s="412">
        <f si="0" t="shared"/>
        <v>0</v>
      </c>
      <c r="D15" s="412">
        <f si="1" t="shared"/>
        <v>0</v>
      </c>
      <c r="E15" s="412">
        <f si="2" t="shared"/>
        <v>0</v>
      </c>
      <c r="F15" s="1337"/>
      <c r="G15" s="1337"/>
      <c r="H15" s="1337"/>
      <c r="I15" s="1337"/>
      <c r="J15" s="1337"/>
      <c r="K15" s="1337"/>
      <c r="L15" s="1337"/>
      <c r="M15" s="1337"/>
      <c r="N15" s="1337"/>
      <c r="O15" s="1337"/>
      <c r="P15" s="1337"/>
      <c r="Q15" s="1337"/>
      <c r="R15" s="1337"/>
      <c r="S15" s="1337"/>
      <c r="T15" s="1337"/>
      <c r="U15" s="1337"/>
      <c r="V15" s="1337"/>
      <c r="W15" s="1337"/>
      <c r="X15" s="1337"/>
      <c r="Y15" s="1337"/>
      <c r="Z15" s="1337"/>
      <c r="AA15" s="1337"/>
      <c r="AB15" s="1337"/>
      <c r="AC15" s="1337"/>
      <c r="AD15" s="1337"/>
      <c r="AE15" s="1337"/>
      <c r="AF15" s="1337"/>
      <c r="AG15" s="1337"/>
      <c r="AH15" s="1337"/>
      <c r="AI15" s="1337"/>
      <c r="AJ15" s="1337"/>
      <c r="AK15" s="1337"/>
      <c r="AL15" s="1337"/>
      <c r="AM15" s="1337"/>
      <c r="AN15" s="1337"/>
      <c r="AO15" s="1337"/>
      <c r="AP15" s="1337"/>
      <c r="AQ15" s="1337"/>
      <c r="AR15" s="1337"/>
      <c r="AS15" s="1337"/>
      <c r="AT15" s="1337"/>
      <c r="AU15" s="1337"/>
      <c r="AV15" s="1337"/>
      <c r="AW15" s="1337"/>
      <c r="AX15" s="1337"/>
      <c r="BB15" s="784">
        <f si="3" t="shared"/>
        <v>0</v>
      </c>
      <c r="BC15" s="785" t="s">
        <v>3607</v>
      </c>
    </row>
    <row customHeight="1" ht="18" r="16" spans="1:55">
      <c r="A16" s="701" t="s">
        <v>1579</v>
      </c>
      <c r="B16" s="412">
        <f>'2.CT1A'!D144/1000</f>
        <v>0</v>
      </c>
      <c r="C16" s="412">
        <f si="0" t="shared"/>
        <v>0</v>
      </c>
      <c r="D16" s="412">
        <f si="1" t="shared"/>
        <v>0</v>
      </c>
      <c r="E16" s="412">
        <f si="2" t="shared"/>
        <v>0</v>
      </c>
      <c r="F16" s="1337"/>
      <c r="G16" s="1337"/>
      <c r="H16" s="1337"/>
      <c r="I16" s="1337"/>
      <c r="J16" s="1337"/>
      <c r="K16" s="1337"/>
      <c r="L16" s="1337"/>
      <c r="M16" s="1337"/>
      <c r="N16" s="1337"/>
      <c r="O16" s="1337"/>
      <c r="P16" s="1337"/>
      <c r="Q16" s="1337"/>
      <c r="R16" s="1337"/>
      <c r="S16" s="1337"/>
      <c r="T16" s="1337"/>
      <c r="U16" s="1337"/>
      <c r="V16" s="1337"/>
      <c r="W16" s="1337"/>
      <c r="X16" s="1337"/>
      <c r="Y16" s="1337"/>
      <c r="Z16" s="1337"/>
      <c r="AA16" s="1337"/>
      <c r="AB16" s="1337"/>
      <c r="AC16" s="1337"/>
      <c r="AD16" s="1337"/>
      <c r="AE16" s="1337"/>
      <c r="AF16" s="1337"/>
      <c r="AG16" s="1337"/>
      <c r="AH16" s="1337"/>
      <c r="AI16" s="1337"/>
      <c r="AJ16" s="1337"/>
      <c r="AK16" s="1337"/>
      <c r="AL16" s="1337"/>
      <c r="AM16" s="1337"/>
      <c r="AN16" s="1337"/>
      <c r="AO16" s="1337"/>
      <c r="AP16" s="1337"/>
      <c r="AQ16" s="1337"/>
      <c r="AR16" s="1337"/>
      <c r="AS16" s="1337"/>
      <c r="AT16" s="1337"/>
      <c r="AU16" s="1337"/>
      <c r="AV16" s="1337"/>
      <c r="AW16" s="1337"/>
      <c r="AX16" s="1337"/>
      <c r="BB16" s="784">
        <f si="3" t="shared"/>
        <v>0</v>
      </c>
      <c r="BC16" s="783" t="s">
        <v>3608</v>
      </c>
    </row>
    <row customHeight="1" ht="21.75" r="17" spans="1:55">
      <c r="A17" s="701" t="s">
        <v>1578</v>
      </c>
      <c r="B17" s="412">
        <f>'2.CT1A'!D221/1000</f>
        <v>0</v>
      </c>
      <c r="C17" s="412">
        <f si="0" t="shared"/>
        <v>0</v>
      </c>
      <c r="D17" s="412">
        <f si="1" t="shared"/>
        <v>0</v>
      </c>
      <c r="E17" s="412">
        <f si="2" t="shared"/>
        <v>0</v>
      </c>
      <c r="F17" s="1337"/>
      <c r="G17" s="1337"/>
      <c r="H17" s="1337"/>
      <c r="I17" s="1337"/>
      <c r="J17" s="1337"/>
      <c r="K17" s="1337"/>
      <c r="L17" s="1337"/>
      <c r="M17" s="1337"/>
      <c r="N17" s="1337"/>
      <c r="O17" s="1337"/>
      <c r="P17" s="1337"/>
      <c r="Q17" s="1337"/>
      <c r="R17" s="1337"/>
      <c r="S17" s="1337"/>
      <c r="T17" s="1337"/>
      <c r="U17" s="1337"/>
      <c r="V17" s="1337"/>
      <c r="W17" s="1337"/>
      <c r="X17" s="1337"/>
      <c r="Y17" s="1337"/>
      <c r="Z17" s="1337"/>
      <c r="AA17" s="1337"/>
      <c r="AB17" s="1337"/>
      <c r="AC17" s="1337"/>
      <c r="AD17" s="1337"/>
      <c r="AE17" s="1337"/>
      <c r="AF17" s="1337"/>
      <c r="AG17" s="1337"/>
      <c r="AH17" s="1337"/>
      <c r="AI17" s="1337"/>
      <c r="AJ17" s="1337"/>
      <c r="AK17" s="1337"/>
      <c r="AL17" s="1337"/>
      <c r="AM17" s="1337"/>
      <c r="AN17" s="1337"/>
      <c r="AO17" s="1337"/>
      <c r="AP17" s="1337"/>
      <c r="AQ17" s="1337"/>
      <c r="AR17" s="1337"/>
      <c r="AS17" s="1337"/>
      <c r="AT17" s="1337"/>
      <c r="AU17" s="1337"/>
      <c r="AV17" s="1337"/>
      <c r="AW17" s="1337"/>
      <c r="AX17" s="1337"/>
      <c r="BB17" s="784">
        <f si="3" t="shared"/>
        <v>0</v>
      </c>
      <c r="BC17" s="783" t="s">
        <v>3609</v>
      </c>
    </row>
    <row customHeight="1" ht="54" r="18" spans="1:55">
      <c r="A18" s="1670" t="str">
        <f>BC19&amp;" "&amp;BC20</f>
        <v>0 Дотоод хяналт хангалтгүй, эрсдэл ихтэй байдлуудыг үндэслэн доорхи хувиар тооцох нь зүйтэй гэж тус тус сонгов.</v>
      </c>
      <c r="B18" s="1671"/>
      <c r="C18" s="1671"/>
      <c r="D18" s="1671"/>
      <c r="E18" s="1672"/>
      <c r="F18" s="1332"/>
      <c r="G18" s="1332"/>
      <c r="H18" s="1332"/>
      <c r="I18" s="1332"/>
      <c r="J18" s="1332"/>
      <c r="K18" s="1332"/>
      <c r="L18" s="1332"/>
      <c r="M18" s="1332"/>
      <c r="N18" s="1332"/>
      <c r="O18" s="1332"/>
      <c r="P18" s="1332"/>
      <c r="Q18" s="1332"/>
      <c r="R18" s="1332"/>
      <c r="S18" s="1332"/>
      <c r="T18" s="1332"/>
      <c r="U18" s="1332"/>
      <c r="V18" s="1332"/>
      <c r="W18" s="1332"/>
      <c r="X18" s="1332"/>
      <c r="Y18" s="1332"/>
      <c r="Z18" s="1332"/>
      <c r="AA18" s="1332"/>
      <c r="AB18" s="1332"/>
      <c r="AC18" s="1332"/>
      <c r="AD18" s="1332"/>
      <c r="AE18" s="1332"/>
      <c r="AF18" s="1332"/>
      <c r="AG18" s="1332"/>
      <c r="AH18" s="1332"/>
      <c r="AI18" s="1332"/>
      <c r="AJ18" s="1332"/>
      <c r="AK18" s="1332"/>
      <c r="AL18" s="1332"/>
      <c r="AM18" s="1332"/>
      <c r="AN18" s="1332"/>
      <c r="AO18" s="1332"/>
      <c r="AP18" s="1332"/>
      <c r="AQ18" s="1332"/>
      <c r="AR18" s="1332"/>
      <c r="AS18" s="1332"/>
      <c r="AT18" s="1332"/>
      <c r="AU18" s="1332"/>
      <c r="AV18" s="1332"/>
      <c r="AW18" s="1332"/>
      <c r="AX18" s="1332"/>
      <c r="BB18" s="784">
        <f>IF(E18&gt;0,1,0)</f>
        <v>0</v>
      </c>
      <c r="BC18" s="784"/>
    </row>
    <row customFormat="1" customHeight="1" ht="40.5" r="19" s="406" spans="1:55">
      <c r="A19" s="704" t="s">
        <v>2166</v>
      </c>
      <c r="B19" s="1526"/>
      <c r="C19" s="1122"/>
      <c r="D19" s="706">
        <f>+D12+D13+D16+D17+D14+D15</f>
        <v>0</v>
      </c>
      <c r="E19" s="703" t="s">
        <v>3570</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3"/>
      <c r="BC19" s="783">
        <f>IF(BB12&gt;0,BC12,IF(BB13&gt;0,BC13,IF(BB14&gt;0,BC14,IF(BB15&gt;0,BC15,IF(BB16&gt;0,BC16,IF(BB17&gt;0,BC17,IF(BB18&gt;1.5,BC18,)))))))</f>
        <v>0</v>
      </c>
    </row>
    <row customHeight="1" ht="19.5" r="20" spans="1:55">
      <c r="A20" s="1764" t="s">
        <v>1582</v>
      </c>
      <c r="B20" s="1765"/>
      <c r="C20" s="1765"/>
      <c r="D20" s="1765"/>
      <c r="E20" s="1766"/>
      <c r="F20" s="1332"/>
      <c r="G20" s="1332"/>
      <c r="H20" s="1332"/>
      <c r="I20" s="1332"/>
      <c r="J20" s="1332"/>
      <c r="K20" s="1332"/>
      <c r="L20" s="1332"/>
      <c r="M20" s="1332"/>
      <c r="N20" s="1332"/>
      <c r="O20" s="1332"/>
      <c r="P20" s="1332"/>
      <c r="Q20" s="1332"/>
      <c r="R20" s="1332"/>
      <c r="S20" s="1332"/>
      <c r="T20" s="1332"/>
      <c r="U20" s="1332"/>
      <c r="V20" s="1332"/>
      <c r="W20" s="1332"/>
      <c r="X20" s="1332"/>
      <c r="Y20" s="1332"/>
      <c r="Z20" s="1332"/>
      <c r="AA20" s="1332"/>
      <c r="AB20" s="1332"/>
      <c r="AC20" s="1332"/>
      <c r="AD20" s="1332"/>
      <c r="AE20" s="1332"/>
      <c r="AF20" s="1332"/>
      <c r="AG20" s="1332"/>
      <c r="AH20" s="1332"/>
      <c r="AI20" s="1332"/>
      <c r="AJ20" s="1332"/>
      <c r="AK20" s="1332"/>
      <c r="AL20" s="1332"/>
      <c r="AM20" s="1332"/>
      <c r="AN20" s="1332"/>
      <c r="AO20" s="1332"/>
      <c r="AP20" s="1332"/>
      <c r="AQ20" s="1332"/>
      <c r="AR20" s="1332"/>
      <c r="AS20" s="1332"/>
      <c r="AT20" s="1332"/>
      <c r="AU20" s="1332"/>
      <c r="AV20" s="1332"/>
      <c r="AW20" s="1332"/>
      <c r="AX20" s="1332"/>
      <c r="BC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Format="1" customHeight="1" ht="19.5" r="21" s="406" spans="1:55">
      <c r="A21" s="1767" t="str">
        <f>'А-3'!H9</f>
        <v>Санхүүгийн тайлагналтай холбоотой шинж чанарын хувьд материаллаг зүйл байхгүй</v>
      </c>
      <c r="B21" s="1768"/>
      <c r="C21" s="1768"/>
      <c r="D21" s="1768"/>
      <c r="E21" s="1769"/>
      <c r="F21" s="1332"/>
      <c r="G21" s="1332"/>
      <c r="H21" s="1332"/>
      <c r="I21" s="1332"/>
      <c r="J21" s="1332"/>
      <c r="K21" s="1332"/>
      <c r="L21" s="1332"/>
      <c r="M21" s="1332"/>
      <c r="N21" s="1332"/>
      <c r="O21" s="1332"/>
      <c r="P21" s="1332"/>
      <c r="Q21" s="1332"/>
      <c r="R21" s="1332"/>
      <c r="S21" s="1332"/>
      <c r="T21" s="1332"/>
      <c r="U21" s="1332"/>
      <c r="V21" s="1332"/>
      <c r="W21" s="1332"/>
      <c r="X21" s="1332"/>
      <c r="Y21" s="1332"/>
      <c r="Z21" s="1332"/>
      <c r="AA21" s="1332"/>
      <c r="AB21" s="1332"/>
      <c r="AC21" s="1332"/>
      <c r="AD21" s="1332"/>
      <c r="AE21" s="1332"/>
      <c r="AF21" s="1332"/>
      <c r="AG21" s="1332"/>
      <c r="AH21" s="1332"/>
      <c r="AI21" s="1332"/>
      <c r="AJ21" s="1332"/>
      <c r="AK21" s="1332"/>
      <c r="AL21" s="1332"/>
      <c r="AM21" s="1332"/>
      <c r="AN21" s="1332"/>
      <c r="AO21" s="1332"/>
      <c r="AP21" s="1332"/>
      <c r="AQ21" s="1332"/>
      <c r="AR21" s="1332"/>
      <c r="AS21" s="1332"/>
      <c r="AT21" s="1332"/>
      <c r="AU21" s="1332"/>
      <c r="AV21" s="1332"/>
      <c r="AW21" s="1332"/>
      <c r="AX21" s="1332"/>
    </row>
    <row customFormat="1" customHeight="1" ht="21.75" r="22" s="406" spans="1:55">
      <c r="A22" s="1767" t="str">
        <f>'А-3'!H10</f>
        <v>Дансны үлдэгдэлтэй холбоотой шинж чанарын хувьд материаллаг зүйл байхгүй</v>
      </c>
      <c r="B22" s="1768"/>
      <c r="C22" s="1768"/>
      <c r="D22" s="1768"/>
      <c r="E22" s="1769"/>
      <c r="F22" s="1332"/>
      <c r="G22" s="1332"/>
      <c r="H22" s="1332"/>
      <c r="I22" s="1332"/>
      <c r="J22" s="1332"/>
      <c r="K22" s="1332"/>
      <c r="L22" s="1332"/>
      <c r="M22" s="1332"/>
      <c r="N22" s="1332"/>
      <c r="O22" s="1332"/>
      <c r="P22" s="1332"/>
      <c r="Q22" s="1332"/>
      <c r="R22" s="1332"/>
      <c r="S22" s="1332"/>
      <c r="T22" s="1332"/>
      <c r="U22" s="1332"/>
      <c r="V22" s="1332"/>
      <c r="W22" s="1332"/>
      <c r="X22" s="1332"/>
      <c r="Y22" s="1332"/>
      <c r="Z22" s="1332"/>
      <c r="AA22" s="1332"/>
      <c r="AB22" s="1332"/>
      <c r="AC22" s="1332"/>
      <c r="AD22" s="1332"/>
      <c r="AE22" s="1332"/>
      <c r="AF22" s="1332"/>
      <c r="AG22" s="1332"/>
      <c r="AH22" s="1332"/>
      <c r="AI22" s="1332"/>
      <c r="AJ22" s="1332"/>
      <c r="AK22" s="1332"/>
      <c r="AL22" s="1332"/>
      <c r="AM22" s="1332"/>
      <c r="AN22" s="1332"/>
      <c r="AO22" s="1332"/>
      <c r="AP22" s="1332"/>
      <c r="AQ22" s="1332"/>
      <c r="AR22" s="1332"/>
      <c r="AS22" s="1332"/>
      <c r="AT22" s="1332"/>
      <c r="AU22" s="1332"/>
      <c r="AV22" s="1332"/>
      <c r="AW22" s="1332"/>
      <c r="AX22" s="1332"/>
    </row>
    <row customFormat="1" customHeight="1" ht="26.25" r="23" s="406" spans="1:55">
      <c r="A23" s="1770" t="str">
        <f>'А-3'!H16</f>
        <v>Хийгдсэн гүйлгээ /орлого, зарлага/-тэй холбоотой шинж чанарын хувьд материаллаг зүйл байхгүй</v>
      </c>
      <c r="B23" s="1771"/>
      <c r="C23" s="1771"/>
      <c r="D23" s="1771"/>
      <c r="E23" s="1772"/>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customHeight="1" ht="27" r="24" spans="1:55">
      <c r="A24" s="1763" t="s">
        <v>1581</v>
      </c>
      <c r="B24" s="1763"/>
      <c r="C24" s="1763"/>
      <c r="D24" s="1763"/>
      <c r="E24" s="1763"/>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8"/>
    </row>
    <row r="26" spans="1:55">
      <c r="A26" s="348" t="s">
        <v>1897</v>
      </c>
      <c r="B26" s="348"/>
      <c r="C26" s="348"/>
      <c r="D26" s="343"/>
      <c r="E26" s="343"/>
      <c r="BC26" s="548"/>
    </row>
    <row r="27" spans="1:55">
      <c r="A27" s="343">
        <f>+ЧХ!$C$15</f>
        <v>0</v>
      </c>
      <c r="B27" s="343"/>
      <c r="C27" s="1679">
        <f>+ЧХ!$C$16</f>
        <v>0</v>
      </c>
      <c r="D27" s="1679"/>
      <c r="E27" s="347" t="s">
        <v>1777</v>
      </c>
      <c r="F27" s="1331"/>
      <c r="G27" s="1331"/>
      <c r="H27" s="1331"/>
      <c r="I27" s="1331"/>
      <c r="J27" s="1331"/>
      <c r="K27" s="1331"/>
      <c r="L27" s="1331"/>
      <c r="M27" s="1331"/>
      <c r="N27" s="1331"/>
      <c r="O27" s="1331"/>
      <c r="P27" s="1331"/>
      <c r="Q27" s="1331"/>
      <c r="R27" s="1331"/>
      <c r="S27" s="1331"/>
      <c r="T27" s="1331"/>
      <c r="U27" s="1331"/>
      <c r="V27" s="1331"/>
      <c r="W27" s="1331"/>
      <c r="X27" s="1331"/>
      <c r="Y27" s="1331"/>
      <c r="Z27" s="1331"/>
      <c r="AA27" s="1331"/>
      <c r="AB27" s="1331"/>
      <c r="AC27" s="1331"/>
      <c r="AD27" s="1331"/>
      <c r="AE27" s="1331"/>
      <c r="AF27" s="1331"/>
      <c r="AG27" s="1331"/>
      <c r="AH27" s="1331"/>
      <c r="AI27" s="1331"/>
      <c r="AJ27" s="1331"/>
      <c r="AK27" s="1331"/>
      <c r="AL27" s="1331"/>
      <c r="AM27" s="1331"/>
      <c r="AN27" s="1331"/>
      <c r="AO27" s="1331"/>
      <c r="AP27" s="1331"/>
      <c r="AQ27" s="1331"/>
      <c r="AR27" s="1331"/>
      <c r="AS27" s="1331"/>
      <c r="AT27" s="1331"/>
      <c r="AU27" s="1331"/>
      <c r="AV27" s="1331"/>
      <c r="AW27" s="1331"/>
      <c r="AX27" s="1331"/>
      <c r="BC27" s="548"/>
    </row>
    <row r="28" spans="1:55">
      <c r="A28" s="343"/>
      <c r="B28" s="343"/>
      <c r="C28" s="347"/>
      <c r="D28" s="347"/>
      <c r="E28" s="347"/>
      <c r="F28" s="1331"/>
      <c r="G28" s="1331"/>
      <c r="H28" s="1331"/>
      <c r="I28" s="1331"/>
      <c r="J28" s="1331"/>
      <c r="K28" s="1331"/>
      <c r="L28" s="1331"/>
      <c r="M28" s="1331"/>
      <c r="N28" s="1331"/>
      <c r="O28" s="1331"/>
      <c r="P28" s="1331"/>
      <c r="Q28" s="1331"/>
      <c r="R28" s="1331"/>
      <c r="S28" s="1331"/>
      <c r="T28" s="1331"/>
      <c r="U28" s="1331"/>
      <c r="V28" s="1331"/>
      <c r="W28" s="1331"/>
      <c r="X28" s="1331"/>
      <c r="Y28" s="1331"/>
      <c r="Z28" s="1331"/>
      <c r="AA28" s="1331"/>
      <c r="AB28" s="1331"/>
      <c r="AC28" s="1331"/>
      <c r="AD28" s="1331"/>
      <c r="AE28" s="1331"/>
      <c r="AF28" s="1331"/>
      <c r="AG28" s="1331"/>
      <c r="AH28" s="1331"/>
      <c r="AI28" s="1331"/>
      <c r="AJ28" s="1331"/>
      <c r="AK28" s="1331"/>
      <c r="AL28" s="1331"/>
      <c r="AM28" s="1331"/>
      <c r="AN28" s="1331"/>
      <c r="AO28" s="1331"/>
      <c r="AP28" s="1331"/>
      <c r="AQ28" s="1331"/>
      <c r="AR28" s="1331"/>
      <c r="AS28" s="1331"/>
      <c r="AT28" s="1331"/>
      <c r="AU28" s="1331"/>
      <c r="AV28" s="1331"/>
      <c r="AW28" s="1331"/>
      <c r="AX28" s="1331"/>
    </row>
    <row r="29" spans="1:55">
      <c r="A29" s="348" t="s">
        <v>1873</v>
      </c>
      <c r="B29" s="348"/>
      <c r="C29" s="343"/>
      <c r="D29" s="343"/>
      <c r="E29" s="347"/>
      <c r="F29" s="1331"/>
      <c r="G29" s="1331"/>
      <c r="H29" s="1331"/>
      <c r="I29" s="1331"/>
      <c r="J29" s="1331"/>
      <c r="K29" s="1331"/>
      <c r="L29" s="1331"/>
      <c r="M29" s="1331"/>
      <c r="N29" s="1331"/>
      <c r="O29" s="1331"/>
      <c r="P29" s="1331"/>
      <c r="Q29" s="1331"/>
      <c r="R29" s="1331"/>
      <c r="S29" s="1331"/>
      <c r="T29" s="1331"/>
      <c r="U29" s="1331"/>
      <c r="V29" s="1331"/>
      <c r="W29" s="1331"/>
      <c r="X29" s="1331"/>
      <c r="Y29" s="1331"/>
      <c r="Z29" s="1331"/>
      <c r="AA29" s="1331"/>
      <c r="AB29" s="1331"/>
      <c r="AC29" s="1331"/>
      <c r="AD29" s="1331"/>
      <c r="AE29" s="1331"/>
      <c r="AF29" s="1331"/>
      <c r="AG29" s="1331"/>
      <c r="AH29" s="1331"/>
      <c r="AI29" s="1331"/>
      <c r="AJ29" s="1331"/>
      <c r="AK29" s="1331"/>
      <c r="AL29" s="1331"/>
      <c r="AM29" s="1331"/>
      <c r="AN29" s="1331"/>
      <c r="AO29" s="1331"/>
      <c r="AP29" s="1331"/>
      <c r="AQ29" s="1331"/>
      <c r="AR29" s="1331"/>
      <c r="AS29" s="1331"/>
      <c r="AT29" s="1331"/>
      <c r="AU29" s="1331"/>
      <c r="AV29" s="1331"/>
      <c r="AW29" s="1331"/>
      <c r="AX29" s="1331"/>
    </row>
    <row r="30" spans="1:55">
      <c r="A30" s="343" t="str">
        <f>+ЧХ!$B$6</f>
        <v>Аудитын менежер</v>
      </c>
      <c r="B30" s="343"/>
      <c r="C30" s="1679">
        <f>+ЧХ!$C$6</f>
        <v>0</v>
      </c>
      <c r="D30" s="1679"/>
      <c r="E30" s="347" t="s">
        <v>1777</v>
      </c>
      <c r="F30" s="1331"/>
      <c r="G30" s="1331"/>
      <c r="H30" s="1331"/>
      <c r="I30" s="1331"/>
      <c r="J30" s="1331"/>
      <c r="K30" s="1331"/>
      <c r="L30" s="1331"/>
      <c r="M30" s="1331"/>
      <c r="N30" s="1331"/>
      <c r="O30" s="1331"/>
      <c r="P30" s="1331"/>
      <c r="Q30" s="1331"/>
      <c r="R30" s="1331"/>
      <c r="S30" s="1331"/>
      <c r="T30" s="1331"/>
      <c r="U30" s="1331"/>
      <c r="V30" s="1331"/>
      <c r="W30" s="1331"/>
      <c r="X30" s="1331"/>
      <c r="Y30" s="1331"/>
      <c r="Z30" s="1331"/>
      <c r="AA30" s="1331"/>
      <c r="AB30" s="1331"/>
      <c r="AC30" s="1331"/>
      <c r="AD30" s="1331"/>
      <c r="AE30" s="1331"/>
      <c r="AF30" s="1331"/>
      <c r="AG30" s="1331"/>
      <c r="AH30" s="1331"/>
      <c r="AI30" s="1331"/>
      <c r="AJ30" s="1331"/>
      <c r="AK30" s="1331"/>
      <c r="AL30" s="1331"/>
      <c r="AM30" s="1331"/>
      <c r="AN30" s="1331"/>
      <c r="AO30" s="1331"/>
      <c r="AP30" s="1331"/>
      <c r="AQ30" s="1331"/>
      <c r="AR30" s="1331"/>
      <c r="AS30" s="1331"/>
      <c r="AT30" s="1331"/>
      <c r="AU30" s="1331"/>
      <c r="AV30" s="1331"/>
      <c r="AW30" s="1331"/>
      <c r="AX30" s="1331"/>
    </row>
    <row r="31" spans="1:55">
      <c r="A31" s="343"/>
      <c r="B31" s="343"/>
      <c r="C31" s="347"/>
      <c r="D31" s="347"/>
      <c r="E31" s="347"/>
      <c r="F31" s="1331"/>
      <c r="G31" s="1331"/>
      <c r="H31" s="1331"/>
      <c r="I31" s="1331"/>
      <c r="J31" s="1331"/>
      <c r="K31" s="1331"/>
      <c r="L31" s="1331"/>
      <c r="M31" s="1331"/>
      <c r="N31" s="1331"/>
      <c r="O31" s="1331"/>
      <c r="P31" s="1331"/>
      <c r="Q31" s="1331"/>
      <c r="R31" s="1331"/>
      <c r="S31" s="1331"/>
      <c r="T31" s="1331"/>
      <c r="U31" s="1331"/>
      <c r="V31" s="1331"/>
      <c r="W31" s="1331"/>
      <c r="X31" s="1331"/>
      <c r="Y31" s="1331"/>
      <c r="Z31" s="1331"/>
      <c r="AA31" s="1331"/>
      <c r="AB31" s="1331"/>
      <c r="AC31" s="1331"/>
      <c r="AD31" s="1331"/>
      <c r="AE31" s="1331"/>
      <c r="AF31" s="1331"/>
      <c r="AG31" s="1331"/>
      <c r="AH31" s="1331"/>
      <c r="AI31" s="1331"/>
      <c r="AJ31" s="1331"/>
      <c r="AK31" s="1331"/>
      <c r="AL31" s="1331"/>
      <c r="AM31" s="1331"/>
      <c r="AN31" s="1331"/>
      <c r="AO31" s="1331"/>
      <c r="AP31" s="1331"/>
      <c r="AQ31" s="1331"/>
      <c r="AR31" s="1331"/>
      <c r="AS31" s="1331"/>
      <c r="AT31" s="1331"/>
      <c r="AU31" s="1331"/>
      <c r="AV31" s="1331"/>
      <c r="AW31" s="1331"/>
      <c r="AX31" s="1331"/>
    </row>
    <row r="32" spans="1:55">
      <c r="A32" s="348" t="s">
        <v>2035</v>
      </c>
      <c r="B32" s="348"/>
      <c r="C32" s="343"/>
      <c r="D32" s="343"/>
      <c r="E32" s="347"/>
      <c r="F32" s="1331"/>
      <c r="G32" s="1331"/>
      <c r="H32" s="1331"/>
      <c r="I32" s="1331"/>
      <c r="J32" s="1331"/>
      <c r="K32" s="1331"/>
      <c r="L32" s="1331"/>
      <c r="M32" s="1331"/>
      <c r="N32" s="1331"/>
      <c r="O32" s="1331"/>
      <c r="P32" s="1331"/>
      <c r="Q32" s="1331"/>
      <c r="R32" s="1331"/>
      <c r="S32" s="1331"/>
      <c r="T32" s="1331"/>
      <c r="U32" s="1331"/>
      <c r="V32" s="1331"/>
      <c r="W32" s="1331"/>
      <c r="X32" s="1331"/>
      <c r="Y32" s="1331"/>
      <c r="Z32" s="1331"/>
      <c r="AA32" s="1331"/>
      <c r="AB32" s="1331"/>
      <c r="AC32" s="1331"/>
      <c r="AD32" s="1331"/>
      <c r="AE32" s="1331"/>
      <c r="AF32" s="1331"/>
      <c r="AG32" s="1331"/>
      <c r="AH32" s="1331"/>
      <c r="AI32" s="1331"/>
      <c r="AJ32" s="1331"/>
      <c r="AK32" s="1331"/>
      <c r="AL32" s="1331"/>
      <c r="AM32" s="1331"/>
      <c r="AN32" s="1331"/>
      <c r="AO32" s="1331"/>
      <c r="AP32" s="1331"/>
      <c r="AQ32" s="1331"/>
      <c r="AR32" s="1331"/>
      <c r="AS32" s="1331"/>
      <c r="AT32" s="1331"/>
      <c r="AU32" s="1331"/>
      <c r="AV32" s="1331"/>
      <c r="AW32" s="1331"/>
      <c r="AX32" s="1331"/>
    </row>
    <row r="33" spans="1:50">
      <c r="A33" s="343" t="str">
        <f>+ЧХ!$B$5</f>
        <v>Тэргүүлэх аудитор</v>
      </c>
      <c r="B33" s="343"/>
      <c r="C33" s="1689" t="str">
        <f>+ЧХ!$C$5</f>
        <v>С.Энхбаатар</v>
      </c>
      <c r="D33" s="1689"/>
      <c r="E33" s="347" t="s">
        <v>1777</v>
      </c>
      <c r="F33" s="1331"/>
      <c r="G33" s="1331"/>
      <c r="H33" s="1331"/>
      <c r="I33" s="1331"/>
      <c r="J33" s="1331"/>
      <c r="K33" s="1331"/>
      <c r="L33" s="1331"/>
      <c r="M33" s="1331"/>
      <c r="N33" s="1331"/>
      <c r="O33" s="1331"/>
      <c r="P33" s="1331"/>
      <c r="Q33" s="1331"/>
      <c r="R33" s="1331"/>
      <c r="S33" s="1331"/>
      <c r="T33" s="1331"/>
      <c r="U33" s="1331"/>
      <c r="V33" s="1331"/>
      <c r="W33" s="1331"/>
      <c r="X33" s="1331"/>
      <c r="Y33" s="1331"/>
      <c r="Z33" s="1331"/>
      <c r="AA33" s="1331"/>
      <c r="AB33" s="1331"/>
      <c r="AC33" s="1331"/>
      <c r="AD33" s="1331"/>
      <c r="AE33" s="1331"/>
      <c r="AF33" s="1331"/>
      <c r="AG33" s="1331"/>
      <c r="AH33" s="1331"/>
      <c r="AI33" s="1331"/>
      <c r="AJ33" s="1331"/>
      <c r="AK33" s="1331"/>
      <c r="AL33" s="1331"/>
      <c r="AM33" s="1331"/>
      <c r="AN33" s="1331"/>
      <c r="AO33" s="1331"/>
      <c r="AP33" s="1331"/>
      <c r="AQ33" s="1331"/>
      <c r="AR33" s="1331"/>
      <c r="AS33" s="1331"/>
      <c r="AT33" s="1331"/>
      <c r="AU33" s="1331"/>
      <c r="AV33" s="1331"/>
      <c r="AW33" s="1331"/>
      <c r="AX33" s="1331"/>
    </row>
    <row r="36" spans="1:50">
      <c r="A36" s="406" t="str">
        <f>+ЧХ!$B$6&amp;"ийн санал: ………………………………………………………………………………………"</f>
        <v>Аудитын менежерийн санал: ………………………………………………………………………………………</v>
      </c>
    </row>
    <row r="37" spans="1:50">
      <c r="A37" s="406"/>
    </row>
    <row r="38" spans="1:50">
      <c r="A38" s="406"/>
    </row>
    <row r="39" spans="1:50">
      <c r="A39" s="406" t="str">
        <f>+ЧХ!$B$5&amp;"ын санал: ..........................................................................................................."</f>
        <v>Тэргүүлэх аудиторын санал: ...........................................................................................................</v>
      </c>
    </row>
  </sheetData>
  <mergeCells count="14">
    <mergeCell ref="C30:D30"/>
    <mergeCell ref="C33:D33"/>
    <mergeCell ref="B9:B10"/>
    <mergeCell ref="A9:A10"/>
    <mergeCell ref="A24:E24"/>
    <mergeCell ref="A20:E20"/>
    <mergeCell ref="A21:E21"/>
    <mergeCell ref="A22:E22"/>
    <mergeCell ref="A23:E23"/>
    <mergeCell ref="B6:D6"/>
    <mergeCell ref="B2:C2"/>
    <mergeCell ref="D2:E2"/>
    <mergeCell ref="A18:E18"/>
    <mergeCell ref="C27:D27"/>
  </mergeCells>
  <pageMargins bottom="0.75" footer="0.3" header="0.3" left="0.7" right="0.7" top="0.75"/>
  <pageSetup orientation="portrait" r:id="rId1"/>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06"/>
  <sheetViews>
    <sheetView workbookViewId="0" zoomScaleNormal="100">
      <selection activeCell="C8" sqref="C8"/>
    </sheetView>
  </sheetViews>
  <sheetFormatPr defaultRowHeight="12.75"/>
  <cols>
    <col min="1" max="1" customWidth="true" style="424" width="11.42578125" collapsed="false"/>
    <col min="2" max="2" customWidth="true" style="1425" width="69.0" collapsed="false"/>
    <col min="3" max="3" customWidth="true" style="1425" width="17.7109375" collapsed="false"/>
    <col min="4" max="4" customWidth="true" style="406" width="16.28515625" collapsed="false"/>
    <col min="5" max="5" customWidth="true" style="85" width="16.85546875" collapsed="false"/>
    <col min="6" max="16384" style="85" width="9.140625" collapsed="false"/>
  </cols>
  <sheetData>
    <row customFormat="1" r="1" s="343" spans="1:7">
      <c r="A1" s="424"/>
      <c r="B1" s="1425"/>
      <c r="C1" s="1425"/>
      <c r="D1" s="69" t="s">
        <v>3029</v>
      </c>
    </row>
    <row r="2" spans="1:7">
      <c r="A2" s="425"/>
      <c r="B2" s="1420" t="s">
        <v>2153</v>
      </c>
      <c r="C2" s="1420"/>
      <c r="D2" s="1420"/>
      <c r="F2" s="86"/>
      <c r="G2" s="86"/>
    </row>
    <row customFormat="1" r="3" s="406" spans="1:7">
      <c r="A3" s="425"/>
      <c r="B3" s="1420"/>
      <c r="C3" s="1420"/>
      <c r="D3" s="1420"/>
      <c r="F3" s="344"/>
      <c r="G3" s="344"/>
    </row>
    <row customFormat="1" r="4" s="343" spans="1:7">
      <c r="A4" s="425"/>
      <c r="B4" s="344" t="str">
        <f>"Байгууллагын нэр: "&amp;ЧХ!C7</f>
        <v xml:space="preserve">Байгууллагын нэр: </v>
      </c>
      <c r="C4" s="555"/>
      <c r="D4" s="406"/>
      <c r="F4" s="344"/>
      <c r="G4" s="344"/>
    </row>
    <row customHeight="1" ht="15" r="5" spans="1:7">
      <c r="A5" s="425"/>
      <c r="B5" s="556" t="str">
        <f>"Тайлант он: "&amp;ЧХ!$C$8</f>
        <v xml:space="preserve">Тайлант он: </v>
      </c>
      <c r="C5" s="344"/>
      <c r="D5" s="344"/>
      <c r="E5" s="344"/>
      <c r="F5" s="86"/>
      <c r="G5" s="86"/>
    </row>
    <row r="6" spans="1:7">
      <c r="C6" s="556"/>
      <c r="F6" s="86"/>
      <c r="G6" s="86"/>
    </row>
    <row customFormat="1" customHeight="1" ht="56.25" r="7" s="23" spans="1:7">
      <c r="A7" s="1422" t="s">
        <v>2155</v>
      </c>
      <c r="B7" s="1440" t="s">
        <v>1850</v>
      </c>
      <c r="C7" s="1421" t="s">
        <v>2154</v>
      </c>
      <c r="D7" s="1423" t="s">
        <v>701</v>
      </c>
      <c r="E7" s="95"/>
      <c r="F7" s="95"/>
      <c r="G7" s="95"/>
    </row>
    <row customFormat="1" customHeight="1" ht="32.25" r="8" s="1127" spans="1:7">
      <c r="A8" s="1761" t="s">
        <v>2156</v>
      </c>
      <c r="B8" s="1412" t="s">
        <v>3047</v>
      </c>
      <c r="C8" s="1129" t="s">
        <v>1475</v>
      </c>
      <c r="D8" s="1423"/>
      <c r="E8" s="1128"/>
      <c r="F8" s="1128"/>
      <c r="G8" s="1128"/>
    </row>
    <row customFormat="1" customHeight="1" ht="33" r="9" s="340" spans="1:7">
      <c r="A9" s="1773"/>
      <c r="B9" s="1419" t="s">
        <v>2215</v>
      </c>
      <c r="C9" s="1436" t="s">
        <v>1475</v>
      </c>
      <c r="D9" s="1423"/>
      <c r="E9" s="341"/>
      <c r="F9" s="341"/>
      <c r="G9" s="341"/>
    </row>
    <row customFormat="1" customHeight="1" ht="33" r="10" s="340" spans="1:7">
      <c r="A10" s="1773"/>
      <c r="B10" s="1419" t="s">
        <v>3347</v>
      </c>
      <c r="C10" s="1436" t="s">
        <v>1475</v>
      </c>
      <c r="D10" s="1423"/>
      <c r="E10" s="341"/>
      <c r="F10" s="341"/>
      <c r="G10" s="341"/>
    </row>
    <row customFormat="1" customHeight="1" ht="32.25" r="11" s="340" spans="1:7">
      <c r="A11" s="1773"/>
      <c r="B11" s="1419" t="s">
        <v>2157</v>
      </c>
      <c r="C11" s="1436" t="s">
        <v>1475</v>
      </c>
      <c r="D11" s="1423"/>
      <c r="E11" s="341"/>
      <c r="F11" s="341"/>
      <c r="G11" s="341"/>
    </row>
    <row customFormat="1" customHeight="1" ht="32.25" r="12" s="340" spans="1:7">
      <c r="A12" s="1773"/>
      <c r="B12" s="1419" t="s">
        <v>2158</v>
      </c>
      <c r="C12" s="1436" t="s">
        <v>1475</v>
      </c>
      <c r="D12" s="1423"/>
      <c r="E12" s="341"/>
      <c r="F12" s="341"/>
      <c r="G12" s="341"/>
    </row>
    <row customFormat="1" customHeight="1" ht="28.5" r="13" s="340" spans="1:7">
      <c r="A13" s="1773"/>
      <c r="B13" s="1419" t="s">
        <v>2159</v>
      </c>
      <c r="C13" s="1436" t="s">
        <v>1475</v>
      </c>
      <c r="D13" s="1423"/>
      <c r="E13" s="341"/>
      <c r="F13" s="341"/>
      <c r="G13" s="341"/>
    </row>
    <row customFormat="1" customHeight="1" ht="37.5" r="14" s="340" spans="1:7">
      <c r="A14" s="1762"/>
      <c r="B14" s="1419" t="s">
        <v>2160</v>
      </c>
      <c r="C14" s="1436" t="s">
        <v>1475</v>
      </c>
      <c r="D14" s="77"/>
      <c r="E14" s="341"/>
      <c r="F14" s="341"/>
      <c r="G14" s="341"/>
    </row>
    <row customFormat="1" customHeight="1" ht="34.5" r="15" s="427" spans="1:7">
      <c r="A15" s="1761" t="s">
        <v>3348</v>
      </c>
      <c r="B15" s="1412" t="s">
        <v>2205</v>
      </c>
      <c r="C15" s="1130" t="str">
        <f>IF('А-4АБ'!$E$4=1,"тийм","үгүй")</f>
        <v>үгүй</v>
      </c>
      <c r="D15" s="77"/>
      <c r="E15" s="428"/>
      <c r="F15" s="428"/>
      <c r="G15" s="428"/>
    </row>
    <row customHeight="1" ht="30.75" r="16" spans="1:7">
      <c r="A16" s="1773"/>
      <c r="B16" s="1419" t="s">
        <v>1852</v>
      </c>
      <c r="C16" s="1436" t="s">
        <v>1475</v>
      </c>
      <c r="D16" s="77"/>
      <c r="E16" s="89"/>
      <c r="F16" s="89"/>
      <c r="G16" s="89"/>
    </row>
    <row customHeight="1" ht="22.5" r="17" spans="1:7">
      <c r="A17" s="1773"/>
      <c r="B17" s="1419" t="s">
        <v>3349</v>
      </c>
      <c r="C17" s="1436" t="s">
        <v>1475</v>
      </c>
      <c r="D17" s="77"/>
      <c r="E17" s="89"/>
      <c r="F17" s="89"/>
      <c r="G17" s="89"/>
    </row>
    <row customHeight="1" ht="25.5" r="18" spans="1:7">
      <c r="A18" s="1773"/>
      <c r="B18" s="1419" t="s">
        <v>3350</v>
      </c>
      <c r="C18" s="1436" t="s">
        <v>1475</v>
      </c>
      <c r="D18" s="77"/>
      <c r="E18" s="89"/>
      <c r="F18" s="89"/>
      <c r="G18" s="89"/>
    </row>
    <row customHeight="1" ht="41.25" r="19" spans="1:7">
      <c r="A19" s="1773"/>
      <c r="B19" s="1419" t="s">
        <v>3351</v>
      </c>
      <c r="C19" s="1436" t="s">
        <v>1475</v>
      </c>
      <c r="D19" s="77"/>
      <c r="E19" s="89"/>
      <c r="F19" s="89"/>
      <c r="G19" s="89"/>
    </row>
    <row customHeight="1" ht="27.75" r="20" spans="1:7">
      <c r="A20" s="1773"/>
      <c r="B20" s="1419" t="s">
        <v>3352</v>
      </c>
      <c r="C20" s="1436" t="s">
        <v>1475</v>
      </c>
      <c r="D20" s="77"/>
      <c r="E20" s="89"/>
      <c r="F20" s="89"/>
      <c r="G20" s="89"/>
    </row>
    <row customFormat="1" customHeight="1" ht="29.25" r="21" s="406" spans="1:7">
      <c r="A21" s="1773"/>
      <c r="B21" s="1419" t="s">
        <v>1853</v>
      </c>
      <c r="C21" s="1436" t="s">
        <v>1475</v>
      </c>
      <c r="D21" s="77"/>
      <c r="E21" s="89"/>
      <c r="F21" s="89"/>
      <c r="G21" s="89"/>
    </row>
    <row customHeight="1" ht="22.5" r="22" spans="1:7">
      <c r="A22" s="1773"/>
      <c r="B22" s="1419" t="s">
        <v>1854</v>
      </c>
      <c r="C22" s="1436" t="s">
        <v>1475</v>
      </c>
      <c r="D22" s="77"/>
      <c r="E22" s="89"/>
      <c r="F22" s="89"/>
      <c r="G22" s="89"/>
    </row>
    <row customHeight="1" ht="32.25" r="23" spans="1:7">
      <c r="A23" s="1773"/>
      <c r="B23" s="1419" t="s">
        <v>3353</v>
      </c>
      <c r="C23" s="1436" t="s">
        <v>1475</v>
      </c>
      <c r="D23" s="77"/>
      <c r="E23" s="89"/>
      <c r="F23" s="89"/>
      <c r="G23" s="89"/>
    </row>
    <row customHeight="1" ht="26.25" r="24" spans="1:7">
      <c r="A24" s="1773"/>
      <c r="B24" s="1419" t="s">
        <v>3354</v>
      </c>
      <c r="C24" s="1436" t="s">
        <v>1475</v>
      </c>
      <c r="D24" s="77"/>
      <c r="E24" s="89"/>
      <c r="F24" s="89"/>
      <c r="G24" s="89"/>
    </row>
    <row customHeight="1" ht="30.75" r="25" spans="1:7">
      <c r="A25" s="1762"/>
      <c r="B25" s="1419" t="s">
        <v>3355</v>
      </c>
      <c r="C25" s="1436" t="s">
        <v>1475</v>
      </c>
      <c r="D25" s="77"/>
      <c r="E25" s="89"/>
      <c r="F25" s="89"/>
      <c r="G25" s="89"/>
    </row>
    <row customHeight="1" ht="22.5" r="26" spans="1:7">
      <c r="A26" s="1774" t="s">
        <v>1882</v>
      </c>
      <c r="B26" s="1412" t="s">
        <v>2205</v>
      </c>
      <c r="C26" s="1130" t="str">
        <f>IF('А-4АБ'!$E$6=1,"тийм","үгүй")</f>
        <v>үгүй</v>
      </c>
      <c r="D26" s="77"/>
      <c r="E26" s="89"/>
      <c r="F26" s="89"/>
      <c r="G26" s="89"/>
    </row>
    <row customHeight="1" ht="31.5" r="27" spans="1:7">
      <c r="A27" s="1775"/>
      <c r="B27" s="1419" t="s">
        <v>1852</v>
      </c>
      <c r="C27" s="1436" t="s">
        <v>1475</v>
      </c>
      <c r="D27" s="77"/>
      <c r="E27" s="89"/>
      <c r="F27" s="89"/>
      <c r="G27" s="89"/>
    </row>
    <row customHeight="1" ht="30" r="28" spans="1:7">
      <c r="A28" s="1775"/>
      <c r="B28" s="1419" t="s">
        <v>3356</v>
      </c>
      <c r="C28" s="1436" t="s">
        <v>1475</v>
      </c>
      <c r="D28" s="77"/>
      <c r="E28" s="89"/>
      <c r="F28" s="89"/>
      <c r="G28" s="89"/>
    </row>
    <row customHeight="1" ht="24.75" r="29" spans="1:7">
      <c r="A29" s="1775"/>
      <c r="B29" s="1419" t="s">
        <v>3357</v>
      </c>
      <c r="C29" s="1436" t="s">
        <v>1475</v>
      </c>
      <c r="D29" s="77"/>
      <c r="E29" s="89"/>
      <c r="F29" s="89"/>
      <c r="G29" s="89"/>
    </row>
    <row customHeight="1" ht="25.5" r="30" spans="1:7">
      <c r="A30" s="1775"/>
      <c r="B30" s="1419" t="s">
        <v>3358</v>
      </c>
      <c r="C30" s="1436" t="s">
        <v>1475</v>
      </c>
      <c r="D30" s="77"/>
      <c r="E30" s="89"/>
      <c r="F30" s="89"/>
      <c r="G30" s="89"/>
    </row>
    <row r="31" spans="1:7">
      <c r="A31" s="1775"/>
      <c r="B31" s="1419" t="s">
        <v>1862</v>
      </c>
      <c r="C31" s="1436" t="s">
        <v>1475</v>
      </c>
      <c r="D31" s="77"/>
      <c r="E31" s="89"/>
      <c r="F31" s="89"/>
      <c r="G31" s="89"/>
    </row>
    <row customFormat="1" customHeight="1" ht="24" r="32" s="406" spans="1:7">
      <c r="A32" s="1775"/>
      <c r="B32" s="1419" t="s">
        <v>3359</v>
      </c>
      <c r="C32" s="1436" t="s">
        <v>1475</v>
      </c>
      <c r="D32" s="77"/>
      <c r="E32" s="89"/>
      <c r="F32" s="89"/>
      <c r="G32" s="89"/>
    </row>
    <row customHeight="1" ht="24.75" r="33" spans="1:7">
      <c r="A33" s="1775"/>
      <c r="B33" s="1419" t="s">
        <v>3360</v>
      </c>
      <c r="C33" s="1436" t="s">
        <v>1475</v>
      </c>
      <c r="D33" s="77"/>
      <c r="E33" s="89"/>
      <c r="F33" s="89"/>
      <c r="G33" s="89"/>
    </row>
    <row customHeight="1" ht="25.5" r="34" spans="1:7">
      <c r="A34" s="1775"/>
      <c r="B34" s="1419" t="s">
        <v>1858</v>
      </c>
      <c r="C34" s="1436" t="s">
        <v>1475</v>
      </c>
      <c r="D34" s="77"/>
      <c r="E34" s="89"/>
      <c r="F34" s="89"/>
      <c r="G34" s="89"/>
    </row>
    <row r="35" spans="1:7">
      <c r="A35" s="1775"/>
      <c r="B35" s="1419" t="s">
        <v>3361</v>
      </c>
      <c r="C35" s="1436" t="s">
        <v>1475</v>
      </c>
      <c r="D35" s="77"/>
      <c r="E35" s="89"/>
      <c r="F35" s="89"/>
      <c r="G35" s="89"/>
    </row>
    <row customHeight="1" ht="25.5" r="36" spans="1:7">
      <c r="A36" s="1775"/>
      <c r="B36" s="1419" t="s">
        <v>3362</v>
      </c>
      <c r="C36" s="1436" t="s">
        <v>1475</v>
      </c>
      <c r="D36" s="77"/>
      <c r="E36" s="89"/>
      <c r="F36" s="89"/>
      <c r="G36" s="89"/>
    </row>
    <row customHeight="1" ht="25.5" r="37" spans="1:7">
      <c r="A37" s="1775"/>
      <c r="B37" s="1419" t="s">
        <v>3363</v>
      </c>
      <c r="C37" s="1436" t="s">
        <v>1475</v>
      </c>
      <c r="D37" s="77"/>
      <c r="E37" s="89"/>
      <c r="F37" s="89"/>
      <c r="G37" s="89"/>
    </row>
    <row customHeight="1" ht="12.75" r="38" spans="1:7">
      <c r="A38" s="1775"/>
      <c r="B38" s="1419" t="s">
        <v>3364</v>
      </c>
      <c r="C38" s="1436" t="s">
        <v>1475</v>
      </c>
      <c r="D38" s="77"/>
      <c r="E38" s="89"/>
      <c r="F38" s="89"/>
      <c r="G38" s="89"/>
    </row>
    <row customFormat="1" customHeight="1" ht="24" r="39" s="406" spans="1:7">
      <c r="A39" s="1776"/>
      <c r="B39" s="1419" t="s">
        <v>3365</v>
      </c>
      <c r="C39" s="1436" t="s">
        <v>1475</v>
      </c>
      <c r="D39" s="77"/>
      <c r="E39" s="89"/>
      <c r="F39" s="89"/>
      <c r="G39" s="89"/>
    </row>
    <row customHeight="1" ht="16.5" r="40" spans="1:7">
      <c r="A40" s="1777" t="s">
        <v>3366</v>
      </c>
      <c r="B40" s="1419" t="s">
        <v>3367</v>
      </c>
      <c r="C40" s="1436" t="s">
        <v>1475</v>
      </c>
      <c r="D40" s="77"/>
      <c r="E40" s="89"/>
      <c r="F40" s="89"/>
      <c r="G40" s="89"/>
    </row>
    <row r="41" spans="1:7">
      <c r="A41" s="1777"/>
      <c r="B41" s="1419" t="s">
        <v>1852</v>
      </c>
      <c r="C41" s="1436" t="s">
        <v>1475</v>
      </c>
      <c r="D41" s="77"/>
      <c r="E41" s="89"/>
      <c r="F41" s="89"/>
      <c r="G41" s="89"/>
    </row>
    <row customHeight="1" ht="21.75" r="42" spans="1:7">
      <c r="A42" s="1777"/>
      <c r="B42" s="1419" t="s">
        <v>1862</v>
      </c>
      <c r="C42" s="1436" t="s">
        <v>1475</v>
      </c>
      <c r="D42" s="77"/>
      <c r="E42" s="89"/>
      <c r="F42" s="89"/>
      <c r="G42" s="89"/>
    </row>
    <row customHeight="1" ht="23.25" r="43" spans="1:7">
      <c r="A43" s="1777"/>
      <c r="B43" s="1419" t="s">
        <v>3368</v>
      </c>
      <c r="C43" s="1436" t="s">
        <v>1475</v>
      </c>
      <c r="D43" s="77"/>
      <c r="E43" s="89"/>
      <c r="F43" s="89"/>
      <c r="G43" s="89"/>
    </row>
    <row customHeight="1" ht="27" r="44" spans="1:7">
      <c r="A44" s="1777"/>
      <c r="B44" s="1419" t="s">
        <v>3359</v>
      </c>
      <c r="C44" s="1436" t="s">
        <v>1475</v>
      </c>
      <c r="D44" s="77"/>
      <c r="E44" s="89"/>
      <c r="F44" s="89"/>
      <c r="G44" s="89"/>
    </row>
    <row customHeight="1" ht="25.5" r="45" spans="1:7">
      <c r="A45" s="1777"/>
      <c r="B45" s="1419" t="s">
        <v>1858</v>
      </c>
      <c r="C45" s="1436" t="s">
        <v>1475</v>
      </c>
      <c r="D45" s="77"/>
      <c r="E45" s="89"/>
      <c r="F45" s="89"/>
      <c r="G45" s="89"/>
    </row>
    <row customHeight="1" ht="20.25" r="46" spans="1:7">
      <c r="A46" s="1774" t="s">
        <v>1855</v>
      </c>
      <c r="B46" s="1412" t="s">
        <v>2205</v>
      </c>
      <c r="C46" s="1130" t="str">
        <f>IF('А-4АБ'!$E$8=1,"тийм","үгүй")</f>
        <v>үгүй</v>
      </c>
      <c r="D46" s="77"/>
      <c r="E46" s="89"/>
      <c r="F46" s="89"/>
      <c r="G46" s="89"/>
    </row>
    <row customHeight="1" ht="25.5" r="47" spans="1:7">
      <c r="A47" s="1775"/>
      <c r="B47" s="1419" t="s">
        <v>1856</v>
      </c>
      <c r="C47" s="1436" t="s">
        <v>1475</v>
      </c>
      <c r="D47" s="77"/>
      <c r="E47" s="89"/>
      <c r="F47" s="89"/>
      <c r="G47" s="89"/>
    </row>
    <row customHeight="1" ht="25.5" r="48" spans="1:7">
      <c r="A48" s="1775"/>
      <c r="B48" s="1419" t="s">
        <v>1857</v>
      </c>
      <c r="C48" s="1436" t="s">
        <v>1475</v>
      </c>
      <c r="D48" s="77"/>
      <c r="E48" s="89"/>
      <c r="F48" s="89"/>
      <c r="G48" s="89"/>
    </row>
    <row customHeight="1" ht="25.5" r="49" spans="1:7">
      <c r="A49" s="1775"/>
      <c r="B49" s="1419" t="s">
        <v>1862</v>
      </c>
      <c r="C49" s="1436" t="s">
        <v>1475</v>
      </c>
      <c r="D49" s="77"/>
      <c r="E49" s="89"/>
      <c r="F49" s="89"/>
      <c r="G49" s="89"/>
    </row>
    <row customHeight="1" ht="25.5" r="50" spans="1:7">
      <c r="A50" s="1775"/>
      <c r="B50" s="1419" t="s">
        <v>1858</v>
      </c>
      <c r="C50" s="1436" t="s">
        <v>1475</v>
      </c>
      <c r="D50" s="77"/>
      <c r="E50" s="89"/>
      <c r="F50" s="89"/>
      <c r="G50" s="89"/>
    </row>
    <row customFormat="1" customHeight="1" ht="25.5" r="51" s="406" spans="1:7">
      <c r="A51" s="1775"/>
      <c r="B51" s="1419" t="s">
        <v>3355</v>
      </c>
      <c r="C51" s="1436" t="s">
        <v>1475</v>
      </c>
      <c r="D51" s="77"/>
      <c r="E51" s="89"/>
      <c r="F51" s="89"/>
      <c r="G51" s="89"/>
    </row>
    <row customFormat="1" customHeight="1" ht="22.5" r="52" s="406" spans="1:7">
      <c r="A52" s="1775"/>
      <c r="B52" s="1419" t="s">
        <v>1859</v>
      </c>
      <c r="C52" s="1436" t="s">
        <v>1475</v>
      </c>
      <c r="D52" s="77"/>
      <c r="E52" s="89"/>
      <c r="F52" s="89"/>
      <c r="G52" s="89"/>
    </row>
    <row customHeight="1" ht="34.5" r="53" spans="1:7">
      <c r="A53" s="1775"/>
      <c r="B53" s="1419" t="s">
        <v>3369</v>
      </c>
      <c r="C53" s="1436" t="s">
        <v>1475</v>
      </c>
      <c r="D53" s="77"/>
      <c r="E53" s="89"/>
      <c r="F53" s="89"/>
      <c r="G53" s="89"/>
    </row>
    <row customHeight="1" ht="15" r="54" spans="1:7">
      <c r="A54" s="1775"/>
      <c r="B54" s="1419" t="s">
        <v>1860</v>
      </c>
      <c r="C54" s="1436" t="s">
        <v>1475</v>
      </c>
      <c r="D54" s="77"/>
      <c r="E54" s="89"/>
      <c r="F54" s="89"/>
      <c r="G54" s="89"/>
    </row>
    <row customFormat="1" customHeight="1" ht="25.5" r="55" s="406" spans="1:7">
      <c r="A55" s="1775"/>
      <c r="B55" s="1419" t="s">
        <v>3370</v>
      </c>
      <c r="C55" s="1436" t="s">
        <v>1475</v>
      </c>
      <c r="D55" s="77"/>
      <c r="E55" s="89"/>
      <c r="F55" s="89"/>
      <c r="G55" s="89"/>
    </row>
    <row customHeight="1" ht="21.75" r="56" spans="1:7">
      <c r="A56" s="1775"/>
      <c r="B56" s="1419" t="s">
        <v>3371</v>
      </c>
      <c r="C56" s="1436" t="s">
        <v>1475</v>
      </c>
      <c r="D56" s="77"/>
      <c r="E56" s="89"/>
      <c r="F56" s="89"/>
      <c r="G56" s="89"/>
    </row>
    <row customHeight="1" ht="30" r="57" spans="1:7">
      <c r="A57" s="1775"/>
      <c r="B57" s="1419" t="s">
        <v>3372</v>
      </c>
      <c r="C57" s="1436" t="s">
        <v>1475</v>
      </c>
      <c r="D57" s="77"/>
      <c r="E57" s="89"/>
      <c r="F57" s="89"/>
      <c r="G57" s="89"/>
    </row>
    <row customHeight="1" ht="38.25" r="58" spans="1:7">
      <c r="A58" s="1775"/>
      <c r="B58" s="1419" t="s">
        <v>3373</v>
      </c>
      <c r="C58" s="1436" t="s">
        <v>1475</v>
      </c>
      <c r="D58" s="77"/>
      <c r="E58" s="89"/>
      <c r="F58" s="89"/>
      <c r="G58" s="89"/>
    </row>
    <row customHeight="1" ht="28.5" r="59" spans="1:7">
      <c r="A59" s="1775"/>
      <c r="B59" s="1419" t="s">
        <v>3374</v>
      </c>
      <c r="C59" s="1436" t="s">
        <v>1475</v>
      </c>
      <c r="D59" s="77"/>
      <c r="E59" s="89"/>
      <c r="F59" s="89"/>
      <c r="G59" s="89"/>
    </row>
    <row customHeight="1" ht="22.5" r="60" spans="1:7">
      <c r="A60" s="1776"/>
      <c r="B60" s="1419" t="s">
        <v>3375</v>
      </c>
      <c r="C60" s="1436" t="s">
        <v>1475</v>
      </c>
      <c r="D60" s="77"/>
    </row>
    <row customHeight="1" ht="22.5" r="61" spans="1:7">
      <c r="A61" s="1774" t="s">
        <v>1863</v>
      </c>
      <c r="B61" s="1412" t="s">
        <v>2205</v>
      </c>
      <c r="C61" s="1130" t="str">
        <f>IF('А-4АБ'!$E$12=1,"тийм","үгүй")</f>
        <v>үгүй</v>
      </c>
      <c r="D61" s="77"/>
    </row>
    <row customFormat="1" customHeight="1" ht="21.75" r="62" s="406" spans="1:7">
      <c r="A62" s="1775"/>
      <c r="B62" s="1419" t="s">
        <v>1852</v>
      </c>
      <c r="C62" s="1436" t="s">
        <v>1475</v>
      </c>
      <c r="D62" s="77"/>
    </row>
    <row customFormat="1" r="63" s="406" spans="1:7">
      <c r="A63" s="1775"/>
      <c r="B63" s="1419" t="s">
        <v>1864</v>
      </c>
      <c r="C63" s="1436" t="s">
        <v>1475</v>
      </c>
      <c r="D63" s="77"/>
    </row>
    <row customFormat="1" customHeight="1" ht="25.5" r="64" s="406" spans="1:7">
      <c r="A64" s="1775"/>
      <c r="B64" s="1419" t="s">
        <v>1857</v>
      </c>
      <c r="C64" s="1436" t="s">
        <v>1475</v>
      </c>
      <c r="D64" s="77"/>
    </row>
    <row customFormat="1" customHeight="1" ht="25.5" r="65" s="406" spans="1:4">
      <c r="A65" s="1775"/>
      <c r="B65" s="1419" t="s">
        <v>3376</v>
      </c>
      <c r="C65" s="1436" t="s">
        <v>1475</v>
      </c>
      <c r="D65" s="46"/>
    </row>
    <row customFormat="1" r="66" s="406" spans="1:4">
      <c r="A66" s="1775"/>
      <c r="B66" s="1419" t="s">
        <v>1862</v>
      </c>
      <c r="C66" s="1436" t="s">
        <v>1475</v>
      </c>
      <c r="D66" s="46"/>
    </row>
    <row customFormat="1" customHeight="1" ht="32.25" r="67" s="406" spans="1:4">
      <c r="A67" s="1775"/>
      <c r="B67" s="1419" t="s">
        <v>1865</v>
      </c>
      <c r="C67" s="1436" t="s">
        <v>1475</v>
      </c>
      <c r="D67" s="46"/>
    </row>
    <row customFormat="1" customHeight="1" ht="36" r="68" s="406" spans="1:4">
      <c r="A68" s="1775"/>
      <c r="B68" s="1419" t="s">
        <v>1858</v>
      </c>
      <c r="C68" s="1436" t="s">
        <v>1475</v>
      </c>
      <c r="D68" s="46"/>
    </row>
    <row customFormat="1" customHeight="1" ht="45" r="69" s="406" spans="1:4">
      <c r="A69" s="1775"/>
      <c r="B69" s="1419" t="s">
        <v>3355</v>
      </c>
      <c r="C69" s="1436" t="s">
        <v>1475</v>
      </c>
      <c r="D69" s="46"/>
    </row>
    <row customFormat="1" customHeight="1" ht="18.75" r="70" s="406" spans="1:4">
      <c r="A70" s="1775"/>
      <c r="B70" s="1419" t="s">
        <v>1859</v>
      </c>
      <c r="C70" s="1436" t="s">
        <v>1475</v>
      </c>
      <c r="D70" s="46"/>
    </row>
    <row customFormat="1" customHeight="1" ht="18" r="71" s="406" spans="1:4">
      <c r="A71" s="1775"/>
      <c r="B71" s="1419" t="s">
        <v>3375</v>
      </c>
      <c r="C71" s="1436" t="s">
        <v>1475</v>
      </c>
      <c r="D71" s="46"/>
    </row>
    <row customFormat="1" customHeight="1" ht="17.25" r="72" s="406" spans="1:4">
      <c r="A72" s="1775"/>
      <c r="B72" s="1419" t="s">
        <v>3377</v>
      </c>
      <c r="C72" s="1436" t="s">
        <v>1475</v>
      </c>
      <c r="D72" s="46"/>
    </row>
    <row ht="25.5" r="73" spans="1:4">
      <c r="A73" s="1775"/>
      <c r="B73" s="1419" t="s">
        <v>3378</v>
      </c>
      <c r="C73" s="1436" t="s">
        <v>1475</v>
      </c>
      <c r="D73" s="46"/>
    </row>
    <row customFormat="1" r="74" s="406" spans="1:4">
      <c r="A74" s="1775"/>
      <c r="B74" s="1419" t="s">
        <v>3379</v>
      </c>
      <c r="C74" s="1436" t="s">
        <v>1475</v>
      </c>
      <c r="D74" s="46"/>
    </row>
    <row ht="25.5" r="75" spans="1:4">
      <c r="A75" s="1775"/>
      <c r="B75" s="1419" t="s">
        <v>1866</v>
      </c>
      <c r="C75" s="1436" t="s">
        <v>1475</v>
      </c>
      <c r="D75" s="46"/>
    </row>
    <row ht="25.5" r="76" spans="1:4">
      <c r="A76" s="1775"/>
      <c r="B76" s="1419" t="s">
        <v>3380</v>
      </c>
      <c r="C76" s="1436" t="s">
        <v>1475</v>
      </c>
      <c r="D76" s="46"/>
    </row>
    <row ht="25.5" r="77" spans="1:4">
      <c r="A77" s="1775"/>
      <c r="B77" s="1419" t="s">
        <v>3381</v>
      </c>
      <c r="C77" s="1436" t="s">
        <v>1475</v>
      </c>
      <c r="D77" s="46"/>
    </row>
    <row customFormat="1" ht="25.5" r="78" s="406" spans="1:4">
      <c r="A78" s="1776"/>
      <c r="B78" s="1419" t="s">
        <v>3382</v>
      </c>
      <c r="C78" s="1436" t="s">
        <v>1475</v>
      </c>
      <c r="D78" s="46"/>
    </row>
    <row r="79" spans="1:4">
      <c r="A79" s="1742" t="s">
        <v>3211</v>
      </c>
      <c r="B79" s="1419" t="s">
        <v>1852</v>
      </c>
      <c r="C79" s="1436" t="s">
        <v>1475</v>
      </c>
      <c r="D79" s="46"/>
    </row>
    <row r="80" spans="1:4">
      <c r="A80" s="1742"/>
      <c r="B80" s="1419" t="s">
        <v>3383</v>
      </c>
      <c r="C80" s="1436" t="s">
        <v>1475</v>
      </c>
      <c r="D80" s="46"/>
    </row>
    <row r="81" spans="1:5">
      <c r="A81" s="1742"/>
      <c r="B81" s="1419" t="s">
        <v>1857</v>
      </c>
      <c r="C81" s="1436" t="s">
        <v>1475</v>
      </c>
      <c r="D81" s="46"/>
      <c r="E81" s="406"/>
    </row>
    <row customFormat="1" ht="25.5" r="82" s="406" spans="1:5">
      <c r="A82" s="1742"/>
      <c r="B82" s="1419" t="s">
        <v>3376</v>
      </c>
      <c r="C82" s="1436" t="s">
        <v>1475</v>
      </c>
      <c r="D82" s="46"/>
    </row>
    <row r="83" spans="1:5">
      <c r="A83" s="1742"/>
      <c r="B83" s="1419" t="s">
        <v>1862</v>
      </c>
      <c r="C83" s="1436" t="s">
        <v>1475</v>
      </c>
      <c r="D83" s="46"/>
    </row>
    <row r="84" spans="1:5">
      <c r="A84" s="1742"/>
      <c r="B84" s="1419" t="s">
        <v>3384</v>
      </c>
      <c r="C84" s="1436" t="s">
        <v>1475</v>
      </c>
      <c r="D84" s="46"/>
    </row>
    <row r="85" spans="1:5">
      <c r="A85" s="1742"/>
      <c r="B85" s="1419" t="s">
        <v>1858</v>
      </c>
      <c r="C85" s="1436" t="s">
        <v>1475</v>
      </c>
      <c r="D85" s="46"/>
    </row>
    <row ht="25.5" r="86" spans="1:5">
      <c r="A86" s="1742"/>
      <c r="B86" s="1419" t="s">
        <v>3355</v>
      </c>
      <c r="C86" s="1436" t="s">
        <v>1475</v>
      </c>
      <c r="D86" s="46"/>
    </row>
    <row r="87" spans="1:5">
      <c r="A87" s="1742"/>
      <c r="B87" s="1419" t="s">
        <v>1859</v>
      </c>
      <c r="C87" s="1436" t="s">
        <v>1475</v>
      </c>
      <c r="D87" s="46"/>
    </row>
    <row r="88" spans="1:5">
      <c r="A88" s="1742"/>
      <c r="B88" s="1419" t="s">
        <v>3375</v>
      </c>
      <c r="C88" s="1436" t="s">
        <v>1475</v>
      </c>
      <c r="D88" s="46"/>
    </row>
    <row ht="25.5" r="89" spans="1:5">
      <c r="A89" s="1742"/>
      <c r="B89" s="1419" t="s">
        <v>3385</v>
      </c>
      <c r="C89" s="1436" t="s">
        <v>1475</v>
      </c>
      <c r="D89" s="46"/>
    </row>
    <row r="90" spans="1:5">
      <c r="A90" s="1742"/>
      <c r="B90" s="1419" t="s">
        <v>3386</v>
      </c>
      <c r="C90" s="1436" t="s">
        <v>1475</v>
      </c>
      <c r="D90" s="46"/>
    </row>
    <row ht="25.5" r="91" spans="1:5">
      <c r="A91" s="1742"/>
      <c r="B91" s="1419" t="s">
        <v>3387</v>
      </c>
      <c r="C91" s="1436" t="s">
        <v>1475</v>
      </c>
      <c r="D91" s="46"/>
    </row>
    <row ht="25.5" r="92" spans="1:5">
      <c r="A92" s="1742"/>
      <c r="B92" s="1419" t="s">
        <v>3388</v>
      </c>
      <c r="C92" s="1436" t="s">
        <v>1475</v>
      </c>
      <c r="D92" s="46"/>
    </row>
    <row ht="25.5" r="93" spans="1:5">
      <c r="A93" s="1742"/>
      <c r="B93" s="1419" t="s">
        <v>3389</v>
      </c>
      <c r="C93" s="1436" t="s">
        <v>1475</v>
      </c>
      <c r="D93" s="46"/>
    </row>
    <row ht="25.5" r="94" spans="1:5">
      <c r="A94" s="1742"/>
      <c r="B94" s="1419" t="s">
        <v>3390</v>
      </c>
      <c r="C94" s="1436" t="s">
        <v>1475</v>
      </c>
      <c r="D94" s="46"/>
    </row>
    <row r="95" spans="1:5">
      <c r="A95" s="1742"/>
      <c r="B95" s="1419" t="s">
        <v>3391</v>
      </c>
      <c r="C95" s="1436" t="s">
        <v>1475</v>
      </c>
      <c r="D95" s="46"/>
    </row>
    <row ht="25.5" r="96" spans="1:5">
      <c r="A96" s="1742"/>
      <c r="B96" s="1419" t="s">
        <v>3392</v>
      </c>
      <c r="C96" s="1436" t="s">
        <v>1475</v>
      </c>
      <c r="D96" s="46"/>
    </row>
    <row r="97" spans="1:4">
      <c r="A97" s="1774" t="s">
        <v>1917</v>
      </c>
      <c r="B97" s="1412" t="s">
        <v>2205</v>
      </c>
      <c r="C97" s="1130" t="str">
        <f>IF('А-4АБ'!$E$15=1,"тийм","үгүй")</f>
        <v>үгүй</v>
      </c>
      <c r="D97" s="46"/>
    </row>
    <row r="98" spans="1:4">
      <c r="A98" s="1775"/>
      <c r="B98" s="1419" t="s">
        <v>3393</v>
      </c>
      <c r="C98" s="1436" t="s">
        <v>1475</v>
      </c>
      <c r="D98" s="46"/>
    </row>
    <row ht="25.5" r="99" spans="1:4">
      <c r="A99" s="1775"/>
      <c r="B99" s="1419" t="s">
        <v>3394</v>
      </c>
      <c r="C99" s="1436" t="s">
        <v>1475</v>
      </c>
      <c r="D99" s="46"/>
    </row>
    <row r="100" spans="1:4">
      <c r="A100" s="1775"/>
      <c r="B100" s="1419" t="s">
        <v>1862</v>
      </c>
      <c r="C100" s="1436" t="s">
        <v>1475</v>
      </c>
      <c r="D100" s="46"/>
    </row>
    <row customHeight="1" ht="12.75" r="101" spans="1:4">
      <c r="A101" s="1775"/>
      <c r="B101" s="1419" t="s">
        <v>3359</v>
      </c>
      <c r="C101" s="1436" t="s">
        <v>1475</v>
      </c>
      <c r="D101" s="46"/>
    </row>
    <row ht="25.5" r="102" spans="1:4">
      <c r="A102" s="1775"/>
      <c r="B102" s="1419" t="s">
        <v>3395</v>
      </c>
      <c r="C102" s="1436" t="s">
        <v>1475</v>
      </c>
      <c r="D102" s="46"/>
    </row>
    <row r="103" spans="1:4">
      <c r="A103" s="1775"/>
      <c r="B103" s="1419" t="s">
        <v>1858</v>
      </c>
      <c r="C103" s="1436" t="s">
        <v>1475</v>
      </c>
      <c r="D103" s="46"/>
    </row>
    <row r="104" spans="1:4">
      <c r="A104" s="1775"/>
      <c r="B104" s="1419" t="s">
        <v>3396</v>
      </c>
      <c r="C104" s="1436" t="s">
        <v>1475</v>
      </c>
      <c r="D104" s="46"/>
    </row>
    <row r="105" spans="1:4">
      <c r="A105" s="1775"/>
      <c r="B105" s="1419" t="s">
        <v>3397</v>
      </c>
      <c r="C105" s="1436" t="s">
        <v>1475</v>
      </c>
      <c r="D105" s="46"/>
    </row>
    <row r="106" spans="1:4">
      <c r="A106" s="1776"/>
      <c r="B106" s="1419" t="s">
        <v>3363</v>
      </c>
      <c r="C106" s="1436" t="s">
        <v>1475</v>
      </c>
      <c r="D106" s="46"/>
    </row>
    <row r="107" spans="1:4">
      <c r="A107" s="1761" t="s">
        <v>2421</v>
      </c>
      <c r="B107" s="1419" t="s">
        <v>3398</v>
      </c>
      <c r="C107" s="1436" t="s">
        <v>1475</v>
      </c>
      <c r="D107" s="46"/>
    </row>
    <row r="108" spans="1:4">
      <c r="A108" s="1773"/>
      <c r="B108" s="1419" t="s">
        <v>1852</v>
      </c>
      <c r="C108" s="1436" t="s">
        <v>1475</v>
      </c>
      <c r="D108" s="46"/>
    </row>
    <row r="109" spans="1:4">
      <c r="A109" s="1773"/>
      <c r="B109" s="1419" t="s">
        <v>1862</v>
      </c>
      <c r="C109" s="1436" t="s">
        <v>1475</v>
      </c>
      <c r="D109" s="46"/>
    </row>
    <row r="110" spans="1:4">
      <c r="A110" s="1773"/>
      <c r="B110" s="1419" t="s">
        <v>3399</v>
      </c>
      <c r="C110" s="1436" t="s">
        <v>1475</v>
      </c>
      <c r="D110" s="46"/>
    </row>
    <row ht="25.5" r="111" spans="1:4">
      <c r="A111" s="1773"/>
      <c r="B111" s="1419" t="s">
        <v>3359</v>
      </c>
      <c r="C111" s="1436" t="s">
        <v>1475</v>
      </c>
      <c r="D111" s="46"/>
    </row>
    <row r="112" spans="1:4">
      <c r="A112" s="1773"/>
      <c r="B112" s="1419" t="s">
        <v>1858</v>
      </c>
      <c r="C112" s="1436" t="s">
        <v>1475</v>
      </c>
      <c r="D112" s="46"/>
    </row>
    <row r="113" spans="1:4">
      <c r="A113" s="1762"/>
      <c r="B113" s="1419" t="s">
        <v>3400</v>
      </c>
      <c r="C113" s="1436" t="s">
        <v>1475</v>
      </c>
      <c r="D113" s="46"/>
    </row>
    <row r="114" spans="1:4">
      <c r="A114" s="1742" t="s">
        <v>3401</v>
      </c>
      <c r="B114" s="1419" t="s">
        <v>3402</v>
      </c>
      <c r="C114" s="1436" t="s">
        <v>1475</v>
      </c>
      <c r="D114" s="46"/>
    </row>
    <row r="115" spans="1:4">
      <c r="A115" s="1742"/>
      <c r="B115" s="1419" t="s">
        <v>3403</v>
      </c>
      <c r="C115" s="1436" t="s">
        <v>1475</v>
      </c>
      <c r="D115" s="46"/>
    </row>
    <row r="116" spans="1:4">
      <c r="A116" s="1742"/>
      <c r="B116" s="1419" t="s">
        <v>3404</v>
      </c>
      <c r="C116" s="1436" t="s">
        <v>1475</v>
      </c>
      <c r="D116" s="46"/>
    </row>
    <row r="117" spans="1:4">
      <c r="A117" s="1742"/>
      <c r="B117" s="1419" t="s">
        <v>1862</v>
      </c>
      <c r="C117" s="1436" t="s">
        <v>1475</v>
      </c>
      <c r="D117" s="46"/>
    </row>
    <row ht="25.5" r="118" spans="1:4">
      <c r="A118" s="1742"/>
      <c r="B118" s="1419" t="s">
        <v>3359</v>
      </c>
      <c r="C118" s="1436" t="s">
        <v>1475</v>
      </c>
      <c r="D118" s="46"/>
    </row>
    <row r="119" spans="1:4">
      <c r="A119" s="1742"/>
      <c r="B119" s="1419" t="s">
        <v>3405</v>
      </c>
      <c r="C119" s="1436" t="s">
        <v>1475</v>
      </c>
      <c r="D119" s="46"/>
    </row>
    <row r="120" spans="1:4">
      <c r="A120" s="1742"/>
      <c r="B120" s="1419" t="s">
        <v>1858</v>
      </c>
      <c r="C120" s="1436" t="s">
        <v>1475</v>
      </c>
      <c r="D120" s="46"/>
    </row>
    <row ht="25.5" r="121" spans="1:4">
      <c r="A121" s="1742"/>
      <c r="B121" s="1419" t="s">
        <v>3406</v>
      </c>
      <c r="C121" s="1436" t="s">
        <v>1475</v>
      </c>
      <c r="D121" s="46"/>
    </row>
    <row r="122" spans="1:4">
      <c r="A122" s="1778" t="s">
        <v>2203</v>
      </c>
      <c r="B122" s="1412" t="s">
        <v>2205</v>
      </c>
      <c r="C122" s="1130" t="str">
        <f>IF('А-4АБ'!$E$18=1,"тийм","үгүй")</f>
        <v>үгүй</v>
      </c>
      <c r="D122" s="46"/>
    </row>
    <row r="123" spans="1:4">
      <c r="A123" s="1779"/>
      <c r="B123" s="1419" t="s">
        <v>1852</v>
      </c>
      <c r="C123" s="1436" t="s">
        <v>1475</v>
      </c>
      <c r="D123" s="46"/>
    </row>
    <row customHeight="1" ht="38.25" r="124" spans="1:4">
      <c r="A124" s="1779"/>
      <c r="B124" s="1419" t="s">
        <v>3407</v>
      </c>
      <c r="C124" s="1436" t="s">
        <v>1475</v>
      </c>
      <c r="D124" s="46"/>
    </row>
    <row r="125" spans="1:4">
      <c r="A125" s="1779"/>
      <c r="B125" s="1419" t="s">
        <v>1862</v>
      </c>
      <c r="C125" s="1436" t="s">
        <v>1475</v>
      </c>
      <c r="D125" s="46"/>
    </row>
    <row ht="25.5" r="126" spans="1:4">
      <c r="A126" s="1779"/>
      <c r="B126" s="1419" t="s">
        <v>3359</v>
      </c>
      <c r="C126" s="1436" t="s">
        <v>1475</v>
      </c>
      <c r="D126" s="46"/>
    </row>
    <row r="127" spans="1:4">
      <c r="A127" s="1780"/>
      <c r="B127" s="1419" t="s">
        <v>3458</v>
      </c>
      <c r="C127" s="1436" t="s">
        <v>1475</v>
      </c>
      <c r="D127" s="46"/>
    </row>
    <row r="128" spans="1:4">
      <c r="A128" s="1774" t="s">
        <v>32</v>
      </c>
      <c r="B128" s="1412" t="s">
        <v>2205</v>
      </c>
      <c r="C128" s="1130" t="str">
        <f>IF('А-4АБ'!$E$22=1,"тийм","үгүй")</f>
        <v>үгүй</v>
      </c>
      <c r="D128" s="1423"/>
    </row>
    <row r="129" spans="1:4">
      <c r="A129" s="1775"/>
      <c r="B129" s="1419" t="s">
        <v>1852</v>
      </c>
      <c r="C129" s="1436" t="s">
        <v>1475</v>
      </c>
      <c r="D129" s="46"/>
    </row>
    <row r="130" spans="1:4">
      <c r="A130" s="1775"/>
      <c r="B130" s="1419" t="s">
        <v>3408</v>
      </c>
      <c r="C130" s="1436" t="s">
        <v>1475</v>
      </c>
      <c r="D130" s="46"/>
    </row>
    <row r="131" spans="1:4">
      <c r="A131" s="1775"/>
      <c r="B131" s="1419" t="s">
        <v>1862</v>
      </c>
      <c r="C131" s="1436" t="s">
        <v>1475</v>
      </c>
      <c r="D131" s="46"/>
    </row>
    <row ht="25.5" r="132" spans="1:4">
      <c r="A132" s="1775"/>
      <c r="B132" s="1419" t="s">
        <v>3359</v>
      </c>
      <c r="C132" s="1436" t="s">
        <v>1475</v>
      </c>
      <c r="D132" s="46"/>
    </row>
    <row r="133" spans="1:4">
      <c r="A133" s="1775"/>
      <c r="B133" s="1419" t="s">
        <v>1858</v>
      </c>
      <c r="C133" s="1436" t="s">
        <v>1475</v>
      </c>
      <c r="D133" s="46"/>
    </row>
    <row r="134" spans="1:4">
      <c r="A134" s="1775"/>
      <c r="B134" s="1419" t="s">
        <v>3409</v>
      </c>
      <c r="C134" s="1436" t="s">
        <v>1475</v>
      </c>
      <c r="D134" s="46"/>
    </row>
    <row ht="25.5" r="135" spans="1:4">
      <c r="A135" s="1775"/>
      <c r="B135" s="1419" t="s">
        <v>3410</v>
      </c>
      <c r="C135" s="1436" t="s">
        <v>1475</v>
      </c>
      <c r="D135" s="46"/>
    </row>
    <row r="136" spans="1:4">
      <c r="A136" s="1775"/>
      <c r="B136" s="1419" t="s">
        <v>3411</v>
      </c>
      <c r="C136" s="1436" t="s">
        <v>1475</v>
      </c>
      <c r="D136" s="46"/>
    </row>
    <row ht="25.5" r="137" spans="1:4">
      <c r="A137" s="1775"/>
      <c r="B137" s="1419" t="s">
        <v>3412</v>
      </c>
      <c r="C137" s="1436" t="s">
        <v>1475</v>
      </c>
      <c r="D137" s="46"/>
    </row>
    <row r="138" spans="1:4">
      <c r="A138" s="1775"/>
      <c r="B138" s="1419" t="s">
        <v>3413</v>
      </c>
      <c r="C138" s="1436" t="s">
        <v>1475</v>
      </c>
      <c r="D138" s="46"/>
    </row>
    <row r="139" spans="1:4">
      <c r="A139" s="1775"/>
      <c r="B139" s="1419" t="s">
        <v>3414</v>
      </c>
      <c r="C139" s="1436" t="s">
        <v>1475</v>
      </c>
      <c r="D139" s="46"/>
    </row>
    <row r="140" spans="1:4">
      <c r="A140" s="1775"/>
      <c r="B140" s="1419" t="s">
        <v>3415</v>
      </c>
      <c r="C140" s="1436" t="s">
        <v>1475</v>
      </c>
      <c r="D140" s="46"/>
    </row>
    <row r="141" spans="1:4">
      <c r="A141" s="1775"/>
      <c r="B141" s="1419" t="s">
        <v>3416</v>
      </c>
      <c r="C141" s="1436" t="s">
        <v>1475</v>
      </c>
      <c r="D141" s="46"/>
    </row>
    <row r="142" spans="1:4">
      <c r="A142" s="1776"/>
      <c r="B142" s="1419" t="s">
        <v>3417</v>
      </c>
      <c r="C142" s="1436" t="s">
        <v>1475</v>
      </c>
      <c r="D142" s="46"/>
    </row>
    <row r="143" spans="1:4">
      <c r="A143" s="1778" t="s">
        <v>92</v>
      </c>
      <c r="B143" s="1412" t="s">
        <v>2205</v>
      </c>
      <c r="C143" s="1130" t="str">
        <f>IF('А-4АБ'!$E$26=1,"тийм","үгүй")</f>
        <v>үгүй</v>
      </c>
      <c r="D143" s="1423"/>
    </row>
    <row r="144" spans="1:4">
      <c r="A144" s="1779"/>
      <c r="B144" s="1419" t="s">
        <v>1852</v>
      </c>
      <c r="C144" s="1436" t="s">
        <v>1475</v>
      </c>
      <c r="D144" s="46"/>
    </row>
    <row r="145" spans="1:4">
      <c r="A145" s="1779"/>
      <c r="B145" s="1419" t="s">
        <v>1862</v>
      </c>
      <c r="C145" s="1436" t="s">
        <v>1475</v>
      </c>
      <c r="D145" s="46"/>
    </row>
    <row ht="25.5" r="146" spans="1:4">
      <c r="A146" s="1779"/>
      <c r="B146" s="1419" t="s">
        <v>3359</v>
      </c>
      <c r="C146" s="1436" t="s">
        <v>1475</v>
      </c>
      <c r="D146" s="46"/>
    </row>
    <row r="147" spans="1:4">
      <c r="A147" s="1779"/>
      <c r="B147" s="1419" t="s">
        <v>1858</v>
      </c>
      <c r="C147" s="1436" t="s">
        <v>1475</v>
      </c>
      <c r="D147" s="46"/>
    </row>
    <row r="148" spans="1:4">
      <c r="A148" s="1779"/>
      <c r="B148" s="1419" t="s">
        <v>3418</v>
      </c>
      <c r="C148" s="1436" t="s">
        <v>1475</v>
      </c>
      <c r="D148" s="46"/>
    </row>
    <row r="149" spans="1:4">
      <c r="A149" s="1779"/>
      <c r="B149" s="1419" t="s">
        <v>3419</v>
      </c>
      <c r="C149" s="1436" t="s">
        <v>1475</v>
      </c>
      <c r="D149" s="46"/>
    </row>
    <row ht="25.5" r="150" spans="1:4">
      <c r="A150" s="1779"/>
      <c r="B150" s="1419" t="s">
        <v>3420</v>
      </c>
      <c r="C150" s="1436" t="s">
        <v>1475</v>
      </c>
      <c r="D150" s="46"/>
    </row>
    <row r="151" spans="1:4">
      <c r="A151" s="1779"/>
      <c r="B151" s="1419" t="s">
        <v>3421</v>
      </c>
      <c r="C151" s="1436" t="s">
        <v>1475</v>
      </c>
      <c r="D151" s="46"/>
    </row>
    <row r="152" spans="1:4">
      <c r="A152" s="1779"/>
      <c r="B152" s="1419" t="s">
        <v>3422</v>
      </c>
      <c r="C152" s="1436" t="s">
        <v>1475</v>
      </c>
      <c r="D152" s="46"/>
    </row>
    <row ht="25.5" r="153" spans="1:4">
      <c r="A153" s="1779"/>
      <c r="B153" s="1419" t="s">
        <v>3423</v>
      </c>
      <c r="C153" s="1436" t="s">
        <v>1475</v>
      </c>
      <c r="D153" s="46"/>
    </row>
    <row r="154" spans="1:4">
      <c r="A154" s="1779"/>
      <c r="B154" s="1419" t="s">
        <v>3424</v>
      </c>
      <c r="C154" s="1436" t="s">
        <v>1475</v>
      </c>
      <c r="D154" s="46"/>
    </row>
    <row r="155" spans="1:4">
      <c r="A155" s="1779"/>
      <c r="B155" s="1419" t="s">
        <v>3425</v>
      </c>
      <c r="C155" s="1436" t="s">
        <v>1475</v>
      </c>
      <c r="D155" s="46"/>
    </row>
    <row r="156" spans="1:4">
      <c r="A156" s="1779"/>
      <c r="B156" s="1419" t="s">
        <v>3426</v>
      </c>
      <c r="C156" s="1436" t="s">
        <v>1475</v>
      </c>
      <c r="D156" s="46"/>
    </row>
    <row r="157" spans="1:4">
      <c r="A157" s="1779"/>
      <c r="B157" s="1419" t="s">
        <v>3427</v>
      </c>
      <c r="C157" s="1436" t="s">
        <v>1475</v>
      </c>
      <c r="D157" s="46"/>
    </row>
    <row r="158" spans="1:4">
      <c r="A158" s="1779"/>
      <c r="B158" s="1419" t="s">
        <v>3428</v>
      </c>
      <c r="C158" s="1436" t="s">
        <v>1475</v>
      </c>
      <c r="D158" s="46"/>
    </row>
    <row r="159" spans="1:4">
      <c r="A159" s="1779"/>
      <c r="B159" s="1419" t="s">
        <v>3429</v>
      </c>
      <c r="C159" s="1436" t="s">
        <v>1475</v>
      </c>
      <c r="D159" s="46"/>
    </row>
    <row r="160" spans="1:4">
      <c r="A160" s="1779"/>
      <c r="B160" s="1419" t="s">
        <v>3430</v>
      </c>
      <c r="C160" s="1436" t="s">
        <v>1475</v>
      </c>
      <c r="D160" s="46"/>
    </row>
    <row r="161" spans="1:4">
      <c r="A161" s="1779"/>
      <c r="B161" s="1419" t="s">
        <v>3431</v>
      </c>
      <c r="C161" s="1436" t="s">
        <v>1475</v>
      </c>
      <c r="D161" s="46"/>
    </row>
    <row r="162" spans="1:4">
      <c r="A162" s="1779"/>
      <c r="B162" s="1419" t="s">
        <v>3432</v>
      </c>
      <c r="C162" s="1436" t="s">
        <v>1475</v>
      </c>
      <c r="D162" s="46"/>
    </row>
    <row r="163" spans="1:4">
      <c r="A163" s="1779"/>
      <c r="B163" s="1419" t="s">
        <v>3433</v>
      </c>
      <c r="C163" s="1436" t="s">
        <v>1475</v>
      </c>
      <c r="D163" s="46"/>
    </row>
    <row r="164" spans="1:4">
      <c r="A164" s="1779"/>
      <c r="B164" s="1419" t="s">
        <v>1858</v>
      </c>
      <c r="C164" s="1436" t="s">
        <v>1475</v>
      </c>
      <c r="D164" s="46"/>
    </row>
    <row r="165" spans="1:4">
      <c r="A165" s="1779"/>
      <c r="B165" s="1419" t="s">
        <v>3434</v>
      </c>
      <c r="C165" s="1436" t="s">
        <v>1475</v>
      </c>
      <c r="D165" s="46"/>
    </row>
    <row r="166" spans="1:4">
      <c r="A166" s="1779"/>
      <c r="B166" s="1419" t="s">
        <v>3435</v>
      </c>
      <c r="C166" s="1436" t="s">
        <v>1475</v>
      </c>
      <c r="D166" s="46"/>
    </row>
    <row r="167" spans="1:4">
      <c r="A167" s="1779"/>
      <c r="B167" s="1419" t="s">
        <v>3375</v>
      </c>
      <c r="C167" s="1436" t="s">
        <v>1475</v>
      </c>
      <c r="D167" s="46"/>
    </row>
    <row ht="25.5" r="168" spans="1:4">
      <c r="A168" s="1779"/>
      <c r="B168" s="1419" t="s">
        <v>3436</v>
      </c>
      <c r="C168" s="1436" t="s">
        <v>1475</v>
      </c>
      <c r="D168" s="46"/>
    </row>
    <row ht="25.5" r="169" spans="1:4">
      <c r="A169" s="1779"/>
      <c r="B169" s="1419" t="s">
        <v>3437</v>
      </c>
      <c r="C169" s="1436" t="s">
        <v>1475</v>
      </c>
      <c r="D169" s="46"/>
    </row>
    <row r="170" spans="1:4">
      <c r="A170" s="1780"/>
      <c r="B170" s="1419" t="s">
        <v>3438</v>
      </c>
      <c r="C170" s="1436" t="s">
        <v>1475</v>
      </c>
      <c r="D170" s="46"/>
    </row>
    <row customHeight="1" ht="12.75" r="171" spans="1:4">
      <c r="A171" s="1761" t="s">
        <v>3439</v>
      </c>
      <c r="B171" s="1419" t="s">
        <v>3440</v>
      </c>
      <c r="C171" s="1436" t="s">
        <v>1475</v>
      </c>
      <c r="D171" s="46"/>
    </row>
    <row r="172" spans="1:4">
      <c r="A172" s="1773"/>
      <c r="B172" s="1419" t="s">
        <v>3441</v>
      </c>
      <c r="C172" s="1436" t="s">
        <v>1475</v>
      </c>
      <c r="D172" s="46"/>
    </row>
    <row r="173" spans="1:4">
      <c r="A173" s="1773"/>
      <c r="B173" s="1419" t="s">
        <v>3442</v>
      </c>
      <c r="C173" s="1436" t="s">
        <v>1475</v>
      </c>
      <c r="D173" s="46"/>
    </row>
    <row ht="25.5" r="174" spans="1:4">
      <c r="A174" s="1773"/>
      <c r="B174" s="1419" t="s">
        <v>3443</v>
      </c>
      <c r="C174" s="1436" t="s">
        <v>1475</v>
      </c>
      <c r="D174" s="46"/>
    </row>
    <row r="175" spans="1:4">
      <c r="A175" s="1773"/>
      <c r="B175" s="1419" t="s">
        <v>3444</v>
      </c>
      <c r="C175" s="1436" t="s">
        <v>1475</v>
      </c>
      <c r="D175" s="46"/>
    </row>
    <row r="176" spans="1:4">
      <c r="A176" s="1773"/>
      <c r="B176" s="1419" t="s">
        <v>3445</v>
      </c>
      <c r="C176" s="1436" t="s">
        <v>1475</v>
      </c>
      <c r="D176" s="46"/>
    </row>
    <row ht="25.5" r="177" spans="1:6">
      <c r="A177" s="1773"/>
      <c r="B177" s="1419" t="s">
        <v>3446</v>
      </c>
      <c r="C177" s="1436" t="s">
        <v>1475</v>
      </c>
      <c r="D177" s="46"/>
    </row>
    <row r="178" spans="1:6">
      <c r="A178" s="1773"/>
      <c r="B178" s="1419" t="s">
        <v>3447</v>
      </c>
      <c r="C178" s="1436" t="s">
        <v>1475</v>
      </c>
      <c r="D178" s="46"/>
    </row>
    <row r="179" spans="1:6">
      <c r="A179" s="1773"/>
      <c r="B179" s="1419" t="s">
        <v>3448</v>
      </c>
      <c r="C179" s="1436" t="s">
        <v>1475</v>
      </c>
      <c r="D179" s="46"/>
    </row>
    <row ht="25.5" r="180" spans="1:6">
      <c r="A180" s="1773"/>
      <c r="B180" s="1419" t="s">
        <v>3449</v>
      </c>
      <c r="C180" s="1436" t="s">
        <v>1475</v>
      </c>
      <c r="D180" s="46"/>
    </row>
    <row ht="25.5" r="181" spans="1:6">
      <c r="A181" s="1773"/>
      <c r="B181" s="1419" t="s">
        <v>3450</v>
      </c>
      <c r="C181" s="1436" t="s">
        <v>1475</v>
      </c>
      <c r="D181" s="46"/>
    </row>
    <row r="182" spans="1:6">
      <c r="A182" s="1773"/>
      <c r="B182" s="1419" t="s">
        <v>3451</v>
      </c>
      <c r="C182" s="1436" t="s">
        <v>1475</v>
      </c>
      <c r="D182" s="46"/>
    </row>
    <row ht="25.5" r="183" spans="1:6">
      <c r="A183" s="1773"/>
      <c r="B183" s="1419" t="s">
        <v>3452</v>
      </c>
      <c r="C183" s="1436" t="s">
        <v>1475</v>
      </c>
      <c r="D183" s="46"/>
    </row>
    <row r="184" spans="1:6">
      <c r="A184" s="1773"/>
      <c r="B184" s="1419" t="s">
        <v>3453</v>
      </c>
      <c r="C184" s="1436" t="s">
        <v>1475</v>
      </c>
      <c r="D184" s="46"/>
    </row>
    <row r="185" spans="1:6">
      <c r="A185" s="1773"/>
      <c r="B185" s="1419" t="s">
        <v>3454</v>
      </c>
      <c r="C185" s="1436" t="s">
        <v>1475</v>
      </c>
      <c r="D185" s="46"/>
    </row>
    <row r="186" spans="1:6">
      <c r="A186" s="1773"/>
      <c r="B186" s="1419" t="s">
        <v>3455</v>
      </c>
      <c r="C186" s="1436" t="s">
        <v>1475</v>
      </c>
      <c r="D186" s="46"/>
    </row>
    <row r="187" spans="1:6">
      <c r="A187" s="1773"/>
      <c r="B187" s="1419" t="s">
        <v>3456</v>
      </c>
      <c r="C187" s="1436" t="s">
        <v>1475</v>
      </c>
      <c r="D187" s="46"/>
    </row>
    <row ht="25.5" r="188" spans="1:6">
      <c r="A188" s="1762"/>
      <c r="B188" s="1419" t="s">
        <v>3457</v>
      </c>
      <c r="C188" s="1436" t="s">
        <v>1475</v>
      </c>
      <c r="D188" s="46"/>
      <c r="E188" s="1484"/>
    </row>
    <row r="189" spans="1:6">
      <c r="C189" s="1484"/>
      <c r="E189" s="1484"/>
      <c r="F189" s="1484"/>
    </row>
    <row r="190" spans="1:6">
      <c r="E190" s="1484"/>
      <c r="F190" s="1484"/>
    </row>
    <row r="191" spans="1:6">
      <c r="A191" s="1424" t="s">
        <v>1897</v>
      </c>
      <c r="B191" s="409"/>
      <c r="C191" s="409"/>
      <c r="E191" s="1484"/>
      <c r="F191" s="1484"/>
    </row>
    <row r="192" spans="1:6">
      <c r="A192" s="406">
        <f>+ЧХ!$C$15</f>
        <v>0</v>
      </c>
      <c r="B192" s="406"/>
      <c r="C192" s="406"/>
      <c r="D192" s="405" t="s">
        <v>1777</v>
      </c>
      <c r="E192" s="1484"/>
      <c r="F192" s="1484"/>
    </row>
    <row r="193" spans="1:5">
      <c r="A193" s="406"/>
      <c r="B193" s="1679">
        <f>+ЧХ!$C$16</f>
        <v>0</v>
      </c>
      <c r="C193" s="1679"/>
      <c r="D193" s="405"/>
      <c r="E193" s="1484"/>
    </row>
    <row r="194" spans="1:5">
      <c r="A194" s="406"/>
      <c r="B194" s="1415"/>
      <c r="C194" s="1415"/>
      <c r="D194" s="1415"/>
    </row>
    <row r="195" spans="1:5">
      <c r="A195" s="1424" t="s">
        <v>1873</v>
      </c>
      <c r="B195" s="409"/>
      <c r="C195" s="406"/>
      <c r="D195" s="405"/>
    </row>
    <row r="196" spans="1:5">
      <c r="A196" s="406" t="str">
        <f>+ЧХ!$B$6</f>
        <v>Аудитын менежер</v>
      </c>
      <c r="B196" s="406"/>
      <c r="C196" s="404"/>
      <c r="D196" s="405" t="s">
        <v>1777</v>
      </c>
    </row>
    <row r="197" spans="1:5">
      <c r="A197" s="406"/>
      <c r="B197" s="1679">
        <f>+ЧХ!$C$6</f>
        <v>0</v>
      </c>
      <c r="C197" s="1679"/>
      <c r="D197" s="405"/>
    </row>
    <row r="198" spans="1:5">
      <c r="A198" s="406"/>
      <c r="B198" s="1415"/>
      <c r="C198" s="1415"/>
      <c r="D198" s="1415"/>
    </row>
    <row r="199" spans="1:5">
      <c r="A199" s="1424" t="s">
        <v>2035</v>
      </c>
      <c r="B199" s="409"/>
      <c r="C199" s="406"/>
      <c r="D199" s="405"/>
    </row>
    <row r="200" spans="1:5">
      <c r="A200" s="406" t="str">
        <f>+ЧХ!$B$5</f>
        <v>Тэргүүлэх аудитор</v>
      </c>
      <c r="B200" s="406"/>
      <c r="C200" s="404"/>
      <c r="D200" s="405" t="s">
        <v>1777</v>
      </c>
    </row>
    <row r="201" spans="1:5">
      <c r="A201" s="406"/>
      <c r="B201" s="1689" t="str">
        <f>+ЧХ!$C$5</f>
        <v>С.Энхбаатар</v>
      </c>
      <c r="C201" s="1689"/>
    </row>
    <row r="202" spans="1:5">
      <c r="A202" s="406"/>
      <c r="B202" s="1416"/>
      <c r="C202" s="1416"/>
    </row>
    <row r="203" spans="1:5">
      <c r="A203" s="406" t="str">
        <f>+ЧХ!$B$6&amp;"ийн санал: ………………………………………………………………………………………"</f>
        <v>Аудитын менежерийн санал: ………………………………………………………………………………………</v>
      </c>
      <c r="B203" s="404"/>
      <c r="C203" s="404"/>
      <c r="D203" s="343"/>
    </row>
    <row r="204" spans="1:5">
      <c r="A204" s="406"/>
      <c r="B204" s="404"/>
      <c r="C204" s="404"/>
      <c r="D204" s="343"/>
    </row>
    <row r="205" spans="1:5">
      <c r="A205" s="406"/>
      <c r="B205" s="404"/>
      <c r="C205" s="404"/>
      <c r="D205" s="343"/>
    </row>
    <row r="206" spans="1:5">
      <c r="A206" s="406" t="str">
        <f>+ЧХ!$B$5&amp;"ын санал: ..........................................................................................................."</f>
        <v>Тэргүүлэх аудиторын санал: ...........................................................................................................</v>
      </c>
      <c r="B206" s="404"/>
      <c r="C206" s="404"/>
      <c r="D206" s="343"/>
    </row>
  </sheetData>
  <mergeCells count="17">
    <mergeCell ref="A171:A188"/>
    <mergeCell ref="A114:A121"/>
    <mergeCell ref="A79:A96"/>
    <mergeCell ref="B201:C201"/>
    <mergeCell ref="B193:C193"/>
    <mergeCell ref="B197:C197"/>
    <mergeCell ref="A97:A106"/>
    <mergeCell ref="A107:A113"/>
    <mergeCell ref="A122:A127"/>
    <mergeCell ref="A128:A142"/>
    <mergeCell ref="A143:A170"/>
    <mergeCell ref="A8:A14"/>
    <mergeCell ref="A15:A25"/>
    <mergeCell ref="A26:A39"/>
    <mergeCell ref="A46:A60"/>
    <mergeCell ref="A61:A78"/>
    <mergeCell ref="A40:A45"/>
  </mergeCells>
  <dataValidations count="1">
    <dataValidation allowBlank="1" showErrorMessage="1" showInputMessage="1" sqref="C8:C14 C16:C25 C27:C45 C47:C60 C62:C96 C98:C121 C123:C127 C129:C142 C144:C188" type="list">
      <formula1>"Тийм, Үгүй"</formula1>
    </dataValidation>
  </dataValidations>
  <pageMargins bottom="0.75" footer="0.3" header="0.3" left="0.7" right="0.7" top="0.75"/>
  <pageSetup horizontalDpi="0" orientation="portrait" r:id="rId1" verticalDpi="0"/>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85"/>
  <sheetViews>
    <sheetView topLeftCell="A4" workbookViewId="0" zoomScale="80" zoomScaleNormal="80">
      <selection activeCell="E10" sqref="E10"/>
    </sheetView>
  </sheetViews>
  <sheetFormatPr defaultColWidth="27" defaultRowHeight="12.75"/>
  <cols>
    <col min="1" max="1" customWidth="true" style="1350" width="5.42578125" collapsed="false"/>
    <col min="2" max="2" customWidth="true" style="1351" width="17.5703125" collapsed="false"/>
    <col min="3" max="3" customWidth="true" style="1353" width="53.42578125" collapsed="false"/>
    <col min="4" max="4" customWidth="true" style="1353" width="17.5703125" collapsed="false"/>
    <col min="5" max="16384" style="406" width="27.0" collapsed="false"/>
  </cols>
  <sheetData>
    <row r="1" spans="1:4">
      <c r="D1" s="1353" t="s">
        <v>3030</v>
      </c>
    </row>
    <row customHeight="1" ht="17.25" r="2" spans="1:4">
      <c r="A2" s="1347" t="s">
        <v>2168</v>
      </c>
      <c r="B2" s="1678" t="s">
        <v>2169</v>
      </c>
      <c r="C2" s="1678"/>
      <c r="D2" s="1678"/>
    </row>
    <row r="3" spans="1:4">
      <c r="A3" s="406"/>
      <c r="B3" s="1349"/>
      <c r="C3" s="406"/>
      <c r="D3" s="406"/>
    </row>
    <row r="4" spans="1:4">
      <c r="B4" s="1674" t="str">
        <f>"Байгууллагын нэр: "&amp;ЧХ!C7</f>
        <v xml:space="preserve">Байгууллагын нэр: </v>
      </c>
      <c r="C4" s="1674"/>
      <c r="D4" s="1674"/>
    </row>
    <row r="5" spans="1:4">
      <c r="B5" s="1349" t="str">
        <f>"Тайлант он: "&amp;ЧХ!$C$8</f>
        <v xml:space="preserve">Тайлант он: </v>
      </c>
      <c r="C5" s="45"/>
      <c r="D5" s="45"/>
    </row>
    <row r="6" spans="1:4">
      <c r="B6" s="1126"/>
      <c r="D6" s="1516"/>
    </row>
    <row customFormat="1" customHeight="1" ht="47.25" r="7" s="1353" spans="1:4">
      <c r="A7" s="1345" t="s">
        <v>649</v>
      </c>
      <c r="B7" s="1104" t="s">
        <v>78</v>
      </c>
      <c r="C7" s="1413" t="s">
        <v>1874</v>
      </c>
      <c r="D7" s="1348" t="s">
        <v>2170</v>
      </c>
    </row>
    <row customFormat="1" customHeight="1" ht="47.25" r="8" s="1435" spans="1:4">
      <c r="A8" s="1682">
        <v>1</v>
      </c>
      <c r="B8" s="1759" t="s">
        <v>1851</v>
      </c>
      <c r="C8" s="1441" t="s">
        <v>3475</v>
      </c>
      <c r="D8" s="1153" t="s">
        <v>3031</v>
      </c>
    </row>
    <row customFormat="1" customHeight="1" ht="44.25" r="9" s="1435" spans="1:4">
      <c r="A9" s="1683"/>
      <c r="B9" s="1785"/>
      <c r="C9" s="1434"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19" t="s">
        <v>3031</v>
      </c>
    </row>
    <row customFormat="1" customHeight="1" ht="48" r="10" s="1435" spans="1:4">
      <c r="A10" s="1683"/>
      <c r="B10" s="1785"/>
      <c r="C10" s="1434"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19" t="s">
        <v>3031</v>
      </c>
    </row>
    <row customFormat="1" customHeight="1" ht="30.75" r="11" s="1435" spans="1:4">
      <c r="A11" s="1683"/>
      <c r="B11" s="1785"/>
      <c r="C11" s="1434" t="str">
        <f>+'А-5.2.1'!C10</f>
        <v>Мөнгөн хөрөнгийг захиран зарцуулах, гүйцэтгэх, хянах тогтолцоо алдагдсан байх /ЭҮ, ИБ, Х, ТИ, ОБ, ҮЗ/</v>
      </c>
      <c r="D11" s="1519" t="s">
        <v>3031</v>
      </c>
    </row>
    <row customFormat="1" customHeight="1" ht="30.75" r="12" s="1435" spans="1:4">
      <c r="A12" s="1683"/>
      <c r="B12" s="1785"/>
      <c r="C12" s="1434" t="str">
        <f>+'А-5.2.1'!C11</f>
        <v>Мөнгөн хөрөнгийн өдөр тутмын гүйлгээг хэд хоногоор нэгтгэн хянадаг байх/ЭҮ, ИБ, Х, ТИ, ОБ, ҮЗ/</v>
      </c>
      <c r="D12" s="1519" t="s">
        <v>3031</v>
      </c>
    </row>
    <row customFormat="1" customHeight="1" ht="44.25" r="13" s="1435" spans="1:4">
      <c r="A13" s="1683"/>
      <c r="B13" s="1785"/>
      <c r="C13" s="1434" t="str">
        <f>+'А-5.2.1'!C12</f>
        <v>Дотоод хяналтаар мөнгөн хөрөнгийг тоолох, тооцоо бодох, гүйлгээг өдөр тутамд нь бүртгэдэг эсэхийг хянадаггүй байх/ЭҮ, ИБ, Х, ТИ, ОБ, ҮЗ/</v>
      </c>
      <c r="D13" s="1519" t="s">
        <v>3031</v>
      </c>
    </row>
    <row customFormat="1" customHeight="1" ht="39" r="14" s="1435" spans="1:4">
      <c r="A14" s="1683"/>
      <c r="B14" s="1785"/>
      <c r="C14" s="1434" t="str">
        <f>+'А-5.2.1'!C13</f>
        <v>Удирдах байгууллага болон мэргэжлийн байгууллагуудаас ирсэн хяналт шалгалтаар мөнгөн хөрөнгийг шалгаагүй байх/ЭҮ, ИБ, Х, ТИ, ОБ, ҮЗ/</v>
      </c>
      <c r="D14" s="1519" t="s">
        <v>3031</v>
      </c>
    </row>
    <row customHeight="1" ht="39" r="15" spans="1:4">
      <c r="A15" s="1683"/>
      <c r="B15" s="1785"/>
      <c r="C15" s="1434" t="str">
        <f>+'А-5.2.1'!C14</f>
        <v>Кассад мөнгөн хөрөнгийн үлдэгдэл байнга их байдаг, түүнийг хянадаггүй, харилцахад тухай бүрд нь тушаалгадаггүй байх/ЭҮ, ИБ, Х, ТИ, ОБ, ҮЗ/</v>
      </c>
      <c r="D15" s="1519" t="s">
        <v>3031</v>
      </c>
    </row>
    <row customHeight="1" ht="45" r="16" spans="1:4">
      <c r="A16" s="1683"/>
      <c r="B16" s="1785"/>
      <c r="C16" s="1434" t="str">
        <f>+'А-5.2.1'!C15</f>
        <v>Бэлэн мөнгөний орлогыг Төрийн санд тушаахгүй удаан хугацаагаар касст үлдэгдлээр байлгаж байсан эсэх</v>
      </c>
      <c r="D16" s="1519" t="s">
        <v>3031</v>
      </c>
    </row>
    <row customHeight="1" ht="36.75" r="17" spans="1:4">
      <c r="A17" s="1683"/>
      <c r="B17" s="1785"/>
      <c r="C17" s="1434" t="str">
        <f>+'А-5.2.1'!C16</f>
        <v>Үйл ажиллагааны орлогын бэлэн мөнгийг Төрийн санд тушаахгүй зарцуулж хууль бус зарлага хийсэн эсэх</v>
      </c>
      <c r="D17" s="1519" t="s">
        <v>3031</v>
      </c>
    </row>
    <row customHeight="1" ht="41.25" r="18" spans="1:4">
      <c r="A18" s="1683"/>
      <c r="B18" s="1785"/>
      <c r="C18" s="1434" t="str">
        <f>+'А-5.2.1'!C17</f>
        <v>Данс нээх зөвшөөрөлгүй банкинд данс нээж мөнгө байршуулан зарцуулсан эсэх</v>
      </c>
      <c r="D18" s="1519" t="s">
        <v>3031</v>
      </c>
    </row>
    <row customHeight="1" ht="48.75" r="19" spans="1:4">
      <c r="A19" s="1683"/>
      <c r="B19" s="1785"/>
      <c r="C19" s="1434"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19" t="s">
        <v>3031</v>
      </c>
    </row>
    <row customHeight="1" ht="42.75" r="20" spans="1:4">
      <c r="A20" s="1683"/>
      <c r="B20" s="1785"/>
      <c r="C20" s="1434" t="str">
        <f>+'А-5.2.1'!C19</f>
        <v>Тооллогоорх мөнгөн хөрөнгийн үлдэгдэл тайлангийн үлдэгдэлтэй зөрүүтэй байснаас тайланд буруу илэрхийлсэн эсэх</v>
      </c>
      <c r="D20" s="1519" t="s">
        <v>3031</v>
      </c>
    </row>
    <row customFormat="1" customHeight="1" ht="42.75" r="21" s="1484" spans="1:4">
      <c r="A21" s="1684"/>
      <c r="B21" s="1760"/>
      <c r="C21" s="1515" t="s">
        <v>3561</v>
      </c>
      <c r="D21" s="1519" t="s">
        <v>3031</v>
      </c>
    </row>
    <row customHeight="1" ht="42.75" r="22" spans="1:4">
      <c r="A22" s="1682">
        <v>2</v>
      </c>
      <c r="B22" s="1774" t="s">
        <v>1855</v>
      </c>
      <c r="C22" s="1441" t="s">
        <v>3033</v>
      </c>
      <c r="D22" s="1153" t="s">
        <v>3031</v>
      </c>
    </row>
    <row customHeight="1" ht="42.75" r="23" spans="1:4">
      <c r="A23" s="1683"/>
      <c r="B23" s="1775"/>
      <c r="C23" s="1434" t="str">
        <f>+'А-5.2.1'!C20</f>
        <v>Бараа материалын орлогыг  бүртгээгүй болон зөрүүтэй бүртгэснээс  буруу тайлагнагдсан байх</v>
      </c>
      <c r="D23" s="1519" t="s">
        <v>3031</v>
      </c>
    </row>
    <row customHeight="1" ht="42.75" r="24" spans="1:4">
      <c r="A24" s="1683"/>
      <c r="B24" s="1775"/>
      <c r="C24" s="1434"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19" t="s">
        <v>3031</v>
      </c>
    </row>
    <row customFormat="1" customHeight="1" ht="42.75" r="25" s="1484" spans="1:4">
      <c r="A25" s="1684"/>
      <c r="B25" s="1776"/>
      <c r="C25" s="1515" t="s">
        <v>3561</v>
      </c>
      <c r="D25" s="1519" t="s">
        <v>3031</v>
      </c>
    </row>
    <row customHeight="1" ht="42.75" r="26" spans="1:4">
      <c r="A26" s="1682">
        <v>3</v>
      </c>
      <c r="B26" s="1774" t="s">
        <v>3034</v>
      </c>
      <c r="C26" s="1441" t="s">
        <v>3035</v>
      </c>
      <c r="D26" s="1153" t="s">
        <v>3031</v>
      </c>
    </row>
    <row customHeight="1" ht="54.75" r="27" spans="1:4">
      <c r="A27" s="1683"/>
      <c r="B27" s="1775"/>
      <c r="C27" s="1434"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19" t="s">
        <v>3031</v>
      </c>
    </row>
    <row customHeight="1" ht="55.5" r="28" spans="1:4">
      <c r="A28" s="1683"/>
      <c r="B28" s="1775"/>
      <c r="C28" s="1434"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19" t="s">
        <v>3031</v>
      </c>
    </row>
    <row customFormat="1" customHeight="1" ht="42.75" r="29" s="1484" spans="1:4">
      <c r="A29" s="1684"/>
      <c r="B29" s="1776"/>
      <c r="C29" s="1515" t="s">
        <v>3561</v>
      </c>
      <c r="D29" s="1519" t="s">
        <v>3031</v>
      </c>
    </row>
    <row customHeight="1" ht="30.75" r="30" spans="1:4">
      <c r="A30" s="1682">
        <v>4</v>
      </c>
      <c r="B30" s="1774" t="s">
        <v>1863</v>
      </c>
      <c r="C30" s="1441" t="s">
        <v>3036</v>
      </c>
      <c r="D30" s="1153" t="s">
        <v>3031</v>
      </c>
    </row>
    <row customHeight="1" ht="37.5" r="31" spans="1:4">
      <c r="A31" s="1683"/>
      <c r="B31" s="1775"/>
      <c r="C31" s="1434" t="str">
        <f>+'А-5.2.1'!C24</f>
        <v xml:space="preserve">ТӨХ-ны зөвшөөрөлгүй, тендер зарлахгүйгээр үндсэн хөрөнгө бэлтгэсэн байх </v>
      </c>
      <c r="D31" s="1519" t="s">
        <v>3031</v>
      </c>
    </row>
    <row customHeight="1" ht="37.5" r="32" spans="1:4">
      <c r="A32" s="1683"/>
      <c r="B32" s="1775"/>
      <c r="C32" s="1434" t="str">
        <f>+'А-5.2.1'!C25</f>
        <v>Бүртгэлд байгаа хөрөнгө байгууллагын эзэмшилд биетээр байхгүй байх</v>
      </c>
      <c r="D32" s="1519" t="s">
        <v>3031</v>
      </c>
    </row>
    <row customHeight="1" ht="37.5" r="33" spans="1:4">
      <c r="A33" s="1683"/>
      <c r="B33" s="1775"/>
      <c r="C33" s="1434" t="str">
        <f>+'А-5.2.1'!C26</f>
        <v>Хандиваар ирсэн хөрөнгийг бүртгээгүйгээс тайланд дутуу илэрхийлэгдэж байсан</v>
      </c>
      <c r="D33" s="1519" t="s">
        <v>3031</v>
      </c>
    </row>
    <row customHeight="1" ht="37.5" r="34" spans="1:4">
      <c r="A34" s="1683"/>
      <c r="B34" s="1775"/>
      <c r="C34" s="1434" t="str">
        <f>+'А-5.2.1'!C27</f>
        <v>Хөрөнгийг ТӨХ-ны шийдвэргүйгээр актлан данснаас хасаж зах зээлийн ханшаас хямд үнээр борлуулсан байх</v>
      </c>
      <c r="D34" s="1519" t="s">
        <v>3031</v>
      </c>
    </row>
    <row customFormat="1" customHeight="1" ht="42.75" r="35" s="1484" spans="1:4">
      <c r="A35" s="1684"/>
      <c r="B35" s="1776"/>
      <c r="C35" s="1515" t="s">
        <v>3561</v>
      </c>
      <c r="D35" s="1519" t="s">
        <v>3031</v>
      </c>
    </row>
    <row customHeight="1" ht="37.5" r="36" spans="1:4">
      <c r="A36" s="1680">
        <v>5</v>
      </c>
      <c r="B36" s="1648" t="s">
        <v>92</v>
      </c>
      <c r="C36" s="1441" t="s">
        <v>3040</v>
      </c>
      <c r="D36" s="1153" t="s">
        <v>3031</v>
      </c>
    </row>
    <row customHeight="1" ht="40.5" r="37" spans="1:4">
      <c r="A37" s="1680"/>
      <c r="B37" s="1434" t="str">
        <f>+'А-5.2.1'!B28</f>
        <v xml:space="preserve">Төсвийн урсгал зардлын санхүүжилт </v>
      </c>
      <c r="C37" s="1434" t="str">
        <f>+'А-5.2.1'!C28</f>
        <v>Холбогдох дээд шатны байгууллагаас нэмэлт санхүүжилт хуваарилагдсныг тусгаагүй байх.</v>
      </c>
      <c r="D37" s="1519" t="s">
        <v>3031</v>
      </c>
    </row>
    <row customHeight="1" ht="45.75" r="38" spans="1:4">
      <c r="A38" s="1428">
        <v>6</v>
      </c>
      <c r="B38" s="1434" t="str">
        <f>+'А-5.2.1'!B29</f>
        <v>Хөрөнгө оруулалтын санхүүжилт</v>
      </c>
      <c r="C38" s="1434" t="str">
        <f>+'А-5.2.1'!C29</f>
        <v>Хөрөнгө оруулалтын санхүүжилт өмнөх оноос өссөн байх.</v>
      </c>
      <c r="D38" s="1519" t="s">
        <v>3031</v>
      </c>
    </row>
    <row customHeight="1" ht="37.5" r="39" spans="1:4">
      <c r="A39" s="1428">
        <v>7</v>
      </c>
      <c r="B39" s="1434" t="str">
        <f>+'А-5.2.1'!B30</f>
        <v>Урсгал зардал</v>
      </c>
      <c r="C39" s="1434" t="str">
        <f>+'А-5.2.1'!C30</f>
        <v>Зардлын ангилал хооронд гүйлгэн зарцуулсан байх</v>
      </c>
      <c r="D39" s="1519" t="s">
        <v>3031</v>
      </c>
    </row>
    <row customHeight="1" ht="37.5" r="40" spans="1:4">
      <c r="A40" s="1682">
        <v>8</v>
      </c>
      <c r="B40" s="1781" t="str">
        <f>+'А-5.2.1'!B31</f>
        <v>Цалингийн зардал</v>
      </c>
      <c r="C40" s="1434" t="str">
        <f>+'А-5.2.1'!C31</f>
        <v xml:space="preserve">Цалингийн нэмэгдлүүдийг буруу тооцоолох </v>
      </c>
      <c r="D40" s="1519" t="s">
        <v>3031</v>
      </c>
    </row>
    <row customHeight="1" ht="37.5" r="41" spans="1:4">
      <c r="A41" s="1683"/>
      <c r="B41" s="1781"/>
      <c r="C41" s="1434" t="str">
        <f>+'А-5.2.1'!C32</f>
        <v>Орон тооноос илүү хүн ажиллуулсан байх</v>
      </c>
      <c r="D41" s="1519" t="s">
        <v>3031</v>
      </c>
    </row>
    <row customHeight="1" ht="37.5" r="42" spans="1:4">
      <c r="A42" s="1684"/>
      <c r="B42" s="1781"/>
      <c r="C42" s="1434" t="str">
        <f>+'А-5.2.1'!C33</f>
        <v xml:space="preserve">Цалингийн зардлыг өөр зардалд гүйлгэн зарцуулсан байх </v>
      </c>
      <c r="D42" s="1519" t="s">
        <v>3031</v>
      </c>
    </row>
    <row customHeight="1" ht="37.5" r="43" spans="1:4">
      <c r="A43" s="1428">
        <v>9</v>
      </c>
      <c r="B43" s="1434" t="str">
        <f>+'А-5.2.1'!B34</f>
        <v>Томилолтын зардал</v>
      </c>
      <c r="C43" s="1434" t="str">
        <f>+'А-5.2.1'!C34</f>
        <v xml:space="preserve">Дотоод болон гадаад томилолтын зардлын олголтын лимитийг буруу тооцоолох </v>
      </c>
      <c r="D43" s="1519" t="s">
        <v>3031</v>
      </c>
    </row>
    <row customHeight="1" ht="40.5" r="44" spans="1:4">
      <c r="A44" s="1428">
        <v>10</v>
      </c>
      <c r="B44" s="1434" t="str">
        <f>+'А-5.2.1'!B35</f>
        <v>Тэтгэмж урамшууллын зардал</v>
      </c>
      <c r="C44" s="1434" t="str">
        <f>+'А-5.2.1'!C35</f>
        <v>Тэтгэмж урамшууллын зардыг өөр зардалд гүйлгэн зарцуулсан байх</v>
      </c>
      <c r="D44" s="1519" t="s">
        <v>3031</v>
      </c>
    </row>
    <row customHeight="1" ht="57.75" r="45" spans="1:4">
      <c r="A45" s="1428">
        <v>11</v>
      </c>
      <c r="B45" s="1434" t="str">
        <f>+'А-5.2.1'!B36</f>
        <v>Шуудан холбооны зардал</v>
      </c>
      <c r="C45" s="1434" t="str">
        <f>+'А-5.2.1'!C36</f>
        <v>Шуудан холбооны зардлыг тогтоосон норм, нормативаас хэтрүүлэн зарцуулсан байх.</v>
      </c>
      <c r="D45" s="1519" t="s">
        <v>3031</v>
      </c>
    </row>
    <row customHeight="1" ht="33.75" r="46" spans="1:4">
      <c r="A46" s="1682">
        <v>12</v>
      </c>
      <c r="B46" s="1691" t="str">
        <f>+'А-5.2.1'!B37</f>
        <v>Төлбөр хураамж бусад зардал</v>
      </c>
      <c r="C46" s="1434" t="str">
        <f>+'А-5.2.1'!C37</f>
        <v xml:space="preserve">Төлбөр хураамжийн зардлыг хэтрүүлэн зарцуулсан байх. </v>
      </c>
      <c r="D46" s="1519" t="s">
        <v>3031</v>
      </c>
    </row>
    <row customFormat="1" customHeight="1" ht="42.75" r="47" s="1484" spans="1:4">
      <c r="A47" s="1684"/>
      <c r="B47" s="1693"/>
      <c r="C47" s="1515" t="s">
        <v>3561</v>
      </c>
      <c r="D47" s="1519" t="s">
        <v>3031</v>
      </c>
    </row>
    <row customHeight="1" ht="31.5" r="48" spans="1:4">
      <c r="A48" s="1682">
        <v>13</v>
      </c>
      <c r="B48" s="1782" t="s">
        <v>2203</v>
      </c>
      <c r="C48" s="1441" t="s">
        <v>3039</v>
      </c>
      <c r="D48" s="1153" t="s">
        <v>3031</v>
      </c>
    </row>
    <row customHeight="1" ht="28.5" r="49" spans="1:4">
      <c r="A49" s="1683"/>
      <c r="B49" s="1783"/>
      <c r="C49" s="1434" t="str">
        <f>+'А-5.2.1'!C38</f>
        <v>Өөрийн хөрөнгө дахин үнэлгээ буруу дутуу илэрхийлэх</v>
      </c>
      <c r="D49" s="1519" t="s">
        <v>3031</v>
      </c>
    </row>
    <row customFormat="1" customHeight="1" ht="42.75" r="50" s="1484" spans="1:4">
      <c r="A50" s="1684"/>
      <c r="B50" s="1784"/>
      <c r="C50" s="1515" t="s">
        <v>3561</v>
      </c>
      <c r="D50" s="1519" t="s">
        <v>3031</v>
      </c>
    </row>
    <row customHeight="1" ht="37.5" r="51" spans="1:4">
      <c r="A51" s="1682">
        <v>14</v>
      </c>
      <c r="B51" s="1667" t="s">
        <v>32</v>
      </c>
      <c r="C51" s="1441" t="s">
        <v>3037</v>
      </c>
      <c r="D51" s="1153" t="s">
        <v>3031</v>
      </c>
    </row>
    <row customHeight="1" ht="39.75" r="52" spans="1:4">
      <c r="A52" s="1683"/>
      <c r="B52" s="1668"/>
      <c r="C52" s="1433" t="s">
        <v>3038</v>
      </c>
      <c r="D52" s="1519" t="s">
        <v>3031</v>
      </c>
    </row>
    <row customFormat="1" customHeight="1" ht="42.75" r="53" s="1484" spans="1:4">
      <c r="A53" s="1684"/>
      <c r="B53" s="1669"/>
      <c r="C53" s="1515" t="s">
        <v>3561</v>
      </c>
      <c r="D53" s="1519" t="s">
        <v>3031</v>
      </c>
    </row>
    <row customHeight="1" ht="19.5" r="54" spans="1:4">
      <c r="A54" s="1352"/>
      <c r="B54" s="1346"/>
      <c r="C54" s="406"/>
      <c r="D54" s="406"/>
    </row>
    <row r="55" spans="1:4">
      <c r="A55" s="1364"/>
      <c r="B55" s="1363" t="s">
        <v>701</v>
      </c>
      <c r="C55" s="406"/>
      <c r="D55" s="406"/>
    </row>
    <row ht="22.5" r="56" spans="1:4">
      <c r="A56" s="1372" t="s">
        <v>649</v>
      </c>
      <c r="B56" s="1372" t="s">
        <v>3316</v>
      </c>
      <c r="C56" s="1362" t="s">
        <v>3317</v>
      </c>
    </row>
    <row customHeight="1" ht="33" r="57" spans="1:4">
      <c r="A57" s="1372">
        <v>1</v>
      </c>
      <c r="B57" s="1373" t="s">
        <v>3318</v>
      </c>
      <c r="C57" s="1362" t="s">
        <v>3319</v>
      </c>
      <c r="D57" s="1365"/>
    </row>
    <row customHeight="1" ht="31.5" r="58" spans="1:4">
      <c r="A58" s="1372">
        <v>2</v>
      </c>
      <c r="B58" s="1373" t="s">
        <v>1715</v>
      </c>
      <c r="C58" s="1362" t="s">
        <v>3320</v>
      </c>
      <c r="D58" s="1365"/>
    </row>
    <row customHeight="1" ht="21.75" r="59" spans="1:4">
      <c r="A59" s="1372">
        <v>3</v>
      </c>
      <c r="B59" s="1373" t="s">
        <v>1703</v>
      </c>
      <c r="C59" s="1362" t="s">
        <v>3321</v>
      </c>
      <c r="D59" s="1365"/>
    </row>
    <row customHeight="1" ht="27.75" r="60" spans="1:4">
      <c r="A60" s="1372">
        <v>4</v>
      </c>
      <c r="B60" s="1373" t="s">
        <v>3322</v>
      </c>
      <c r="C60" s="1362" t="s">
        <v>3323</v>
      </c>
      <c r="D60" s="1365"/>
    </row>
    <row customHeight="1" ht="14.25" r="61" spans="1:4">
      <c r="A61" s="1372">
        <v>5</v>
      </c>
      <c r="B61" s="1373" t="s">
        <v>3324</v>
      </c>
      <c r="C61" s="1362" t="s">
        <v>3328</v>
      </c>
      <c r="D61" s="1365"/>
    </row>
    <row customHeight="1" ht="27" r="62" spans="1:4">
      <c r="A62" s="1372">
        <v>6</v>
      </c>
      <c r="B62" s="1373" t="s">
        <v>3325</v>
      </c>
      <c r="C62" s="1362" t="s">
        <v>2622</v>
      </c>
      <c r="D62" s="1365"/>
    </row>
    <row ht="22.5" r="63" spans="1:4">
      <c r="A63" s="1372">
        <v>7</v>
      </c>
      <c r="B63" s="1373" t="s">
        <v>3326</v>
      </c>
      <c r="C63" s="1362" t="s">
        <v>3329</v>
      </c>
    </row>
    <row r="64" spans="1:4">
      <c r="A64" s="1372">
        <v>8</v>
      </c>
      <c r="B64" s="1373" t="s">
        <v>3327</v>
      </c>
      <c r="C64" s="1362" t="s">
        <v>608</v>
      </c>
    </row>
    <row r="65" spans="1:4">
      <c r="A65" s="1426"/>
      <c r="B65" s="1427"/>
      <c r="C65" s="55"/>
      <c r="D65" s="1417"/>
    </row>
    <row r="66" spans="1:4">
      <c r="A66" s="1351" t="s">
        <v>1897</v>
      </c>
      <c r="C66" s="1351"/>
      <c r="D66" s="406"/>
    </row>
    <row r="67" spans="1:4">
      <c r="A67" s="1346">
        <f>+ЧХ!$C$15</f>
        <v>0</v>
      </c>
      <c r="B67" s="1346"/>
      <c r="C67" s="1411">
        <f>+ЧХ!$C$16</f>
        <v>0</v>
      </c>
      <c r="D67" s="1346" t="s">
        <v>1777</v>
      </c>
    </row>
    <row r="68" spans="1:4">
      <c r="A68" s="1346"/>
      <c r="B68" s="1346"/>
      <c r="C68" s="1346"/>
      <c r="D68" s="1346"/>
    </row>
    <row r="69" spans="1:4">
      <c r="A69" s="1351" t="s">
        <v>1873</v>
      </c>
      <c r="C69" s="406"/>
      <c r="D69" s="1346"/>
    </row>
    <row r="70" spans="1:4">
      <c r="A70" s="1346" t="str">
        <f>+ЧХ!$B$6</f>
        <v>Аудитын менежер</v>
      </c>
      <c r="B70" s="1346"/>
      <c r="C70" s="1411">
        <f>+ЧХ!$C$6</f>
        <v>0</v>
      </c>
      <c r="D70" s="1346" t="s">
        <v>1777</v>
      </c>
    </row>
    <row r="71" spans="1:4">
      <c r="A71" s="1346"/>
      <c r="B71" s="1346"/>
      <c r="C71" s="1346"/>
      <c r="D71" s="1346"/>
    </row>
    <row r="72" spans="1:4">
      <c r="A72" s="1351" t="s">
        <v>2035</v>
      </c>
      <c r="C72" s="406"/>
      <c r="D72" s="1346"/>
    </row>
    <row r="73" spans="1:4">
      <c r="A73" s="1346" t="str">
        <f>+ЧХ!$B$5</f>
        <v>Тэргүүлэх аудитор</v>
      </c>
      <c r="B73" s="1346"/>
      <c r="C73" s="1411" t="str">
        <f>+ЧХ!$C$5</f>
        <v>С.Энхбаатар</v>
      </c>
      <c r="D73" s="1346" t="s">
        <v>1777</v>
      </c>
    </row>
    <row r="75" spans="1:4">
      <c r="A75" s="406" t="str">
        <f>+ЧХ!$B$6&amp;"ийн санал: ………………………………………………………………………………………"</f>
        <v>Аудитын менежерийн санал: ………………………………………………………………………………………</v>
      </c>
    </row>
    <row r="76" spans="1:4">
      <c r="A76" s="406"/>
    </row>
    <row r="77" spans="1:4">
      <c r="A77" s="406"/>
    </row>
    <row r="78" spans="1:4">
      <c r="A78" s="406" t="str">
        <f>+ЧХ!$B$5&amp;"ын санал: ..........................................................................................................."</f>
        <v>Тэргүүлэх аудиторын санал: ...........................................................................................................</v>
      </c>
    </row>
    <row customHeight="1" ht="90.75" r="111"/>
    <row customHeight="1" ht="58.5" r="112"/>
    <row customHeight="1" ht="30" r="113"/>
    <row customHeight="1" ht="34.5" r="114"/>
    <row customHeight="1" ht="141.75" r="115"/>
    <row customHeight="1" ht="47.25" r="117"/>
    <row customHeight="1" ht="41.25" r="118"/>
    <row customHeight="1" ht="120" r="123"/>
    <row customHeight="1" ht="106.5" r="124"/>
    <row customHeight="1" ht="131.25" r="128"/>
    <row customHeight="1" ht="55.5" r="129"/>
    <row customHeight="1" ht="40.5" r="139"/>
    <row customHeight="1" ht="51.75" r="140"/>
    <row customHeight="1" ht="42.75" r="150"/>
    <row customHeight="1" ht="73.5" r="151"/>
    <row customHeight="1" ht="162" r="155"/>
    <row customHeight="1" ht="18.75" r="162"/>
    <row customHeight="1" ht="129.75" r="175"/>
    <row customHeight="1" ht="60" r="176"/>
    <row customHeight="1" ht="71.25" r="185"/>
  </sheetData>
  <mergeCells count="19">
    <mergeCell ref="B30:B35"/>
    <mergeCell ref="A30:A35"/>
    <mergeCell ref="B4:D4"/>
    <mergeCell ref="B2:D2"/>
    <mergeCell ref="B8:B21"/>
    <mergeCell ref="A8:A21"/>
    <mergeCell ref="B22:B25"/>
    <mergeCell ref="A22:A25"/>
    <mergeCell ref="B26:B29"/>
    <mergeCell ref="A26:A29"/>
    <mergeCell ref="A51:A53"/>
    <mergeCell ref="A48:A50"/>
    <mergeCell ref="A36:A37"/>
    <mergeCell ref="A40:A42"/>
    <mergeCell ref="B40:B42"/>
    <mergeCell ref="B51:B53"/>
    <mergeCell ref="B48:B50"/>
    <mergeCell ref="B46:B47"/>
    <mergeCell ref="A46:A47"/>
  </mergeCells>
  <dataValidations count="1">
    <dataValidation allowBlank="1" showErrorMessage="1" showInputMessage="1" sqref="D8:D53" type="list">
      <formula1>"Үр нөлөөтэй, Үр нөлөөгүй"</formula1>
    </dataValidation>
  </dataValidations>
  <pageMargins bottom="0.75" footer="0.3" header="0.3" left="0.7" right="0.7" top="0.75"/>
  <pageSetup orientation="portrait" r:id="rId1" verticalDpi="0"/>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customWidth="true" style="406" width="6.42578125" collapsed="false"/>
    <col min="2" max="2" customWidth="true" style="85" width="20.28515625" collapsed="false"/>
    <col min="3" max="3" customWidth="true" style="406" width="15.7109375" collapsed="false"/>
    <col min="4" max="4" customWidth="true" style="406" width="22.140625" collapsed="false"/>
    <col min="5" max="5" customWidth="true" style="406" width="21.140625" collapsed="false"/>
    <col min="6" max="6" customWidth="true" style="406" width="20.140625" collapsed="false"/>
    <col min="7" max="7" customWidth="true" style="406" width="19.7109375" collapsed="false"/>
    <col min="8" max="8" customWidth="true" style="406" width="16.28515625" collapsed="false"/>
    <col min="9" max="9" customWidth="true" style="1484" width="16.28515625" collapsed="false"/>
    <col min="10" max="10" customWidth="true" style="406" width="18.5703125" collapsed="false"/>
    <col min="11" max="11" customWidth="true" style="406" width="16.0" collapsed="false"/>
    <col min="12" max="12" customWidth="true" style="85" width="20.7109375" collapsed="false"/>
    <col min="13" max="13" customWidth="true" style="1632" width="18.42578125" collapsed="false"/>
    <col min="14" max="14" customWidth="true" style="1632" width="12.28515625" collapsed="false"/>
    <col min="15" max="16384" style="85" width="9.140625" collapsed="false"/>
  </cols>
  <sheetData>
    <row customFormat="1" customHeight="1" ht="16.5" r="1" s="406" spans="1:14">
      <c r="A1" s="432"/>
      <c r="B1" s="432"/>
      <c r="C1" s="432"/>
      <c r="D1" s="432"/>
      <c r="E1" s="432"/>
      <c r="F1" s="432"/>
      <c r="G1" s="432"/>
      <c r="H1" s="432"/>
      <c r="I1" s="432"/>
      <c r="J1" s="453"/>
      <c r="K1" s="453"/>
      <c r="M1" s="1632"/>
      <c r="N1" s="1632"/>
    </row>
    <row customFormat="1" customHeight="1" ht="15.75" r="2" s="406" spans="1:14">
      <c r="A2" s="432"/>
      <c r="B2" s="432"/>
      <c r="C2" s="432"/>
      <c r="D2" s="432"/>
      <c r="E2" s="1789" t="s">
        <v>2213</v>
      </c>
      <c r="F2" s="1789"/>
      <c r="G2" s="448"/>
      <c r="H2" s="448"/>
      <c r="I2" s="448"/>
      <c r="J2" s="448"/>
      <c r="K2" s="448"/>
      <c r="M2" s="1632"/>
      <c r="N2" s="1632"/>
    </row>
    <row customFormat="1" r="3" s="406" spans="1:14">
      <c r="A3" s="432"/>
      <c r="B3" s="432"/>
      <c r="C3" s="432"/>
      <c r="D3" s="432"/>
      <c r="E3" s="448"/>
      <c r="F3" s="448"/>
      <c r="G3" s="448"/>
      <c r="H3" s="448"/>
      <c r="I3" s="448"/>
      <c r="J3" s="448"/>
      <c r="K3" s="448"/>
      <c r="M3" s="1632"/>
      <c r="N3" s="1632"/>
    </row>
    <row customFormat="1" r="4" s="406" spans="1:14">
      <c r="A4" s="432"/>
      <c r="B4" s="1786" t="str">
        <f>"Байгууллагын нэр: "&amp;ЧХ!C7</f>
        <v xml:space="preserve">Байгууллагын нэр: </v>
      </c>
      <c r="C4" s="1786"/>
      <c r="D4" s="1786"/>
      <c r="E4" s="1786"/>
      <c r="F4" s="1786"/>
      <c r="G4" s="1786"/>
      <c r="H4" s="1786"/>
      <c r="I4" s="1786"/>
      <c r="J4" s="1786"/>
      <c r="K4" s="448"/>
      <c r="M4" s="1632"/>
      <c r="N4" s="1632"/>
    </row>
    <row r="5" spans="1:14">
      <c r="B5" s="580" t="str">
        <f>"Тайлант он: "&amp;ЧХ!$C$8</f>
        <v xml:space="preserve">Тайлант он: </v>
      </c>
      <c r="C5" s="1405"/>
    </row>
    <row customFormat="1" r="6" s="406" spans="1:14">
      <c r="B6" s="559"/>
      <c r="C6" s="559"/>
      <c r="I6" s="1484"/>
      <c r="M6" s="1632"/>
      <c r="N6" s="1632"/>
    </row>
    <row customHeight="1" ht="32.25" r="7" spans="1:14">
      <c r="A7" s="1790" t="s">
        <v>2209</v>
      </c>
      <c r="B7" s="1790" t="s">
        <v>2202</v>
      </c>
      <c r="C7" s="1787" t="s">
        <v>2196</v>
      </c>
      <c r="D7" s="1788"/>
      <c r="E7" s="1788"/>
      <c r="F7" s="1788"/>
      <c r="G7" s="1788"/>
      <c r="H7" s="1788"/>
      <c r="I7" s="1788"/>
      <c r="J7" s="1788"/>
      <c r="K7" s="1792" t="s">
        <v>1876</v>
      </c>
      <c r="L7" s="1781" t="s">
        <v>3334</v>
      </c>
      <c r="M7" s="1791" t="s">
        <v>2993</v>
      </c>
      <c r="N7" s="1791"/>
    </row>
    <row customHeight="1" ht="53.25" r="8" spans="1:14">
      <c r="A8" s="1790"/>
      <c r="B8" s="1790"/>
      <c r="C8" s="1404" t="s">
        <v>3346</v>
      </c>
      <c r="D8" s="578" t="s">
        <v>2197</v>
      </c>
      <c r="E8" s="578" t="s">
        <v>2194</v>
      </c>
      <c r="F8" s="578" t="s">
        <v>2195</v>
      </c>
      <c r="G8" s="578" t="s">
        <v>3345</v>
      </c>
      <c r="H8" s="1404" t="s">
        <v>3344</v>
      </c>
      <c r="I8" s="1559" t="s">
        <v>3572</v>
      </c>
      <c r="J8" s="578" t="s">
        <v>2210</v>
      </c>
      <c r="K8" s="1793"/>
      <c r="L8" s="1781"/>
      <c r="M8" s="1633" t="s">
        <v>1737</v>
      </c>
      <c r="N8" s="1633" t="s">
        <v>2994</v>
      </c>
    </row>
    <row customFormat="1" customHeight="1" ht="18.75" r="9" s="406" spans="1:14">
      <c r="A9" s="1404" t="s">
        <v>702</v>
      </c>
      <c r="B9" s="1404">
        <v>1</v>
      </c>
      <c r="C9" s="1404">
        <v>2</v>
      </c>
      <c r="D9" s="1404">
        <v>3</v>
      </c>
      <c r="E9" s="1404">
        <v>4</v>
      </c>
      <c r="F9" s="1404">
        <v>5</v>
      </c>
      <c r="G9" s="1404">
        <v>6</v>
      </c>
      <c r="H9" s="1404">
        <v>7</v>
      </c>
      <c r="I9" s="1559">
        <v>8</v>
      </c>
      <c r="J9" s="1404">
        <v>9</v>
      </c>
      <c r="K9" s="1404">
        <v>10</v>
      </c>
      <c r="L9" s="1630">
        <v>11</v>
      </c>
      <c r="M9" s="1633">
        <v>12</v>
      </c>
      <c r="N9" s="1633">
        <v>13</v>
      </c>
    </row>
    <row customFormat="1" customHeight="1" ht="21" r="10" s="1410" spans="1:14">
      <c r="A10" s="1409">
        <v>0</v>
      </c>
      <c r="B10" s="1410" t="s">
        <v>2201</v>
      </c>
      <c r="C10" s="15" t="s">
        <v>3239</v>
      </c>
      <c r="D10" s="449" t="str">
        <f>IF('А-3'!I9="тийм","тийм","үгүй")</f>
        <v>үгүй</v>
      </c>
      <c r="E10" s="1408" t="str">
        <f>+'А-5.1'!C8</f>
        <v>Үгүй</v>
      </c>
      <c r="F10" s="1408" t="s">
        <v>3476</v>
      </c>
      <c r="G10" s="15" t="s">
        <v>1475</v>
      </c>
      <c r="H10" s="15" t="s">
        <v>3032</v>
      </c>
      <c r="I10" s="1480" t="s">
        <v>3239</v>
      </c>
      <c r="J10" s="449" t="s">
        <v>2212</v>
      </c>
      <c r="K10" s="452">
        <v>0</v>
      </c>
      <c r="L10" s="1630" t="str">
        <f>IF($C10="Их","А-5.2.1",IF($D10="тийм","А-5.2.1",IF($E10="тийм","А-5.2.1",IF($F10="үр нөлөөгүй","А-5.2.1",IF($G10="тийм","А-5.2.1",IF($H10="үр нөлөөгүй","А-5.2.1","бага түвшинд горим хэрэгжүүл"))))))</f>
        <v>А-5.2.1</v>
      </c>
      <c r="M10" s="1634"/>
      <c r="N10" s="1634"/>
    </row>
    <row customFormat="1" ht="25.5" r="11" s="1361" spans="1:14">
      <c r="A11" s="445">
        <v>31</v>
      </c>
      <c r="B11" s="441" t="s">
        <v>2188</v>
      </c>
      <c r="C11" s="15" t="s">
        <v>3239</v>
      </c>
      <c r="D11" s="449" t="str">
        <f>IF('А-3'!I10="тийм","тийм","үгүй")</f>
        <v>үгүй</v>
      </c>
      <c r="E11" s="1358" t="str">
        <f>+'А-5.1'!C15</f>
        <v>үгүй</v>
      </c>
      <c r="F11" s="1358" t="str">
        <f>'А-5.2'!D8</f>
        <v>Үр нөлөөтэй</v>
      </c>
      <c r="G11" s="15" t="s">
        <v>1475</v>
      </c>
      <c r="H11" s="15" t="s">
        <v>3031</v>
      </c>
      <c r="I11" s="1480" t="s">
        <v>3239</v>
      </c>
      <c r="J11" s="451" t="str">
        <f>IF(('А-4АБ'!E4+'А-4АБ'!F4)&gt;0,"A-7.1",0)</f>
        <v>A-7.1</v>
      </c>
      <c r="K11" s="452">
        <f>SUM('А-7.1'!C9:C16)</f>
        <v>0</v>
      </c>
      <c r="L11" s="1630" t="str">
        <f>IF($C11="Их","A-7.1",IF($D11="тийм","A-7.1",IF($E11="тийм","A-7.1",IF($F11="үр нөлөөгүй","A-7.1",IF($G11="тийм","A-7.1",IF($H11="үр нөлөөгүй","A-7.1","бага түвшинд горим хэрэгжүүл"))))))</f>
        <v>бага түвшинд горим хэрэгжүүл</v>
      </c>
      <c r="M11" s="1634">
        <f>+'В-3-1Т'!$I$4</f>
        <v>0</v>
      </c>
      <c r="N11" s="1634">
        <f>+'В-3-1Т'!$D$8</f>
        <v>0</v>
      </c>
    </row>
    <row customFormat="1" customHeight="1" ht="20.25" r="12" s="1361" spans="1:14">
      <c r="A12" s="445">
        <v>33</v>
      </c>
      <c r="B12" s="441" t="s">
        <v>2185</v>
      </c>
      <c r="C12" s="15" t="s">
        <v>3239</v>
      </c>
      <c r="D12" s="449" t="str">
        <f>IF('А-3'!I11="тийм","тийм","үгүй")</f>
        <v>үгүй</v>
      </c>
      <c r="E12" s="1358" t="str">
        <f>+'А-5.1'!C26</f>
        <v>үгүй</v>
      </c>
      <c r="F12" s="1358" t="str">
        <f>'А-5.2'!D26</f>
        <v>Үр нөлөөтэй</v>
      </c>
      <c r="G12" s="15" t="s">
        <v>1475</v>
      </c>
      <c r="H12" s="15" t="s">
        <v>3031</v>
      </c>
      <c r="I12" s="1480" t="s">
        <v>3239</v>
      </c>
      <c r="J12" s="451" t="str">
        <f>IF(('А-4АБ'!E6+'А-4АБ'!F6)&gt;0,"A-7.7",0)</f>
        <v>A-7.7</v>
      </c>
      <c r="K12" s="452">
        <f>SUM('А-7.7'!C9:C17)</f>
        <v>0</v>
      </c>
      <c r="L12" s="1630" t="str">
        <f>IF($C12="Их","A-7.7",IF($D12="тийм","A-7.7",IF($E12="тийм","A-7.7",IF($F12="үр нөлөөгүй","A-7.7",IF($G12="тийм","A-7.7",IF($H12="үр нөлөөгүй","A-7.7","бага түвшинд горим хэрэгжүүл"))))))</f>
        <v>бага түвшинд горим хэрэгжүүл</v>
      </c>
      <c r="M12" s="1634">
        <f>+'В-3-2Т'!$I$4</f>
        <v>0</v>
      </c>
      <c r="N12" s="1634">
        <f>+'В-3-2Т'!$D$8</f>
        <v>0</v>
      </c>
    </row>
    <row customFormat="1" customHeight="1" ht="18.75" r="13" s="1361" spans="1:14">
      <c r="A13" s="445">
        <v>35</v>
      </c>
      <c r="B13" s="441" t="s">
        <v>2186</v>
      </c>
      <c r="C13" s="15" t="s">
        <v>3239</v>
      </c>
      <c r="D13" s="449" t="str">
        <f>IF('А-3'!I12="тийм","тийм","үгүй")</f>
        <v>үгүй</v>
      </c>
      <c r="E13" s="1358" t="str">
        <f>+'А-5.1'!C46</f>
        <v>үгүй</v>
      </c>
      <c r="F13" s="1358" t="str">
        <f>'А-5.2'!D22</f>
        <v>Үр нөлөөтэй</v>
      </c>
      <c r="G13" s="15" t="s">
        <v>1475</v>
      </c>
      <c r="H13" s="15" t="s">
        <v>3031</v>
      </c>
      <c r="I13" s="1480" t="s">
        <v>3239</v>
      </c>
      <c r="J13" s="451" t="str">
        <f>IF(('А-4АБ'!E8+'А-4АБ'!F8)&gt;0,"A-7.2",0)</f>
        <v>A-7.2</v>
      </c>
      <c r="K13" s="452">
        <f>SUM('А-7.2'!C9:C14)</f>
        <v>0</v>
      </c>
      <c r="L13" s="1630" t="str">
        <f>IF($C13="Их","A-7.2",IF($D13="тийм","A-7.2",IF($E13="тийм","A-7.2",IF($F13="үр нөлөөгүй","A-7.2",IF($G13="тийм","A-7.2",IF($H13="үр нөлөөгүй","A-7.2","бага түвшинд горим хэрэгжүүл"))))))</f>
        <v>бага түвшинд горим хэрэгжүүл</v>
      </c>
      <c r="M13" s="1634">
        <f>+'В-3-3Т'!$I$4</f>
        <v>0</v>
      </c>
      <c r="N13" s="1634">
        <f>+'В-3-3Т'!$D$8</f>
        <v>0</v>
      </c>
    </row>
    <row customFormat="1" customHeight="1" ht="42" r="14" s="1361" spans="1:14">
      <c r="A14" s="445">
        <v>39</v>
      </c>
      <c r="B14" s="441" t="s">
        <v>3601</v>
      </c>
      <c r="C14" s="15" t="s">
        <v>3239</v>
      </c>
      <c r="D14" s="449" t="str">
        <f>IF('А-3'!I13="тийм","тийм","үгүй")</f>
        <v>үгүй</v>
      </c>
      <c r="E14" s="449" t="str">
        <f>+'А-5.1'!C61</f>
        <v>үгүй</v>
      </c>
      <c r="F14" s="449" t="str">
        <f>'А-5.2'!D30</f>
        <v>Үр нөлөөтэй</v>
      </c>
      <c r="G14" s="15" t="s">
        <v>1475</v>
      </c>
      <c r="H14" s="15" t="s">
        <v>3031</v>
      </c>
      <c r="I14" s="1480" t="s">
        <v>3239</v>
      </c>
      <c r="J14" s="451" t="str">
        <f>IF(('А-4АБ'!E12+'А-4АБ'!F12)&gt;0,"A-7.3, A-7.5",0)</f>
        <v>A-7.3, A-7.5</v>
      </c>
      <c r="K14" s="452">
        <f>SUM('А-7.3'!C9:C21)+SUM('А-7.5'!C9:C18)</f>
        <v>0</v>
      </c>
      <c r="L14" s="1630" t="str">
        <f>IF($C14="Их","A-7.3",IF($D14="тийм","A-7.3",IF($E14="тийм","A-7.3",IF($F14="үр нөлөөгүй","A-7.3",IF($G14="тийм","A-7.3",IF($H14="үр нөлөөгүй","A-7.3","бага түвшинд горим хэрэгжүүл"))))))</f>
        <v>бага түвшинд горим хэрэгжүүл</v>
      </c>
      <c r="M14" s="1634">
        <f>+'В-3-4Т'!$I$4</f>
        <v>0</v>
      </c>
      <c r="N14" s="1634">
        <f>+'В-3-4Т'!$D$8</f>
        <v>0</v>
      </c>
    </row>
    <row customFormat="1" customHeight="1" ht="39.75" r="15" s="1361" spans="1:14">
      <c r="A15" s="445">
        <v>4</v>
      </c>
      <c r="B15" s="441" t="s">
        <v>3602</v>
      </c>
      <c r="C15" s="15" t="s">
        <v>3239</v>
      </c>
      <c r="D15" s="449" t="str">
        <f>IF('А-3'!I14="тийм","тийм","үгүй")</f>
        <v>үгүй</v>
      </c>
      <c r="E15" s="449" t="str">
        <f>+'А-5.1'!C97</f>
        <v>үгүй</v>
      </c>
      <c r="F15" s="449" t="str">
        <f>'А-5.2'!D26</f>
        <v>Үр нөлөөтэй</v>
      </c>
      <c r="G15" s="15" t="s">
        <v>1475</v>
      </c>
      <c r="H15" s="15" t="s">
        <v>3031</v>
      </c>
      <c r="I15" s="1480" t="s">
        <v>3239</v>
      </c>
      <c r="J15" s="451" t="str">
        <f>IF(('А-4АБ'!E15+'А-4АБ'!F15)&gt;0,"A-7.7, A-7.8",0)</f>
        <v>A-7.7, A-7.8</v>
      </c>
      <c r="K15" s="452">
        <f>SUM('А-7.7'!C9:C17)+SUM('А-7.8'!C9:C15)</f>
        <v>0</v>
      </c>
      <c r="L15" s="1630" t="str">
        <f>IF($C15="Их","A-7.7",IF($D15="тийм","A-7.7",IF($E15="тийм","A-7.7",IF($F15="үр нөлөөгүй","A-7.7",IF($G15="тийм","A-7.7",IF($H15="үр нөлөөгүй","A-7.7","бага түвшинд горим хэрэгжүүл"))))))</f>
        <v>бага түвшинд горим хэрэгжүүл</v>
      </c>
      <c r="M15" s="1634">
        <f>+'В-3-5Т'!$I$4</f>
        <v>0</v>
      </c>
      <c r="N15" s="1634">
        <f>+'В-3-5Т'!$D$8</f>
        <v>0</v>
      </c>
    </row>
    <row customFormat="1" customHeight="1" ht="30.75" r="16" s="406" spans="1:14">
      <c r="A16" s="450">
        <v>5</v>
      </c>
      <c r="B16" s="441" t="s">
        <v>281</v>
      </c>
      <c r="C16" s="15" t="s">
        <v>3239</v>
      </c>
      <c r="D16" s="449" t="str">
        <f>IF('А-3'!I15="тийм","тийм","үгүй")</f>
        <v>үгүй</v>
      </c>
      <c r="E16" s="449" t="str">
        <f>+'А-5.1'!C122</f>
        <v>үгүй</v>
      </c>
      <c r="F16" s="449" t="str">
        <f>'А-5.2'!D48</f>
        <v>Үр нөлөөтэй</v>
      </c>
      <c r="G16" s="15" t="s">
        <v>1475</v>
      </c>
      <c r="H16" s="15" t="s">
        <v>3031</v>
      </c>
      <c r="I16" s="1480" t="s">
        <v>3239</v>
      </c>
      <c r="J16" s="451" t="str">
        <f>IF(('А-4АБ'!E18+'А-4АБ'!F18)&gt;0,"A-7.9",0)</f>
        <v>A-7.9</v>
      </c>
      <c r="K16" s="452">
        <f>SUM('А-7.9'!C9:C13)</f>
        <v>0</v>
      </c>
      <c r="L16" s="1630" t="str">
        <f>IF($C16="Их","A-7.9",IF($D16="тийм","A-7.9",IF($E16="тийм","A-7.9",IF($F16="үр нөлөөгүй","A-7.9",IF($G16="тийм","A-7.9",IF($H16="үр нөлөөгүй","A-7.9","бага түвшинд горим хэрэгжүүл"))))))</f>
        <v>бага түвшинд горим хэрэгжүүл</v>
      </c>
      <c r="M16" s="1634">
        <f>+'В-3-6Т'!$I$4</f>
        <v>0</v>
      </c>
      <c r="N16" s="1634">
        <f>+'В-3-6Т'!$D$8</f>
        <v>0</v>
      </c>
    </row>
    <row customFormat="1" customHeight="1" ht="27" r="17" s="1361" spans="1:19">
      <c r="A17" s="446">
        <v>1</v>
      </c>
      <c r="B17" s="1359" t="s">
        <v>2207</v>
      </c>
      <c r="C17" s="15" t="s">
        <v>3239</v>
      </c>
      <c r="D17" s="449" t="str">
        <f>IF('А-3'!I16="тийм","тийм","үгүй")</f>
        <v>үгүй</v>
      </c>
      <c r="E17" s="449" t="str">
        <f>+'А-5.1'!C128</f>
        <v>үгүй</v>
      </c>
      <c r="F17" s="449" t="str">
        <f>'А-5.2'!D51</f>
        <v>Үр нөлөөтэй</v>
      </c>
      <c r="G17" s="15" t="s">
        <v>1475</v>
      </c>
      <c r="H17" s="15" t="s">
        <v>3031</v>
      </c>
      <c r="I17" s="1480" t="s">
        <v>3239</v>
      </c>
      <c r="J17" s="1360" t="str">
        <f>IF(('А-4АБ'!E22+'А-4АБ'!F22)&gt;0,"A-7.4",0)</f>
        <v>A-7.4</v>
      </c>
      <c r="K17" s="452">
        <f>SUM('А-7.4'!C9:C21)</f>
        <v>0</v>
      </c>
      <c r="L17" s="1630" t="str">
        <f>IF($C17="Их","A-7.4",IF($D17="тийм","A-7.4",IF($E17="тийм","A-7.4",IF($F17="үр нөлөөгүй","A-7.4",IF($G17="тийм","A-7.4",IF($H17="үр нөлөөгүй","A-7.4","бага түвшинд горим хэрэгжүүл"))))))</f>
        <v>бага түвшинд горим хэрэгжүүл</v>
      </c>
      <c r="M17" s="1634">
        <f>+'В-3-7Т'!$I$4</f>
        <v>0</v>
      </c>
      <c r="N17" s="1634">
        <f>+'В-3-7Т'!$D$8</f>
        <v>0</v>
      </c>
    </row>
    <row customFormat="1" customHeight="1" ht="30" r="18" s="1361" spans="1:19">
      <c r="A18" s="447">
        <v>2</v>
      </c>
      <c r="B18" s="441" t="s">
        <v>2208</v>
      </c>
      <c r="C18" s="15" t="s">
        <v>3239</v>
      </c>
      <c r="D18" s="449" t="str">
        <f>IF('А-3'!I17="тийм","тийм","үгүй")</f>
        <v>үгүй</v>
      </c>
      <c r="E18" s="1360" t="str">
        <f>+'А-5.1'!C143</f>
        <v>үгүй</v>
      </c>
      <c r="F18" s="1360" t="str">
        <f>'А-5.2'!D36</f>
        <v>Үр нөлөөтэй</v>
      </c>
      <c r="G18" s="15" t="s">
        <v>1475</v>
      </c>
      <c r="H18" s="15" t="s">
        <v>3031</v>
      </c>
      <c r="I18" s="1480" t="s">
        <v>3239</v>
      </c>
      <c r="J18" s="1360" t="str">
        <f>IF(('А-4АБ'!E26+'А-4АБ'!F26)&gt;0,"A-7.6",0)</f>
        <v>A-7.6</v>
      </c>
      <c r="K18" s="452">
        <f>SUM('А-7.6'!C9:C18)</f>
        <v>0</v>
      </c>
      <c r="L18" s="1630" t="str">
        <f>IF($C18="Их","A-7.6",IF($D18="тийм","A-7.6",IF($E18="тийм","A-7.6",IF($F18="үр нөлөөгүй","A-7.6",IF($G18="тийм","A-7.6",IF($H18="үр нөлөөгүй","A-7.6","бага түвшинд горим хэрэгжүүл"))))))</f>
        <v>бага түвшинд горим хэрэгжүүл</v>
      </c>
      <c r="M18" s="1634">
        <f>+'В-3-8Т'!$I$4</f>
        <v>0</v>
      </c>
      <c r="N18" s="1634">
        <f>+'В-3-8Т'!$D$8</f>
        <v>0</v>
      </c>
    </row>
    <row r="19" spans="1:19">
      <c r="K19" s="1455">
        <f>SUM(K10:K18)</f>
        <v>0</v>
      </c>
      <c r="O19" s="1484"/>
      <c r="P19" s="1484"/>
      <c r="Q19" s="1484"/>
      <c r="R19" s="1528"/>
      <c r="S19" s="1528"/>
    </row>
    <row r="20" spans="1:19">
      <c r="O20" s="1484"/>
      <c r="P20" s="1484"/>
      <c r="Q20" s="1528"/>
      <c r="R20" s="1528"/>
      <c r="S20" s="1528"/>
    </row>
    <row r="21" spans="1:19">
      <c r="B21" s="436" t="s">
        <v>1897</v>
      </c>
      <c r="C21" s="1406"/>
      <c r="D21" s="436"/>
      <c r="E21" s="436"/>
      <c r="O21" s="1484"/>
      <c r="P21" s="1484"/>
      <c r="Q21" s="1528"/>
      <c r="R21" s="1528"/>
      <c r="S21" s="1528"/>
    </row>
    <row r="22" spans="1:19">
      <c r="B22" s="406">
        <f>+ЧХ!$C$15</f>
        <v>0</v>
      </c>
      <c r="E22" s="1679">
        <f>+ЧХ!$C$16</f>
        <v>0</v>
      </c>
      <c r="F22" s="1679"/>
      <c r="G22" s="429" t="s">
        <v>1777</v>
      </c>
      <c r="H22" s="1403"/>
      <c r="I22" s="1557"/>
      <c r="O22" s="1484"/>
      <c r="P22" s="1484"/>
      <c r="Q22" s="1528"/>
      <c r="R22" s="1528"/>
      <c r="S22" s="1528"/>
    </row>
    <row r="23" spans="1:19">
      <c r="B23" s="406"/>
      <c r="E23" s="429"/>
      <c r="F23" s="429"/>
      <c r="G23" s="429"/>
      <c r="H23" s="1403"/>
      <c r="I23" s="1557"/>
      <c r="O23" s="1484"/>
      <c r="P23" s="1484"/>
      <c r="Q23" s="1528"/>
      <c r="R23" s="1528"/>
      <c r="S23" s="1528"/>
    </row>
    <row r="24" spans="1:19">
      <c r="B24" s="436" t="s">
        <v>1873</v>
      </c>
      <c r="C24" s="1406"/>
      <c r="D24" s="436"/>
      <c r="G24" s="429"/>
      <c r="H24" s="1403"/>
      <c r="I24" s="1557"/>
      <c r="O24" s="1484"/>
      <c r="P24" s="1484"/>
      <c r="Q24" s="1528"/>
      <c r="R24" s="1528"/>
      <c r="S24" s="1528"/>
    </row>
    <row r="25" spans="1:19">
      <c r="B25" s="406" t="str">
        <f>+ЧХ!$B$6</f>
        <v>Аудитын менежер</v>
      </c>
      <c r="E25" s="1679">
        <f>+ЧХ!$C$6</f>
        <v>0</v>
      </c>
      <c r="F25" s="1679"/>
      <c r="G25" s="429" t="s">
        <v>1777</v>
      </c>
      <c r="H25" s="1403"/>
      <c r="I25" s="1557"/>
      <c r="O25" s="1484"/>
      <c r="P25" s="1484"/>
      <c r="Q25" s="1528"/>
      <c r="R25" s="1528"/>
      <c r="S25" s="1528"/>
    </row>
    <row r="26" spans="1:19">
      <c r="B26" s="406"/>
      <c r="E26" s="429"/>
      <c r="F26" s="429"/>
      <c r="G26" s="429"/>
      <c r="H26" s="1403"/>
      <c r="I26" s="1557"/>
      <c r="O26" s="1484"/>
      <c r="P26" s="1484"/>
      <c r="Q26" s="1528"/>
      <c r="R26" s="1528"/>
      <c r="S26" s="1528"/>
    </row>
    <row r="27" spans="1:19">
      <c r="B27" s="436" t="s">
        <v>2035</v>
      </c>
      <c r="C27" s="1406"/>
      <c r="D27" s="436"/>
      <c r="G27" s="429"/>
      <c r="H27" s="1403"/>
      <c r="I27" s="1557"/>
      <c r="O27" s="1484"/>
      <c r="P27" s="1484"/>
      <c r="Q27" s="1528"/>
      <c r="R27" s="1528"/>
      <c r="S27" s="1528"/>
    </row>
    <row r="28" spans="1:19">
      <c r="B28" s="406" t="str">
        <f>+ЧХ!$B$5</f>
        <v>Тэргүүлэх аудитор</v>
      </c>
      <c r="E28" s="1689" t="str">
        <f>+ЧХ!$C$5</f>
        <v>С.Энхбаатар</v>
      </c>
      <c r="F28" s="1689"/>
      <c r="G28" s="429" t="s">
        <v>1777</v>
      </c>
      <c r="H28" s="1403"/>
      <c r="I28" s="1557"/>
      <c r="O28" s="1484"/>
      <c r="P28" s="1484"/>
      <c r="Q28" s="1528"/>
      <c r="R28" s="1528"/>
      <c r="S28" s="1528"/>
    </row>
    <row r="29" spans="1:19">
      <c r="O29" s="1484"/>
      <c r="P29" s="432"/>
      <c r="Q29" s="432"/>
      <c r="R29" s="432"/>
      <c r="S29" s="432"/>
    </row>
    <row r="30" spans="1:19">
      <c r="B30" s="406" t="str">
        <f>+ЧХ!$B$6&amp;"ийн санал: ………………………………………………………………………………………"</f>
        <v>Аудитын менежерийн санал: ………………………………………………………………………………………</v>
      </c>
    </row>
    <row r="31" spans="1:19">
      <c r="B31" s="406"/>
    </row>
    <row r="32" spans="1:19">
      <c r="B32" s="406"/>
    </row>
    <row r="33" spans="2:2">
      <c r="B33" s="406" t="str">
        <f>+ЧХ!$B$5&amp;"ын санал: ..........................................................................................................."</f>
        <v>Тэргүүлэх аудиторын санал: ...........................................................................................................</v>
      </c>
    </row>
  </sheetData>
  <mergeCells count="11">
    <mergeCell ref="E2:F2"/>
    <mergeCell ref="B7:B8"/>
    <mergeCell ref="M7:N7"/>
    <mergeCell ref="L7:L8"/>
    <mergeCell ref="A7:A8"/>
    <mergeCell ref="K7:K8"/>
    <mergeCell ref="E22:F22"/>
    <mergeCell ref="E25:F25"/>
    <mergeCell ref="B4:J4"/>
    <mergeCell ref="E28:F28"/>
    <mergeCell ref="C7:J7"/>
  </mergeCells>
  <dataValidations count="3">
    <dataValidation allowBlank="1" showErrorMessage="1" showInputMessage="1" sqref="H10:H18" type="list">
      <formula1>"Үр нөлөөтэй, Үр нөлөөгүй"</formula1>
    </dataValidation>
    <dataValidation allowBlank="1" showErrorMessage="1" showInputMessage="1" sqref="C10:C18 I10:I18" type="list">
      <formula1>"Их, Дунд, Бага"</formula1>
    </dataValidation>
    <dataValidation allowBlank="1" showErrorMessage="1" showInputMessage="1" sqref="G10:G18" type="list">
      <formula1>"Тийм, Үгүй"</formula1>
    </dataValidation>
  </dataValidations>
  <pageMargins bottom="0.75" footer="0.3" header="0.3" left="0.7" right="0.7" top="0.75"/>
  <pageSetup orientation="landscape" r:id="rId1" scale="80"/>
  <ignoredErrors>
    <ignoredError emptyCellReference="1" sqref="M11:N18"/>
  </ignoredErrors>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79"/>
  <sheetViews>
    <sheetView topLeftCell="A12" workbookViewId="0">
      <selection activeCell="D2" sqref="D2"/>
    </sheetView>
  </sheetViews>
  <sheetFormatPr defaultColWidth="9.140625" defaultRowHeight="12.75"/>
  <cols>
    <col min="1" max="1" customWidth="true" style="231" width="6.140625" collapsed="false"/>
    <col min="2" max="2" customWidth="true" style="343" width="56.42578125" collapsed="false"/>
    <col min="3" max="3" customWidth="true" style="410" width="20.140625" collapsed="false"/>
    <col min="4" max="4" customWidth="true" style="410" width="17.28515625" collapsed="false"/>
    <col min="5" max="5" customWidth="true" style="410" width="14.140625" collapsed="false"/>
    <col min="6" max="6" customWidth="true" style="410" width="14.0" collapsed="false"/>
    <col min="7" max="7" customWidth="true" style="44" width="14.5703125" collapsed="false"/>
    <col min="8" max="8" customWidth="true" style="343" width="12.7109375" collapsed="false"/>
    <col min="9" max="16384" style="343" width="9.140625" collapsed="false"/>
  </cols>
  <sheetData>
    <row r="1" spans="1:7">
      <c r="A1" s="228" t="s">
        <v>5</v>
      </c>
      <c r="B1" s="228"/>
    </row>
    <row customHeight="1" ht="31.5" r="2" spans="1:7">
      <c r="A2" s="393" t="s">
        <v>64</v>
      </c>
      <c r="B2" s="394" t="s">
        <v>12</v>
      </c>
      <c r="C2" s="411" t="s">
        <v>50</v>
      </c>
      <c r="D2" s="394">
        <f>'А-4'!C19</f>
        <v>0</v>
      </c>
      <c r="E2" s="411" t="s">
        <v>1684</v>
      </c>
      <c r="F2" s="411" t="s">
        <v>2167</v>
      </c>
      <c r="G2" s="395" t="s">
        <v>2162</v>
      </c>
    </row>
    <row r="3" spans="1:7">
      <c r="A3" s="396">
        <v>1</v>
      </c>
      <c r="B3" s="397" t="s">
        <v>121</v>
      </c>
      <c r="C3" s="667">
        <f>'2.CT1A'!$D$8</f>
        <v>0</v>
      </c>
      <c r="D3" s="667">
        <f>+$C$20*$D$2</f>
        <v>0</v>
      </c>
      <c r="E3" s="1131">
        <f ref="E3:E13" si="0" t="shared">IF((C3&gt;D3),1,0)</f>
        <v>0</v>
      </c>
      <c r="F3" s="1132">
        <f ref="F3:F13" si="1" t="shared">IF((C3-D3)&gt;1,0,1)</f>
        <v>1</v>
      </c>
      <c r="G3" s="1133"/>
    </row>
    <row r="4" spans="1:7">
      <c r="A4" s="396">
        <v>31</v>
      </c>
      <c r="B4" s="397" t="s">
        <v>123</v>
      </c>
      <c r="C4" s="667">
        <f>'2.CT1A'!$D$9</f>
        <v>0</v>
      </c>
      <c r="D4" s="667">
        <f ref="D4:D13" si="2" t="shared">+$C$20*$D$2</f>
        <v>0</v>
      </c>
      <c r="E4" s="1131">
        <f si="0" t="shared"/>
        <v>0</v>
      </c>
      <c r="F4" s="1132">
        <f si="1" t="shared"/>
        <v>1</v>
      </c>
      <c r="G4" s="1133">
        <f>IF(E4&gt;0,"A-7.1",0)</f>
        <v>0</v>
      </c>
    </row>
    <row customHeight="1" ht="18" r="5" spans="1:7">
      <c r="A5" s="396">
        <v>32</v>
      </c>
      <c r="B5" s="397" t="s">
        <v>140</v>
      </c>
      <c r="C5" s="667">
        <f>'2.CT1A'!$D$30</f>
        <v>0</v>
      </c>
      <c r="D5" s="667">
        <f si="2" t="shared"/>
        <v>0</v>
      </c>
      <c r="E5" s="1131">
        <f si="0" t="shared"/>
        <v>0</v>
      </c>
      <c r="F5" s="1132">
        <f si="1" t="shared"/>
        <v>1</v>
      </c>
      <c r="G5" s="1133">
        <f>IF(E5&gt;0,"A-7.1",0)</f>
        <v>0</v>
      </c>
    </row>
    <row r="6" spans="1:7">
      <c r="A6" s="396">
        <v>33</v>
      </c>
      <c r="B6" s="397" t="s">
        <v>143</v>
      </c>
      <c r="C6" s="667">
        <f>'2.CT1A'!$D$34</f>
        <v>0</v>
      </c>
      <c r="D6" s="667">
        <f si="2" t="shared"/>
        <v>0</v>
      </c>
      <c r="E6" s="1131">
        <f si="0" t="shared"/>
        <v>0</v>
      </c>
      <c r="F6" s="1132">
        <f si="1" t="shared"/>
        <v>1</v>
      </c>
      <c r="G6" s="1133">
        <f>IF(E6&gt;0,"A-7.7",0)</f>
        <v>0</v>
      </c>
    </row>
    <row r="7" spans="1:7">
      <c r="A7" s="396">
        <v>34</v>
      </c>
      <c r="B7" s="397" t="s">
        <v>160</v>
      </c>
      <c r="C7" s="667">
        <f>'2.CT1A'!$D$55</f>
        <v>0</v>
      </c>
      <c r="D7" s="667">
        <f si="2" t="shared"/>
        <v>0</v>
      </c>
      <c r="E7" s="1131">
        <f si="0" t="shared"/>
        <v>0</v>
      </c>
      <c r="F7" s="1132">
        <f si="1" t="shared"/>
        <v>1</v>
      </c>
      <c r="G7" s="1133">
        <f>IF(E7&gt;0,"A-7.8",0)</f>
        <v>0</v>
      </c>
    </row>
    <row r="8" spans="1:7">
      <c r="A8" s="396">
        <v>35</v>
      </c>
      <c r="B8" s="397" t="s">
        <v>3210</v>
      </c>
      <c r="C8" s="667">
        <f>'2.CT1A'!$D$67</f>
        <v>0</v>
      </c>
      <c r="D8" s="667">
        <f si="2" t="shared"/>
        <v>0</v>
      </c>
      <c r="E8" s="1131">
        <f si="0" t="shared"/>
        <v>0</v>
      </c>
      <c r="F8" s="1132">
        <f si="1" t="shared"/>
        <v>1</v>
      </c>
      <c r="G8" s="1133">
        <f>IF(E8&gt;0,"A-7.2",0)</f>
        <v>0</v>
      </c>
    </row>
    <row r="9" spans="1:7">
      <c r="A9" s="396">
        <v>36</v>
      </c>
      <c r="B9" s="397" t="s">
        <v>202</v>
      </c>
      <c r="C9" s="667">
        <f>'2.CT1A'!$D$83</f>
        <v>0</v>
      </c>
      <c r="D9" s="667">
        <f si="2" t="shared"/>
        <v>0</v>
      </c>
      <c r="E9" s="1131">
        <f si="0" t="shared"/>
        <v>0</v>
      </c>
      <c r="F9" s="1132">
        <f si="1" t="shared"/>
        <v>1</v>
      </c>
      <c r="G9" s="1133">
        <f>IF(E9&gt;0,"A-7.2",0)</f>
        <v>0</v>
      </c>
    </row>
    <row r="10" spans="1:7">
      <c r="A10" s="396">
        <v>2</v>
      </c>
      <c r="B10" s="397" t="s">
        <v>209</v>
      </c>
      <c r="C10" s="667">
        <f>'2.CT1A'!$D$93</f>
        <v>0</v>
      </c>
      <c r="D10" s="667">
        <f si="2" t="shared"/>
        <v>0</v>
      </c>
      <c r="E10" s="1131">
        <f si="0" t="shared"/>
        <v>0</v>
      </c>
      <c r="F10" s="1132">
        <f si="1" t="shared"/>
        <v>1</v>
      </c>
      <c r="G10" s="1133">
        <f>IF(E10&gt;0,"A-7.2",0)</f>
        <v>0</v>
      </c>
    </row>
    <row r="11" spans="1:7">
      <c r="A11" s="396">
        <v>37</v>
      </c>
      <c r="B11" s="397" t="s">
        <v>211</v>
      </c>
      <c r="C11" s="667">
        <f>'2.CT1A'!$D$94</f>
        <v>0</v>
      </c>
      <c r="D11" s="667">
        <f si="2" t="shared"/>
        <v>0</v>
      </c>
      <c r="E11" s="1131">
        <f si="0" t="shared"/>
        <v>0</v>
      </c>
      <c r="F11" s="1132">
        <f si="1" t="shared"/>
        <v>1</v>
      </c>
      <c r="G11" s="1133">
        <f>IF(E11&gt;0,"A-7.7",0)</f>
        <v>0</v>
      </c>
    </row>
    <row r="12" spans="1:7">
      <c r="A12" s="396">
        <v>39</v>
      </c>
      <c r="B12" s="397" t="s">
        <v>215</v>
      </c>
      <c r="C12" s="667">
        <f>'2.CT1A'!$D$113</f>
        <v>0</v>
      </c>
      <c r="D12" s="667">
        <f si="2" t="shared"/>
        <v>0</v>
      </c>
      <c r="E12" s="1131">
        <f si="0" t="shared"/>
        <v>0</v>
      </c>
      <c r="F12" s="1132">
        <f si="1" t="shared"/>
        <v>1</v>
      </c>
      <c r="G12" s="1133">
        <f>IF(E12&gt;0,"A-7.3",0)</f>
        <v>0</v>
      </c>
    </row>
    <row customFormat="1" ht="15" r="13" s="381" spans="1:7">
      <c r="A13" s="398">
        <v>393</v>
      </c>
      <c r="B13" s="397" t="s">
        <v>238</v>
      </c>
      <c r="C13" s="667">
        <f>'2.CT1A'!$D$133</f>
        <v>0</v>
      </c>
      <c r="D13" s="667">
        <f si="2" t="shared"/>
        <v>0</v>
      </c>
      <c r="E13" s="1131">
        <f si="0" t="shared"/>
        <v>0</v>
      </c>
      <c r="F13" s="1132">
        <f si="1" t="shared"/>
        <v>1</v>
      </c>
      <c r="G13" s="1133">
        <f>IF(E13&gt;0,"A-7.5",0)</f>
        <v>0</v>
      </c>
    </row>
    <row customFormat="1" r="14" s="415" spans="1:7">
      <c r="A14" s="413">
        <v>3</v>
      </c>
      <c r="B14" s="414" t="s">
        <v>2036</v>
      </c>
      <c r="C14" s="672">
        <f>'2.CT1A'!$D$144</f>
        <v>0</v>
      </c>
      <c r="D14" s="672">
        <f>+$C$20*$D$2</f>
        <v>0</v>
      </c>
      <c r="E14" s="470"/>
      <c r="F14" s="470"/>
      <c r="G14" s="471"/>
    </row>
    <row r="15" spans="1:7">
      <c r="A15" s="396">
        <v>4</v>
      </c>
      <c r="B15" s="397" t="s">
        <v>243</v>
      </c>
      <c r="C15" s="667">
        <f>'2.CT1A'!$D$145</f>
        <v>0</v>
      </c>
      <c r="D15" s="667">
        <f>+$C$20*$D$2</f>
        <v>0</v>
      </c>
      <c r="E15" s="1131">
        <f>IF((C15&gt;D15),1,0)</f>
        <v>0</v>
      </c>
      <c r="F15" s="1132">
        <f>IF((C15-D15)&gt;1,0,1)</f>
        <v>1</v>
      </c>
      <c r="G15" s="1133">
        <f>IF(E15&gt;0,"A-7.7",0)</f>
        <v>0</v>
      </c>
    </row>
    <row r="16" spans="1:7">
      <c r="A16" s="396">
        <v>41</v>
      </c>
      <c r="B16" s="397" t="s">
        <v>244</v>
      </c>
      <c r="C16" s="667">
        <f>'2.CT1A'!$D$146</f>
        <v>0</v>
      </c>
      <c r="D16" s="667">
        <f ref="D16:D19" si="3" t="shared">+$C$20*$D$2</f>
        <v>0</v>
      </c>
      <c r="E16" s="1131">
        <f>IF((C16&gt;D16),1,0)</f>
        <v>0</v>
      </c>
      <c r="F16" s="1132">
        <f>IF((C16-D16)&gt;1,0,1)</f>
        <v>1</v>
      </c>
      <c r="G16" s="1133">
        <f>IF(E16&gt;0,"A-7.7",0)</f>
        <v>0</v>
      </c>
    </row>
    <row r="17" spans="1:7">
      <c r="A17" s="396">
        <v>42</v>
      </c>
      <c r="B17" s="397" t="s">
        <v>276</v>
      </c>
      <c r="C17" s="667">
        <f>'2.CT1A'!$D$190</f>
        <v>0</v>
      </c>
      <c r="D17" s="667">
        <f si="3" t="shared"/>
        <v>0</v>
      </c>
      <c r="E17" s="1131">
        <f>IF((C17&gt;D17),1,0)</f>
        <v>0</v>
      </c>
      <c r="F17" s="1132">
        <f>IF((C17-D17)&gt;1,0,1)</f>
        <v>1</v>
      </c>
      <c r="G17" s="1133">
        <f>IF(E17&gt;0,"A-7.7",0)</f>
        <v>0</v>
      </c>
    </row>
    <row r="18" spans="1:7">
      <c r="A18" s="396">
        <v>5</v>
      </c>
      <c r="B18" s="397" t="s">
        <v>281</v>
      </c>
      <c r="C18" s="667">
        <f>'2.CT1A'!$D$221</f>
        <v>0</v>
      </c>
      <c r="D18" s="667">
        <f si="3" t="shared"/>
        <v>0</v>
      </c>
      <c r="E18" s="1131">
        <f>IF((C18&gt;D18),1,0)</f>
        <v>0</v>
      </c>
      <c r="F18" s="1132">
        <f>IF((C18-D18)&gt;1,0,1)</f>
        <v>1</v>
      </c>
      <c r="G18" s="1133">
        <f>IF(E18&gt;0,"A-7.9",0)</f>
        <v>0</v>
      </c>
    </row>
    <row r="19" spans="1:7">
      <c r="A19" s="396">
        <v>51</v>
      </c>
      <c r="B19" s="397" t="s">
        <v>282</v>
      </c>
      <c r="C19" s="667">
        <f>'2.CT1A'!$D$222</f>
        <v>0</v>
      </c>
      <c r="D19" s="667">
        <f si="3" t="shared"/>
        <v>0</v>
      </c>
      <c r="E19" s="1131">
        <f>IF((C19&gt;D19),1,0)</f>
        <v>0</v>
      </c>
      <c r="F19" s="1132">
        <f>IF((C19-D19)&gt;1,0,1)</f>
        <v>1</v>
      </c>
      <c r="G19" s="1133">
        <f>IF(E19&gt;0,"A-7.9",0)</f>
        <v>0</v>
      </c>
    </row>
    <row customFormat="1" r="20" s="415" spans="1:7">
      <c r="A20" s="416">
        <v>6</v>
      </c>
      <c r="B20" s="417" t="s">
        <v>291</v>
      </c>
      <c r="C20" s="884">
        <f>'2.CT1A'!$D$238</f>
        <v>0</v>
      </c>
      <c r="D20" s="673"/>
      <c r="E20" s="472"/>
      <c r="F20" s="472"/>
      <c r="G20" s="473"/>
    </row>
    <row r="21" spans="1:7">
      <c r="A21" s="421" t="s">
        <v>6</v>
      </c>
      <c r="B21" s="420"/>
      <c r="C21" s="674"/>
      <c r="D21" s="674"/>
      <c r="E21" s="474"/>
      <c r="F21" s="474"/>
      <c r="G21" s="475"/>
    </row>
    <row r="22" spans="1:7">
      <c r="A22" s="418">
        <v>1</v>
      </c>
      <c r="B22" s="419" t="s">
        <v>293</v>
      </c>
      <c r="C22" s="1134">
        <f>'3.CT2A'!D8</f>
        <v>0</v>
      </c>
      <c r="D22" s="1134">
        <f>($C$22+$C$30)*$D$2</f>
        <v>0</v>
      </c>
      <c r="E22" s="1135">
        <f ref="E22:E28" si="4" t="shared">IF((C22&gt;D22),1,0)</f>
        <v>0</v>
      </c>
      <c r="F22" s="1136">
        <f ref="F22:F28" si="5" t="shared">IF((C22-D22)&gt;1,0,1)</f>
        <v>1</v>
      </c>
      <c r="G22" s="1137"/>
    </row>
    <row r="23" spans="1:7">
      <c r="A23" s="399">
        <v>11</v>
      </c>
      <c r="B23" s="397" t="s">
        <v>799</v>
      </c>
      <c r="C23" s="667">
        <f>'3.CT2A'!D9</f>
        <v>0</v>
      </c>
      <c r="D23" s="667">
        <f>($C$22+$C$30)*$D$2</f>
        <v>0</v>
      </c>
      <c r="E23" s="1131">
        <f si="4" t="shared"/>
        <v>0</v>
      </c>
      <c r="F23" s="1132">
        <f si="5" t="shared"/>
        <v>1</v>
      </c>
      <c r="G23" s="1138">
        <f>IF(E23&gt;0,"A-7.4",0)</f>
        <v>0</v>
      </c>
    </row>
    <row r="24" spans="1:7">
      <c r="A24" s="396">
        <v>12</v>
      </c>
      <c r="B24" s="397" t="s">
        <v>869</v>
      </c>
      <c r="C24" s="667">
        <f>'3.CT2A'!D83</f>
        <v>0</v>
      </c>
      <c r="D24" s="667">
        <f>($C$22+$C$30)*$D$2</f>
        <v>0</v>
      </c>
      <c r="E24" s="1131">
        <f si="4" t="shared"/>
        <v>0</v>
      </c>
      <c r="F24" s="1132">
        <f si="5" t="shared"/>
        <v>1</v>
      </c>
      <c r="G24" s="1138">
        <f>IF(E24&gt;0,"A-7.4",0)</f>
        <v>0</v>
      </c>
    </row>
    <row r="25" spans="1:7">
      <c r="A25" s="396">
        <v>13</v>
      </c>
      <c r="B25" s="397" t="s">
        <v>887</v>
      </c>
      <c r="C25" s="667">
        <f>'3.CT2A'!D117</f>
        <v>0</v>
      </c>
      <c r="D25" s="667">
        <f>($C$22+$C$30)*$D$2</f>
        <v>0</v>
      </c>
      <c r="E25" s="1131">
        <f si="4" t="shared"/>
        <v>0</v>
      </c>
      <c r="F25" s="1132">
        <f si="5" t="shared"/>
        <v>1</v>
      </c>
      <c r="G25" s="1138">
        <f>IF(E25&gt;0,"A-7.4",0)</f>
        <v>0</v>
      </c>
    </row>
    <row r="26" spans="1:7">
      <c r="A26" s="399">
        <v>2</v>
      </c>
      <c r="B26" s="397" t="s">
        <v>328</v>
      </c>
      <c r="C26" s="667">
        <f>'3.CT2A'!D153</f>
        <v>0</v>
      </c>
      <c r="D26" s="667">
        <f>($C$26+$C$31)*$D$2</f>
        <v>0</v>
      </c>
      <c r="E26" s="1131">
        <f si="4" t="shared"/>
        <v>0</v>
      </c>
      <c r="F26" s="1132">
        <f si="5" t="shared"/>
        <v>1</v>
      </c>
      <c r="G26" s="1138">
        <f>IF(E26&gt;0,"A-7.6",0)</f>
        <v>0</v>
      </c>
    </row>
    <row r="27" spans="1:7">
      <c r="A27" s="396">
        <v>21</v>
      </c>
      <c r="B27" s="397" t="s">
        <v>920</v>
      </c>
      <c r="C27" s="667">
        <f>'3.CT2A'!D154</f>
        <v>0</v>
      </c>
      <c r="D27" s="667">
        <f>($C$26+$C$31)*$D$2</f>
        <v>0</v>
      </c>
      <c r="E27" s="1131">
        <f si="4" t="shared"/>
        <v>0</v>
      </c>
      <c r="F27" s="1132">
        <f si="5" t="shared"/>
        <v>1</v>
      </c>
      <c r="G27" s="1138">
        <f>IF(E27&gt;0,"A-7.6",0)</f>
        <v>0</v>
      </c>
    </row>
    <row r="28" spans="1:7">
      <c r="A28" s="396">
        <v>22</v>
      </c>
      <c r="B28" s="397" t="s">
        <v>1014</v>
      </c>
      <c r="C28" s="667">
        <f>'3.CT2A'!D259</f>
        <v>0</v>
      </c>
      <c r="D28" s="667">
        <f>($C$26+$C$31)*$D$2</f>
        <v>0</v>
      </c>
      <c r="E28" s="1131">
        <f si="4" t="shared"/>
        <v>0</v>
      </c>
      <c r="F28" s="1132">
        <f si="5" t="shared"/>
        <v>1</v>
      </c>
      <c r="G28" s="1138">
        <f>IF(E28&gt;0,"A-7.6",0)</f>
        <v>0</v>
      </c>
    </row>
    <row r="29" spans="1:7">
      <c r="A29" s="399">
        <v>3</v>
      </c>
      <c r="B29" s="397" t="s">
        <v>1083</v>
      </c>
      <c r="C29" s="667">
        <f>'3.CT2A'!D274</f>
        <v>0</v>
      </c>
      <c r="D29" s="667">
        <f>($C$22+$C$30)*$D$2</f>
        <v>0</v>
      </c>
      <c r="E29" s="1131"/>
      <c r="F29" s="1132"/>
      <c r="G29" s="1138"/>
    </row>
    <row r="30" spans="1:7">
      <c r="A30" s="399">
        <v>145</v>
      </c>
      <c r="B30" s="397" t="s">
        <v>445</v>
      </c>
      <c r="C30" s="667">
        <f>'3.CT2A'!D275</f>
        <v>0</v>
      </c>
      <c r="D30" s="667">
        <f>($C$22+$C$30)*$D$2</f>
        <v>0</v>
      </c>
      <c r="E30" s="1131">
        <f>IF((C30&gt;D30),1,0)</f>
        <v>0</v>
      </c>
      <c r="F30" s="1132">
        <f>IF((C30-D30)&gt;1,0,1)</f>
        <v>1</v>
      </c>
      <c r="G30" s="1138">
        <f>IF(E30&gt;0,"A-7.4",0)</f>
        <v>0</v>
      </c>
    </row>
    <row r="31" spans="1:7">
      <c r="A31" s="399">
        <v>225</v>
      </c>
      <c r="B31" s="397" t="s">
        <v>447</v>
      </c>
      <c r="C31" s="667">
        <f>'3.CT2A'!D282</f>
        <v>0</v>
      </c>
      <c r="D31" s="667">
        <f>($C$26+$C$31)*$D$2</f>
        <v>0</v>
      </c>
      <c r="E31" s="1131">
        <f>IF((C31&gt;D31),1,0)</f>
        <v>0</v>
      </c>
      <c r="F31" s="1132">
        <f>IF((C31-D31)&gt;1,0,1)</f>
        <v>1</v>
      </c>
      <c r="G31" s="1138">
        <f>IF(E31&gt;0,"A-7.6",0)</f>
        <v>0</v>
      </c>
    </row>
    <row customHeight="1" ht="17.25" r="32" spans="1:7">
      <c r="A32" s="400">
        <v>4</v>
      </c>
      <c r="B32" s="397" t="s">
        <v>2037</v>
      </c>
      <c r="C32" s="667">
        <f>'3.CT2A'!D293</f>
        <v>0</v>
      </c>
      <c r="D32" s="667"/>
      <c r="E32" s="1131"/>
      <c r="F32" s="1131"/>
      <c r="G32" s="1138"/>
    </row>
    <row r="33" spans="1:7">
      <c r="A33" s="399">
        <v>5</v>
      </c>
      <c r="B33" s="401" t="s">
        <v>1084</v>
      </c>
      <c r="C33" s="667">
        <f>'3.CT2A'!D294</f>
        <v>0</v>
      </c>
      <c r="D33" s="667">
        <f>+$C$20*$D$2</f>
        <v>0</v>
      </c>
      <c r="E33" s="1131"/>
      <c r="F33" s="1131"/>
      <c r="G33" s="1138"/>
    </row>
    <row customFormat="1" r="34" s="44" spans="1:7">
      <c r="A34" s="422" t="s">
        <v>102</v>
      </c>
      <c r="B34" s="423" t="s">
        <v>102</v>
      </c>
      <c r="C34" s="671"/>
      <c r="D34" s="671"/>
      <c r="E34" s="476">
        <f>SUM(E3:E33)</f>
        <v>0</v>
      </c>
      <c r="F34" s="476">
        <f>SUM(F3:F33)</f>
        <v>25</v>
      </c>
      <c r="G34" s="477"/>
    </row>
    <row r="35" spans="1:7">
      <c r="A35" s="1794" t="s">
        <v>7</v>
      </c>
      <c r="B35" s="1794"/>
    </row>
    <row customFormat="1" customHeight="1" ht="21.75" r="36" s="381" spans="1:7">
      <c r="A36" s="513">
        <v>1</v>
      </c>
      <c r="B36" s="397" t="s">
        <v>1086</v>
      </c>
      <c r="C36" s="1138"/>
      <c r="D36" s="1138"/>
      <c r="E36" s="1138"/>
      <c r="F36" s="1138"/>
      <c r="G36" s="1138"/>
    </row>
    <row customFormat="1" ht="15" r="37" s="381" spans="1:7">
      <c r="A37" s="513" t="s">
        <v>2838</v>
      </c>
      <c r="B37" s="397" t="s">
        <v>2235</v>
      </c>
      <c r="C37" s="1138"/>
      <c r="D37" s="1138"/>
      <c r="E37" s="1138"/>
      <c r="F37" s="1138"/>
      <c r="G37" s="1138"/>
    </row>
    <row customFormat="1" ht="15" r="38" s="381" spans="1:7">
      <c r="A38" s="513" t="s">
        <v>2785</v>
      </c>
      <c r="B38" s="397" t="s">
        <v>300</v>
      </c>
      <c r="C38" s="1138"/>
      <c r="D38" s="1138"/>
      <c r="E38" s="1138"/>
      <c r="F38" s="1138"/>
      <c r="G38" s="1138"/>
    </row>
    <row customFormat="1" ht="15" r="39" s="381" spans="1:7">
      <c r="A39" s="513" t="s">
        <v>2793</v>
      </c>
      <c r="B39" s="397" t="s">
        <v>887</v>
      </c>
      <c r="C39" s="1138"/>
      <c r="D39" s="1138"/>
      <c r="E39" s="1138"/>
      <c r="F39" s="1138"/>
      <c r="G39" s="1138"/>
    </row>
    <row customFormat="1" ht="15" r="40" s="381" spans="1:7">
      <c r="A40" s="513">
        <v>2</v>
      </c>
      <c r="B40" s="397" t="s">
        <v>1087</v>
      </c>
      <c r="C40" s="1138"/>
      <c r="D40" s="1138"/>
      <c r="E40" s="1138"/>
      <c r="F40" s="1138"/>
      <c r="G40" s="1138"/>
    </row>
    <row customFormat="1" ht="15" r="41" s="381" spans="1:7">
      <c r="A41" s="513" t="s">
        <v>329</v>
      </c>
      <c r="B41" s="397" t="s">
        <v>330</v>
      </c>
      <c r="C41" s="1138"/>
      <c r="D41" s="1138"/>
      <c r="E41" s="1138"/>
      <c r="F41" s="1138"/>
      <c r="G41" s="1138"/>
    </row>
    <row customFormat="1" customHeight="1" ht="20.25" r="42" s="381" spans="1:7">
      <c r="A42" s="513">
        <v>3</v>
      </c>
      <c r="B42" s="397" t="s">
        <v>2292</v>
      </c>
      <c r="C42" s="1138"/>
      <c r="D42" s="1138"/>
      <c r="E42" s="1138"/>
      <c r="F42" s="1138"/>
      <c r="G42" s="1138"/>
    </row>
    <row customFormat="1" customHeight="1" ht="18.75" r="43" s="381" spans="1:7">
      <c r="A43" s="513">
        <v>4</v>
      </c>
      <c r="B43" s="397" t="s">
        <v>1085</v>
      </c>
      <c r="C43" s="1138"/>
      <c r="D43" s="1138"/>
      <c r="E43" s="1138"/>
      <c r="F43" s="1138"/>
      <c r="G43" s="1138"/>
    </row>
    <row customFormat="1" customHeight="1" ht="19.5" r="44" s="381" spans="1:7">
      <c r="A44" s="513">
        <v>5</v>
      </c>
      <c r="B44" s="397" t="s">
        <v>2293</v>
      </c>
      <c r="C44" s="1138"/>
      <c r="D44" s="1138"/>
      <c r="E44" s="1138"/>
      <c r="F44" s="1138"/>
      <c r="G44" s="1138"/>
    </row>
    <row customFormat="1" ht="15" r="45" s="381" spans="1:7">
      <c r="A45" s="513" t="s">
        <v>431</v>
      </c>
      <c r="B45" s="397" t="s">
        <v>432</v>
      </c>
      <c r="C45" s="1138"/>
      <c r="D45" s="1138"/>
      <c r="E45" s="1138"/>
      <c r="F45" s="1138"/>
      <c r="G45" s="1138"/>
    </row>
    <row customFormat="1" ht="25.5" r="46" s="381" spans="1:7">
      <c r="A46" s="513">
        <v>6</v>
      </c>
      <c r="B46" s="397" t="s">
        <v>2294</v>
      </c>
      <c r="C46" s="1138"/>
      <c r="D46" s="1138"/>
      <c r="E46" s="1138"/>
      <c r="F46" s="1138"/>
      <c r="G46" s="1138"/>
    </row>
    <row customFormat="1" ht="15" r="47" s="381" spans="1:7">
      <c r="A47" s="1004" t="s">
        <v>3212</v>
      </c>
      <c r="B47" s="397" t="s">
        <v>625</v>
      </c>
      <c r="C47" s="1138"/>
      <c r="D47" s="1138"/>
      <c r="E47" s="1138"/>
      <c r="F47" s="1138"/>
      <c r="G47" s="1138"/>
    </row>
    <row customFormat="1" ht="15" r="48" s="381" spans="1:7">
      <c r="A48" s="513" t="s">
        <v>465</v>
      </c>
      <c r="B48" s="397" t="s">
        <v>466</v>
      </c>
      <c r="C48" s="1138"/>
      <c r="D48" s="1138"/>
      <c r="E48" s="1138"/>
      <c r="F48" s="1138"/>
      <c r="G48" s="1138"/>
    </row>
    <row customFormat="1" ht="15" r="49" s="381" spans="1:7">
      <c r="A49" s="513" t="s">
        <v>3213</v>
      </c>
      <c r="B49" s="397" t="s">
        <v>473</v>
      </c>
      <c r="C49" s="1138"/>
      <c r="D49" s="1138"/>
      <c r="E49" s="1138"/>
      <c r="F49" s="1138"/>
      <c r="G49" s="1138"/>
    </row>
    <row customFormat="1" ht="15" r="50" s="381" spans="1:7">
      <c r="A50" s="1004" t="s">
        <v>3214</v>
      </c>
      <c r="B50" s="397" t="s">
        <v>644</v>
      </c>
      <c r="C50" s="1138"/>
      <c r="D50" s="1138"/>
      <c r="E50" s="1138"/>
      <c r="F50" s="1138"/>
      <c r="G50" s="1138"/>
    </row>
    <row customFormat="1" ht="25.5" r="51" s="381" spans="1:7">
      <c r="A51" s="525">
        <v>7</v>
      </c>
      <c r="B51" s="397" t="s">
        <v>2295</v>
      </c>
      <c r="C51" s="1138"/>
      <c r="D51" s="1138"/>
      <c r="E51" s="1138"/>
      <c r="F51" s="1138"/>
      <c r="G51" s="1138"/>
    </row>
    <row customFormat="1" ht="15" r="52" s="381" spans="1:7">
      <c r="A52" s="527">
        <v>8</v>
      </c>
      <c r="B52" s="397" t="s">
        <v>2296</v>
      </c>
      <c r="C52" s="1138"/>
      <c r="D52" s="1138"/>
      <c r="E52" s="1138"/>
      <c r="F52" s="1138"/>
      <c r="G52" s="1138"/>
    </row>
    <row customFormat="1" ht="15" r="53" s="381" spans="1:7">
      <c r="A53" s="527">
        <v>9</v>
      </c>
      <c r="B53" s="397" t="s">
        <v>478</v>
      </c>
      <c r="C53" s="1138"/>
      <c r="D53" s="1138"/>
      <c r="E53" s="1138"/>
      <c r="F53" s="1138"/>
      <c r="G53" s="1138"/>
    </row>
    <row customFormat="1" ht="15" r="54" s="381" spans="1:7">
      <c r="A54" s="527">
        <v>10</v>
      </c>
      <c r="B54" s="397" t="s">
        <v>479</v>
      </c>
      <c r="C54" s="1138"/>
      <c r="D54" s="1138"/>
      <c r="E54" s="1138"/>
      <c r="F54" s="1138"/>
      <c r="G54" s="1138"/>
    </row>
    <row r="55" spans="1:7">
      <c r="A55" s="229" t="s">
        <v>102</v>
      </c>
      <c r="B55" s="230" t="s">
        <v>102</v>
      </c>
    </row>
    <row r="56" spans="1:7">
      <c r="A56" s="229" t="s">
        <v>102</v>
      </c>
      <c r="B56" s="230" t="s">
        <v>102</v>
      </c>
    </row>
    <row r="57" spans="1:7">
      <c r="A57" s="229" t="s">
        <v>102</v>
      </c>
      <c r="B57" s="230" t="s">
        <v>102</v>
      </c>
    </row>
    <row r="58" spans="1:7">
      <c r="A58" s="229" t="s">
        <v>102</v>
      </c>
      <c r="B58" s="230" t="s">
        <v>102</v>
      </c>
    </row>
    <row r="59" spans="1:7">
      <c r="A59" s="229" t="s">
        <v>102</v>
      </c>
      <c r="B59" s="230" t="s">
        <v>102</v>
      </c>
    </row>
    <row r="60" spans="1:7">
      <c r="A60" s="229" t="s">
        <v>102</v>
      </c>
      <c r="B60" s="230" t="s">
        <v>102</v>
      </c>
    </row>
    <row r="61" spans="1:7">
      <c r="A61" s="229" t="s">
        <v>102</v>
      </c>
      <c r="B61" s="230" t="s">
        <v>102</v>
      </c>
    </row>
    <row r="62" spans="1:7">
      <c r="A62" s="229" t="s">
        <v>102</v>
      </c>
      <c r="B62" s="230" t="s">
        <v>102</v>
      </c>
    </row>
    <row r="63" spans="1:7">
      <c r="A63" s="229" t="s">
        <v>102</v>
      </c>
      <c r="B63" s="230" t="s">
        <v>102</v>
      </c>
    </row>
    <row r="64" spans="1:7">
      <c r="A64" s="229" t="s">
        <v>102</v>
      </c>
      <c r="B64" s="230" t="s">
        <v>102</v>
      </c>
    </row>
    <row r="65" spans="1:2">
      <c r="A65" s="229" t="s">
        <v>102</v>
      </c>
      <c r="B65" s="230" t="s">
        <v>102</v>
      </c>
    </row>
    <row r="66" spans="1:2">
      <c r="A66" s="229" t="s">
        <v>102</v>
      </c>
      <c r="B66" s="230" t="s">
        <v>102</v>
      </c>
    </row>
    <row r="67" spans="1:2">
      <c r="A67" s="229" t="s">
        <v>102</v>
      </c>
      <c r="B67" s="230" t="s">
        <v>102</v>
      </c>
    </row>
    <row r="68" spans="1:2">
      <c r="A68" s="229" t="s">
        <v>102</v>
      </c>
      <c r="B68" s="230" t="s">
        <v>102</v>
      </c>
    </row>
    <row r="69" spans="1:2">
      <c r="A69" s="229" t="s">
        <v>102</v>
      </c>
      <c r="B69" s="230" t="s">
        <v>102</v>
      </c>
    </row>
    <row r="70" spans="1:2">
      <c r="A70" s="229" t="s">
        <v>102</v>
      </c>
      <c r="B70" s="230" t="s">
        <v>102</v>
      </c>
    </row>
    <row r="71" spans="1:2">
      <c r="A71" s="229" t="s">
        <v>102</v>
      </c>
      <c r="B71" s="230" t="s">
        <v>102</v>
      </c>
    </row>
    <row r="72" spans="1:2">
      <c r="A72" s="229" t="s">
        <v>102</v>
      </c>
      <c r="B72" s="230" t="s">
        <v>102</v>
      </c>
    </row>
    <row r="73" spans="1:2">
      <c r="A73" s="229" t="s">
        <v>102</v>
      </c>
      <c r="B73" s="230" t="s">
        <v>102</v>
      </c>
    </row>
    <row r="74" spans="1:2">
      <c r="A74" s="229" t="s">
        <v>102</v>
      </c>
      <c r="B74" s="230" t="s">
        <v>102</v>
      </c>
    </row>
    <row r="75" spans="1:2">
      <c r="A75" s="229" t="s">
        <v>102</v>
      </c>
      <c r="B75" s="230" t="s">
        <v>102</v>
      </c>
    </row>
    <row r="76" spans="1:2">
      <c r="A76" s="229" t="s">
        <v>102</v>
      </c>
      <c r="B76" s="230" t="s">
        <v>102</v>
      </c>
    </row>
    <row r="77" spans="1:2">
      <c r="A77" s="229" t="s">
        <v>102</v>
      </c>
      <c r="B77" s="230" t="s">
        <v>102</v>
      </c>
    </row>
    <row r="78" spans="1:2">
      <c r="A78" s="229" t="s">
        <v>102</v>
      </c>
      <c r="B78" s="230" t="s">
        <v>102</v>
      </c>
    </row>
    <row r="79" spans="1:2">
      <c r="A79" s="229"/>
      <c r="B79" s="230"/>
    </row>
  </sheetData>
  <mergeCells count="1">
    <mergeCell ref="A35:B35"/>
  </mergeCells>
  <pageMargins bottom="0.28999999999999998" footer="0.28000000000000003" header="0.3" left="0.25" right="0.25" top="0.33"/>
  <pageSetup fitToHeight="0" orientation="portrait" paperSize="9" r:id="rId1" scale="95"/>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47"/>
  <sheetViews>
    <sheetView workbookViewId="0" zoomScale="85" zoomScaleNormal="85">
      <selection activeCell="C6" sqref="C6:D7"/>
    </sheetView>
  </sheetViews>
  <sheetFormatPr defaultRowHeight="12.75"/>
  <cols>
    <col min="1" max="1" customWidth="true" style="68" width="8.28515625" collapsed="false"/>
    <col min="2" max="2" customWidth="true" style="68" width="47.2851562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8" width="10.42578125" collapsed="false"/>
    <col min="9" max="9" customWidth="true" style="61" width="16.42578125" collapsed="false"/>
    <col min="10" max="10" customWidth="true" style="68" width="12.42578125" collapsed="false"/>
    <col min="11" max="11" customWidth="true" style="68" width="14.7109375" collapsed="false"/>
    <col min="12" max="12" customWidth="true" style="61" width="8.140625" collapsed="false"/>
    <col min="13" max="16384" style="61" width="9.140625" collapsed="false"/>
  </cols>
  <sheetData>
    <row r="1" spans="1:12">
      <c r="A1" s="61"/>
      <c r="B1" s="61"/>
      <c r="C1" s="63"/>
      <c r="D1" s="63"/>
      <c r="E1" s="63"/>
      <c r="F1" s="63"/>
      <c r="G1" s="63"/>
      <c r="H1" s="62"/>
      <c r="I1" s="543"/>
      <c r="J1" s="63"/>
      <c r="K1" s="62"/>
      <c r="L1" s="543" t="s">
        <v>2349</v>
      </c>
    </row>
    <row r="2" spans="1:12">
      <c r="A2" s="61"/>
      <c r="B2" s="1795" t="s">
        <v>2348</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1087" t="str">
        <f>"Тайлант он: "&amp;ЧХ!$C$8</f>
        <v xml:space="preserve">Тайлант он: </v>
      </c>
      <c r="C4" s="61"/>
      <c r="D4" s="61"/>
      <c r="E4" s="61"/>
      <c r="F4" s="61"/>
      <c r="G4" s="61"/>
      <c r="H4" s="61"/>
      <c r="J4" s="61"/>
      <c r="K4" s="61"/>
    </row>
    <row r="5" spans="1:12">
      <c r="A5" s="61"/>
      <c r="B5" s="564"/>
      <c r="C5" s="61"/>
      <c r="D5" s="61"/>
      <c r="E5" s="61"/>
      <c r="F5" s="61"/>
      <c r="G5" s="61"/>
      <c r="H5" s="61"/>
      <c r="J5" s="61"/>
      <c r="K5" s="61"/>
      <c r="L5" s="565" t="s">
        <v>2344</v>
      </c>
    </row>
    <row customHeight="1" ht="18.75" r="6" spans="1:12">
      <c r="A6" s="1796" t="s">
        <v>2343</v>
      </c>
      <c r="B6" s="1797" t="s">
        <v>12</v>
      </c>
      <c r="C6" s="1801" t="s">
        <v>66</v>
      </c>
      <c r="D6" s="1802"/>
      <c r="E6" s="1798" t="s">
        <v>1214</v>
      </c>
      <c r="F6" s="1799"/>
      <c r="G6" s="1799"/>
      <c r="H6" s="1800"/>
      <c r="I6" s="1798" t="s">
        <v>1234</v>
      </c>
      <c r="J6" s="1799"/>
      <c r="K6" s="1799"/>
      <c r="L6" s="1800"/>
    </row>
    <row customHeight="1" ht="15.75" r="7" spans="1:12">
      <c r="A7" s="1796"/>
      <c r="B7" s="1797"/>
      <c r="C7" s="1803"/>
      <c r="D7" s="1804"/>
      <c r="E7" s="1798" t="s">
        <v>1357</v>
      </c>
      <c r="F7" s="1800"/>
      <c r="G7" s="1798" t="s">
        <v>2346</v>
      </c>
      <c r="H7" s="1800"/>
      <c r="I7" s="1798" t="s">
        <v>2347</v>
      </c>
      <c r="J7" s="1799"/>
      <c r="K7" s="1799" t="s">
        <v>1359</v>
      </c>
      <c r="L7" s="1800"/>
    </row>
    <row customHeight="1" ht="24" r="8" spans="1:12">
      <c r="A8" s="1796"/>
      <c r="B8" s="1797"/>
      <c r="C8" s="542" t="s">
        <v>1737</v>
      </c>
      <c r="D8" s="542" t="s">
        <v>1879</v>
      </c>
      <c r="E8" s="542" t="s">
        <v>1737</v>
      </c>
      <c r="F8" s="542" t="s">
        <v>1879</v>
      </c>
      <c r="G8" s="542" t="s">
        <v>1737</v>
      </c>
      <c r="H8" s="542" t="s">
        <v>1879</v>
      </c>
      <c r="I8" s="542" t="s">
        <v>1737</v>
      </c>
      <c r="J8" s="542" t="s">
        <v>1881</v>
      </c>
      <c r="K8" s="542" t="s">
        <v>1737</v>
      </c>
      <c r="L8" s="542" t="s">
        <v>1881</v>
      </c>
    </row>
    <row r="9" spans="1:12">
      <c r="A9" s="67">
        <f>'20.TGT1'!C99</f>
        <v>0</v>
      </c>
      <c r="B9" s="67" t="str">
        <f>'20.TGT1'!D99</f>
        <v>ЗАРДЛЫГ САНХҮҮЖҮҮЛЭХ ЭХ ҮҮСВЭР</v>
      </c>
      <c r="C9" s="65">
        <f>+'20.TGT1'!$F$99+0.0000001</f>
        <v>9.9999999999999995E-8</v>
      </c>
      <c r="D9" s="65">
        <f>+C9/$C$9*100</f>
        <v>100</v>
      </c>
      <c r="E9" s="1324">
        <f>+'20.TGT1'!G99+0.0000001</f>
        <v>9.9999999999999995E-8</v>
      </c>
      <c r="F9" s="65">
        <f>+E9/$E$9*100</f>
        <v>100</v>
      </c>
      <c r="G9" s="1324">
        <f>+'20.TGT1'!H99+0.0000001</f>
        <v>9.9999999999999995E-8</v>
      </c>
      <c r="H9" s="65">
        <f>+G9/$G$9*100</f>
        <v>100</v>
      </c>
      <c r="I9" s="66">
        <f>C9-E9</f>
        <v>0</v>
      </c>
      <c r="J9" s="66">
        <f>D9-F9</f>
        <v>0</v>
      </c>
      <c r="K9" s="66">
        <f>E9-G9</f>
        <v>0</v>
      </c>
      <c r="L9" s="66">
        <f ref="L9" si="0" t="shared">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ref="H10:H31" si="1" t="shared">+G10/$G$9*100</f>
        <v>0</v>
      </c>
      <c r="I10" s="66">
        <f ref="I10:I31" si="2" t="shared">C10-E10</f>
        <v>0</v>
      </c>
      <c r="J10" s="66">
        <f ref="J10:J31" si="3" t="shared">D10-F10</f>
        <v>0</v>
      </c>
      <c r="K10" s="66">
        <f ref="K10:K31" si="4" t="shared">E10-G10</f>
        <v>0</v>
      </c>
      <c r="L10" s="66">
        <f ref="L10:L31" si="5" t="shared">F10-H10</f>
        <v>0</v>
      </c>
    </row>
    <row r="11" spans="1:12">
      <c r="A11" s="67">
        <f>'20.TGT1'!C101</f>
        <v>131001</v>
      </c>
      <c r="B11" s="67" t="str">
        <f>'20.TGT1'!D101</f>
        <v xml:space="preserve">               Улсын төсвөөс санхүүжих</v>
      </c>
      <c r="C11" s="65">
        <f>+'20.TGT1'!$F101</f>
        <v>0</v>
      </c>
      <c r="D11" s="65">
        <f ref="D11:D31" si="6" t="shared">+C11/$C$9*100</f>
        <v>0</v>
      </c>
      <c r="E11" s="65">
        <f>+'20.TGT1'!G101</f>
        <v>0</v>
      </c>
      <c r="F11" s="65">
        <f ref="F11:F31" si="7" t="shared">+E11/$E$9*100</f>
        <v>0</v>
      </c>
      <c r="G11" s="65">
        <f>+'20.TGT1'!H101</f>
        <v>0</v>
      </c>
      <c r="H11" s="65">
        <f si="1" t="shared"/>
        <v>0</v>
      </c>
      <c r="I11" s="66">
        <f si="2" t="shared"/>
        <v>0</v>
      </c>
      <c r="J11" s="66">
        <f si="3" t="shared"/>
        <v>0</v>
      </c>
      <c r="K11" s="66">
        <f si="4" t="shared"/>
        <v>0</v>
      </c>
      <c r="L11" s="66">
        <f si="5" t="shared"/>
        <v>0</v>
      </c>
    </row>
    <row r="12" spans="1:12">
      <c r="A12" s="67">
        <f>'20.TGT1'!C102</f>
        <v>131006</v>
      </c>
      <c r="B12" s="67" t="str">
        <f>'20.TGT1'!D102</f>
        <v xml:space="preserve">               Засгийн газрын тусгай сангаас санхүүжих</v>
      </c>
      <c r="C12" s="65">
        <f>+'20.TGT1'!$F102</f>
        <v>0</v>
      </c>
      <c r="D12" s="65">
        <f si="6" t="shared"/>
        <v>0</v>
      </c>
      <c r="E12" s="65">
        <f>+'20.TGT1'!G102</f>
        <v>0</v>
      </c>
      <c r="F12" s="65">
        <f si="7" t="shared"/>
        <v>0</v>
      </c>
      <c r="G12" s="65">
        <f>+'20.TGT1'!H102</f>
        <v>0</v>
      </c>
      <c r="H12" s="65">
        <f si="1" t="shared"/>
        <v>0</v>
      </c>
      <c r="I12" s="66">
        <f si="2" t="shared"/>
        <v>0</v>
      </c>
      <c r="J12" s="66">
        <f si="3" t="shared"/>
        <v>0</v>
      </c>
      <c r="K12" s="66">
        <f si="4" t="shared"/>
        <v>0</v>
      </c>
      <c r="L12" s="66">
        <f si="5" t="shared"/>
        <v>0</v>
      </c>
    </row>
    <row r="13" spans="1:12">
      <c r="A13" s="67">
        <f>'20.TGT1'!C103</f>
        <v>131007</v>
      </c>
      <c r="B13" s="67" t="str">
        <f>'20.TGT1'!D103</f>
        <v xml:space="preserve">               Тусгай зориулалтын шилжүүлгээс санхүүжих</v>
      </c>
      <c r="C13" s="65">
        <f>+'20.TGT1'!$F103</f>
        <v>0</v>
      </c>
      <c r="D13" s="65">
        <f si="6" t="shared"/>
        <v>0</v>
      </c>
      <c r="E13" s="65">
        <f>+'20.TGT1'!G103</f>
        <v>0</v>
      </c>
      <c r="F13" s="65">
        <f si="7" t="shared"/>
        <v>0</v>
      </c>
      <c r="G13" s="65">
        <f>+'20.TGT1'!H103</f>
        <v>0</v>
      </c>
      <c r="H13" s="65">
        <f si="1" t="shared"/>
        <v>0</v>
      </c>
      <c r="I13" s="66">
        <f si="2" t="shared"/>
        <v>0</v>
      </c>
      <c r="J13" s="66">
        <f si="3" t="shared"/>
        <v>0</v>
      </c>
      <c r="K13" s="66">
        <f si="4" t="shared"/>
        <v>0</v>
      </c>
      <c r="L13" s="66">
        <f si="5" t="shared"/>
        <v>0</v>
      </c>
    </row>
    <row r="14" spans="1:12">
      <c r="A14" s="67">
        <f>'20.TGT1'!C104</f>
        <v>131008</v>
      </c>
      <c r="B14" s="67" t="str">
        <f>'20.TGT1'!D104</f>
        <v xml:space="preserve">               Орон нутгийн хөгжлийн нэгдсэн сангаас санхүүжих</v>
      </c>
      <c r="C14" s="65">
        <f>+'20.TGT1'!$F104</f>
        <v>0</v>
      </c>
      <c r="D14" s="65">
        <f si="6" t="shared"/>
        <v>0</v>
      </c>
      <c r="E14" s="65">
        <f>+'20.TGT1'!G104</f>
        <v>0</v>
      </c>
      <c r="F14" s="65">
        <f si="7" t="shared"/>
        <v>0</v>
      </c>
      <c r="G14" s="65">
        <f>+'20.TGT1'!H104</f>
        <v>0</v>
      </c>
      <c r="H14" s="65">
        <f si="1" t="shared"/>
        <v>0</v>
      </c>
      <c r="I14" s="66">
        <f si="2" t="shared"/>
        <v>0</v>
      </c>
      <c r="J14" s="66">
        <f si="3" t="shared"/>
        <v>0</v>
      </c>
      <c r="K14" s="66">
        <f si="4" t="shared"/>
        <v>0</v>
      </c>
      <c r="L14" s="66">
        <f si="5" t="shared"/>
        <v>0</v>
      </c>
    </row>
    <row r="15" spans="1:12">
      <c r="A15" s="67">
        <f>'20.TGT1'!C105</f>
        <v>1320</v>
      </c>
      <c r="B15" s="67" t="str">
        <f>'20.TGT1'!D105</f>
        <v xml:space="preserve">   ОРОН НУТГИЙН ТӨСВӨӨС САНХҮҮЖИХ</v>
      </c>
      <c r="C15" s="65">
        <f>+'20.TGT1'!$F105</f>
        <v>0</v>
      </c>
      <c r="D15" s="65">
        <f si="6" t="shared"/>
        <v>0</v>
      </c>
      <c r="E15" s="65">
        <f>+'20.TGT1'!G105</f>
        <v>0</v>
      </c>
      <c r="F15" s="65">
        <f si="7" t="shared"/>
        <v>0</v>
      </c>
      <c r="G15" s="65">
        <f>+'20.TGT1'!H105</f>
        <v>0</v>
      </c>
      <c r="H15" s="65">
        <f si="1" t="shared"/>
        <v>0</v>
      </c>
      <c r="I15" s="66">
        <f si="2" t="shared"/>
        <v>0</v>
      </c>
      <c r="J15" s="66">
        <f si="3" t="shared"/>
        <v>0</v>
      </c>
      <c r="K15" s="66">
        <f si="4" t="shared"/>
        <v>0</v>
      </c>
      <c r="L15" s="66">
        <f si="5" t="shared"/>
        <v>0</v>
      </c>
    </row>
    <row r="16" spans="1:12">
      <c r="A16" s="67">
        <f>'20.TGT1'!C106</f>
        <v>132001</v>
      </c>
      <c r="B16" s="67" t="str">
        <f>'20.TGT1'!D106</f>
        <v xml:space="preserve">               Орон нутгийн төсвөөс</v>
      </c>
      <c r="C16" s="65">
        <f>+'20.TGT1'!$F106</f>
        <v>0</v>
      </c>
      <c r="D16" s="65">
        <f si="6" t="shared"/>
        <v>0</v>
      </c>
      <c r="E16" s="65">
        <f>+'20.TGT1'!G106</f>
        <v>0</v>
      </c>
      <c r="F16" s="65">
        <f si="7" t="shared"/>
        <v>0</v>
      </c>
      <c r="G16" s="65">
        <f>+'20.TGT1'!H106</f>
        <v>0</v>
      </c>
      <c r="H16" s="65">
        <f si="1" t="shared"/>
        <v>0</v>
      </c>
      <c r="I16" s="66">
        <f si="2" t="shared"/>
        <v>0</v>
      </c>
      <c r="J16" s="66">
        <f si="3" t="shared"/>
        <v>0</v>
      </c>
      <c r="K16" s="66">
        <f si="4" t="shared"/>
        <v>0</v>
      </c>
      <c r="L16" s="66">
        <f si="5" t="shared"/>
        <v>0</v>
      </c>
    </row>
    <row r="17" spans="1:12">
      <c r="A17" s="67">
        <f>'20.TGT1'!C107</f>
        <v>132007</v>
      </c>
      <c r="B17" s="67" t="str">
        <f>'20.TGT1'!D107</f>
        <v xml:space="preserve">               Орон нутгийн хөгжлийн сангаас санхүүжих</v>
      </c>
      <c r="C17" s="65">
        <f>+'20.TGT1'!$F107</f>
        <v>0</v>
      </c>
      <c r="D17" s="65">
        <f si="6" t="shared"/>
        <v>0</v>
      </c>
      <c r="E17" s="65">
        <f>+'20.TGT1'!G107</f>
        <v>0</v>
      </c>
      <c r="F17" s="65">
        <f si="7" t="shared"/>
        <v>0</v>
      </c>
      <c r="G17" s="65">
        <f>+'20.TGT1'!H107</f>
        <v>0</v>
      </c>
      <c r="H17" s="65">
        <f si="1" t="shared"/>
        <v>0</v>
      </c>
      <c r="I17" s="66">
        <f si="2" t="shared"/>
        <v>0</v>
      </c>
      <c r="J17" s="66">
        <f si="3" t="shared"/>
        <v>0</v>
      </c>
      <c r="K17" s="66">
        <f si="4" t="shared"/>
        <v>0</v>
      </c>
      <c r="L17" s="66">
        <f si="5" t="shared"/>
        <v>0</v>
      </c>
    </row>
    <row r="18" spans="1:12">
      <c r="A18" s="67">
        <f>'20.TGT1'!C108</f>
        <v>1340</v>
      </c>
      <c r="B18" s="67" t="str">
        <f>'20.TGT1'!D108</f>
        <v xml:space="preserve">   НИЙГМИЙН ДААТГАЛЫН САНГИЙН ТӨСВӨӨС САНХҮҮЖИХ</v>
      </c>
      <c r="C18" s="65">
        <f>+'20.TGT1'!$F108</f>
        <v>0</v>
      </c>
      <c r="D18" s="65">
        <f si="6" t="shared"/>
        <v>0</v>
      </c>
      <c r="E18" s="65">
        <f>+'20.TGT1'!G108</f>
        <v>0</v>
      </c>
      <c r="F18" s="65">
        <f si="7" t="shared"/>
        <v>0</v>
      </c>
      <c r="G18" s="65">
        <f>+'20.TGT1'!H108</f>
        <v>0</v>
      </c>
      <c r="H18" s="65">
        <f si="1" t="shared"/>
        <v>0</v>
      </c>
      <c r="I18" s="66">
        <f si="2" t="shared"/>
        <v>0</v>
      </c>
      <c r="J18" s="66">
        <f si="3" t="shared"/>
        <v>0</v>
      </c>
      <c r="K18" s="66">
        <f si="4" t="shared"/>
        <v>0</v>
      </c>
      <c r="L18" s="66">
        <f si="5" t="shared"/>
        <v>0</v>
      </c>
    </row>
    <row r="19" spans="1:12">
      <c r="A19" s="67">
        <f>'20.TGT1'!C109</f>
        <v>134001</v>
      </c>
      <c r="B19" s="67" t="str">
        <f>'20.TGT1'!D109</f>
        <v xml:space="preserve">               Нийгмийн даатгалын сангаас санхүүжих</v>
      </c>
      <c r="C19" s="65">
        <f>+'20.TGT1'!$F109</f>
        <v>0</v>
      </c>
      <c r="D19" s="65">
        <f si="6" t="shared"/>
        <v>0</v>
      </c>
      <c r="E19" s="65">
        <f>+'20.TGT1'!G109</f>
        <v>0</v>
      </c>
      <c r="F19" s="65">
        <f si="7" t="shared"/>
        <v>0</v>
      </c>
      <c r="G19" s="65">
        <f>+'20.TGT1'!H109</f>
        <v>0</v>
      </c>
      <c r="H19" s="65">
        <f si="1" t="shared"/>
        <v>0</v>
      </c>
      <c r="I19" s="66">
        <f si="2" t="shared"/>
        <v>0</v>
      </c>
      <c r="J19" s="66">
        <f si="3" t="shared"/>
        <v>0</v>
      </c>
      <c r="K19" s="66">
        <f si="4" t="shared"/>
        <v>0</v>
      </c>
      <c r="L19" s="66">
        <f si="5" t="shared"/>
        <v>0</v>
      </c>
    </row>
    <row r="20" spans="1:12">
      <c r="A20" s="67">
        <f>'20.TGT1'!C110</f>
        <v>134002</v>
      </c>
      <c r="B20" s="67" t="str">
        <f>'20.TGT1'!D110</f>
        <v xml:space="preserve">               Эрүүл мэндийн даатгалын сангаас санхүүжих</v>
      </c>
      <c r="C20" s="65">
        <f>+'20.TGT1'!$F110</f>
        <v>0</v>
      </c>
      <c r="D20" s="65">
        <f si="6" t="shared"/>
        <v>0</v>
      </c>
      <c r="E20" s="65">
        <f>+'20.TGT1'!G110</f>
        <v>0</v>
      </c>
      <c r="F20" s="65">
        <f si="7" t="shared"/>
        <v>0</v>
      </c>
      <c r="G20" s="65">
        <f>+'20.TGT1'!H110</f>
        <v>0</v>
      </c>
      <c r="H20" s="65">
        <f si="1" t="shared"/>
        <v>0</v>
      </c>
      <c r="I20" s="66">
        <f si="2" t="shared"/>
        <v>0</v>
      </c>
      <c r="J20" s="66">
        <f si="3" t="shared"/>
        <v>0</v>
      </c>
      <c r="K20" s="66">
        <f si="4" t="shared"/>
        <v>0</v>
      </c>
      <c r="L20" s="66">
        <f si="5" t="shared"/>
        <v>0</v>
      </c>
    </row>
    <row r="21" spans="1:12">
      <c r="A21" s="67">
        <f>'20.TGT1'!C111</f>
        <v>134003</v>
      </c>
      <c r="B21" s="67" t="str">
        <f>'20.TGT1'!D111</f>
        <v xml:space="preserve">               Нийгмийн даатгалын сангаас эмнэлгүүдэд олгох санхүүжилт</v>
      </c>
      <c r="C21" s="65">
        <f>+'20.TGT1'!$F111</f>
        <v>0</v>
      </c>
      <c r="D21" s="65">
        <f si="6" t="shared"/>
        <v>0</v>
      </c>
      <c r="E21" s="65">
        <f>+'20.TGT1'!G111</f>
        <v>0</v>
      </c>
      <c r="F21" s="65">
        <f si="7" t="shared"/>
        <v>0</v>
      </c>
      <c r="G21" s="65">
        <f>+'20.TGT1'!H111</f>
        <v>0</v>
      </c>
      <c r="H21" s="65">
        <f si="1" t="shared"/>
        <v>0</v>
      </c>
      <c r="I21" s="66">
        <f si="2" t="shared"/>
        <v>0</v>
      </c>
      <c r="J21" s="66">
        <f si="3" t="shared"/>
        <v>0</v>
      </c>
      <c r="K21" s="66">
        <f si="4" t="shared"/>
        <v>0</v>
      </c>
      <c r="L21" s="66">
        <f si="5" t="shared"/>
        <v>0</v>
      </c>
    </row>
    <row r="22" spans="1:12">
      <c r="A22" s="67">
        <f>'20.TGT1'!C112</f>
        <v>120004</v>
      </c>
      <c r="B22" s="67" t="str">
        <f>'20.TGT1'!D112</f>
        <v xml:space="preserve">   ТӨСӨВТ БАЙГУУЛЛАГЫН ҮЙЛ АЖИЛЛАГААНААС</v>
      </c>
      <c r="C22" s="65">
        <f>+'20.TGT1'!$F112</f>
        <v>0</v>
      </c>
      <c r="D22" s="65">
        <f si="6" t="shared"/>
        <v>0</v>
      </c>
      <c r="E22" s="65">
        <f>+'20.TGT1'!G112</f>
        <v>0</v>
      </c>
      <c r="F22" s="65">
        <f si="7" t="shared"/>
        <v>0</v>
      </c>
      <c r="G22" s="65">
        <f>+'20.TGT1'!H112</f>
        <v>0</v>
      </c>
      <c r="H22" s="65">
        <f si="1" t="shared"/>
        <v>0</v>
      </c>
      <c r="I22" s="66">
        <f si="2" t="shared"/>
        <v>0</v>
      </c>
      <c r="J22" s="66">
        <f si="3" t="shared"/>
        <v>0</v>
      </c>
      <c r="K22" s="66">
        <f si="4" t="shared"/>
        <v>0</v>
      </c>
      <c r="L22" s="66">
        <f si="5" t="shared"/>
        <v>0</v>
      </c>
    </row>
    <row r="23" spans="1:12">
      <c r="A23" s="67">
        <f>'20.TGT1'!C113</f>
        <v>1200041</v>
      </c>
      <c r="B23" s="67" t="str">
        <f>'20.TGT1'!D113</f>
        <v xml:space="preserve">               Үндсэн үйл ажиллагааны орлогоос санхүүжих</v>
      </c>
      <c r="C23" s="65">
        <f>+'20.TGT1'!$F113</f>
        <v>0</v>
      </c>
      <c r="D23" s="65">
        <f si="6" t="shared"/>
        <v>0</v>
      </c>
      <c r="E23" s="65">
        <f>+'20.TGT1'!G113</f>
        <v>0</v>
      </c>
      <c r="F23" s="65">
        <f si="7" t="shared"/>
        <v>0</v>
      </c>
      <c r="G23" s="65">
        <f>+'20.TGT1'!H113</f>
        <v>0</v>
      </c>
      <c r="H23" s="65">
        <f si="1" t="shared"/>
        <v>0</v>
      </c>
      <c r="I23" s="66">
        <f si="2" t="shared"/>
        <v>0</v>
      </c>
      <c r="J23" s="66">
        <f si="3" t="shared"/>
        <v>0</v>
      </c>
      <c r="K23" s="66">
        <f si="4" t="shared"/>
        <v>0</v>
      </c>
      <c r="L23" s="66">
        <f si="5" t="shared"/>
        <v>0</v>
      </c>
    </row>
    <row r="24" spans="1:12">
      <c r="A24" s="67">
        <f>'20.TGT1'!C114</f>
        <v>1200042</v>
      </c>
      <c r="B24" s="67" t="str">
        <f>'20.TGT1'!D114</f>
        <v xml:space="preserve">               Туслах үйл ажиллагааны орлогоос санхүүжих</v>
      </c>
      <c r="C24" s="65">
        <f>+'20.TGT1'!$F114</f>
        <v>0</v>
      </c>
      <c r="D24" s="65">
        <f si="6" t="shared"/>
        <v>0</v>
      </c>
      <c r="E24" s="65">
        <f>+'20.TGT1'!G114</f>
        <v>0</v>
      </c>
      <c r="F24" s="65">
        <f si="7" t="shared"/>
        <v>0</v>
      </c>
      <c r="G24" s="65">
        <f>+'20.TGT1'!H114</f>
        <v>0</v>
      </c>
      <c r="H24" s="65">
        <f si="1" t="shared"/>
        <v>0</v>
      </c>
      <c r="I24" s="66">
        <f si="2" t="shared"/>
        <v>0</v>
      </c>
      <c r="J24" s="66">
        <f si="3" t="shared"/>
        <v>0</v>
      </c>
      <c r="K24" s="66">
        <f si="4" t="shared"/>
        <v>0</v>
      </c>
      <c r="L24" s="66">
        <f si="5" t="shared"/>
        <v>0</v>
      </c>
    </row>
    <row r="25" spans="1:12">
      <c r="A25" s="67">
        <f>'20.TGT1'!C115</f>
        <v>1200043</v>
      </c>
      <c r="B25" s="67" t="str">
        <f>'20.TGT1'!D115</f>
        <v xml:space="preserve">               Урьд оны үлдэгдлээс санхүүжих</v>
      </c>
      <c r="C25" s="65">
        <f>+'20.TGT1'!$F115</f>
        <v>0</v>
      </c>
      <c r="D25" s="65">
        <f si="6" t="shared"/>
        <v>0</v>
      </c>
      <c r="E25" s="65">
        <f>+'20.TGT1'!G115</f>
        <v>0</v>
      </c>
      <c r="F25" s="65">
        <f si="7" t="shared"/>
        <v>0</v>
      </c>
      <c r="G25" s="65">
        <f>+'20.TGT1'!H115</f>
        <v>0</v>
      </c>
      <c r="H25" s="65">
        <f si="1" t="shared"/>
        <v>0</v>
      </c>
      <c r="I25" s="66">
        <f si="2" t="shared"/>
        <v>0</v>
      </c>
      <c r="J25" s="66">
        <f si="3" t="shared"/>
        <v>0</v>
      </c>
      <c r="K25" s="66">
        <f si="4" t="shared"/>
        <v>0</v>
      </c>
      <c r="L25" s="66">
        <f si="5" t="shared"/>
        <v>0</v>
      </c>
    </row>
    <row r="26" spans="1:12">
      <c r="A26" s="67">
        <f>'20.TGT1'!C116</f>
        <v>1200044</v>
      </c>
      <c r="B26" s="67" t="str">
        <f>'20.TGT1'!D116</f>
        <v xml:space="preserve">               Гадаадын эх үүсвэрээс санхүүжих</v>
      </c>
      <c r="C26" s="65">
        <f>+'20.TGT1'!$F116</f>
        <v>0</v>
      </c>
      <c r="D26" s="65">
        <f si="6" t="shared"/>
        <v>0</v>
      </c>
      <c r="E26" s="65">
        <f>+'20.TGT1'!G116</f>
        <v>0</v>
      </c>
      <c r="F26" s="65">
        <f si="7" t="shared"/>
        <v>0</v>
      </c>
      <c r="G26" s="65">
        <f>+'20.TGT1'!H116</f>
        <v>0</v>
      </c>
      <c r="H26" s="65">
        <f si="1" t="shared"/>
        <v>0</v>
      </c>
      <c r="I26" s="66">
        <f si="2" t="shared"/>
        <v>0</v>
      </c>
      <c r="J26" s="66">
        <f si="3" t="shared"/>
        <v>0</v>
      </c>
      <c r="K26" s="66">
        <f si="4" t="shared"/>
        <v>0</v>
      </c>
      <c r="L26" s="66">
        <f si="5" t="shared"/>
        <v>0</v>
      </c>
    </row>
    <row r="27" spans="1:12">
      <c r="A27" s="67">
        <f>'20.TGT1'!C117</f>
        <v>122</v>
      </c>
      <c r="B27" s="67" t="str">
        <f>'20.TGT1'!D117</f>
        <v xml:space="preserve">   ТУСЛАМЖИЙН ЭХ ҮҮСВЭРЭЭС САНХҮҮЖИХ</v>
      </c>
      <c r="C27" s="65">
        <f>+'20.TGT1'!$F117</f>
        <v>0</v>
      </c>
      <c r="D27" s="65">
        <f si="6" t="shared"/>
        <v>0</v>
      </c>
      <c r="E27" s="65">
        <f>+'20.TGT1'!G117</f>
        <v>0</v>
      </c>
      <c r="F27" s="65">
        <f si="7" t="shared"/>
        <v>0</v>
      </c>
      <c r="G27" s="65">
        <f>+'20.TGT1'!H117</f>
        <v>0</v>
      </c>
      <c r="H27" s="65">
        <f si="1" t="shared"/>
        <v>0</v>
      </c>
      <c r="I27" s="66">
        <f si="2" t="shared"/>
        <v>0</v>
      </c>
      <c r="J27" s="66">
        <f si="3" t="shared"/>
        <v>0</v>
      </c>
      <c r="K27" s="66">
        <f si="4" t="shared"/>
        <v>0</v>
      </c>
      <c r="L27" s="66">
        <f si="5" t="shared"/>
        <v>0</v>
      </c>
    </row>
    <row r="28" spans="1:12">
      <c r="A28" s="67">
        <f>'20.TGT1'!C118</f>
        <v>122001</v>
      </c>
      <c r="B28" s="67" t="str">
        <f>'20.TGT1'!D118</f>
        <v xml:space="preserve">          Хандив тусламж /дотоод/</v>
      </c>
      <c r="C28" s="65">
        <f>+'20.TGT1'!$F118</f>
        <v>0</v>
      </c>
      <c r="D28" s="65">
        <f si="6" t="shared"/>
        <v>0</v>
      </c>
      <c r="E28" s="65">
        <f>+'20.TGT1'!G118</f>
        <v>0</v>
      </c>
      <c r="F28" s="65">
        <f si="7" t="shared"/>
        <v>0</v>
      </c>
      <c r="G28" s="65">
        <f>+'20.TGT1'!H118</f>
        <v>0</v>
      </c>
      <c r="H28" s="65">
        <f si="1" t="shared"/>
        <v>0</v>
      </c>
      <c r="I28" s="66">
        <f si="2" t="shared"/>
        <v>0</v>
      </c>
      <c r="J28" s="66">
        <f si="3" t="shared"/>
        <v>0</v>
      </c>
      <c r="K28" s="66">
        <f si="4" t="shared"/>
        <v>0</v>
      </c>
      <c r="L28" s="66">
        <f si="5" t="shared"/>
        <v>0</v>
      </c>
    </row>
    <row r="29" spans="1:12">
      <c r="A29" s="67">
        <f>'20.TGT1'!C119</f>
        <v>122002</v>
      </c>
      <c r="B29" s="67" t="str">
        <f>'20.TGT1'!D119</f>
        <v xml:space="preserve">          Хандив тусламж /гадаад/</v>
      </c>
      <c r="C29" s="65">
        <f>+'20.TGT1'!$F119</f>
        <v>0</v>
      </c>
      <c r="D29" s="65">
        <f si="6" t="shared"/>
        <v>0</v>
      </c>
      <c r="E29" s="65">
        <f>+'20.TGT1'!G119</f>
        <v>0</v>
      </c>
      <c r="F29" s="65">
        <f si="7" t="shared"/>
        <v>0</v>
      </c>
      <c r="G29" s="65">
        <f>+'20.TGT1'!H119</f>
        <v>0</v>
      </c>
      <c r="H29" s="65">
        <f si="1" t="shared"/>
        <v>0</v>
      </c>
      <c r="I29" s="66">
        <f si="2" t="shared"/>
        <v>0</v>
      </c>
      <c r="J29" s="66">
        <f si="3" t="shared"/>
        <v>0</v>
      </c>
      <c r="K29" s="66">
        <f si="4" t="shared"/>
        <v>0</v>
      </c>
      <c r="L29" s="66">
        <f si="5" t="shared"/>
        <v>0</v>
      </c>
    </row>
    <row r="30" spans="1:12">
      <c r="A30" s="67">
        <f>'20.TGT1'!C120</f>
        <v>14</v>
      </c>
      <c r="B30" s="67" t="str">
        <f>'20.TGT1'!D120</f>
        <v xml:space="preserve">   БУСАД ЭХ ҮҮСВЭР</v>
      </c>
      <c r="C30" s="65">
        <f>+'20.TGT1'!$F120</f>
        <v>0</v>
      </c>
      <c r="D30" s="65">
        <f si="6" t="shared"/>
        <v>0</v>
      </c>
      <c r="E30" s="65">
        <f>+'20.TGT1'!G120</f>
        <v>0</v>
      </c>
      <c r="F30" s="65">
        <f si="7" t="shared"/>
        <v>0</v>
      </c>
      <c r="G30" s="65">
        <f>+'20.TGT1'!H120</f>
        <v>0</v>
      </c>
      <c r="H30" s="65">
        <f si="1" t="shared"/>
        <v>0</v>
      </c>
      <c r="I30" s="66">
        <f si="2" t="shared"/>
        <v>0</v>
      </c>
      <c r="J30" s="66">
        <f si="3" t="shared"/>
        <v>0</v>
      </c>
      <c r="K30" s="66">
        <f si="4" t="shared"/>
        <v>0</v>
      </c>
      <c r="L30" s="66">
        <f si="5" t="shared"/>
        <v>0</v>
      </c>
    </row>
    <row r="31" spans="1:12">
      <c r="A31" s="67">
        <f>'20.TGT1'!C121</f>
        <v>145005</v>
      </c>
      <c r="B31" s="67" t="str">
        <f>'20.TGT1'!D121</f>
        <v xml:space="preserve">               Төсөв болон дамжуулан зээлдүүлсэн зээлээс эргэж төлөгдөх	</v>
      </c>
      <c r="C31" s="65">
        <f>+'20.TGT1'!$F121</f>
        <v>0</v>
      </c>
      <c r="D31" s="65">
        <f si="6" t="shared"/>
        <v>0</v>
      </c>
      <c r="E31" s="65">
        <f>+'20.TGT1'!G121</f>
        <v>0</v>
      </c>
      <c r="F31" s="65">
        <f si="7" t="shared"/>
        <v>0</v>
      </c>
      <c r="G31" s="65">
        <f>+'20.TGT1'!H121</f>
        <v>0</v>
      </c>
      <c r="H31" s="65">
        <f si="1" t="shared"/>
        <v>0</v>
      </c>
      <c r="I31" s="66">
        <f si="2" t="shared"/>
        <v>0</v>
      </c>
      <c r="J31" s="66">
        <f si="3" t="shared"/>
        <v>0</v>
      </c>
      <c r="K31" s="66">
        <f si="4" t="shared"/>
        <v>0</v>
      </c>
      <c r="L31" s="66">
        <f si="5" t="shared"/>
        <v>0</v>
      </c>
    </row>
    <row r="35" spans="2:6">
      <c r="B35" s="551" t="s">
        <v>1897</v>
      </c>
      <c r="C35" s="551"/>
      <c r="D35" s="551"/>
      <c r="E35" s="406"/>
      <c r="F35" s="406"/>
    </row>
    <row r="36" spans="2:6">
      <c r="B36" s="406">
        <f>+ЧХ!$C$15</f>
        <v>0</v>
      </c>
      <c r="C36" s="406"/>
      <c r="D36" s="1679">
        <f>+ЧХ!$C$16</f>
        <v>0</v>
      </c>
      <c r="E36" s="1679"/>
      <c r="F36" s="539" t="s">
        <v>1777</v>
      </c>
    </row>
    <row r="37" spans="2:6">
      <c r="B37" s="406"/>
      <c r="C37" s="406"/>
      <c r="D37" s="539"/>
      <c r="E37" s="539"/>
      <c r="F37" s="539"/>
    </row>
    <row r="38" spans="2:6">
      <c r="B38" s="551" t="s">
        <v>1873</v>
      </c>
      <c r="C38" s="551"/>
      <c r="D38" s="406"/>
      <c r="E38" s="406"/>
      <c r="F38" s="539"/>
    </row>
    <row r="39" spans="2:6">
      <c r="B39" s="406" t="str">
        <f>+ЧХ!$B$6</f>
        <v>Аудитын менежер</v>
      </c>
      <c r="C39" s="406"/>
      <c r="D39" s="1679">
        <f>+ЧХ!$C$6</f>
        <v>0</v>
      </c>
      <c r="E39" s="1679"/>
      <c r="F39" s="539" t="s">
        <v>1777</v>
      </c>
    </row>
    <row r="40" spans="2:6">
      <c r="B40" s="406"/>
      <c r="C40" s="406"/>
      <c r="D40" s="539"/>
      <c r="E40" s="539"/>
      <c r="F40" s="539"/>
    </row>
    <row r="41" spans="2:6">
      <c r="B41" s="551" t="s">
        <v>2035</v>
      </c>
      <c r="C41" s="551"/>
      <c r="D41" s="406"/>
      <c r="E41" s="406"/>
      <c r="F41" s="539"/>
    </row>
    <row r="42" spans="2:6">
      <c r="B42" s="406" t="str">
        <f>+ЧХ!$B$5</f>
        <v>Тэргүүлэх аудитор</v>
      </c>
      <c r="C42" s="406"/>
      <c r="D42" s="1689" t="str">
        <f>+ЧХ!$C$5</f>
        <v>С.Энхбаатар</v>
      </c>
      <c r="E42" s="1689"/>
      <c r="F42" s="539" t="s">
        <v>1777</v>
      </c>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bottom="0.75" footer="0.3" header="0.3" left="0.7" right="0.2" top="0.75"/>
  <pageSetup orientation="landscape" paperSize="9" r:id="rId1" scale="7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112"/>
  <sheetViews>
    <sheetView workbookViewId="0" zoomScale="85" zoomScaleNormal="85">
      <selection activeCell="K9" sqref="K9"/>
    </sheetView>
  </sheetViews>
  <sheetFormatPr defaultRowHeight="12.75"/>
  <cols>
    <col min="1" max="1" customWidth="true" style="68" width="8.28515625" collapsed="false"/>
    <col min="2" max="2" customWidth="true" style="68" width="39.8554687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1" width="10.42578125" collapsed="false"/>
    <col min="9" max="9" customWidth="true" style="61" width="16.42578125" collapsed="false"/>
    <col min="10" max="10" customWidth="true" style="61" width="12.42578125" collapsed="false"/>
    <col min="11" max="11" customWidth="true" style="61" width="14.7109375" collapsed="false"/>
    <col min="12" max="12" customWidth="true" style="61" width="9.85546875" collapsed="false"/>
    <col min="13" max="16384" style="61" width="9.140625" collapsed="false"/>
  </cols>
  <sheetData>
    <row r="1" spans="1:12">
      <c r="A1" s="61"/>
      <c r="B1" s="61"/>
      <c r="C1" s="63"/>
      <c r="D1" s="63"/>
      <c r="E1" s="63"/>
      <c r="F1" s="63"/>
      <c r="G1" s="63"/>
      <c r="H1" s="62"/>
      <c r="I1" s="543"/>
      <c r="J1" s="63"/>
      <c r="K1" s="62"/>
      <c r="L1" s="543" t="s">
        <v>2351</v>
      </c>
    </row>
    <row r="2" spans="1:12">
      <c r="A2" s="61"/>
      <c r="B2" s="1795" t="s">
        <v>2350</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580" t="str">
        <f>"Тайлант он: "&amp;ЧХ!$C$8</f>
        <v xml:space="preserve">Тайлант он: </v>
      </c>
      <c r="D4" s="61"/>
      <c r="E4" s="61"/>
      <c r="F4" s="61"/>
      <c r="G4" s="61"/>
    </row>
    <row r="5" spans="1:12">
      <c r="A5" s="61"/>
      <c r="B5" s="564"/>
      <c r="C5" s="61"/>
      <c r="D5" s="61"/>
      <c r="E5" s="61"/>
      <c r="F5" s="61"/>
      <c r="G5" s="61"/>
      <c r="L5" s="565" t="s">
        <v>2344</v>
      </c>
    </row>
    <row customHeight="1" ht="16.5" r="6" spans="1:12">
      <c r="A6" s="1796" t="s">
        <v>2343</v>
      </c>
      <c r="B6" s="1797" t="s">
        <v>12</v>
      </c>
      <c r="C6" s="1801" t="s">
        <v>66</v>
      </c>
      <c r="D6" s="1802"/>
      <c r="E6" s="1798" t="s">
        <v>1214</v>
      </c>
      <c r="F6" s="1799"/>
      <c r="G6" s="1799"/>
      <c r="H6" s="1800"/>
      <c r="I6" s="1798" t="s">
        <v>3593</v>
      </c>
      <c r="J6" s="1799"/>
      <c r="K6" s="1799"/>
      <c r="L6" s="1800"/>
    </row>
    <row customHeight="1" ht="17.25" r="7" spans="1:12">
      <c r="A7" s="1796"/>
      <c r="B7" s="1797"/>
      <c r="C7" s="1803"/>
      <c r="D7" s="1804"/>
      <c r="E7" s="1798" t="s">
        <v>1357</v>
      </c>
      <c r="F7" s="1800"/>
      <c r="G7" s="1798" t="s">
        <v>2346</v>
      </c>
      <c r="H7" s="1800"/>
      <c r="I7" s="1798" t="s">
        <v>2347</v>
      </c>
      <c r="J7" s="1799"/>
      <c r="K7" s="1799" t="s">
        <v>1359</v>
      </c>
      <c r="L7" s="1800"/>
    </row>
    <row ht="25.5" r="8" spans="1:12">
      <c r="A8" s="1796"/>
      <c r="B8" s="1797"/>
      <c r="C8" s="542" t="s">
        <v>1737</v>
      </c>
      <c r="D8" s="542" t="s">
        <v>1879</v>
      </c>
      <c r="E8" s="542" t="s">
        <v>1737</v>
      </c>
      <c r="F8" s="542" t="s">
        <v>1879</v>
      </c>
      <c r="G8" s="542" t="s">
        <v>1737</v>
      </c>
      <c r="H8" s="542" t="s">
        <v>1879</v>
      </c>
      <c r="I8" s="542" t="s">
        <v>1737</v>
      </c>
      <c r="J8" s="542" t="s">
        <v>1881</v>
      </c>
      <c r="K8" s="542" t="s">
        <v>1737</v>
      </c>
      <c r="L8" s="542" t="s">
        <v>1881</v>
      </c>
    </row>
    <row customHeight="1" ht="17.25" r="9" spans="1:12">
      <c r="A9" s="67">
        <v>2</v>
      </c>
      <c r="B9" s="67" t="str">
        <f>+'20.TGT1'!D9</f>
        <v>НИЙТ ЗАРЛАГА БА ЦЭВЭР ЗЭЭЛИЙН ДҮН</v>
      </c>
      <c r="C9" s="65">
        <f>+'20.TGT1'!$F$9+0.0000001</f>
        <v>9.9999999999999995E-8</v>
      </c>
      <c r="D9" s="65">
        <f ref="D9:D40" si="0" t="shared">+C9/$C$9*100</f>
        <v>100</v>
      </c>
      <c r="E9" s="1596">
        <f>+'20.TGT1'!G9+0.0000001</f>
        <v>9.9999999999999995E-8</v>
      </c>
      <c r="F9" s="65">
        <f>+E9/$E$9*100</f>
        <v>100</v>
      </c>
      <c r="G9" s="1596">
        <f>+'20.TGT1'!H9+0.0000001</f>
        <v>9.9999999999999995E-8</v>
      </c>
      <c r="H9" s="65">
        <f>+G9/$G$9*100</f>
        <v>100</v>
      </c>
      <c r="I9" s="66">
        <f>C9-E9</f>
        <v>0</v>
      </c>
      <c r="J9" s="66">
        <f>D9-F9</f>
        <v>0</v>
      </c>
      <c r="K9" s="66">
        <f>E9-G9</f>
        <v>0</v>
      </c>
      <c r="L9" s="66">
        <f ref="L9:L72" si="1" t="shared">F9-H9</f>
        <v>0</v>
      </c>
    </row>
    <row customHeight="1" ht="11.25" r="10" spans="1:12">
      <c r="A10" s="67">
        <f>+'20.TGT1'!C10</f>
        <v>21</v>
      </c>
      <c r="B10" s="67" t="str">
        <f>+'20.TGT1'!D10</f>
        <v xml:space="preserve">   УРСГАЛ ЗАРДАЛ </v>
      </c>
      <c r="C10" s="65">
        <f>+'20.TGT1'!$F$10</f>
        <v>0</v>
      </c>
      <c r="D10" s="65">
        <f si="0" t="shared"/>
        <v>0</v>
      </c>
      <c r="E10" s="65">
        <f>+'20.TGT1'!G10</f>
        <v>0</v>
      </c>
      <c r="F10" s="65">
        <f ref="F10:F73" si="2" t="shared">+E10/$E$9*100</f>
        <v>0</v>
      </c>
      <c r="G10" s="65">
        <f>+'20.TGT1'!H10</f>
        <v>0</v>
      </c>
      <c r="H10" s="65">
        <f ref="H10:H73" si="3" t="shared">+G10/$G$9*100</f>
        <v>0</v>
      </c>
      <c r="I10" s="66">
        <f ref="I10:I41" si="4" t="shared">C10-E10</f>
        <v>0</v>
      </c>
      <c r="J10" s="66">
        <f ref="J10:L73" si="5" t="shared">D10-F10</f>
        <v>0</v>
      </c>
      <c r="K10" s="66">
        <f si="5" t="shared"/>
        <v>0</v>
      </c>
      <c r="L10" s="66">
        <f si="1" t="shared"/>
        <v>0</v>
      </c>
    </row>
    <row customHeight="1" ht="12.75" r="11" spans="1:12">
      <c r="A11" s="67">
        <f>+'20.TGT1'!C11</f>
        <v>210</v>
      </c>
      <c r="B11" s="67" t="str">
        <f>+'20.TGT1'!D11</f>
        <v xml:space="preserve">      БАРАА, АЖИЛ ҮЙЛЧИЛГЭЭНИЙ ЗАРДАЛ</v>
      </c>
      <c r="C11" s="65">
        <f>+'20.TGT1'!$F$11</f>
        <v>0</v>
      </c>
      <c r="D11" s="65">
        <f si="0" t="shared"/>
        <v>0</v>
      </c>
      <c r="E11" s="65">
        <f>+'20.TGT1'!G11</f>
        <v>0</v>
      </c>
      <c r="F11" s="65">
        <f si="2" t="shared"/>
        <v>0</v>
      </c>
      <c r="G11" s="65">
        <f>+'20.TGT1'!H11</f>
        <v>0</v>
      </c>
      <c r="H11" s="65">
        <f si="3" t="shared"/>
        <v>0</v>
      </c>
      <c r="I11" s="66">
        <f si="4" t="shared"/>
        <v>0</v>
      </c>
      <c r="J11" s="66">
        <f si="5" t="shared"/>
        <v>0</v>
      </c>
      <c r="K11" s="66">
        <f si="5" t="shared"/>
        <v>0</v>
      </c>
      <c r="L11" s="66">
        <f si="1" t="shared"/>
        <v>0</v>
      </c>
    </row>
    <row r="12" spans="1:12">
      <c r="A12" s="67">
        <f>+'20.TGT1'!C12</f>
        <v>2101</v>
      </c>
      <c r="B12" s="67" t="str">
        <f>+'20.TGT1'!D12</f>
        <v xml:space="preserve">         Цалин хөлс болон нэмэгдэл урамшил</v>
      </c>
      <c r="C12" s="65">
        <f>+'20.TGT1'!$F$12</f>
        <v>0</v>
      </c>
      <c r="D12" s="65">
        <f si="0" t="shared"/>
        <v>0</v>
      </c>
      <c r="E12" s="65">
        <f>+'20.TGT1'!G12</f>
        <v>0</v>
      </c>
      <c r="F12" s="65">
        <f si="2" t="shared"/>
        <v>0</v>
      </c>
      <c r="G12" s="65">
        <f>+'20.TGT1'!H12</f>
        <v>0</v>
      </c>
      <c r="H12" s="65">
        <f si="3" t="shared"/>
        <v>0</v>
      </c>
      <c r="I12" s="66">
        <f si="4" t="shared"/>
        <v>0</v>
      </c>
      <c r="J12" s="66">
        <f si="5" t="shared"/>
        <v>0</v>
      </c>
      <c r="K12" s="66">
        <f si="5" t="shared"/>
        <v>0</v>
      </c>
      <c r="L12" s="66">
        <f si="1" t="shared"/>
        <v>0</v>
      </c>
    </row>
    <row customHeight="1" ht="12.75" r="13" spans="1:12">
      <c r="A13" s="67">
        <f>+'20.TGT1'!C13</f>
        <v>210101</v>
      </c>
      <c r="B13" s="67" t="str">
        <f>+'20.TGT1'!D13</f>
        <v xml:space="preserve">               Үндсэн цалин </v>
      </c>
      <c r="C13" s="65">
        <f>+'20.TGT1'!$F$13</f>
        <v>0</v>
      </c>
      <c r="D13" s="65">
        <f si="0" t="shared"/>
        <v>0</v>
      </c>
      <c r="E13" s="65">
        <f>+'20.TGT1'!G13</f>
        <v>0</v>
      </c>
      <c r="F13" s="65">
        <f si="2" t="shared"/>
        <v>0</v>
      </c>
      <c r="G13" s="65">
        <f>+'20.TGT1'!H13</f>
        <v>0</v>
      </c>
      <c r="H13" s="65">
        <f si="3" t="shared"/>
        <v>0</v>
      </c>
      <c r="I13" s="66">
        <f si="4" t="shared"/>
        <v>0</v>
      </c>
      <c r="J13" s="66">
        <f si="5" t="shared"/>
        <v>0</v>
      </c>
      <c r="K13" s="66">
        <f si="5" t="shared"/>
        <v>0</v>
      </c>
      <c r="L13" s="66">
        <f si="1" t="shared"/>
        <v>0</v>
      </c>
    </row>
    <row customHeight="1" ht="12.75" r="14" spans="1:12">
      <c r="A14" s="67">
        <f>+'20.TGT1'!C14</f>
        <v>210102</v>
      </c>
      <c r="B14" s="67" t="str">
        <f>+'20.TGT1'!D14</f>
        <v xml:space="preserve">               Нэмэгдэл</v>
      </c>
      <c r="C14" s="65">
        <f>+'20.TGT1'!$F$14</f>
        <v>0</v>
      </c>
      <c r="D14" s="65">
        <f si="0" t="shared"/>
        <v>0</v>
      </c>
      <c r="E14" s="65">
        <f>+'20.TGT1'!G14</f>
        <v>0</v>
      </c>
      <c r="F14" s="65">
        <f si="2" t="shared"/>
        <v>0</v>
      </c>
      <c r="G14" s="65">
        <f>+'20.TGT1'!H14</f>
        <v>0</v>
      </c>
      <c r="H14" s="65">
        <f si="3" t="shared"/>
        <v>0</v>
      </c>
      <c r="I14" s="66">
        <f si="4" t="shared"/>
        <v>0</v>
      </c>
      <c r="J14" s="66">
        <f si="5" t="shared"/>
        <v>0</v>
      </c>
      <c r="K14" s="66">
        <f si="5" t="shared"/>
        <v>0</v>
      </c>
      <c r="L14" s="66">
        <f si="1" t="shared"/>
        <v>0</v>
      </c>
    </row>
    <row customHeight="1" ht="12.75" r="15" spans="1:12">
      <c r="A15" s="67">
        <f>+'20.TGT1'!C15</f>
        <v>210103</v>
      </c>
      <c r="B15" s="67" t="str">
        <f>+'20.TGT1'!D15</f>
        <v xml:space="preserve">               Унаа хоолны хөнгөлөлт </v>
      </c>
      <c r="C15" s="65">
        <f>+'20.TGT1'!$F$15</f>
        <v>0</v>
      </c>
      <c r="D15" s="65">
        <f si="0" t="shared"/>
        <v>0</v>
      </c>
      <c r="E15" s="65">
        <f>+'20.TGT1'!G15</f>
        <v>0</v>
      </c>
      <c r="F15" s="65">
        <f si="2" t="shared"/>
        <v>0</v>
      </c>
      <c r="G15" s="65">
        <f>+'20.TGT1'!H15</f>
        <v>0</v>
      </c>
      <c r="H15" s="65">
        <f si="3" t="shared"/>
        <v>0</v>
      </c>
      <c r="I15" s="66">
        <f si="4" t="shared"/>
        <v>0</v>
      </c>
      <c r="J15" s="66">
        <f si="5" t="shared"/>
        <v>0</v>
      </c>
      <c r="K15" s="66">
        <f si="5" t="shared"/>
        <v>0</v>
      </c>
      <c r="L15" s="66">
        <f si="1" t="shared"/>
        <v>0</v>
      </c>
    </row>
    <row customHeight="1" ht="12.75" r="16" spans="1:12">
      <c r="A16" s="67">
        <f>+'20.TGT1'!C16</f>
        <v>210104</v>
      </c>
      <c r="B16" s="67" t="str">
        <f>+'20.TGT1'!D16</f>
        <v xml:space="preserve">               Урамшуулал </v>
      </c>
      <c r="C16" s="65">
        <f>+'20.TGT1'!$F$16</f>
        <v>0</v>
      </c>
      <c r="D16" s="65">
        <f si="0" t="shared"/>
        <v>0</v>
      </c>
      <c r="E16" s="65">
        <f>+'20.TGT1'!G16</f>
        <v>0</v>
      </c>
      <c r="F16" s="65">
        <f si="2" t="shared"/>
        <v>0</v>
      </c>
      <c r="G16" s="65">
        <f>+'20.TGT1'!H16</f>
        <v>0</v>
      </c>
      <c r="H16" s="65">
        <f si="3" t="shared"/>
        <v>0</v>
      </c>
      <c r="I16" s="66">
        <f si="4" t="shared"/>
        <v>0</v>
      </c>
      <c r="J16" s="66">
        <f si="5" t="shared"/>
        <v>0</v>
      </c>
      <c r="K16" s="66">
        <f si="5" t="shared"/>
        <v>0</v>
      </c>
      <c r="L16" s="66">
        <f si="1" t="shared"/>
        <v>0</v>
      </c>
    </row>
    <row customHeight="1" ht="12.75" r="17" spans="1:12">
      <c r="A17" s="67">
        <f>+'20.TGT1'!C17</f>
        <v>210105</v>
      </c>
      <c r="B17" s="67" t="str">
        <f>+'20.TGT1'!D17</f>
        <v xml:space="preserve">               Гэрээт ажлын хөлс</v>
      </c>
      <c r="C17" s="65">
        <f>+'20.TGT1'!$F$17</f>
        <v>0</v>
      </c>
      <c r="D17" s="65">
        <f si="0" t="shared"/>
        <v>0</v>
      </c>
      <c r="E17" s="65">
        <f>+'20.TGT1'!G17</f>
        <v>0</v>
      </c>
      <c r="F17" s="65">
        <f si="2" t="shared"/>
        <v>0</v>
      </c>
      <c r="G17" s="65">
        <f>+'20.TGT1'!H17</f>
        <v>0</v>
      </c>
      <c r="H17" s="65">
        <f si="3" t="shared"/>
        <v>0</v>
      </c>
      <c r="I17" s="66">
        <f si="4" t="shared"/>
        <v>0</v>
      </c>
      <c r="J17" s="66">
        <f si="5" t="shared"/>
        <v>0</v>
      </c>
      <c r="K17" s="66">
        <f si="5" t="shared"/>
        <v>0</v>
      </c>
      <c r="L17" s="66">
        <f si="1" t="shared"/>
        <v>0</v>
      </c>
    </row>
    <row customHeight="1" ht="12.75" r="18" spans="1:12">
      <c r="A18" s="67">
        <f>+'20.TGT1'!C18</f>
        <v>2102</v>
      </c>
      <c r="B18" s="67" t="str">
        <f>+'20.TGT1'!D18</f>
        <v xml:space="preserve">         Ажил олгогчоос нийгмийн даатгалд төлөх шимтгэл</v>
      </c>
      <c r="C18" s="65">
        <f>+'20.TGT1'!$F$18</f>
        <v>0</v>
      </c>
      <c r="D18" s="65">
        <f si="0" t="shared"/>
        <v>0</v>
      </c>
      <c r="E18" s="65">
        <f>+'20.TGT1'!G18</f>
        <v>0</v>
      </c>
      <c r="F18" s="65">
        <f si="2" t="shared"/>
        <v>0</v>
      </c>
      <c r="G18" s="65">
        <f>+'20.TGT1'!H18</f>
        <v>0</v>
      </c>
      <c r="H18" s="65">
        <f si="3" t="shared"/>
        <v>0</v>
      </c>
      <c r="I18" s="66">
        <f si="4" t="shared"/>
        <v>0</v>
      </c>
      <c r="J18" s="66">
        <f si="5" t="shared"/>
        <v>0</v>
      </c>
      <c r="K18" s="66">
        <f si="5" t="shared"/>
        <v>0</v>
      </c>
      <c r="L18" s="66">
        <f si="1" t="shared"/>
        <v>0</v>
      </c>
    </row>
    <row customHeight="1" ht="12.75" r="19" spans="1:12">
      <c r="A19" s="67">
        <f>+'20.TGT1'!C19</f>
        <v>210201</v>
      </c>
      <c r="B19" s="67" t="str">
        <f>+'20.TGT1'!D19</f>
        <v xml:space="preserve">               Тэтгэврийн даатгал</v>
      </c>
      <c r="C19" s="65">
        <f>+'20.TGT1'!$F$19</f>
        <v>0</v>
      </c>
      <c r="D19" s="65">
        <f si="0" t="shared"/>
        <v>0</v>
      </c>
      <c r="E19" s="65">
        <f>+'20.TGT1'!G19</f>
        <v>0</v>
      </c>
      <c r="F19" s="65">
        <f si="2" t="shared"/>
        <v>0</v>
      </c>
      <c r="G19" s="65">
        <f>+'20.TGT1'!H19</f>
        <v>0</v>
      </c>
      <c r="H19" s="65">
        <f si="3" t="shared"/>
        <v>0</v>
      </c>
      <c r="I19" s="66">
        <f si="4" t="shared"/>
        <v>0</v>
      </c>
      <c r="J19" s="66">
        <f si="5" t="shared"/>
        <v>0</v>
      </c>
      <c r="K19" s="66">
        <f si="5" t="shared"/>
        <v>0</v>
      </c>
      <c r="L19" s="66">
        <f si="1" t="shared"/>
        <v>0</v>
      </c>
    </row>
    <row r="20" spans="1:12">
      <c r="A20" s="67">
        <f>+'20.TGT1'!C20</f>
        <v>210202</v>
      </c>
      <c r="B20" s="67" t="str">
        <f>+'20.TGT1'!D20</f>
        <v xml:space="preserve">               Тэтгэмжийн даатгал</v>
      </c>
      <c r="C20" s="65">
        <f>+'20.TGT1'!$F$20</f>
        <v>0</v>
      </c>
      <c r="D20" s="65">
        <f si="0" t="shared"/>
        <v>0</v>
      </c>
      <c r="E20" s="65">
        <f>+'20.TGT1'!G20</f>
        <v>0</v>
      </c>
      <c r="F20" s="65">
        <f si="2" t="shared"/>
        <v>0</v>
      </c>
      <c r="G20" s="65">
        <f>+'20.TGT1'!H20</f>
        <v>0</v>
      </c>
      <c r="H20" s="65">
        <f si="3" t="shared"/>
        <v>0</v>
      </c>
      <c r="I20" s="66">
        <f si="4" t="shared"/>
        <v>0</v>
      </c>
      <c r="J20" s="66">
        <f si="5" t="shared"/>
        <v>0</v>
      </c>
      <c r="K20" s="66">
        <f si="5" t="shared"/>
        <v>0</v>
      </c>
      <c r="L20" s="66">
        <f si="1" t="shared"/>
        <v>0</v>
      </c>
    </row>
    <row r="21" spans="1:12">
      <c r="A21" s="67">
        <f>+'20.TGT1'!C21</f>
        <v>210203</v>
      </c>
      <c r="B21" s="67" t="str">
        <f>+'20.TGT1'!D21</f>
        <v xml:space="preserve">               ҮОМШӨ-ний даатгал</v>
      </c>
      <c r="C21" s="65">
        <f>+'20.TGT1'!$F$21</f>
        <v>0</v>
      </c>
      <c r="D21" s="65">
        <f si="0" t="shared"/>
        <v>0</v>
      </c>
      <c r="E21" s="65">
        <f>+'20.TGT1'!G21</f>
        <v>0</v>
      </c>
      <c r="F21" s="65">
        <f si="2" t="shared"/>
        <v>0</v>
      </c>
      <c r="G21" s="65">
        <f>+'20.TGT1'!H21</f>
        <v>0</v>
      </c>
      <c r="H21" s="65">
        <f si="3" t="shared"/>
        <v>0</v>
      </c>
      <c r="I21" s="66">
        <f si="4" t="shared"/>
        <v>0</v>
      </c>
      <c r="J21" s="66">
        <f si="5" t="shared"/>
        <v>0</v>
      </c>
      <c r="K21" s="66">
        <f si="5" t="shared"/>
        <v>0</v>
      </c>
      <c r="L21" s="66">
        <f si="1" t="shared"/>
        <v>0</v>
      </c>
    </row>
    <row r="22" spans="1:12">
      <c r="A22" s="67">
        <f>+'20.TGT1'!C22</f>
        <v>210204</v>
      </c>
      <c r="B22" s="67" t="str">
        <f>+'20.TGT1'!D22</f>
        <v xml:space="preserve">               Ажилгүйдлийн даатгал</v>
      </c>
      <c r="C22" s="65">
        <f>+'20.TGT1'!$F$22</f>
        <v>0</v>
      </c>
      <c r="D22" s="65">
        <f si="0" t="shared"/>
        <v>0</v>
      </c>
      <c r="E22" s="65">
        <f>+'20.TGT1'!G22</f>
        <v>0</v>
      </c>
      <c r="F22" s="65">
        <f si="2" t="shared"/>
        <v>0</v>
      </c>
      <c r="G22" s="65">
        <f>+'20.TGT1'!H22</f>
        <v>0</v>
      </c>
      <c r="H22" s="65">
        <f si="3" t="shared"/>
        <v>0</v>
      </c>
      <c r="I22" s="66">
        <f si="4" t="shared"/>
        <v>0</v>
      </c>
      <c r="J22" s="66">
        <f si="5" t="shared"/>
        <v>0</v>
      </c>
      <c r="K22" s="66">
        <f si="5" t="shared"/>
        <v>0</v>
      </c>
      <c r="L22" s="66">
        <f si="1" t="shared"/>
        <v>0</v>
      </c>
    </row>
    <row r="23" spans="1:12">
      <c r="A23" s="67">
        <f>+'20.TGT1'!C23</f>
        <v>210205</v>
      </c>
      <c r="B23" s="67" t="str">
        <f>+'20.TGT1'!D23</f>
        <v xml:space="preserve">               Эрүүл мэндийн даатгал</v>
      </c>
      <c r="C23" s="65">
        <f>+'20.TGT1'!$F$23</f>
        <v>0</v>
      </c>
      <c r="D23" s="65">
        <f si="0" t="shared"/>
        <v>0</v>
      </c>
      <c r="E23" s="65">
        <f>+'20.TGT1'!G23</f>
        <v>0</v>
      </c>
      <c r="F23" s="65">
        <f si="2" t="shared"/>
        <v>0</v>
      </c>
      <c r="G23" s="65">
        <f>+'20.TGT1'!H23</f>
        <v>0</v>
      </c>
      <c r="H23" s="65">
        <f si="3" t="shared"/>
        <v>0</v>
      </c>
      <c r="I23" s="66">
        <f si="4" t="shared"/>
        <v>0</v>
      </c>
      <c r="J23" s="66">
        <f si="5" t="shared"/>
        <v>0</v>
      </c>
      <c r="K23" s="66">
        <f si="5" t="shared"/>
        <v>0</v>
      </c>
      <c r="L23" s="66">
        <f si="1" t="shared"/>
        <v>0</v>
      </c>
    </row>
    <row r="24" spans="1:12">
      <c r="A24" s="67">
        <f>+'20.TGT1'!C24</f>
        <v>2103</v>
      </c>
      <c r="B24" s="67" t="str">
        <f>+'20.TGT1'!D24</f>
        <v xml:space="preserve">         Байр ашиглалттай холбоотой тогтмол зардал</v>
      </c>
      <c r="C24" s="65">
        <f>+'20.TGT1'!$F$24</f>
        <v>0</v>
      </c>
      <c r="D24" s="65">
        <f si="0" t="shared"/>
        <v>0</v>
      </c>
      <c r="E24" s="65">
        <f>+'20.TGT1'!G24</f>
        <v>0</v>
      </c>
      <c r="F24" s="65">
        <f si="2" t="shared"/>
        <v>0</v>
      </c>
      <c r="G24" s="65">
        <f>+'20.TGT1'!H24</f>
        <v>0</v>
      </c>
      <c r="H24" s="65">
        <f si="3" t="shared"/>
        <v>0</v>
      </c>
      <c r="I24" s="66">
        <f si="4" t="shared"/>
        <v>0</v>
      </c>
      <c r="J24" s="66">
        <f si="5" t="shared"/>
        <v>0</v>
      </c>
      <c r="K24" s="66">
        <f si="5" t="shared"/>
        <v>0</v>
      </c>
      <c r="L24" s="66">
        <f si="1" t="shared"/>
        <v>0</v>
      </c>
    </row>
    <row r="25" spans="1:12">
      <c r="A25" s="67">
        <f>+'20.TGT1'!C25</f>
        <v>210301</v>
      </c>
      <c r="B25" s="67" t="str">
        <f>+'20.TGT1'!D25</f>
        <v xml:space="preserve">               Гэрэл, цахилгаан</v>
      </c>
      <c r="C25" s="65">
        <f>+'20.TGT1'!$F$25</f>
        <v>0</v>
      </c>
      <c r="D25" s="65">
        <f si="0" t="shared"/>
        <v>0</v>
      </c>
      <c r="E25" s="65">
        <f>+'20.TGT1'!G25</f>
        <v>0</v>
      </c>
      <c r="F25" s="65">
        <f si="2" t="shared"/>
        <v>0</v>
      </c>
      <c r="G25" s="65">
        <f>+'20.TGT1'!H25</f>
        <v>0</v>
      </c>
      <c r="H25" s="65">
        <f si="3" t="shared"/>
        <v>0</v>
      </c>
      <c r="I25" s="66">
        <f si="4" t="shared"/>
        <v>0</v>
      </c>
      <c r="J25" s="66">
        <f si="5" t="shared"/>
        <v>0</v>
      </c>
      <c r="K25" s="66">
        <f si="5" t="shared"/>
        <v>0</v>
      </c>
      <c r="L25" s="66">
        <f si="1" t="shared"/>
        <v>0</v>
      </c>
    </row>
    <row r="26" spans="1:12">
      <c r="A26" s="67">
        <f>+'20.TGT1'!C26</f>
        <v>210302</v>
      </c>
      <c r="B26" s="67" t="str">
        <f>+'20.TGT1'!D26</f>
        <v xml:space="preserve">               Түлш, халаалт</v>
      </c>
      <c r="C26" s="65">
        <f>+'20.TGT1'!$F$26</f>
        <v>0</v>
      </c>
      <c r="D26" s="65">
        <f si="0" t="shared"/>
        <v>0</v>
      </c>
      <c r="E26" s="65">
        <f>+'20.TGT1'!G26</f>
        <v>0</v>
      </c>
      <c r="F26" s="65">
        <f si="2" t="shared"/>
        <v>0</v>
      </c>
      <c r="G26" s="65">
        <f>+'20.TGT1'!H26</f>
        <v>0</v>
      </c>
      <c r="H26" s="65">
        <f si="3" t="shared"/>
        <v>0</v>
      </c>
      <c r="I26" s="66">
        <f si="4" t="shared"/>
        <v>0</v>
      </c>
      <c r="J26" s="66">
        <f si="5" t="shared"/>
        <v>0</v>
      </c>
      <c r="K26" s="66">
        <f si="5" t="shared"/>
        <v>0</v>
      </c>
      <c r="L26" s="66">
        <f si="1" t="shared"/>
        <v>0</v>
      </c>
    </row>
    <row r="27" spans="1:12">
      <c r="A27" s="67">
        <f>+'20.TGT1'!C27</f>
        <v>210303</v>
      </c>
      <c r="B27" s="67" t="str">
        <f>+'20.TGT1'!D27</f>
        <v xml:space="preserve">               Цэвэр, бохир ус</v>
      </c>
      <c r="C27" s="65">
        <f>+'20.TGT1'!$F$27</f>
        <v>0</v>
      </c>
      <c r="D27" s="65">
        <f si="0" t="shared"/>
        <v>0</v>
      </c>
      <c r="E27" s="65">
        <f>+'20.TGT1'!G27</f>
        <v>0</v>
      </c>
      <c r="F27" s="65">
        <f si="2" t="shared"/>
        <v>0</v>
      </c>
      <c r="G27" s="65">
        <f>+'20.TGT1'!H27</f>
        <v>0</v>
      </c>
      <c r="H27" s="65">
        <f si="3" t="shared"/>
        <v>0</v>
      </c>
      <c r="I27" s="66">
        <f si="4" t="shared"/>
        <v>0</v>
      </c>
      <c r="J27" s="66">
        <f si="5" t="shared"/>
        <v>0</v>
      </c>
      <c r="K27" s="66">
        <f si="5" t="shared"/>
        <v>0</v>
      </c>
      <c r="L27" s="66">
        <f si="1" t="shared"/>
        <v>0</v>
      </c>
    </row>
    <row r="28" spans="1:12">
      <c r="A28" s="67">
        <f>+'20.TGT1'!C28</f>
        <v>210304</v>
      </c>
      <c r="B28" s="67" t="str">
        <f>+'20.TGT1'!D28</f>
        <v xml:space="preserve">               Байрны түрээс</v>
      </c>
      <c r="C28" s="65">
        <f>+'20.TGT1'!$F$28</f>
        <v>0</v>
      </c>
      <c r="D28" s="65">
        <f si="0" t="shared"/>
        <v>0</v>
      </c>
      <c r="E28" s="65">
        <f>+'20.TGT1'!G28</f>
        <v>0</v>
      </c>
      <c r="F28" s="65">
        <f si="2" t="shared"/>
        <v>0</v>
      </c>
      <c r="G28" s="65">
        <f>+'20.TGT1'!H28</f>
        <v>0</v>
      </c>
      <c r="H28" s="65">
        <f si="3" t="shared"/>
        <v>0</v>
      </c>
      <c r="I28" s="66">
        <f si="4" t="shared"/>
        <v>0</v>
      </c>
      <c r="J28" s="66">
        <f si="5" t="shared"/>
        <v>0</v>
      </c>
      <c r="K28" s="66">
        <f si="5" t="shared"/>
        <v>0</v>
      </c>
      <c r="L28" s="66">
        <f si="1" t="shared"/>
        <v>0</v>
      </c>
    </row>
    <row r="29" spans="1:12">
      <c r="A29" s="67">
        <f>+'20.TGT1'!C29</f>
        <v>2104</v>
      </c>
      <c r="B29" s="67" t="str">
        <f>+'20.TGT1'!D29</f>
        <v xml:space="preserve">         Хангамж, бараа материалын зардал</v>
      </c>
      <c r="C29" s="65">
        <f>+'20.TGT1'!$F$29</f>
        <v>0</v>
      </c>
      <c r="D29" s="65">
        <f si="0" t="shared"/>
        <v>0</v>
      </c>
      <c r="E29" s="65">
        <f>+'20.TGT1'!G29</f>
        <v>0</v>
      </c>
      <c r="F29" s="65">
        <f si="2" t="shared"/>
        <v>0</v>
      </c>
      <c r="G29" s="65">
        <f>+'20.TGT1'!H29</f>
        <v>0</v>
      </c>
      <c r="H29" s="65">
        <f si="3" t="shared"/>
        <v>0</v>
      </c>
      <c r="I29" s="66">
        <f si="4" t="shared"/>
        <v>0</v>
      </c>
      <c r="J29" s="66">
        <f si="5" t="shared"/>
        <v>0</v>
      </c>
      <c r="K29" s="66">
        <f si="5" t="shared"/>
        <v>0</v>
      </c>
      <c r="L29" s="66">
        <f si="1" t="shared"/>
        <v>0</v>
      </c>
    </row>
    <row r="30" spans="1:12">
      <c r="A30" s="67">
        <f>+'20.TGT1'!C30</f>
        <v>210401</v>
      </c>
      <c r="B30" s="67" t="str">
        <f>+'20.TGT1'!D30</f>
        <v xml:space="preserve">               Бичиг хэрэг</v>
      </c>
      <c r="C30" s="65">
        <f>+'20.TGT1'!$F$30</f>
        <v>0</v>
      </c>
      <c r="D30" s="65">
        <f si="0" t="shared"/>
        <v>0</v>
      </c>
      <c r="E30" s="65">
        <f>+'20.TGT1'!G30</f>
        <v>0</v>
      </c>
      <c r="F30" s="65">
        <f si="2" t="shared"/>
        <v>0</v>
      </c>
      <c r="G30" s="65">
        <f>+'20.TGT1'!H30</f>
        <v>0</v>
      </c>
      <c r="H30" s="65">
        <f si="3" t="shared"/>
        <v>0</v>
      </c>
      <c r="I30" s="66">
        <f si="4" t="shared"/>
        <v>0</v>
      </c>
      <c r="J30" s="66">
        <f si="5" t="shared"/>
        <v>0</v>
      </c>
      <c r="K30" s="66">
        <f si="5" t="shared"/>
        <v>0</v>
      </c>
      <c r="L30" s="66">
        <f si="1" t="shared"/>
        <v>0</v>
      </c>
    </row>
    <row r="31" spans="1:12">
      <c r="A31" s="67">
        <f>+'20.TGT1'!C31</f>
        <v>210402</v>
      </c>
      <c r="B31" s="67" t="str">
        <f>+'20.TGT1'!D31</f>
        <v xml:space="preserve">               Тээвэр, шатахуун</v>
      </c>
      <c r="C31" s="65">
        <f>+'20.TGT1'!$F$31</f>
        <v>0</v>
      </c>
      <c r="D31" s="65">
        <f si="0" t="shared"/>
        <v>0</v>
      </c>
      <c r="E31" s="65">
        <f>+'20.TGT1'!G31</f>
        <v>0</v>
      </c>
      <c r="F31" s="65">
        <f si="2" t="shared"/>
        <v>0</v>
      </c>
      <c r="G31" s="65">
        <f>+'20.TGT1'!H31</f>
        <v>0</v>
      </c>
      <c r="H31" s="65">
        <f si="3" t="shared"/>
        <v>0</v>
      </c>
      <c r="I31" s="66">
        <f si="4" t="shared"/>
        <v>0</v>
      </c>
      <c r="J31" s="66">
        <f si="5" t="shared"/>
        <v>0</v>
      </c>
      <c r="K31" s="66">
        <f si="5" t="shared"/>
        <v>0</v>
      </c>
      <c r="L31" s="66">
        <f si="1" t="shared"/>
        <v>0</v>
      </c>
    </row>
    <row r="32" spans="1:12">
      <c r="A32" s="67">
        <f>+'20.TGT1'!C32</f>
        <v>210403</v>
      </c>
      <c r="B32" s="67" t="str">
        <f>+'20.TGT1'!D32</f>
        <v xml:space="preserve">               Шуудан, холбоо, интернэтийн төлбөр</v>
      </c>
      <c r="C32" s="65">
        <f>+'20.TGT1'!$F$32</f>
        <v>0</v>
      </c>
      <c r="D32" s="65">
        <f si="0" t="shared"/>
        <v>0</v>
      </c>
      <c r="E32" s="65">
        <f>+'20.TGT1'!G32</f>
        <v>0</v>
      </c>
      <c r="F32" s="65">
        <f si="2" t="shared"/>
        <v>0</v>
      </c>
      <c r="G32" s="65">
        <f>+'20.TGT1'!H32</f>
        <v>0</v>
      </c>
      <c r="H32" s="65">
        <f si="3" t="shared"/>
        <v>0</v>
      </c>
      <c r="I32" s="66">
        <f si="4" t="shared"/>
        <v>0</v>
      </c>
      <c r="J32" s="66">
        <f si="5" t="shared"/>
        <v>0</v>
      </c>
      <c r="K32" s="66">
        <f si="5" t="shared"/>
        <v>0</v>
      </c>
      <c r="L32" s="66">
        <f si="1" t="shared"/>
        <v>0</v>
      </c>
    </row>
    <row r="33" spans="1:12">
      <c r="A33" s="67">
        <f>+'20.TGT1'!C33</f>
        <v>210404</v>
      </c>
      <c r="B33" s="67" t="str">
        <f>+'20.TGT1'!D33</f>
        <v xml:space="preserve">               Ном, хэвлэл</v>
      </c>
      <c r="C33" s="65">
        <f>+'20.TGT1'!$F$33</f>
        <v>0</v>
      </c>
      <c r="D33" s="65">
        <f si="0" t="shared"/>
        <v>0</v>
      </c>
      <c r="E33" s="65">
        <f>+'20.TGT1'!G33</f>
        <v>0</v>
      </c>
      <c r="F33" s="65">
        <f si="2" t="shared"/>
        <v>0</v>
      </c>
      <c r="G33" s="65">
        <f>+'20.TGT1'!H33</f>
        <v>0</v>
      </c>
      <c r="H33" s="65">
        <f si="3" t="shared"/>
        <v>0</v>
      </c>
      <c r="I33" s="66">
        <f si="4" t="shared"/>
        <v>0</v>
      </c>
      <c r="J33" s="66">
        <f si="5" t="shared"/>
        <v>0</v>
      </c>
      <c r="K33" s="66">
        <f si="5" t="shared"/>
        <v>0</v>
      </c>
      <c r="L33" s="66">
        <f si="1" t="shared"/>
        <v>0</v>
      </c>
    </row>
    <row r="34" spans="1:12">
      <c r="A34" s="67">
        <f>+'20.TGT1'!C34</f>
        <v>210405</v>
      </c>
      <c r="B34" s="67" t="str">
        <f>+'20.TGT1'!D34</f>
        <v xml:space="preserve">               Хог хаягдал зайлуулах, хортон мэрэгчдийн устгал, ариутгал</v>
      </c>
      <c r="C34" s="65">
        <f>+'20.TGT1'!$F$34</f>
        <v>0</v>
      </c>
      <c r="D34" s="65">
        <f si="0" t="shared"/>
        <v>0</v>
      </c>
      <c r="E34" s="65">
        <f>+'20.TGT1'!G34</f>
        <v>0</v>
      </c>
      <c r="F34" s="65">
        <f si="2" t="shared"/>
        <v>0</v>
      </c>
      <c r="G34" s="65">
        <f>+'20.TGT1'!H34</f>
        <v>0</v>
      </c>
      <c r="H34" s="65">
        <f si="3" t="shared"/>
        <v>0</v>
      </c>
      <c r="I34" s="66">
        <f si="4" t="shared"/>
        <v>0</v>
      </c>
      <c r="J34" s="66">
        <f si="5" t="shared"/>
        <v>0</v>
      </c>
      <c r="K34" s="66">
        <f si="5" t="shared"/>
        <v>0</v>
      </c>
      <c r="L34" s="66">
        <f si="1" t="shared"/>
        <v>0</v>
      </c>
    </row>
    <row r="35" spans="1:12">
      <c r="A35" s="67">
        <f>+'20.TGT1'!C35</f>
        <v>210406</v>
      </c>
      <c r="B35" s="67" t="str">
        <f>+'20.TGT1'!D35</f>
        <v xml:space="preserve">               Бага үнэтэй, түргэн элэгдэх, ахуйн эд зүйлс</v>
      </c>
      <c r="C35" s="65">
        <f>+'20.TGT1'!$F$35</f>
        <v>0</v>
      </c>
      <c r="D35" s="65">
        <f si="0" t="shared"/>
        <v>0</v>
      </c>
      <c r="E35" s="65">
        <f>+'20.TGT1'!G35</f>
        <v>0</v>
      </c>
      <c r="F35" s="65">
        <f si="2" t="shared"/>
        <v>0</v>
      </c>
      <c r="G35" s="65">
        <f>+'20.TGT1'!H35</f>
        <v>0</v>
      </c>
      <c r="H35" s="65">
        <f si="3" t="shared"/>
        <v>0</v>
      </c>
      <c r="I35" s="66">
        <f si="4" t="shared"/>
        <v>0</v>
      </c>
      <c r="J35" s="66">
        <f si="5" t="shared"/>
        <v>0</v>
      </c>
      <c r="K35" s="66">
        <f si="5" t="shared"/>
        <v>0</v>
      </c>
      <c r="L35" s="66">
        <f si="1" t="shared"/>
        <v>0</v>
      </c>
    </row>
    <row r="36" spans="1:12">
      <c r="A36" s="67">
        <f>+'20.TGT1'!C36</f>
        <v>210407</v>
      </c>
      <c r="B36" s="67" t="str">
        <f>+'20.TGT1'!D36</f>
        <v xml:space="preserve">              Аж ахуйн материал худалдан авах зардал</v>
      </c>
      <c r="C36" s="65">
        <f>+'20.TGT1'!$F$36</f>
        <v>0</v>
      </c>
      <c r="D36" s="65">
        <f si="0" t="shared"/>
        <v>0</v>
      </c>
      <c r="E36" s="65">
        <f>+'20.TGT1'!G36</f>
        <v>0</v>
      </c>
      <c r="F36" s="65">
        <f si="2" t="shared"/>
        <v>0</v>
      </c>
      <c r="G36" s="65">
        <f>+'20.TGT1'!H36</f>
        <v>0</v>
      </c>
      <c r="H36" s="65">
        <f si="3" t="shared"/>
        <v>0</v>
      </c>
      <c r="I36" s="66">
        <f si="4" t="shared"/>
        <v>0</v>
      </c>
      <c r="J36" s="66">
        <f si="5" t="shared"/>
        <v>0</v>
      </c>
      <c r="K36" s="66">
        <f si="5" t="shared"/>
        <v>0</v>
      </c>
      <c r="L36" s="66">
        <f si="1" t="shared"/>
        <v>0</v>
      </c>
    </row>
    <row r="37" spans="1:12">
      <c r="A37" s="67">
        <f>+'20.TGT1'!C37</f>
        <v>2105</v>
      </c>
      <c r="B37" s="67" t="str">
        <f>+'20.TGT1'!D37</f>
        <v xml:space="preserve">         Нормативт зардал</v>
      </c>
      <c r="C37" s="65">
        <f>+'20.TGT1'!$F$37</f>
        <v>0</v>
      </c>
      <c r="D37" s="65">
        <f si="0" t="shared"/>
        <v>0</v>
      </c>
      <c r="E37" s="65">
        <f>+'20.TGT1'!G37</f>
        <v>0</v>
      </c>
      <c r="F37" s="65">
        <f si="2" t="shared"/>
        <v>0</v>
      </c>
      <c r="G37" s="65">
        <f>+'20.TGT1'!H37</f>
        <v>0</v>
      </c>
      <c r="H37" s="65">
        <f si="3" t="shared"/>
        <v>0</v>
      </c>
      <c r="I37" s="66">
        <f si="4" t="shared"/>
        <v>0</v>
      </c>
      <c r="J37" s="66">
        <f si="5" t="shared"/>
        <v>0</v>
      </c>
      <c r="K37" s="66">
        <f si="5" t="shared"/>
        <v>0</v>
      </c>
      <c r="L37" s="66">
        <f si="1" t="shared"/>
        <v>0</v>
      </c>
    </row>
    <row r="38" spans="1:12">
      <c r="A38" s="67">
        <f>+'20.TGT1'!C38</f>
        <v>210501</v>
      </c>
      <c r="B38" s="67" t="str">
        <f>+'20.TGT1'!D38</f>
        <v xml:space="preserve">               Эм, бэлдмэл, эмнэлгийн хэрэгсэл</v>
      </c>
      <c r="C38" s="65">
        <f>+'20.TGT1'!$F$38</f>
        <v>0</v>
      </c>
      <c r="D38" s="65">
        <f si="0" t="shared"/>
        <v>0</v>
      </c>
      <c r="E38" s="65">
        <f>+'20.TGT1'!G38</f>
        <v>0</v>
      </c>
      <c r="F38" s="65">
        <f si="2" t="shared"/>
        <v>0</v>
      </c>
      <c r="G38" s="65">
        <f>+'20.TGT1'!H38</f>
        <v>0</v>
      </c>
      <c r="H38" s="65">
        <f si="3" t="shared"/>
        <v>0</v>
      </c>
      <c r="I38" s="66">
        <f si="4" t="shared"/>
        <v>0</v>
      </c>
      <c r="J38" s="66">
        <f si="5" t="shared"/>
        <v>0</v>
      </c>
      <c r="K38" s="66">
        <f si="5" t="shared"/>
        <v>0</v>
      </c>
      <c r="L38" s="66">
        <f si="1" t="shared"/>
        <v>0</v>
      </c>
    </row>
    <row r="39" spans="1:12">
      <c r="A39" s="67">
        <f>+'20.TGT1'!C39</f>
        <v>210502</v>
      </c>
      <c r="B39" s="67" t="str">
        <f>+'20.TGT1'!D39</f>
        <v xml:space="preserve">               Хоол, хүнс</v>
      </c>
      <c r="C39" s="65">
        <f>+'20.TGT1'!$F$39</f>
        <v>0</v>
      </c>
      <c r="D39" s="65">
        <f si="0" t="shared"/>
        <v>0</v>
      </c>
      <c r="E39" s="65">
        <f>+'20.TGT1'!G39</f>
        <v>0</v>
      </c>
      <c r="F39" s="65">
        <f si="2" t="shared"/>
        <v>0</v>
      </c>
      <c r="G39" s="65">
        <f>+'20.TGT1'!H39</f>
        <v>0</v>
      </c>
      <c r="H39" s="65">
        <f si="3" t="shared"/>
        <v>0</v>
      </c>
      <c r="I39" s="66">
        <f si="4" t="shared"/>
        <v>0</v>
      </c>
      <c r="J39" s="66">
        <f si="5" t="shared"/>
        <v>0</v>
      </c>
      <c r="K39" s="66">
        <f si="5" t="shared"/>
        <v>0</v>
      </c>
      <c r="L39" s="66">
        <f si="1" t="shared"/>
        <v>0</v>
      </c>
    </row>
    <row r="40" spans="1:12">
      <c r="A40" s="67">
        <f>+'20.TGT1'!C40</f>
        <v>210503</v>
      </c>
      <c r="B40" s="67" t="str">
        <f>+'20.TGT1'!D40</f>
        <v xml:space="preserve">               Нормын хувцас, зөөлөн эдлэл</v>
      </c>
      <c r="C40" s="65">
        <f>+'20.TGT1'!$F$40</f>
        <v>0</v>
      </c>
      <c r="D40" s="65">
        <f si="0" t="shared"/>
        <v>0</v>
      </c>
      <c r="E40" s="65">
        <f>+'20.TGT1'!G40</f>
        <v>0</v>
      </c>
      <c r="F40" s="65">
        <f si="2" t="shared"/>
        <v>0</v>
      </c>
      <c r="G40" s="65">
        <f>+'20.TGT1'!H40</f>
        <v>0</v>
      </c>
      <c r="H40" s="65">
        <f si="3" t="shared"/>
        <v>0</v>
      </c>
      <c r="I40" s="66">
        <f si="4" t="shared"/>
        <v>0</v>
      </c>
      <c r="J40" s="66">
        <f si="5" t="shared"/>
        <v>0</v>
      </c>
      <c r="K40" s="66">
        <f si="5" t="shared"/>
        <v>0</v>
      </c>
      <c r="L40" s="66">
        <f si="1" t="shared"/>
        <v>0</v>
      </c>
    </row>
    <row r="41" spans="1:12">
      <c r="A41" s="67">
        <f>+'20.TGT1'!C41</f>
        <v>2106</v>
      </c>
      <c r="B41" s="67" t="str">
        <f>+'20.TGT1'!D41</f>
        <v xml:space="preserve">         Эд хогшил, урсгал засварын зардал</v>
      </c>
      <c r="C41" s="65">
        <f>+'20.TGT1'!$F$41</f>
        <v>0</v>
      </c>
      <c r="D41" s="65">
        <f ref="D41:D72" si="6" t="shared">+C41/$C$9*100</f>
        <v>0</v>
      </c>
      <c r="E41" s="65">
        <f>+'20.TGT1'!G41</f>
        <v>0</v>
      </c>
      <c r="F41" s="65">
        <f si="2" t="shared"/>
        <v>0</v>
      </c>
      <c r="G41" s="65">
        <f>+'20.TGT1'!H41</f>
        <v>0</v>
      </c>
      <c r="H41" s="65">
        <f si="3" t="shared"/>
        <v>0</v>
      </c>
      <c r="I41" s="66">
        <f si="4" t="shared"/>
        <v>0</v>
      </c>
      <c r="J41" s="66">
        <f si="5" t="shared"/>
        <v>0</v>
      </c>
      <c r="K41" s="66">
        <f si="5" t="shared"/>
        <v>0</v>
      </c>
      <c r="L41" s="66">
        <f si="1" t="shared"/>
        <v>0</v>
      </c>
    </row>
    <row r="42" spans="1:12">
      <c r="A42" s="67">
        <f>+'20.TGT1'!C42</f>
        <v>210601</v>
      </c>
      <c r="B42" s="67" t="str">
        <f>+'20.TGT1'!D42</f>
        <v xml:space="preserve">               Багаж, техник, хэрэгсэл</v>
      </c>
      <c r="C42" s="65">
        <f>+'20.TGT1'!$F$42</f>
        <v>0</v>
      </c>
      <c r="D42" s="65">
        <f si="6" t="shared"/>
        <v>0</v>
      </c>
      <c r="E42" s="65">
        <f>+'20.TGT1'!G42</f>
        <v>0</v>
      </c>
      <c r="F42" s="65">
        <f si="2" t="shared"/>
        <v>0</v>
      </c>
      <c r="G42" s="65">
        <f>+'20.TGT1'!H42</f>
        <v>0</v>
      </c>
      <c r="H42" s="65">
        <f si="3" t="shared"/>
        <v>0</v>
      </c>
      <c r="I42" s="66">
        <f ref="I42:I73" si="7" t="shared">C42-E42</f>
        <v>0</v>
      </c>
      <c r="J42" s="66">
        <f si="5" t="shared"/>
        <v>0</v>
      </c>
      <c r="K42" s="66">
        <f si="5" t="shared"/>
        <v>0</v>
      </c>
      <c r="L42" s="66">
        <f si="1" t="shared"/>
        <v>0</v>
      </c>
    </row>
    <row r="43" spans="1:12">
      <c r="A43" s="67">
        <f>+'20.TGT1'!C43</f>
        <v>210602</v>
      </c>
      <c r="B43" s="67" t="str">
        <f>+'20.TGT1'!D43</f>
        <v xml:space="preserve">               Тавилга</v>
      </c>
      <c r="C43" s="65">
        <f>+'20.TGT1'!$F$43</f>
        <v>0</v>
      </c>
      <c r="D43" s="65">
        <f si="6" t="shared"/>
        <v>0</v>
      </c>
      <c r="E43" s="65">
        <f>+'20.TGT1'!G43</f>
        <v>0</v>
      </c>
      <c r="F43" s="65">
        <f si="2" t="shared"/>
        <v>0</v>
      </c>
      <c r="G43" s="65">
        <f>+'20.TGT1'!H43</f>
        <v>0</v>
      </c>
      <c r="H43" s="65">
        <f si="3" t="shared"/>
        <v>0</v>
      </c>
      <c r="I43" s="66">
        <f si="7" t="shared"/>
        <v>0</v>
      </c>
      <c r="J43" s="66">
        <f si="5" t="shared"/>
        <v>0</v>
      </c>
      <c r="K43" s="66">
        <f si="5" t="shared"/>
        <v>0</v>
      </c>
      <c r="L43" s="66">
        <f si="1" t="shared"/>
        <v>0</v>
      </c>
    </row>
    <row r="44" spans="1:12">
      <c r="A44" s="67">
        <f>+'20.TGT1'!C44</f>
        <v>210603</v>
      </c>
      <c r="B44" s="67" t="str">
        <f>+'20.TGT1'!D44</f>
        <v xml:space="preserve">               Хөдөлмөр хамгааллын хэрэглэл</v>
      </c>
      <c r="C44" s="65">
        <f>+'20.TGT1'!$F$44</f>
        <v>0</v>
      </c>
      <c r="D44" s="65">
        <f si="6" t="shared"/>
        <v>0</v>
      </c>
      <c r="E44" s="65">
        <f>+'20.TGT1'!G44</f>
        <v>0</v>
      </c>
      <c r="F44" s="65">
        <f si="2" t="shared"/>
        <v>0</v>
      </c>
      <c r="G44" s="65">
        <f>+'20.TGT1'!H44</f>
        <v>0</v>
      </c>
      <c r="H44" s="65">
        <f si="3" t="shared"/>
        <v>0</v>
      </c>
      <c r="I44" s="66">
        <f si="7" t="shared"/>
        <v>0</v>
      </c>
      <c r="J44" s="66">
        <f si="5" t="shared"/>
        <v>0</v>
      </c>
      <c r="K44" s="66">
        <f si="5" t="shared"/>
        <v>0</v>
      </c>
      <c r="L44" s="66">
        <f si="1" t="shared"/>
        <v>0</v>
      </c>
    </row>
    <row r="45" spans="1:12">
      <c r="A45" s="67">
        <f>+'20.TGT1'!C45</f>
        <v>210604</v>
      </c>
      <c r="B45" s="67" t="str">
        <f>+'20.TGT1'!D45</f>
        <v xml:space="preserve">               Урсгал засвар</v>
      </c>
      <c r="C45" s="65">
        <f>+'20.TGT1'!$F$45</f>
        <v>0</v>
      </c>
      <c r="D45" s="65">
        <f si="6" t="shared"/>
        <v>0</v>
      </c>
      <c r="E45" s="65">
        <f>+'20.TGT1'!G45</f>
        <v>0</v>
      </c>
      <c r="F45" s="65">
        <f si="2" t="shared"/>
        <v>0</v>
      </c>
      <c r="G45" s="65">
        <f>+'20.TGT1'!H45</f>
        <v>0</v>
      </c>
      <c r="H45" s="65">
        <f si="3" t="shared"/>
        <v>0</v>
      </c>
      <c r="I45" s="66">
        <f si="7" t="shared"/>
        <v>0</v>
      </c>
      <c r="J45" s="66">
        <f si="5" t="shared"/>
        <v>0</v>
      </c>
      <c r="K45" s="66">
        <f si="5" t="shared"/>
        <v>0</v>
      </c>
      <c r="L45" s="66">
        <f si="1" t="shared"/>
        <v>0</v>
      </c>
    </row>
    <row r="46" spans="1:12">
      <c r="A46" s="67">
        <f>+'20.TGT1'!C46</f>
        <v>2107</v>
      </c>
      <c r="B46" s="67" t="str">
        <f>+'20.TGT1'!D46</f>
        <v xml:space="preserve">         Томилолт, зочны зардал</v>
      </c>
      <c r="C46" s="65">
        <f>+'20.TGT1'!$F$46</f>
        <v>0</v>
      </c>
      <c r="D46" s="65">
        <f si="6" t="shared"/>
        <v>0</v>
      </c>
      <c r="E46" s="65">
        <f>+'20.TGT1'!G46</f>
        <v>0</v>
      </c>
      <c r="F46" s="65">
        <f si="2" t="shared"/>
        <v>0</v>
      </c>
      <c r="G46" s="65">
        <f>+'20.TGT1'!H46</f>
        <v>0</v>
      </c>
      <c r="H46" s="65">
        <f si="3" t="shared"/>
        <v>0</v>
      </c>
      <c r="I46" s="66">
        <f si="7" t="shared"/>
        <v>0</v>
      </c>
      <c r="J46" s="66">
        <f si="5" t="shared"/>
        <v>0</v>
      </c>
      <c r="K46" s="66">
        <f si="5" t="shared"/>
        <v>0</v>
      </c>
      <c r="L46" s="66">
        <f si="1" t="shared"/>
        <v>0</v>
      </c>
    </row>
    <row r="47" spans="1:12">
      <c r="A47" s="67">
        <f>+'20.TGT1'!C47</f>
        <v>210701</v>
      </c>
      <c r="B47" s="67" t="str">
        <f>+'20.TGT1'!D47</f>
        <v xml:space="preserve">               Гадаад албан томилолт</v>
      </c>
      <c r="C47" s="65">
        <f>+'20.TGT1'!$F$47</f>
        <v>0</v>
      </c>
      <c r="D47" s="65">
        <f si="6" t="shared"/>
        <v>0</v>
      </c>
      <c r="E47" s="65">
        <f>+'20.TGT1'!G47</f>
        <v>0</v>
      </c>
      <c r="F47" s="65">
        <f si="2" t="shared"/>
        <v>0</v>
      </c>
      <c r="G47" s="65">
        <f>+'20.TGT1'!H47</f>
        <v>0</v>
      </c>
      <c r="H47" s="65">
        <f si="3" t="shared"/>
        <v>0</v>
      </c>
      <c r="I47" s="66">
        <f si="7" t="shared"/>
        <v>0</v>
      </c>
      <c r="J47" s="66">
        <f si="5" t="shared"/>
        <v>0</v>
      </c>
      <c r="K47" s="66">
        <f si="5" t="shared"/>
        <v>0</v>
      </c>
      <c r="L47" s="66">
        <f si="1" t="shared"/>
        <v>0</v>
      </c>
    </row>
    <row r="48" spans="1:12">
      <c r="A48" s="67">
        <f>+'20.TGT1'!C48</f>
        <v>210702</v>
      </c>
      <c r="B48" s="67" t="str">
        <f>+'20.TGT1'!D48</f>
        <v xml:space="preserve">               Дотоод албан томилолт</v>
      </c>
      <c r="C48" s="65">
        <f>+'20.TGT1'!$F$48</f>
        <v>0</v>
      </c>
      <c r="D48" s="65">
        <f si="6" t="shared"/>
        <v>0</v>
      </c>
      <c r="E48" s="65">
        <f>+'20.TGT1'!G48</f>
        <v>0</v>
      </c>
      <c r="F48" s="65">
        <f si="2" t="shared"/>
        <v>0</v>
      </c>
      <c r="G48" s="65">
        <f>+'20.TGT1'!H48</f>
        <v>0</v>
      </c>
      <c r="H48" s="65">
        <f si="3" t="shared"/>
        <v>0</v>
      </c>
      <c r="I48" s="66">
        <f si="7" t="shared"/>
        <v>0</v>
      </c>
      <c r="J48" s="66">
        <f si="5" t="shared"/>
        <v>0</v>
      </c>
      <c r="K48" s="66">
        <f si="5" t="shared"/>
        <v>0</v>
      </c>
      <c r="L48" s="66">
        <f si="1" t="shared"/>
        <v>0</v>
      </c>
    </row>
    <row r="49" spans="1:12">
      <c r="A49" s="67">
        <f>+'20.TGT1'!C49</f>
        <v>210703</v>
      </c>
      <c r="B49" s="67" t="str">
        <f>+'20.TGT1'!D49</f>
        <v xml:space="preserve">               Зочин төлөөлөгч хүлээн авах</v>
      </c>
      <c r="C49" s="65">
        <f>+'20.TGT1'!$F$49</f>
        <v>0</v>
      </c>
      <c r="D49" s="65">
        <f si="6" t="shared"/>
        <v>0</v>
      </c>
      <c r="E49" s="65">
        <f>+'20.TGT1'!G49</f>
        <v>0</v>
      </c>
      <c r="F49" s="65">
        <f si="2" t="shared"/>
        <v>0</v>
      </c>
      <c r="G49" s="65">
        <f>+'20.TGT1'!H49</f>
        <v>0</v>
      </c>
      <c r="H49" s="65">
        <f si="3" t="shared"/>
        <v>0</v>
      </c>
      <c r="I49" s="66">
        <f si="7" t="shared"/>
        <v>0</v>
      </c>
      <c r="J49" s="66">
        <f si="5" t="shared"/>
        <v>0</v>
      </c>
      <c r="K49" s="66">
        <f si="5" t="shared"/>
        <v>0</v>
      </c>
      <c r="L49" s="66">
        <f si="1" t="shared"/>
        <v>0</v>
      </c>
    </row>
    <row r="50" spans="1:12">
      <c r="A50" s="67">
        <f>+'20.TGT1'!C50</f>
        <v>2108</v>
      </c>
      <c r="B50" s="67" t="str">
        <f>+'20.TGT1'!D50</f>
        <v xml:space="preserve">         Бусдаар гүйцэтгүүлсэн ажил, үйлчилгээний төлбөр, хураамж</v>
      </c>
      <c r="C50" s="65">
        <f>+'20.TGT1'!$F$50</f>
        <v>0</v>
      </c>
      <c r="D50" s="65">
        <f si="6" t="shared"/>
        <v>0</v>
      </c>
      <c r="E50" s="65">
        <f>+'20.TGT1'!G50</f>
        <v>0</v>
      </c>
      <c r="F50" s="65">
        <f si="2" t="shared"/>
        <v>0</v>
      </c>
      <c r="G50" s="65">
        <f>+'20.TGT1'!H50</f>
        <v>0</v>
      </c>
      <c r="H50" s="65">
        <f si="3" t="shared"/>
        <v>0</v>
      </c>
      <c r="I50" s="66">
        <f si="7" t="shared"/>
        <v>0</v>
      </c>
      <c r="J50" s="66">
        <f si="5" t="shared"/>
        <v>0</v>
      </c>
      <c r="K50" s="66">
        <f si="5" t="shared"/>
        <v>0</v>
      </c>
      <c r="L50" s="66">
        <f si="1" t="shared"/>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si="6" t="shared"/>
        <v>0</v>
      </c>
      <c r="E51" s="65">
        <f>+'20.TGT1'!G51</f>
        <v>0</v>
      </c>
      <c r="F51" s="65">
        <f si="2" t="shared"/>
        <v>0</v>
      </c>
      <c r="G51" s="65">
        <f>+'20.TGT1'!H51</f>
        <v>0</v>
      </c>
      <c r="H51" s="65">
        <f si="3" t="shared"/>
        <v>0</v>
      </c>
      <c r="I51" s="66">
        <f si="7" t="shared"/>
        <v>0</v>
      </c>
      <c r="J51" s="66">
        <f si="5" t="shared"/>
        <v>0</v>
      </c>
      <c r="K51" s="66">
        <f si="5" t="shared"/>
        <v>0</v>
      </c>
      <c r="L51" s="66">
        <f si="1" t="shared"/>
        <v>0</v>
      </c>
    </row>
    <row r="52" spans="1:12">
      <c r="A52" s="67">
        <f>+'20.TGT1'!C52</f>
        <v>210802</v>
      </c>
      <c r="B52" s="67" t="str">
        <f>+'20.TGT1'!D52</f>
        <v xml:space="preserve">               Аудит, баталгаажуулалт, зэрэглэл тогтоох </v>
      </c>
      <c r="C52" s="65">
        <f>+'20.TGT1'!$F52</f>
        <v>0</v>
      </c>
      <c r="D52" s="65">
        <f si="6" t="shared"/>
        <v>0</v>
      </c>
      <c r="E52" s="65">
        <f>+'20.TGT1'!G52</f>
        <v>0</v>
      </c>
      <c r="F52" s="65">
        <f si="2" t="shared"/>
        <v>0</v>
      </c>
      <c r="G52" s="65">
        <f>+'20.TGT1'!H52</f>
        <v>0</v>
      </c>
      <c r="H52" s="65">
        <f si="3" t="shared"/>
        <v>0</v>
      </c>
      <c r="I52" s="66">
        <f si="7" t="shared"/>
        <v>0</v>
      </c>
      <c r="J52" s="66">
        <f si="5" t="shared"/>
        <v>0</v>
      </c>
      <c r="K52" s="66">
        <f si="5" t="shared"/>
        <v>0</v>
      </c>
      <c r="L52" s="66">
        <f si="1" t="shared"/>
        <v>0</v>
      </c>
    </row>
    <row r="53" spans="1:12">
      <c r="A53" s="67">
        <f>+'20.TGT1'!C53</f>
        <v>210803</v>
      </c>
      <c r="B53" s="67" t="str">
        <f>+'20.TGT1'!D53</f>
        <v xml:space="preserve">               Даатгалын үйлчилгээ</v>
      </c>
      <c r="C53" s="65">
        <f>+'20.TGT1'!$F53</f>
        <v>0</v>
      </c>
      <c r="D53" s="65">
        <f si="6" t="shared"/>
        <v>0</v>
      </c>
      <c r="E53" s="65">
        <f>+'20.TGT1'!G53</f>
        <v>0</v>
      </c>
      <c r="F53" s="65">
        <f si="2" t="shared"/>
        <v>0</v>
      </c>
      <c r="G53" s="65">
        <f>+'20.TGT1'!H53</f>
        <v>0</v>
      </c>
      <c r="H53" s="65">
        <f si="3" t="shared"/>
        <v>0</v>
      </c>
      <c r="I53" s="66">
        <f si="7" t="shared"/>
        <v>0</v>
      </c>
      <c r="J53" s="66">
        <f si="5" t="shared"/>
        <v>0</v>
      </c>
      <c r="K53" s="66">
        <f si="5" t="shared"/>
        <v>0</v>
      </c>
      <c r="L53" s="66">
        <f si="1" t="shared"/>
        <v>0</v>
      </c>
    </row>
    <row r="54" spans="1:12">
      <c r="A54" s="67">
        <f>+'20.TGT1'!C54</f>
        <v>210804</v>
      </c>
      <c r="B54" s="67" t="str">
        <f>+'20.TGT1'!D54</f>
        <v xml:space="preserve">               Тээврийн хэрэгслийн татвар</v>
      </c>
      <c r="C54" s="65">
        <f>+'20.TGT1'!$F54</f>
        <v>0</v>
      </c>
      <c r="D54" s="65">
        <f si="6" t="shared"/>
        <v>0</v>
      </c>
      <c r="E54" s="65">
        <f>+'20.TGT1'!G54</f>
        <v>0</v>
      </c>
      <c r="F54" s="65">
        <f si="2" t="shared"/>
        <v>0</v>
      </c>
      <c r="G54" s="65">
        <f>+'20.TGT1'!H54</f>
        <v>0</v>
      </c>
      <c r="H54" s="65">
        <f si="3" t="shared"/>
        <v>0</v>
      </c>
      <c r="I54" s="66">
        <f si="7" t="shared"/>
        <v>0</v>
      </c>
      <c r="J54" s="66">
        <f si="5" t="shared"/>
        <v>0</v>
      </c>
      <c r="K54" s="66">
        <f si="5" t="shared"/>
        <v>0</v>
      </c>
      <c r="L54" s="66">
        <f si="1" t="shared"/>
        <v>0</v>
      </c>
    </row>
    <row r="55" spans="1:12">
      <c r="A55" s="67">
        <f>+'20.TGT1'!C55</f>
        <v>210805</v>
      </c>
      <c r="B55" s="67" t="str">
        <f>+'20.TGT1'!D55</f>
        <v xml:space="preserve">               Тээврийн хэрэгслийн оношлогоо</v>
      </c>
      <c r="C55" s="65">
        <f>+'20.TGT1'!$F55</f>
        <v>0</v>
      </c>
      <c r="D55" s="65">
        <f si="6" t="shared"/>
        <v>0</v>
      </c>
      <c r="E55" s="65">
        <f>+'20.TGT1'!G55</f>
        <v>0</v>
      </c>
      <c r="F55" s="65">
        <f si="2" t="shared"/>
        <v>0</v>
      </c>
      <c r="G55" s="65">
        <f>+'20.TGT1'!H55</f>
        <v>0</v>
      </c>
      <c r="H55" s="65">
        <f si="3" t="shared"/>
        <v>0</v>
      </c>
      <c r="I55" s="66">
        <f si="7" t="shared"/>
        <v>0</v>
      </c>
      <c r="J55" s="66">
        <f si="5" t="shared"/>
        <v>0</v>
      </c>
      <c r="K55" s="66">
        <f si="5" t="shared"/>
        <v>0</v>
      </c>
      <c r="L55" s="66">
        <f si="1" t="shared"/>
        <v>0</v>
      </c>
    </row>
    <row r="56" spans="1:12">
      <c r="A56" s="67">
        <f>+'20.TGT1'!C56</f>
        <v>210806</v>
      </c>
      <c r="B56" s="67" t="str">
        <f>+'20.TGT1'!D56</f>
        <v xml:space="preserve">               Мэдээлэл, технологийн үйлчилгээ</v>
      </c>
      <c r="C56" s="65">
        <f>+'20.TGT1'!$F56</f>
        <v>0</v>
      </c>
      <c r="D56" s="65">
        <f si="6" t="shared"/>
        <v>0</v>
      </c>
      <c r="E56" s="65">
        <f>+'20.TGT1'!G56</f>
        <v>0</v>
      </c>
      <c r="F56" s="65">
        <f si="2" t="shared"/>
        <v>0</v>
      </c>
      <c r="G56" s="65">
        <f>+'20.TGT1'!H56</f>
        <v>0</v>
      </c>
      <c r="H56" s="65">
        <f si="3" t="shared"/>
        <v>0</v>
      </c>
      <c r="I56" s="66">
        <f si="7" t="shared"/>
        <v>0</v>
      </c>
      <c r="J56" s="66">
        <f si="5" t="shared"/>
        <v>0</v>
      </c>
      <c r="K56" s="66">
        <f si="5" t="shared"/>
        <v>0</v>
      </c>
      <c r="L56" s="66">
        <f si="1" t="shared"/>
        <v>0</v>
      </c>
    </row>
    <row r="57" spans="1:12">
      <c r="A57" s="67">
        <f>+'20.TGT1'!C57</f>
        <v>210807</v>
      </c>
      <c r="B57" s="67" t="str">
        <f>+'20.TGT1'!D57</f>
        <v xml:space="preserve">               Газрын төлбөр </v>
      </c>
      <c r="C57" s="65">
        <f>+'20.TGT1'!$F57</f>
        <v>0</v>
      </c>
      <c r="D57" s="65">
        <f si="6" t="shared"/>
        <v>0</v>
      </c>
      <c r="E57" s="65">
        <f>+'20.TGT1'!G57</f>
        <v>0</v>
      </c>
      <c r="F57" s="65">
        <f si="2" t="shared"/>
        <v>0</v>
      </c>
      <c r="G57" s="65">
        <f>+'20.TGT1'!H57</f>
        <v>0</v>
      </c>
      <c r="H57" s="65">
        <f si="3" t="shared"/>
        <v>0</v>
      </c>
      <c r="I57" s="66">
        <f si="7" t="shared"/>
        <v>0</v>
      </c>
      <c r="J57" s="66">
        <f si="5" t="shared"/>
        <v>0</v>
      </c>
      <c r="K57" s="66">
        <f si="5" t="shared"/>
        <v>0</v>
      </c>
      <c r="L57" s="66">
        <f si="1" t="shared"/>
        <v>0</v>
      </c>
    </row>
    <row r="58" spans="1:12">
      <c r="A58" s="67">
        <f>+'20.TGT1'!C58</f>
        <v>210808</v>
      </c>
      <c r="B58" s="67" t="str">
        <f>+'20.TGT1'!D58</f>
        <v xml:space="preserve">               Банк, санхүүгийн байгууллагын үйлчилгээний хураамж</v>
      </c>
      <c r="C58" s="65">
        <f>+'20.TGT1'!$F58</f>
        <v>0</v>
      </c>
      <c r="D58" s="65">
        <f si="6" t="shared"/>
        <v>0</v>
      </c>
      <c r="E58" s="65">
        <f>+'20.TGT1'!G58</f>
        <v>0</v>
      </c>
      <c r="F58" s="65">
        <f si="2" t="shared"/>
        <v>0</v>
      </c>
      <c r="G58" s="65">
        <f>+'20.TGT1'!H58</f>
        <v>0</v>
      </c>
      <c r="H58" s="65">
        <f si="3" t="shared"/>
        <v>0</v>
      </c>
      <c r="I58" s="66">
        <f si="7" t="shared"/>
        <v>0</v>
      </c>
      <c r="J58" s="66">
        <f si="5" t="shared"/>
        <v>0</v>
      </c>
      <c r="K58" s="66">
        <f si="5" t="shared"/>
        <v>0</v>
      </c>
      <c r="L58" s="66">
        <f si="1" t="shared"/>
        <v>0</v>
      </c>
    </row>
    <row r="59" spans="1:12">
      <c r="A59" s="67">
        <f>+'20.TGT1'!C59</f>
        <v>210809</v>
      </c>
      <c r="B59" s="67" t="str">
        <f>+'20.TGT1'!D59</f>
        <v xml:space="preserve">               Улсын мэдээллийн маягт хэвлэх, бэлтгэх</v>
      </c>
      <c r="C59" s="65">
        <f>+'20.TGT1'!$F59</f>
        <v>0</v>
      </c>
      <c r="D59" s="65">
        <f si="6" t="shared"/>
        <v>0</v>
      </c>
      <c r="E59" s="65">
        <f>+'20.TGT1'!G59</f>
        <v>0</v>
      </c>
      <c r="F59" s="65">
        <f si="2" t="shared"/>
        <v>0</v>
      </c>
      <c r="G59" s="65">
        <f>+'20.TGT1'!H59</f>
        <v>0</v>
      </c>
      <c r="H59" s="65">
        <f si="3" t="shared"/>
        <v>0</v>
      </c>
      <c r="I59" s="66">
        <f si="7" t="shared"/>
        <v>0</v>
      </c>
      <c r="J59" s="66">
        <f si="5" t="shared"/>
        <v>0</v>
      </c>
      <c r="K59" s="66">
        <f si="5" t="shared"/>
        <v>0</v>
      </c>
      <c r="L59" s="66">
        <f si="1" t="shared"/>
        <v>0</v>
      </c>
    </row>
    <row r="60" spans="1:12">
      <c r="A60" s="67">
        <f>+'20.TGT1'!C60</f>
        <v>2109</v>
      </c>
      <c r="B60" s="67" t="str">
        <f>+'20.TGT1'!D60</f>
        <v xml:space="preserve">         Бараа үйлчилгээний бусад зардал</v>
      </c>
      <c r="C60" s="65">
        <f>+'20.TGT1'!$F60</f>
        <v>0</v>
      </c>
      <c r="D60" s="65">
        <f si="6" t="shared"/>
        <v>0</v>
      </c>
      <c r="E60" s="65">
        <f>+'20.TGT1'!G60</f>
        <v>0</v>
      </c>
      <c r="F60" s="65">
        <f si="2" t="shared"/>
        <v>0</v>
      </c>
      <c r="G60" s="65">
        <f>+'20.TGT1'!H60</f>
        <v>0</v>
      </c>
      <c r="H60" s="65">
        <f si="3" t="shared"/>
        <v>0</v>
      </c>
      <c r="I60" s="66">
        <f si="7" t="shared"/>
        <v>0</v>
      </c>
      <c r="J60" s="66">
        <f si="5" t="shared"/>
        <v>0</v>
      </c>
      <c r="K60" s="66">
        <f si="5" t="shared"/>
        <v>0</v>
      </c>
      <c r="L60" s="66">
        <f si="1" t="shared"/>
        <v>0</v>
      </c>
    </row>
    <row r="61" spans="1:12">
      <c r="A61" s="67">
        <f>+'20.TGT1'!C61</f>
        <v>210901</v>
      </c>
      <c r="B61" s="67" t="str">
        <f>+'20.TGT1'!D61</f>
        <v xml:space="preserve">               Бараа үйлчилгээний бусад зардал</v>
      </c>
      <c r="C61" s="65">
        <f>+'20.TGT1'!$F61</f>
        <v>0</v>
      </c>
      <c r="D61" s="65">
        <f si="6" t="shared"/>
        <v>0</v>
      </c>
      <c r="E61" s="65">
        <f>+'20.TGT1'!G61</f>
        <v>0</v>
      </c>
      <c r="F61" s="65">
        <f si="2" t="shared"/>
        <v>0</v>
      </c>
      <c r="G61" s="65">
        <f>+'20.TGT1'!H61</f>
        <v>0</v>
      </c>
      <c r="H61" s="65">
        <f si="3" t="shared"/>
        <v>0</v>
      </c>
      <c r="I61" s="66">
        <f si="7" t="shared"/>
        <v>0</v>
      </c>
      <c r="J61" s="66">
        <f si="5" t="shared"/>
        <v>0</v>
      </c>
      <c r="K61" s="66">
        <f si="5" t="shared"/>
        <v>0</v>
      </c>
      <c r="L61" s="66">
        <f si="1" t="shared"/>
        <v>0</v>
      </c>
    </row>
    <row r="62" spans="1:12">
      <c r="A62" s="67">
        <f>+'20.TGT1'!C62</f>
        <v>210902</v>
      </c>
      <c r="B62" s="67" t="str">
        <f>+'20.TGT1'!D62</f>
        <v xml:space="preserve">               Хичээл үйлдвэрлэлийн дадлага хийх </v>
      </c>
      <c r="C62" s="65">
        <f>+'20.TGT1'!$F62</f>
        <v>0</v>
      </c>
      <c r="D62" s="65">
        <f si="6" t="shared"/>
        <v>0</v>
      </c>
      <c r="E62" s="65">
        <f>+'20.TGT1'!G62</f>
        <v>0</v>
      </c>
      <c r="F62" s="65">
        <f si="2" t="shared"/>
        <v>0</v>
      </c>
      <c r="G62" s="65">
        <f>+'20.TGT1'!H62</f>
        <v>0</v>
      </c>
      <c r="H62" s="65">
        <f si="3" t="shared"/>
        <v>0</v>
      </c>
      <c r="I62" s="66">
        <f si="7" t="shared"/>
        <v>0</v>
      </c>
      <c r="J62" s="66">
        <f si="5" t="shared"/>
        <v>0</v>
      </c>
      <c r="K62" s="66">
        <f si="5" t="shared"/>
        <v>0</v>
      </c>
      <c r="L62" s="66">
        <f si="1" t="shared"/>
        <v>0</v>
      </c>
    </row>
    <row r="63" spans="1:12">
      <c r="A63" s="67">
        <f>+'20.TGT1'!C63</f>
        <v>211</v>
      </c>
      <c r="B63" s="67" t="str">
        <f>+'20.TGT1'!D63</f>
        <v xml:space="preserve">      ХҮҮ</v>
      </c>
      <c r="C63" s="65">
        <f>+'20.TGT1'!$F63</f>
        <v>0</v>
      </c>
      <c r="D63" s="65">
        <f si="6" t="shared"/>
        <v>0</v>
      </c>
      <c r="E63" s="65">
        <f>+'20.TGT1'!G63</f>
        <v>0</v>
      </c>
      <c r="F63" s="65">
        <f si="2" t="shared"/>
        <v>0</v>
      </c>
      <c r="G63" s="65">
        <f>+'20.TGT1'!H63</f>
        <v>0</v>
      </c>
      <c r="H63" s="65">
        <f si="3" t="shared"/>
        <v>0</v>
      </c>
      <c r="I63" s="66">
        <f si="7" t="shared"/>
        <v>0</v>
      </c>
      <c r="J63" s="66">
        <f si="5" t="shared"/>
        <v>0</v>
      </c>
      <c r="K63" s="66">
        <f si="5" t="shared"/>
        <v>0</v>
      </c>
      <c r="L63" s="66">
        <f si="1" t="shared"/>
        <v>0</v>
      </c>
    </row>
    <row r="64" spans="1:12">
      <c r="A64" s="67">
        <f>+'20.TGT1'!C64</f>
        <v>2111</v>
      </c>
      <c r="B64" s="67" t="str">
        <f>+'20.TGT1'!D64</f>
        <v xml:space="preserve">         Гадаад зээлийн үйлчилгээний төлбөр</v>
      </c>
      <c r="C64" s="65">
        <f>+'20.TGT1'!$F64</f>
        <v>0</v>
      </c>
      <c r="D64" s="65">
        <f si="6" t="shared"/>
        <v>0</v>
      </c>
      <c r="E64" s="65">
        <f>+'20.TGT1'!G64</f>
        <v>0</v>
      </c>
      <c r="F64" s="65">
        <f si="2" t="shared"/>
        <v>0</v>
      </c>
      <c r="G64" s="65">
        <f>+'20.TGT1'!H64</f>
        <v>0</v>
      </c>
      <c r="H64" s="65">
        <f si="3" t="shared"/>
        <v>0</v>
      </c>
      <c r="I64" s="66">
        <f si="7" t="shared"/>
        <v>0</v>
      </c>
      <c r="J64" s="66">
        <f si="5" t="shared"/>
        <v>0</v>
      </c>
      <c r="K64" s="66">
        <f si="5" t="shared"/>
        <v>0</v>
      </c>
      <c r="L64" s="66">
        <f si="1" t="shared"/>
        <v>0</v>
      </c>
    </row>
    <row r="65" spans="1:12">
      <c r="A65" s="67">
        <f>+'20.TGT1'!C65</f>
        <v>211101</v>
      </c>
      <c r="B65" s="67" t="str">
        <f>+'20.TGT1'!D65</f>
        <v xml:space="preserve">               Гадаад зээлийн үйлчилгээний төлбөр</v>
      </c>
      <c r="C65" s="65">
        <f>+'20.TGT1'!$F65</f>
        <v>0</v>
      </c>
      <c r="D65" s="65">
        <f si="6" t="shared"/>
        <v>0</v>
      </c>
      <c r="E65" s="65">
        <f>+'20.TGT1'!G65</f>
        <v>0</v>
      </c>
      <c r="F65" s="65">
        <f si="2" t="shared"/>
        <v>0</v>
      </c>
      <c r="G65" s="65">
        <f>+'20.TGT1'!H65</f>
        <v>0</v>
      </c>
      <c r="H65" s="65">
        <f si="3" t="shared"/>
        <v>0</v>
      </c>
      <c r="I65" s="66">
        <f si="7" t="shared"/>
        <v>0</v>
      </c>
      <c r="J65" s="66">
        <f si="5" t="shared"/>
        <v>0</v>
      </c>
      <c r="K65" s="66">
        <f si="5" t="shared"/>
        <v>0</v>
      </c>
      <c r="L65" s="66">
        <f si="1" t="shared"/>
        <v>0</v>
      </c>
    </row>
    <row r="66" spans="1:12">
      <c r="A66" s="67">
        <f>+'20.TGT1'!C66</f>
        <v>2112</v>
      </c>
      <c r="B66" s="67" t="str">
        <f>+'20.TGT1'!D66</f>
        <v xml:space="preserve">         Дотоод зээлийн үйлчилгээний төлбөр</v>
      </c>
      <c r="C66" s="65">
        <f>+'20.TGT1'!$F66</f>
        <v>0</v>
      </c>
      <c r="D66" s="65">
        <f si="6" t="shared"/>
        <v>0</v>
      </c>
      <c r="E66" s="65">
        <f>+'20.TGT1'!G66</f>
        <v>0</v>
      </c>
      <c r="F66" s="65">
        <f si="2" t="shared"/>
        <v>0</v>
      </c>
      <c r="G66" s="65">
        <f>+'20.TGT1'!H66</f>
        <v>0</v>
      </c>
      <c r="H66" s="65">
        <f si="3" t="shared"/>
        <v>0</v>
      </c>
      <c r="I66" s="66">
        <f si="7" t="shared"/>
        <v>0</v>
      </c>
      <c r="J66" s="66">
        <f si="5" t="shared"/>
        <v>0</v>
      </c>
      <c r="K66" s="66">
        <f si="5" t="shared"/>
        <v>0</v>
      </c>
      <c r="L66" s="66">
        <f si="1" t="shared"/>
        <v>0</v>
      </c>
    </row>
    <row r="67" spans="1:12">
      <c r="A67" s="67">
        <f>+'20.TGT1'!C67</f>
        <v>211201</v>
      </c>
      <c r="B67" s="67" t="str">
        <f>+'20.TGT1'!D67</f>
        <v xml:space="preserve">               Дотоод зээлийн үйлчилгээний төлбөр</v>
      </c>
      <c r="C67" s="65">
        <f>+'20.TGT1'!$F67</f>
        <v>0</v>
      </c>
      <c r="D67" s="65">
        <f si="6" t="shared"/>
        <v>0</v>
      </c>
      <c r="E67" s="65">
        <f>+'20.TGT1'!G67</f>
        <v>0</v>
      </c>
      <c r="F67" s="65">
        <f si="2" t="shared"/>
        <v>0</v>
      </c>
      <c r="G67" s="65">
        <f>+'20.TGT1'!H67</f>
        <v>0</v>
      </c>
      <c r="H67" s="65">
        <f si="3" t="shared"/>
        <v>0</v>
      </c>
      <c r="I67" s="66">
        <f si="7" t="shared"/>
        <v>0</v>
      </c>
      <c r="J67" s="66">
        <f si="5" t="shared"/>
        <v>0</v>
      </c>
      <c r="K67" s="66">
        <f si="5" t="shared"/>
        <v>0</v>
      </c>
      <c r="L67" s="66">
        <f si="1" t="shared"/>
        <v>0</v>
      </c>
    </row>
    <row r="68" spans="1:12">
      <c r="A68" s="67">
        <f>+'20.TGT1'!C68</f>
        <v>212</v>
      </c>
      <c r="B68" s="67" t="str">
        <f>+'20.TGT1'!D68</f>
        <v xml:space="preserve">      ТАТААС</v>
      </c>
      <c r="C68" s="65">
        <f>+'20.TGT1'!$F68</f>
        <v>0</v>
      </c>
      <c r="D68" s="65">
        <f si="6" t="shared"/>
        <v>0</v>
      </c>
      <c r="E68" s="65">
        <f>+'20.TGT1'!G68</f>
        <v>0</v>
      </c>
      <c r="F68" s="65">
        <f si="2" t="shared"/>
        <v>0</v>
      </c>
      <c r="G68" s="65">
        <f>+'20.TGT1'!H68</f>
        <v>0</v>
      </c>
      <c r="H68" s="65">
        <f si="3" t="shared"/>
        <v>0</v>
      </c>
      <c r="I68" s="66">
        <f si="7" t="shared"/>
        <v>0</v>
      </c>
      <c r="J68" s="66">
        <f si="5" t="shared"/>
        <v>0</v>
      </c>
      <c r="K68" s="66">
        <f si="5" t="shared"/>
        <v>0</v>
      </c>
      <c r="L68" s="66">
        <f si="1" t="shared"/>
        <v>0</v>
      </c>
    </row>
    <row r="69" spans="1:12">
      <c r="A69" s="67">
        <f>+'20.TGT1'!C69</f>
        <v>2121</v>
      </c>
      <c r="B69" s="67" t="str">
        <f>+'20.TGT1'!D69</f>
        <v xml:space="preserve">         Төрийн өмчит байгууллагад олгох татаас</v>
      </c>
      <c r="C69" s="65">
        <f>+'20.TGT1'!$F69</f>
        <v>0</v>
      </c>
      <c r="D69" s="65">
        <f si="6" t="shared"/>
        <v>0</v>
      </c>
      <c r="E69" s="65">
        <f>+'20.TGT1'!G69</f>
        <v>0</v>
      </c>
      <c r="F69" s="65">
        <f si="2" t="shared"/>
        <v>0</v>
      </c>
      <c r="G69" s="65">
        <f>+'20.TGT1'!H69</f>
        <v>0</v>
      </c>
      <c r="H69" s="65">
        <f si="3" t="shared"/>
        <v>0</v>
      </c>
      <c r="I69" s="66">
        <f si="7" t="shared"/>
        <v>0</v>
      </c>
      <c r="J69" s="66">
        <f si="5" t="shared"/>
        <v>0</v>
      </c>
      <c r="K69" s="66">
        <f si="5" t="shared"/>
        <v>0</v>
      </c>
      <c r="L69" s="66">
        <f si="1" t="shared"/>
        <v>0</v>
      </c>
    </row>
    <row r="70" spans="1:12">
      <c r="A70" s="67">
        <f>+'20.TGT1'!C70</f>
        <v>212101</v>
      </c>
      <c r="B70" s="67" t="str">
        <f>+'20.TGT1'!D70</f>
        <v xml:space="preserve">               Төрийн өмчит байгууллагад олгох татаас</v>
      </c>
      <c r="C70" s="65">
        <f>+'20.TGT1'!$F70</f>
        <v>0</v>
      </c>
      <c r="D70" s="65">
        <f si="6" t="shared"/>
        <v>0</v>
      </c>
      <c r="E70" s="65">
        <f>+'20.TGT1'!G70</f>
        <v>0</v>
      </c>
      <c r="F70" s="65">
        <f si="2" t="shared"/>
        <v>0</v>
      </c>
      <c r="G70" s="65">
        <f>+'20.TGT1'!H70</f>
        <v>0</v>
      </c>
      <c r="H70" s="65">
        <f si="3" t="shared"/>
        <v>0</v>
      </c>
      <c r="I70" s="66">
        <f si="7" t="shared"/>
        <v>0</v>
      </c>
      <c r="J70" s="66">
        <f si="5" t="shared"/>
        <v>0</v>
      </c>
      <c r="K70" s="66">
        <f si="5" t="shared"/>
        <v>0</v>
      </c>
      <c r="L70" s="66">
        <f si="1" t="shared"/>
        <v>0</v>
      </c>
    </row>
    <row r="71" spans="1:12">
      <c r="A71" s="67">
        <f>+'20.TGT1'!C71</f>
        <v>2122</v>
      </c>
      <c r="B71" s="67" t="str">
        <f>+'20.TGT1'!D71</f>
        <v xml:space="preserve">         Хувийн хэвшлийн байгууллагад олгох татаас</v>
      </c>
      <c r="C71" s="65">
        <f>+'20.TGT1'!$F71</f>
        <v>0</v>
      </c>
      <c r="D71" s="65">
        <f si="6" t="shared"/>
        <v>0</v>
      </c>
      <c r="E71" s="65">
        <f>+'20.TGT1'!G71</f>
        <v>0</v>
      </c>
      <c r="F71" s="65">
        <f si="2" t="shared"/>
        <v>0</v>
      </c>
      <c r="G71" s="65">
        <f>+'20.TGT1'!H71</f>
        <v>0</v>
      </c>
      <c r="H71" s="65">
        <f si="3" t="shared"/>
        <v>0</v>
      </c>
      <c r="I71" s="66">
        <f si="7" t="shared"/>
        <v>0</v>
      </c>
      <c r="J71" s="66">
        <f si="5" t="shared"/>
        <v>0</v>
      </c>
      <c r="K71" s="66">
        <f si="5" t="shared"/>
        <v>0</v>
      </c>
      <c r="L71" s="66">
        <f si="1" t="shared"/>
        <v>0</v>
      </c>
    </row>
    <row r="72" spans="1:12">
      <c r="A72" s="67">
        <f>+'20.TGT1'!C72</f>
        <v>212201</v>
      </c>
      <c r="B72" s="67" t="str">
        <f>+'20.TGT1'!D72</f>
        <v xml:space="preserve">               Хувийн хэвшлийн байгууллагад олгох татаас</v>
      </c>
      <c r="C72" s="65">
        <f>+'20.TGT1'!$F72</f>
        <v>0</v>
      </c>
      <c r="D72" s="65">
        <f si="6" t="shared"/>
        <v>0</v>
      </c>
      <c r="E72" s="65">
        <f>+'20.TGT1'!G72</f>
        <v>0</v>
      </c>
      <c r="F72" s="65">
        <f si="2" t="shared"/>
        <v>0</v>
      </c>
      <c r="G72" s="65">
        <f>+'20.TGT1'!H72</f>
        <v>0</v>
      </c>
      <c r="H72" s="65">
        <f si="3" t="shared"/>
        <v>0</v>
      </c>
      <c r="I72" s="66">
        <f si="7" t="shared"/>
        <v>0</v>
      </c>
      <c r="J72" s="66">
        <f si="5" t="shared"/>
        <v>0</v>
      </c>
      <c r="K72" s="66">
        <f si="5" t="shared"/>
        <v>0</v>
      </c>
      <c r="L72" s="66">
        <f si="1" t="shared"/>
        <v>0</v>
      </c>
    </row>
    <row r="73" spans="1:12">
      <c r="A73" s="67">
        <f>+'20.TGT1'!C73</f>
        <v>213</v>
      </c>
      <c r="B73" s="67" t="str">
        <f>+'20.TGT1'!D73</f>
        <v xml:space="preserve">      УРСГАЛ ШИЛЖҮҮЛЭГ</v>
      </c>
      <c r="C73" s="65">
        <f>+'20.TGT1'!$F73</f>
        <v>0</v>
      </c>
      <c r="D73" s="65">
        <f ref="D73:D98" si="8" t="shared">+C73/$C$9*100</f>
        <v>0</v>
      </c>
      <c r="E73" s="65">
        <f>+'20.TGT1'!G73</f>
        <v>0</v>
      </c>
      <c r="F73" s="65">
        <f si="2" t="shared"/>
        <v>0</v>
      </c>
      <c r="G73" s="65">
        <f>+'20.TGT1'!H73</f>
        <v>0</v>
      </c>
      <c r="H73" s="65">
        <f si="3" t="shared"/>
        <v>0</v>
      </c>
      <c r="I73" s="66">
        <f si="7" t="shared"/>
        <v>0</v>
      </c>
      <c r="J73" s="66">
        <f si="5" t="shared"/>
        <v>0</v>
      </c>
      <c r="K73" s="66">
        <f si="5" t="shared"/>
        <v>0</v>
      </c>
      <c r="L73" s="66">
        <f si="5" t="shared"/>
        <v>0</v>
      </c>
    </row>
    <row r="74" spans="1:12">
      <c r="A74" s="67">
        <f>+'20.TGT1'!C74</f>
        <v>2131</v>
      </c>
      <c r="B74" s="67" t="str">
        <f>+'20.TGT1'!D74</f>
        <v xml:space="preserve">         Засгийн газрын урсгал шилжүүлэг</v>
      </c>
      <c r="C74" s="65">
        <f>+'20.TGT1'!$F74</f>
        <v>0</v>
      </c>
      <c r="D74" s="65">
        <f si="8" t="shared"/>
        <v>0</v>
      </c>
      <c r="E74" s="65">
        <f>+'20.TGT1'!G74</f>
        <v>0</v>
      </c>
      <c r="F74" s="65">
        <f ref="F74:F98" si="9" t="shared">+E74/$E$9*100</f>
        <v>0</v>
      </c>
      <c r="G74" s="65">
        <f>+'20.TGT1'!H74</f>
        <v>0</v>
      </c>
      <c r="H74" s="65">
        <f ref="H74:H98" si="10" t="shared">+G74/$G$9*100</f>
        <v>0</v>
      </c>
      <c r="I74" s="66">
        <f ref="I74:I98" si="11" t="shared">C74-E74</f>
        <v>0</v>
      </c>
      <c r="J74" s="66">
        <f ref="J74:K98" si="12" t="shared">D74-F74</f>
        <v>0</v>
      </c>
      <c r="K74" s="66">
        <f si="12" t="shared"/>
        <v>0</v>
      </c>
      <c r="L74" s="66">
        <f ref="L74:L98" si="13" t="shared">F74-H74</f>
        <v>0</v>
      </c>
    </row>
    <row r="75" spans="1:12">
      <c r="A75" s="67">
        <f>+'20.TGT1'!C75</f>
        <v>213101</v>
      </c>
      <c r="B75" s="67" t="str">
        <f>+'20.TGT1'!D75</f>
        <v xml:space="preserve">               Засгийн газрын дотоод шилжүүлэг</v>
      </c>
      <c r="C75" s="65">
        <f>+'20.TGT1'!$F75</f>
        <v>0</v>
      </c>
      <c r="D75" s="65">
        <f si="8" t="shared"/>
        <v>0</v>
      </c>
      <c r="E75" s="65">
        <f>+'20.TGT1'!G75</f>
        <v>0</v>
      </c>
      <c r="F75" s="65">
        <f si="9" t="shared"/>
        <v>0</v>
      </c>
      <c r="G75" s="65">
        <f>+'20.TGT1'!H75</f>
        <v>0</v>
      </c>
      <c r="H75" s="65">
        <f si="10" t="shared"/>
        <v>0</v>
      </c>
      <c r="I75" s="66">
        <f si="11" t="shared"/>
        <v>0</v>
      </c>
      <c r="J75" s="66">
        <f si="12" t="shared"/>
        <v>0</v>
      </c>
      <c r="K75" s="66">
        <f si="12" t="shared"/>
        <v>0</v>
      </c>
      <c r="L75" s="66">
        <f si="13" t="shared"/>
        <v>0</v>
      </c>
    </row>
    <row r="76" spans="1:12">
      <c r="A76" s="67">
        <f>+'20.TGT1'!C76</f>
        <v>213102</v>
      </c>
      <c r="B76" s="67" t="str">
        <f>+'20.TGT1'!D76</f>
        <v xml:space="preserve">               Засгийн газрын гадаад шилжүүлэг</v>
      </c>
      <c r="C76" s="65">
        <f>+'20.TGT1'!$F76</f>
        <v>0</v>
      </c>
      <c r="D76" s="65">
        <f si="8" t="shared"/>
        <v>0</v>
      </c>
      <c r="E76" s="65">
        <f>+'20.TGT1'!G76</f>
        <v>0</v>
      </c>
      <c r="F76" s="65">
        <f si="9" t="shared"/>
        <v>0</v>
      </c>
      <c r="G76" s="65">
        <f>+'20.TGT1'!H76</f>
        <v>0</v>
      </c>
      <c r="H76" s="65">
        <f si="10" t="shared"/>
        <v>0</v>
      </c>
      <c r="I76" s="66">
        <f si="11" t="shared"/>
        <v>0</v>
      </c>
      <c r="J76" s="66">
        <f si="12" t="shared"/>
        <v>0</v>
      </c>
      <c r="K76" s="66">
        <f si="12" t="shared"/>
        <v>0</v>
      </c>
      <c r="L76" s="66">
        <f si="13" t="shared"/>
        <v>0</v>
      </c>
    </row>
    <row r="77" spans="1:12">
      <c r="A77" s="67">
        <f>+'20.TGT1'!C77</f>
        <v>2132</v>
      </c>
      <c r="B77" s="67" t="str">
        <f>+'20.TGT1'!D77</f>
        <v xml:space="preserve">         Бусад урсгал шилжүүлэг</v>
      </c>
      <c r="C77" s="65">
        <f>+'20.TGT1'!$F77</f>
        <v>0</v>
      </c>
      <c r="D77" s="65">
        <f si="8" t="shared"/>
        <v>0</v>
      </c>
      <c r="E77" s="65">
        <f>+'20.TGT1'!G77</f>
        <v>0</v>
      </c>
      <c r="F77" s="65">
        <f si="9" t="shared"/>
        <v>0</v>
      </c>
      <c r="G77" s="65">
        <f>+'20.TGT1'!H77</f>
        <v>0</v>
      </c>
      <c r="H77" s="65">
        <f si="10" t="shared"/>
        <v>0</v>
      </c>
      <c r="I77" s="66">
        <f si="11" t="shared"/>
        <v>0</v>
      </c>
      <c r="J77" s="66">
        <f si="12" t="shared"/>
        <v>0</v>
      </c>
      <c r="K77" s="66">
        <f si="12" t="shared"/>
        <v>0</v>
      </c>
      <c r="L77" s="66">
        <f si="13" t="shared"/>
        <v>0</v>
      </c>
    </row>
    <row r="78" spans="1:12">
      <c r="A78" s="67">
        <f>+'20.TGT1'!C78</f>
        <v>213202</v>
      </c>
      <c r="B78" s="67" t="str">
        <f>+'20.TGT1'!D78</f>
        <v xml:space="preserve">               Нийгмийн даатгалын тэтгэвэр, тэтгэмж</v>
      </c>
      <c r="C78" s="65">
        <f>+'20.TGT1'!$F78</f>
        <v>0</v>
      </c>
      <c r="D78" s="65">
        <f si="8" t="shared"/>
        <v>0</v>
      </c>
      <c r="E78" s="65">
        <f>+'20.TGT1'!G78</f>
        <v>0</v>
      </c>
      <c r="F78" s="65">
        <f si="9" t="shared"/>
        <v>0</v>
      </c>
      <c r="G78" s="65">
        <f>+'20.TGT1'!H78</f>
        <v>0</v>
      </c>
      <c r="H78" s="65">
        <f si="10" t="shared"/>
        <v>0</v>
      </c>
      <c r="I78" s="66">
        <f si="11" t="shared"/>
        <v>0</v>
      </c>
      <c r="J78" s="66">
        <f si="12" t="shared"/>
        <v>0</v>
      </c>
      <c r="K78" s="66">
        <f si="12" t="shared"/>
        <v>0</v>
      </c>
      <c r="L78" s="66">
        <f si="13" t="shared"/>
        <v>0</v>
      </c>
    </row>
    <row r="79" spans="1:12">
      <c r="A79" s="67">
        <f>+'20.TGT1'!C79</f>
        <v>213203</v>
      </c>
      <c r="B79" s="67" t="str">
        <f>+'20.TGT1'!D79</f>
        <v xml:space="preserve">               Нийгмийн халамжийн тэтгэвэр, тэтгэмж</v>
      </c>
      <c r="C79" s="65">
        <f>+'20.TGT1'!$F79</f>
        <v>0</v>
      </c>
      <c r="D79" s="65">
        <f si="8" t="shared"/>
        <v>0</v>
      </c>
      <c r="E79" s="65">
        <f>+'20.TGT1'!G79</f>
        <v>0</v>
      </c>
      <c r="F79" s="65">
        <f si="9" t="shared"/>
        <v>0</v>
      </c>
      <c r="G79" s="65">
        <f>+'20.TGT1'!H79</f>
        <v>0</v>
      </c>
      <c r="H79" s="65">
        <f si="10" t="shared"/>
        <v>0</v>
      </c>
      <c r="I79" s="66">
        <f si="11" t="shared"/>
        <v>0</v>
      </c>
      <c r="J79" s="66">
        <f si="12" t="shared"/>
        <v>0</v>
      </c>
      <c r="K79" s="66">
        <f si="12" t="shared"/>
        <v>0</v>
      </c>
      <c r="L79" s="66">
        <f si="13" t="shared"/>
        <v>0</v>
      </c>
    </row>
    <row r="80" spans="1:12">
      <c r="A80" s="67">
        <f>+'20.TGT1'!C80</f>
        <v>213204</v>
      </c>
      <c r="B80" s="67" t="str">
        <f>+'20.TGT1'!D80</f>
        <v xml:space="preserve">               Ажил олгогчоос олгох  бусад тэтгэмж, урамшуулал</v>
      </c>
      <c r="C80" s="65">
        <f>+'20.TGT1'!$F80</f>
        <v>0</v>
      </c>
      <c r="D80" s="65">
        <f si="8" t="shared"/>
        <v>0</v>
      </c>
      <c r="E80" s="65">
        <f>+'20.TGT1'!G80</f>
        <v>0</v>
      </c>
      <c r="F80" s="65">
        <f si="9" t="shared"/>
        <v>0</v>
      </c>
      <c r="G80" s="65">
        <f>+'20.TGT1'!H80</f>
        <v>0</v>
      </c>
      <c r="H80" s="65">
        <f si="10" t="shared"/>
        <v>0</v>
      </c>
      <c r="I80" s="66">
        <f si="11" t="shared"/>
        <v>0</v>
      </c>
      <c r="J80" s="66">
        <f si="12" t="shared"/>
        <v>0</v>
      </c>
      <c r="K80" s="66">
        <f si="12" t="shared"/>
        <v>0</v>
      </c>
      <c r="L80" s="66">
        <f si="13" t="shared"/>
        <v>0</v>
      </c>
    </row>
    <row r="81" spans="1:12">
      <c r="A81" s="67">
        <f>+'20.TGT1'!C81</f>
        <v>213205</v>
      </c>
      <c r="B81" s="67" t="str">
        <f>+'20.TGT1'!D81</f>
        <v xml:space="preserve">               Төрөөс иргэдэд олгох тэтгэмж, урамшуулал</v>
      </c>
      <c r="C81" s="65">
        <f>+'20.TGT1'!$F81</f>
        <v>0</v>
      </c>
      <c r="D81" s="65">
        <f si="8" t="shared"/>
        <v>0</v>
      </c>
      <c r="E81" s="65">
        <f>+'20.TGT1'!G81</f>
        <v>0</v>
      </c>
      <c r="F81" s="65">
        <f si="9" t="shared"/>
        <v>0</v>
      </c>
      <c r="G81" s="65">
        <f>+'20.TGT1'!H81</f>
        <v>0</v>
      </c>
      <c r="H81" s="65">
        <f si="10" t="shared"/>
        <v>0</v>
      </c>
      <c r="I81" s="66">
        <f si="11" t="shared"/>
        <v>0</v>
      </c>
      <c r="J81" s="66">
        <f si="12" t="shared"/>
        <v>0</v>
      </c>
      <c r="K81" s="66">
        <f si="12" t="shared"/>
        <v>0</v>
      </c>
      <c r="L81" s="66">
        <f si="13" t="shared"/>
        <v>0</v>
      </c>
    </row>
    <row r="82" spans="1:12">
      <c r="A82" s="67">
        <f>+'20.TGT1'!C82</f>
        <v>213206</v>
      </c>
      <c r="B82" s="67" t="str">
        <f>+'20.TGT1'!D82</f>
        <v xml:space="preserve">               Ээлжийн амралтаар нутаг явах унааны хөнгөлөлт</v>
      </c>
      <c r="C82" s="65">
        <f>+'20.TGT1'!$F82</f>
        <v>0</v>
      </c>
      <c r="D82" s="65">
        <f si="8" t="shared"/>
        <v>0</v>
      </c>
      <c r="E82" s="65">
        <f>+'20.TGT1'!G82</f>
        <v>0</v>
      </c>
      <c r="F82" s="65">
        <f si="9" t="shared"/>
        <v>0</v>
      </c>
      <c r="G82" s="65">
        <f>+'20.TGT1'!H82</f>
        <v>0</v>
      </c>
      <c r="H82" s="65">
        <f si="10" t="shared"/>
        <v>0</v>
      </c>
      <c r="I82" s="66">
        <f si="11" t="shared"/>
        <v>0</v>
      </c>
      <c r="J82" s="66">
        <f si="12" t="shared"/>
        <v>0</v>
      </c>
      <c r="K82" s="66">
        <f si="12" t="shared"/>
        <v>0</v>
      </c>
      <c r="L82" s="66">
        <f si="13" t="shared"/>
        <v>0</v>
      </c>
    </row>
    <row r="83" spans="1:12">
      <c r="A83" s="67">
        <f>+'20.TGT1'!C83</f>
        <v>213207</v>
      </c>
      <c r="B83" s="67" t="str">
        <f>+'20.TGT1'!D83</f>
        <v xml:space="preserve">               Тэтгэвэрт гарахад олгох нэг удаагийн мөнгөн тэтгэмж</v>
      </c>
      <c r="C83" s="65">
        <f>+'20.TGT1'!$F83</f>
        <v>0</v>
      </c>
      <c r="D83" s="65">
        <f si="8" t="shared"/>
        <v>0</v>
      </c>
      <c r="E83" s="65">
        <f>+'20.TGT1'!G83</f>
        <v>0</v>
      </c>
      <c r="F83" s="65">
        <f si="9" t="shared"/>
        <v>0</v>
      </c>
      <c r="G83" s="65">
        <f>+'20.TGT1'!H83</f>
        <v>0</v>
      </c>
      <c r="H83" s="65">
        <f si="10" t="shared"/>
        <v>0</v>
      </c>
      <c r="I83" s="66">
        <f si="11" t="shared"/>
        <v>0</v>
      </c>
      <c r="J83" s="66">
        <f si="12" t="shared"/>
        <v>0</v>
      </c>
      <c r="K83" s="66">
        <f si="12" t="shared"/>
        <v>0</v>
      </c>
      <c r="L83" s="66">
        <f si="13" t="shared"/>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si="8" t="shared"/>
        <v>0</v>
      </c>
      <c r="E84" s="65">
        <f>+'20.TGT1'!G84</f>
        <v>0</v>
      </c>
      <c r="F84" s="65">
        <f si="9" t="shared"/>
        <v>0</v>
      </c>
      <c r="G84" s="65">
        <f>+'20.TGT1'!H84</f>
        <v>0</v>
      </c>
      <c r="H84" s="65">
        <f si="10" t="shared"/>
        <v>0</v>
      </c>
      <c r="I84" s="66">
        <f si="11" t="shared"/>
        <v>0</v>
      </c>
      <c r="J84" s="66">
        <f si="12" t="shared"/>
        <v>0</v>
      </c>
      <c r="K84" s="66">
        <f si="12" t="shared"/>
        <v>0</v>
      </c>
      <c r="L84" s="66">
        <f si="13" t="shared"/>
        <v>0</v>
      </c>
    </row>
    <row r="85" spans="1:12">
      <c r="A85" s="67">
        <f>+'20.TGT1'!C85</f>
        <v>213209</v>
      </c>
      <c r="B85" s="67" t="str">
        <f>+'20.TGT1'!D85</f>
        <v xml:space="preserve">               Нэг удаагийн тэтгэмж, шагнал урамшуулал </v>
      </c>
      <c r="C85" s="65">
        <f>+'20.TGT1'!$F85</f>
        <v>0</v>
      </c>
      <c r="D85" s="65">
        <f si="8" t="shared"/>
        <v>0</v>
      </c>
      <c r="E85" s="65">
        <f>+'20.TGT1'!G85</f>
        <v>0</v>
      </c>
      <c r="F85" s="65">
        <f si="9" t="shared"/>
        <v>0</v>
      </c>
      <c r="G85" s="65">
        <f>+'20.TGT1'!H85</f>
        <v>0</v>
      </c>
      <c r="H85" s="65">
        <f si="10" t="shared"/>
        <v>0</v>
      </c>
      <c r="I85" s="66">
        <f si="11" t="shared"/>
        <v>0</v>
      </c>
      <c r="J85" s="66">
        <f si="12" t="shared"/>
        <v>0</v>
      </c>
      <c r="K85" s="66">
        <f si="12" t="shared"/>
        <v>0</v>
      </c>
      <c r="L85" s="66">
        <f si="13" t="shared"/>
        <v>0</v>
      </c>
    </row>
    <row r="86" spans="1:12">
      <c r="A86" s="67">
        <f>+'20.TGT1'!C86</f>
        <v>22</v>
      </c>
      <c r="B86" s="67" t="str">
        <f>+'20.TGT1'!D86</f>
        <v xml:space="preserve">   ХӨРӨНГИЙН ЗАРДАЛ</v>
      </c>
      <c r="C86" s="65">
        <f>+'20.TGT1'!$F86</f>
        <v>0</v>
      </c>
      <c r="D86" s="65">
        <f si="8" t="shared"/>
        <v>0</v>
      </c>
      <c r="E86" s="65">
        <f>+'20.TGT1'!G86</f>
        <v>0</v>
      </c>
      <c r="F86" s="65">
        <f si="9" t="shared"/>
        <v>0</v>
      </c>
      <c r="G86" s="65">
        <f>+'20.TGT1'!H86</f>
        <v>0</v>
      </c>
      <c r="H86" s="65">
        <f si="10" t="shared"/>
        <v>0</v>
      </c>
      <c r="I86" s="66">
        <f si="11" t="shared"/>
        <v>0</v>
      </c>
      <c r="J86" s="66">
        <f si="12" t="shared"/>
        <v>0</v>
      </c>
      <c r="K86" s="66">
        <f si="12" t="shared"/>
        <v>0</v>
      </c>
      <c r="L86" s="66">
        <f si="13" t="shared"/>
        <v>0</v>
      </c>
    </row>
    <row r="87" spans="1:12">
      <c r="A87" s="67">
        <f>+'20.TGT1'!C87</f>
        <v>2200</v>
      </c>
      <c r="B87" s="67" t="str">
        <f>+'20.TGT1'!D87</f>
        <v xml:space="preserve">      Дотоод эх үүсвэрээр</v>
      </c>
      <c r="C87" s="65">
        <f>+'20.TGT1'!$F87</f>
        <v>0</v>
      </c>
      <c r="D87" s="65">
        <f si="8" t="shared"/>
        <v>0</v>
      </c>
      <c r="E87" s="65">
        <f>+'20.TGT1'!G87</f>
        <v>0</v>
      </c>
      <c r="F87" s="65">
        <f si="9" t="shared"/>
        <v>0</v>
      </c>
      <c r="G87" s="65">
        <f>+'20.TGT1'!H87</f>
        <v>0</v>
      </c>
      <c r="H87" s="65">
        <f si="10" t="shared"/>
        <v>0</v>
      </c>
      <c r="I87" s="66">
        <f si="11" t="shared"/>
        <v>0</v>
      </c>
      <c r="J87" s="66">
        <f si="12" t="shared"/>
        <v>0</v>
      </c>
      <c r="K87" s="66">
        <f si="12" t="shared"/>
        <v>0</v>
      </c>
      <c r="L87" s="66">
        <f si="13" t="shared"/>
        <v>0</v>
      </c>
    </row>
    <row r="88" spans="1:12">
      <c r="A88" s="67">
        <f>+'20.TGT1'!C88</f>
        <v>220001</v>
      </c>
      <c r="B88" s="67" t="str">
        <f>+'20.TGT1'!D88</f>
        <v xml:space="preserve">               Барилга байгууламж</v>
      </c>
      <c r="C88" s="65">
        <f>+'20.TGT1'!$F88</f>
        <v>0</v>
      </c>
      <c r="D88" s="65">
        <f si="8" t="shared"/>
        <v>0</v>
      </c>
      <c r="E88" s="65">
        <f>+'20.TGT1'!G88</f>
        <v>0</v>
      </c>
      <c r="F88" s="65">
        <f si="9" t="shared"/>
        <v>0</v>
      </c>
      <c r="G88" s="65">
        <f>+'20.TGT1'!H88</f>
        <v>0</v>
      </c>
      <c r="H88" s="65">
        <f si="10" t="shared"/>
        <v>0</v>
      </c>
      <c r="I88" s="66">
        <f si="11" t="shared"/>
        <v>0</v>
      </c>
      <c r="J88" s="66">
        <f si="12" t="shared"/>
        <v>0</v>
      </c>
      <c r="K88" s="66">
        <f si="12" t="shared"/>
        <v>0</v>
      </c>
      <c r="L88" s="66">
        <f si="13" t="shared"/>
        <v>0</v>
      </c>
    </row>
    <row r="89" spans="1:12">
      <c r="A89" s="67">
        <f>+'20.TGT1'!C89</f>
        <v>221001</v>
      </c>
      <c r="B89" s="67" t="str">
        <f>+'20.TGT1'!D89</f>
        <v xml:space="preserve">               Их засвар</v>
      </c>
      <c r="C89" s="65">
        <f>+'20.TGT1'!$F89</f>
        <v>0</v>
      </c>
      <c r="D89" s="65">
        <f si="8" t="shared"/>
        <v>0</v>
      </c>
      <c r="E89" s="65">
        <f>+'20.TGT1'!G89</f>
        <v>0</v>
      </c>
      <c r="F89" s="65">
        <f si="9" t="shared"/>
        <v>0</v>
      </c>
      <c r="G89" s="65">
        <f>+'20.TGT1'!H89</f>
        <v>0</v>
      </c>
      <c r="H89" s="65">
        <f si="10" t="shared"/>
        <v>0</v>
      </c>
      <c r="I89" s="66">
        <f si="11" t="shared"/>
        <v>0</v>
      </c>
      <c r="J89" s="66">
        <f si="12" t="shared"/>
        <v>0</v>
      </c>
      <c r="K89" s="66">
        <f si="12" t="shared"/>
        <v>0</v>
      </c>
      <c r="L89" s="66">
        <f si="13" t="shared"/>
        <v>0</v>
      </c>
    </row>
    <row r="90" spans="1:12">
      <c r="A90" s="67">
        <f>+'20.TGT1'!C90</f>
        <v>222001</v>
      </c>
      <c r="B90" s="67" t="str">
        <f>+'20.TGT1'!D90</f>
        <v xml:space="preserve">               Тоног төхөөрөмж</v>
      </c>
      <c r="C90" s="65">
        <f>+'20.TGT1'!$F90</f>
        <v>0</v>
      </c>
      <c r="D90" s="65">
        <f si="8" t="shared"/>
        <v>0</v>
      </c>
      <c r="E90" s="65">
        <f>+'20.TGT1'!G90</f>
        <v>0</v>
      </c>
      <c r="F90" s="65">
        <f si="9" t="shared"/>
        <v>0</v>
      </c>
      <c r="G90" s="65">
        <f>+'20.TGT1'!H90</f>
        <v>0</v>
      </c>
      <c r="H90" s="65">
        <f si="10" t="shared"/>
        <v>0</v>
      </c>
      <c r="I90" s="66">
        <f si="11" t="shared"/>
        <v>0</v>
      </c>
      <c r="J90" s="66">
        <f si="12" t="shared"/>
        <v>0</v>
      </c>
      <c r="K90" s="66">
        <f si="12" t="shared"/>
        <v>0</v>
      </c>
      <c r="L90" s="66">
        <f si="13" t="shared"/>
        <v>0</v>
      </c>
    </row>
    <row r="91" spans="1:12">
      <c r="A91" s="67">
        <f>+'20.TGT1'!C91</f>
        <v>223001</v>
      </c>
      <c r="B91" s="67" t="str">
        <f>+'20.TGT1'!D91</f>
        <v xml:space="preserve">               Бусад хөрөнгө</v>
      </c>
      <c r="C91" s="65">
        <f>+'20.TGT1'!$F91</f>
        <v>0</v>
      </c>
      <c r="D91" s="65">
        <f si="8" t="shared"/>
        <v>0</v>
      </c>
      <c r="E91" s="65">
        <f>+'20.TGT1'!G91</f>
        <v>0</v>
      </c>
      <c r="F91" s="65">
        <f si="9" t="shared"/>
        <v>0</v>
      </c>
      <c r="G91" s="65">
        <f>+'20.TGT1'!H91</f>
        <v>0</v>
      </c>
      <c r="H91" s="65">
        <f si="10" t="shared"/>
        <v>0</v>
      </c>
      <c r="I91" s="66">
        <f si="11" t="shared"/>
        <v>0</v>
      </c>
      <c r="J91" s="66">
        <f si="12" t="shared"/>
        <v>0</v>
      </c>
      <c r="K91" s="66">
        <f si="12" t="shared"/>
        <v>0</v>
      </c>
      <c r="L91" s="66">
        <f si="13" t="shared"/>
        <v>0</v>
      </c>
    </row>
    <row r="92" spans="1:12">
      <c r="A92" s="67">
        <f>+'20.TGT1'!C92</f>
        <v>224001</v>
      </c>
      <c r="B92" s="67" t="str">
        <f>+'20.TGT1'!D92</f>
        <v xml:space="preserve">               Стратегийн нөөц хөрөнгө</v>
      </c>
      <c r="C92" s="65">
        <f>+'20.TGT1'!$F92</f>
        <v>0</v>
      </c>
      <c r="D92" s="65">
        <f si="8" t="shared"/>
        <v>0</v>
      </c>
      <c r="E92" s="65">
        <f>+'20.TGT1'!G92</f>
        <v>0</v>
      </c>
      <c r="F92" s="65">
        <f si="9" t="shared"/>
        <v>0</v>
      </c>
      <c r="G92" s="65">
        <f>+'20.TGT1'!H92</f>
        <v>0</v>
      </c>
      <c r="H92" s="65">
        <f si="10" t="shared"/>
        <v>0</v>
      </c>
      <c r="I92" s="66">
        <f si="11" t="shared"/>
        <v>0</v>
      </c>
      <c r="J92" s="66">
        <f si="12" t="shared"/>
        <v>0</v>
      </c>
      <c r="K92" s="66">
        <f si="12" t="shared"/>
        <v>0</v>
      </c>
      <c r="L92" s="66">
        <f si="13" t="shared"/>
        <v>0</v>
      </c>
    </row>
    <row r="93" spans="1:12">
      <c r="A93" s="67">
        <f>+'20.TGT1'!C93</f>
        <v>2260</v>
      </c>
      <c r="B93" s="67" t="str">
        <f>+'20.TGT1'!D93</f>
        <v xml:space="preserve">     Гадаад эх үүсвэрээр</v>
      </c>
      <c r="C93" s="65">
        <f>+'20.TGT1'!$F93</f>
        <v>0</v>
      </c>
      <c r="D93" s="65">
        <f si="8" t="shared"/>
        <v>0</v>
      </c>
      <c r="E93" s="65">
        <f>+'20.TGT1'!G93</f>
        <v>0</v>
      </c>
      <c r="F93" s="65">
        <f si="9" t="shared"/>
        <v>0</v>
      </c>
      <c r="G93" s="65">
        <f>+'20.TGT1'!H93</f>
        <v>0</v>
      </c>
      <c r="H93" s="65">
        <f si="10" t="shared"/>
        <v>0</v>
      </c>
      <c r="I93" s="66">
        <f si="11" t="shared"/>
        <v>0</v>
      </c>
      <c r="J93" s="66">
        <f si="12" t="shared"/>
        <v>0</v>
      </c>
      <c r="K93" s="66">
        <f si="12" t="shared"/>
        <v>0</v>
      </c>
      <c r="L93" s="66">
        <f si="13" t="shared"/>
        <v>0</v>
      </c>
    </row>
    <row r="94" spans="1:12">
      <c r="A94" s="67">
        <f>+'20.TGT1'!C94</f>
        <v>226001</v>
      </c>
      <c r="B94" s="67" t="str">
        <f>+'20.TGT1'!D94</f>
        <v xml:space="preserve">               Гадаад эх үүсвэрээр</v>
      </c>
      <c r="C94" s="65">
        <f>+'20.TGT1'!$F94</f>
        <v>0</v>
      </c>
      <c r="D94" s="65">
        <f si="8" t="shared"/>
        <v>0</v>
      </c>
      <c r="E94" s="65">
        <f>+'20.TGT1'!G94</f>
        <v>0</v>
      </c>
      <c r="F94" s="65">
        <f si="9" t="shared"/>
        <v>0</v>
      </c>
      <c r="G94" s="65">
        <f>+'20.TGT1'!H94</f>
        <v>0</v>
      </c>
      <c r="H94" s="65">
        <f si="10" t="shared"/>
        <v>0</v>
      </c>
      <c r="I94" s="66">
        <f si="11" t="shared"/>
        <v>0</v>
      </c>
      <c r="J94" s="66">
        <f si="12" t="shared"/>
        <v>0</v>
      </c>
      <c r="K94" s="66">
        <f si="12" t="shared"/>
        <v>0</v>
      </c>
      <c r="L94" s="66">
        <f si="13" t="shared"/>
        <v>0</v>
      </c>
    </row>
    <row r="95" spans="1:12">
      <c r="A95" s="67">
        <f>+'20.TGT1'!C95</f>
        <v>23</v>
      </c>
      <c r="B95" s="67" t="str">
        <f>+'20.TGT1'!D95</f>
        <v xml:space="preserve">   ЭPГЭЖ ТӨЛӨГДӨХ ТӨЛБӨРИЙГ ХАССАН ЦЭВЭР ЗЭЭЛ</v>
      </c>
      <c r="C95" s="65">
        <f>+'20.TGT1'!$F95</f>
        <v>0</v>
      </c>
      <c r="D95" s="65">
        <f si="8" t="shared"/>
        <v>0</v>
      </c>
      <c r="E95" s="65">
        <f>+'20.TGT1'!G95</f>
        <v>0</v>
      </c>
      <c r="F95" s="65">
        <f si="9" t="shared"/>
        <v>0</v>
      </c>
      <c r="G95" s="65">
        <f>+'20.TGT1'!H95</f>
        <v>0</v>
      </c>
      <c r="H95" s="65">
        <f si="10" t="shared"/>
        <v>0</v>
      </c>
      <c r="I95" s="66">
        <f si="11" t="shared"/>
        <v>0</v>
      </c>
      <c r="J95" s="66">
        <f si="12" t="shared"/>
        <v>0</v>
      </c>
      <c r="K95" s="66">
        <f si="12" t="shared"/>
        <v>0</v>
      </c>
      <c r="L95" s="66">
        <f si="13" t="shared"/>
        <v>0</v>
      </c>
    </row>
    <row r="96" spans="1:12">
      <c r="A96" s="67">
        <f>+'20.TGT1'!C96</f>
        <v>230001</v>
      </c>
      <c r="B96" s="67" t="str">
        <f>+'20.TGT1'!D96</f>
        <v xml:space="preserve">               Эргэж төлөгдөх зээл</v>
      </c>
      <c r="C96" s="65">
        <f>+'20.TGT1'!$F96</f>
        <v>0</v>
      </c>
      <c r="D96" s="65">
        <f si="8" t="shared"/>
        <v>0</v>
      </c>
      <c r="E96" s="65">
        <f>+'20.TGT1'!G96</f>
        <v>0</v>
      </c>
      <c r="F96" s="65">
        <f si="9" t="shared"/>
        <v>0</v>
      </c>
      <c r="G96" s="65">
        <f>+'20.TGT1'!H96</f>
        <v>0</v>
      </c>
      <c r="H96" s="65">
        <f si="10" t="shared"/>
        <v>0</v>
      </c>
      <c r="I96" s="66">
        <f si="11" t="shared"/>
        <v>0</v>
      </c>
      <c r="J96" s="66">
        <f si="12" t="shared"/>
        <v>0</v>
      </c>
      <c r="K96" s="66">
        <f si="12" t="shared"/>
        <v>0</v>
      </c>
      <c r="L96" s="66">
        <f si="13" t="shared"/>
        <v>0</v>
      </c>
    </row>
    <row r="97" spans="1:12">
      <c r="A97" s="67">
        <f>+'20.TGT1'!C97</f>
        <v>231001</v>
      </c>
      <c r="B97" s="67" t="str">
        <f>+'20.TGT1'!D97</f>
        <v xml:space="preserve">               Гадаадын санхүүгийн зах зээлээс санхүүжих зээл</v>
      </c>
      <c r="C97" s="65">
        <f>+'20.TGT1'!$F97</f>
        <v>0</v>
      </c>
      <c r="D97" s="65">
        <f si="8" t="shared"/>
        <v>0</v>
      </c>
      <c r="E97" s="65">
        <f>+'20.TGT1'!G97</f>
        <v>0</v>
      </c>
      <c r="F97" s="65">
        <f si="9" t="shared"/>
        <v>0</v>
      </c>
      <c r="G97" s="65">
        <f>+'20.TGT1'!H97</f>
        <v>0</v>
      </c>
      <c r="H97" s="65">
        <f si="10" t="shared"/>
        <v>0</v>
      </c>
      <c r="I97" s="66">
        <f si="11" t="shared"/>
        <v>0</v>
      </c>
      <c r="J97" s="66">
        <f si="12" t="shared"/>
        <v>0</v>
      </c>
      <c r="K97" s="66">
        <f si="12" t="shared"/>
        <v>0</v>
      </c>
      <c r="L97" s="66">
        <f si="13" t="shared"/>
        <v>0</v>
      </c>
    </row>
    <row r="98" spans="1:12">
      <c r="A98" s="67">
        <f>+'20.TGT1'!C98</f>
        <v>232001</v>
      </c>
      <c r="B98" s="67" t="str">
        <f>+'20.TGT1'!D98</f>
        <v xml:space="preserve">               Гадаадын төслийн зээлээс санхүүжих зээл</v>
      </c>
      <c r="C98" s="65">
        <f>+'20.TGT1'!$F98</f>
        <v>0</v>
      </c>
      <c r="D98" s="65">
        <f si="8" t="shared"/>
        <v>0</v>
      </c>
      <c r="E98" s="65">
        <f>+'20.TGT1'!G98</f>
        <v>0</v>
      </c>
      <c r="F98" s="65">
        <f si="9" t="shared"/>
        <v>0</v>
      </c>
      <c r="G98" s="65">
        <f>+'20.TGT1'!H98</f>
        <v>0</v>
      </c>
      <c r="H98" s="65">
        <f si="10" t="shared"/>
        <v>0</v>
      </c>
      <c r="I98" s="66">
        <f si="11" t="shared"/>
        <v>0</v>
      </c>
      <c r="J98" s="66">
        <f si="12" t="shared"/>
        <v>0</v>
      </c>
      <c r="K98" s="66">
        <f si="12" t="shared"/>
        <v>0</v>
      </c>
      <c r="L98" s="66">
        <f si="13" t="shared"/>
        <v>0</v>
      </c>
    </row>
    <row r="99" spans="1:12">
      <c r="H99" s="68"/>
      <c r="J99" s="68"/>
      <c r="K99" s="68"/>
    </row>
    <row r="100" spans="1:12">
      <c r="B100" s="551" t="s">
        <v>1897</v>
      </c>
      <c r="C100" s="551"/>
      <c r="D100" s="551"/>
      <c r="E100" s="406"/>
      <c r="F100" s="406"/>
      <c r="H100" s="68"/>
      <c r="J100" s="68"/>
      <c r="K100" s="68"/>
    </row>
    <row r="101" spans="1:12">
      <c r="B101" s="406">
        <f>+ЧХ!$C$15</f>
        <v>0</v>
      </c>
      <c r="C101" s="406"/>
      <c r="D101" s="1679">
        <f>+ЧХ!$C$16</f>
        <v>0</v>
      </c>
      <c r="E101" s="1679"/>
      <c r="F101" s="539" t="s">
        <v>1777</v>
      </c>
      <c r="H101" s="68"/>
      <c r="J101" s="68"/>
      <c r="K101" s="68"/>
    </row>
    <row r="102" spans="1:12">
      <c r="B102" s="406"/>
      <c r="C102" s="406"/>
      <c r="D102" s="539"/>
      <c r="E102" s="539"/>
      <c r="F102" s="539"/>
      <c r="H102" s="68"/>
      <c r="J102" s="68"/>
      <c r="K102" s="68"/>
    </row>
    <row r="103" spans="1:12">
      <c r="B103" s="551" t="s">
        <v>1873</v>
      </c>
      <c r="C103" s="551"/>
      <c r="D103" s="406"/>
      <c r="E103" s="406"/>
      <c r="F103" s="539"/>
      <c r="H103" s="68"/>
      <c r="J103" s="68"/>
      <c r="K103" s="68"/>
    </row>
    <row r="104" spans="1:12">
      <c r="B104" s="406" t="str">
        <f>+ЧХ!$B$6</f>
        <v>Аудитын менежер</v>
      </c>
      <c r="C104" s="406"/>
      <c r="D104" s="1679">
        <f>+ЧХ!$C$6</f>
        <v>0</v>
      </c>
      <c r="E104" s="1679"/>
      <c r="F104" s="539" t="s">
        <v>1777</v>
      </c>
      <c r="H104" s="68"/>
      <c r="J104" s="68"/>
      <c r="K104" s="68"/>
    </row>
    <row r="105" spans="1:12">
      <c r="B105" s="406"/>
      <c r="C105" s="406"/>
      <c r="D105" s="539"/>
      <c r="E105" s="539"/>
      <c r="F105" s="539"/>
      <c r="H105" s="68"/>
      <c r="J105" s="68"/>
      <c r="K105" s="68"/>
    </row>
    <row r="106" spans="1:12">
      <c r="B106" s="551" t="s">
        <v>2035</v>
      </c>
      <c r="C106" s="551"/>
      <c r="D106" s="406"/>
      <c r="E106" s="406"/>
      <c r="F106" s="539"/>
      <c r="H106" s="68"/>
      <c r="J106" s="68"/>
      <c r="K106" s="68"/>
    </row>
    <row r="107" spans="1:12">
      <c r="B107" s="406" t="str">
        <f>+ЧХ!$B$5</f>
        <v>Тэргүүлэх аудитор</v>
      </c>
      <c r="C107" s="406"/>
      <c r="D107" s="1689" t="str">
        <f>+ЧХ!$C$5</f>
        <v>С.Энхбаатар</v>
      </c>
      <c r="E107" s="1689"/>
      <c r="F107" s="539" t="s">
        <v>1777</v>
      </c>
      <c r="H107" s="68"/>
      <c r="J107" s="68"/>
      <c r="K107" s="68"/>
    </row>
    <row r="108" spans="1:12">
      <c r="H108" s="68"/>
      <c r="J108" s="68"/>
      <c r="K108" s="68"/>
    </row>
    <row r="109" spans="1:12">
      <c r="B109" s="406" t="str">
        <f>+ЧХ!$B$6&amp;"ийн санал: ………………………………………………………………………………………"</f>
        <v>Аудитын менежерийн санал: ………………………………………………………………………………………</v>
      </c>
      <c r="H109" s="68"/>
      <c r="J109" s="68"/>
      <c r="K109" s="68"/>
    </row>
    <row r="110" spans="1:12">
      <c r="B110" s="406"/>
      <c r="H110" s="68"/>
      <c r="J110" s="68"/>
      <c r="K110" s="68"/>
    </row>
    <row r="111" spans="1:12">
      <c r="B111" s="406"/>
    </row>
    <row r="112" spans="1:12">
      <c r="B112" s="406"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bottom="0.75" footer="0.3" header="0.3" left="0.7" right="0.2" top="0.75"/>
  <pageSetup orientation="landscape" paperSize="9" r:id="rId1" scale="7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workbookViewId="0"/>
  </sheetViews>
  <sheetFormatPr defaultRowHeight="12.75"/>
  <cols>
    <col min="1" max="1" customWidth="true" style="61" width="6.0" collapsed="false"/>
    <col min="2" max="2" bestFit="true" customWidth="true" style="61" width="43.5703125" collapsed="false"/>
    <col min="3" max="3" customWidth="true" style="61" width="16.140625" collapsed="false"/>
    <col min="4" max="4" customWidth="true" style="61" width="11.7109375" collapsed="false"/>
    <col min="5" max="5" customWidth="true" style="61" width="17.0" collapsed="false"/>
    <col min="6" max="6" customWidth="true" style="61" width="11.140625" collapsed="false"/>
    <col min="7" max="7" customWidth="true" style="61" width="18.140625" collapsed="false"/>
    <col min="8" max="8" customWidth="true" style="61" width="14.28515625" collapsed="false"/>
    <col min="9" max="16384" style="61" width="9.140625" collapsed="false"/>
  </cols>
  <sheetData>
    <row r="1" spans="1:8">
      <c r="C1" s="63"/>
      <c r="D1" s="63"/>
      <c r="E1" s="63"/>
      <c r="F1" s="63"/>
      <c r="G1" s="62"/>
      <c r="H1" s="543" t="s">
        <v>2342</v>
      </c>
    </row>
    <row r="2" spans="1:8">
      <c r="B2" s="1795" t="s">
        <v>2345</v>
      </c>
      <c r="C2" s="1795"/>
      <c r="D2" s="1795"/>
      <c r="E2" s="1795"/>
      <c r="F2" s="1795"/>
      <c r="G2" s="1795"/>
      <c r="H2" s="1795"/>
    </row>
    <row r="3" spans="1:8">
      <c r="C3" s="562"/>
      <c r="D3" s="562"/>
      <c r="E3" s="562"/>
      <c r="F3" s="562"/>
      <c r="G3" s="62"/>
      <c r="H3" s="543"/>
    </row>
    <row customHeight="1" ht="17.25" r="4" spans="1:8">
      <c r="B4" s="1809" t="str">
        <f>"Байгууллагын нэр: "&amp;ЧХ!C7</f>
        <v xml:space="preserve">Байгууллагын нэр: </v>
      </c>
      <c r="C4" s="1809"/>
      <c r="D4" s="1809"/>
      <c r="E4" s="1809"/>
      <c r="F4" s="453"/>
      <c r="G4" s="453"/>
      <c r="H4" s="63"/>
    </row>
    <row r="5" spans="1:8">
      <c r="B5" s="1087" t="str">
        <f>"Тайлант он: "&amp;ЧХ!$C$8</f>
        <v xml:space="preserve">Тайлант он: </v>
      </c>
    </row>
    <row r="6" spans="1:8">
      <c r="B6" s="64"/>
      <c r="C6" s="64"/>
      <c r="D6" s="64"/>
      <c r="E6" s="1808"/>
      <c r="F6" s="1808"/>
      <c r="H6" s="564" t="s">
        <v>2396</v>
      </c>
    </row>
    <row customHeight="1" ht="24" r="7" spans="1:8">
      <c r="A7" s="1806" t="s">
        <v>2343</v>
      </c>
      <c r="B7" s="1807" t="s">
        <v>12</v>
      </c>
      <c r="C7" s="1807" t="s">
        <v>1877</v>
      </c>
      <c r="D7" s="1807"/>
      <c r="E7" s="1807" t="s">
        <v>1878</v>
      </c>
      <c r="F7" s="1807"/>
      <c r="G7" s="1807" t="s">
        <v>1234</v>
      </c>
      <c r="H7" s="1807"/>
    </row>
    <row customHeight="1" ht="21.75" r="8" spans="1:8">
      <c r="A8" s="1806"/>
      <c r="B8" s="1807"/>
      <c r="C8" s="619" t="s">
        <v>1737</v>
      </c>
      <c r="D8" s="619" t="s">
        <v>1879</v>
      </c>
      <c r="E8" s="619" t="s">
        <v>1737</v>
      </c>
      <c r="F8" s="619" t="s">
        <v>1879</v>
      </c>
      <c r="G8" s="619" t="s">
        <v>1880</v>
      </c>
      <c r="H8" s="619" t="s">
        <v>1881</v>
      </c>
    </row>
    <row r="9" spans="1:8">
      <c r="A9" s="396">
        <v>1</v>
      </c>
      <c r="B9" s="397" t="s">
        <v>121</v>
      </c>
      <c r="C9" s="667">
        <f>'2.CT1A'!$C$8</f>
        <v>0</v>
      </c>
      <c r="D9" s="864">
        <f>C9/$C$20*100</f>
        <v>0</v>
      </c>
      <c r="E9" s="667">
        <f>'2.CT1A'!$D$8</f>
        <v>0</v>
      </c>
      <c r="F9" s="864">
        <f ref="F9:F19" si="0" t="shared">+E9/$E$20*100</f>
        <v>0</v>
      </c>
      <c r="G9" s="863">
        <f>+E9-C9</f>
        <v>0</v>
      </c>
      <c r="H9" s="863">
        <f>+F9-D9</f>
        <v>0</v>
      </c>
    </row>
    <row r="10" spans="1:8">
      <c r="A10" s="396">
        <v>31</v>
      </c>
      <c r="B10" s="397" t="s">
        <v>123</v>
      </c>
      <c r="C10" s="667">
        <f>'2.CT1A'!$C$9</f>
        <v>0</v>
      </c>
      <c r="D10" s="864">
        <f ref="D10:D19" si="1" t="shared">+C10/$C$20*100</f>
        <v>0</v>
      </c>
      <c r="E10" s="667">
        <f>'2.CT1A'!$D$9</f>
        <v>0</v>
      </c>
      <c r="F10" s="864">
        <f si="0" t="shared"/>
        <v>0</v>
      </c>
      <c r="G10" s="863">
        <f ref="G10:G26" si="2" t="shared">+E10-C10</f>
        <v>0</v>
      </c>
      <c r="H10" s="863">
        <f ref="H10:H26" si="3" t="shared">+F10-D10</f>
        <v>0</v>
      </c>
    </row>
    <row r="11" spans="1:8">
      <c r="A11" s="396">
        <v>32</v>
      </c>
      <c r="B11" s="397" t="s">
        <v>140</v>
      </c>
      <c r="C11" s="667">
        <f>'2.CT1A'!$C$30</f>
        <v>0</v>
      </c>
      <c r="D11" s="864">
        <f si="1" t="shared"/>
        <v>0</v>
      </c>
      <c r="E11" s="667">
        <f>'2.CT1A'!$D$30</f>
        <v>0</v>
      </c>
      <c r="F11" s="864">
        <f si="0" t="shared"/>
        <v>0</v>
      </c>
      <c r="G11" s="863">
        <f si="2" t="shared"/>
        <v>0</v>
      </c>
      <c r="H11" s="863">
        <f si="3" t="shared"/>
        <v>0</v>
      </c>
    </row>
    <row r="12" spans="1:8">
      <c r="A12" s="396">
        <v>33</v>
      </c>
      <c r="B12" s="397" t="s">
        <v>143</v>
      </c>
      <c r="C12" s="667">
        <f>'2.CT1A'!$C$34</f>
        <v>0</v>
      </c>
      <c r="D12" s="864">
        <f si="1" t="shared"/>
        <v>0</v>
      </c>
      <c r="E12" s="667">
        <f>'2.CT1A'!$D$34</f>
        <v>0</v>
      </c>
      <c r="F12" s="864">
        <f si="0" t="shared"/>
        <v>0</v>
      </c>
      <c r="G12" s="863">
        <f si="2" t="shared"/>
        <v>0</v>
      </c>
      <c r="H12" s="863">
        <f si="3" t="shared"/>
        <v>0</v>
      </c>
    </row>
    <row r="13" spans="1:8">
      <c r="A13" s="396">
        <v>34</v>
      </c>
      <c r="B13" s="397" t="s">
        <v>160</v>
      </c>
      <c r="C13" s="667">
        <f>'2.CT1A'!$C$55</f>
        <v>0</v>
      </c>
      <c r="D13" s="864">
        <f si="1" t="shared"/>
        <v>0</v>
      </c>
      <c r="E13" s="667">
        <f>'2.CT1A'!$D$55</f>
        <v>0</v>
      </c>
      <c r="F13" s="864">
        <f si="0" t="shared"/>
        <v>0</v>
      </c>
      <c r="G13" s="863">
        <f si="2" t="shared"/>
        <v>0</v>
      </c>
      <c r="H13" s="863">
        <f si="3" t="shared"/>
        <v>0</v>
      </c>
    </row>
    <row r="14" spans="1:8">
      <c r="A14" s="396">
        <v>35</v>
      </c>
      <c r="B14" s="397" t="s">
        <v>3210</v>
      </c>
      <c r="C14" s="667">
        <f>'2.CT1A'!$C$67</f>
        <v>0</v>
      </c>
      <c r="D14" s="864">
        <f si="1" t="shared"/>
        <v>0</v>
      </c>
      <c r="E14" s="667">
        <f>'2.CT1A'!$D$67</f>
        <v>0</v>
      </c>
      <c r="F14" s="864">
        <f si="0" t="shared"/>
        <v>0</v>
      </c>
      <c r="G14" s="863">
        <f si="2" t="shared"/>
        <v>0</v>
      </c>
      <c r="H14" s="863">
        <f si="3" t="shared"/>
        <v>0</v>
      </c>
    </row>
    <row r="15" spans="1:8">
      <c r="A15" s="396">
        <v>36</v>
      </c>
      <c r="B15" s="397" t="s">
        <v>202</v>
      </c>
      <c r="C15" s="667">
        <f>'2.CT1A'!$C$83</f>
        <v>0</v>
      </c>
      <c r="D15" s="864">
        <f si="1" t="shared"/>
        <v>0</v>
      </c>
      <c r="E15" s="667">
        <f>'2.CT1A'!$D$83</f>
        <v>0</v>
      </c>
      <c r="F15" s="864">
        <f si="0" t="shared"/>
        <v>0</v>
      </c>
      <c r="G15" s="863">
        <f si="2" t="shared"/>
        <v>0</v>
      </c>
      <c r="H15" s="863">
        <f si="3" t="shared"/>
        <v>0</v>
      </c>
    </row>
    <row r="16" spans="1:8">
      <c r="A16" s="396">
        <v>2</v>
      </c>
      <c r="B16" s="397" t="s">
        <v>209</v>
      </c>
      <c r="C16" s="667">
        <f>'2.CT1A'!$C$93</f>
        <v>0</v>
      </c>
      <c r="D16" s="864">
        <f si="1" t="shared"/>
        <v>0</v>
      </c>
      <c r="E16" s="667">
        <f>'2.CT1A'!$D$93</f>
        <v>0</v>
      </c>
      <c r="F16" s="864">
        <f si="0" t="shared"/>
        <v>0</v>
      </c>
      <c r="G16" s="863">
        <f si="2" t="shared"/>
        <v>0</v>
      </c>
      <c r="H16" s="863">
        <f si="3" t="shared"/>
        <v>0</v>
      </c>
    </row>
    <row r="17" spans="1:8">
      <c r="A17" s="396">
        <v>37</v>
      </c>
      <c r="B17" s="397" t="s">
        <v>211</v>
      </c>
      <c r="C17" s="667">
        <f>'2.CT1A'!$C$94</f>
        <v>0</v>
      </c>
      <c r="D17" s="864">
        <f si="1" t="shared"/>
        <v>0</v>
      </c>
      <c r="E17" s="667">
        <f>'2.CT1A'!$D$94</f>
        <v>0</v>
      </c>
      <c r="F17" s="864">
        <f si="0" t="shared"/>
        <v>0</v>
      </c>
      <c r="G17" s="863">
        <f si="2" t="shared"/>
        <v>0</v>
      </c>
      <c r="H17" s="863">
        <f si="3" t="shared"/>
        <v>0</v>
      </c>
    </row>
    <row r="18" spans="1:8">
      <c r="A18" s="396">
        <v>39</v>
      </c>
      <c r="B18" s="397" t="s">
        <v>215</v>
      </c>
      <c r="C18" s="667">
        <f>'2.CT1A'!$C$113</f>
        <v>0</v>
      </c>
      <c r="D18" s="864">
        <f si="1" t="shared"/>
        <v>0</v>
      </c>
      <c r="E18" s="667">
        <f>'2.CT1A'!$D$113</f>
        <v>0</v>
      </c>
      <c r="F18" s="864">
        <f si="0" t="shared"/>
        <v>0</v>
      </c>
      <c r="G18" s="863">
        <f si="2" t="shared"/>
        <v>0</v>
      </c>
      <c r="H18" s="863">
        <f si="3" t="shared"/>
        <v>0</v>
      </c>
    </row>
    <row ht="14.25" r="19" spans="1:8">
      <c r="A19" s="398">
        <v>393</v>
      </c>
      <c r="B19" s="397" t="s">
        <v>238</v>
      </c>
      <c r="C19" s="667">
        <f>'2.CT1A'!$C$133</f>
        <v>0</v>
      </c>
      <c r="D19" s="864">
        <f si="1" t="shared"/>
        <v>0</v>
      </c>
      <c r="E19" s="667">
        <f>'2.CT1A'!$D$133</f>
        <v>0</v>
      </c>
      <c r="F19" s="864">
        <f si="0" t="shared"/>
        <v>0</v>
      </c>
      <c r="G19" s="863">
        <f si="2" t="shared"/>
        <v>0</v>
      </c>
      <c r="H19" s="863">
        <f si="3" t="shared"/>
        <v>0</v>
      </c>
    </row>
    <row r="20" spans="1:8">
      <c r="A20" s="413">
        <v>3</v>
      </c>
      <c r="B20" s="414" t="s">
        <v>2036</v>
      </c>
      <c r="C20" s="672">
        <f>'2.CT1A'!$C$144+0.0000001</f>
        <v>9.9999999999999995E-8</v>
      </c>
      <c r="D20" s="865"/>
      <c r="E20" s="672">
        <f>'2.CT1A'!$D$144+0.0000001</f>
        <v>9.9999999999999995E-8</v>
      </c>
      <c r="F20" s="884"/>
      <c r="G20" s="884">
        <f si="2" t="shared"/>
        <v>0</v>
      </c>
      <c r="H20" s="884">
        <f si="3" t="shared"/>
        <v>0</v>
      </c>
    </row>
    <row r="21" spans="1:8">
      <c r="A21" s="396">
        <v>4</v>
      </c>
      <c r="B21" s="397" t="s">
        <v>243</v>
      </c>
      <c r="C21" s="667">
        <f>'2.CT1A'!$C$145</f>
        <v>0</v>
      </c>
      <c r="D21" s="864">
        <f>+C21/$C$26*100</f>
        <v>0</v>
      </c>
      <c r="E21" s="667">
        <f>'2.CT1A'!$D$145</f>
        <v>0</v>
      </c>
      <c r="F21" s="864">
        <f>+E21/$E$26*100</f>
        <v>0</v>
      </c>
      <c r="G21" s="863">
        <f si="2" t="shared"/>
        <v>0</v>
      </c>
      <c r="H21" s="863">
        <f si="3" t="shared"/>
        <v>0</v>
      </c>
    </row>
    <row r="22" spans="1:8">
      <c r="A22" s="396">
        <v>41</v>
      </c>
      <c r="B22" s="397" t="s">
        <v>244</v>
      </c>
      <c r="C22" s="667">
        <f>'2.CT1A'!$C$146</f>
        <v>0</v>
      </c>
      <c r="D22" s="864">
        <f ref="D22:D25" si="4" t="shared">+C22/$C$26*100</f>
        <v>0</v>
      </c>
      <c r="E22" s="667">
        <f>'2.CT1A'!$D$146</f>
        <v>0</v>
      </c>
      <c r="F22" s="864">
        <f ref="F22:F25" si="5" t="shared">+E22/$E$26*100</f>
        <v>0</v>
      </c>
      <c r="G22" s="863">
        <f si="2" t="shared"/>
        <v>0</v>
      </c>
      <c r="H22" s="863">
        <f si="3" t="shared"/>
        <v>0</v>
      </c>
    </row>
    <row r="23" spans="1:8">
      <c r="A23" s="396">
        <v>42</v>
      </c>
      <c r="B23" s="397" t="s">
        <v>276</v>
      </c>
      <c r="C23" s="667">
        <f>'2.CT1A'!$C$190</f>
        <v>0</v>
      </c>
      <c r="D23" s="864">
        <f si="4" t="shared"/>
        <v>0</v>
      </c>
      <c r="E23" s="667">
        <f>'2.CT1A'!$D$190</f>
        <v>0</v>
      </c>
      <c r="F23" s="864">
        <f si="5" t="shared"/>
        <v>0</v>
      </c>
      <c r="G23" s="863">
        <f si="2" t="shared"/>
        <v>0</v>
      </c>
      <c r="H23" s="863">
        <f si="3" t="shared"/>
        <v>0</v>
      </c>
    </row>
    <row r="24" spans="1:8">
      <c r="A24" s="396">
        <v>5</v>
      </c>
      <c r="B24" s="397" t="s">
        <v>281</v>
      </c>
      <c r="C24" s="667">
        <f>'2.CT1A'!$C$221</f>
        <v>0</v>
      </c>
      <c r="D24" s="864">
        <f si="4" t="shared"/>
        <v>0</v>
      </c>
      <c r="E24" s="667">
        <f>'2.CT1A'!$D$221</f>
        <v>0</v>
      </c>
      <c r="F24" s="864">
        <f si="5" t="shared"/>
        <v>0</v>
      </c>
      <c r="G24" s="863">
        <f si="2" t="shared"/>
        <v>0</v>
      </c>
      <c r="H24" s="863">
        <f si="3" t="shared"/>
        <v>0</v>
      </c>
    </row>
    <row r="25" spans="1:8">
      <c r="A25" s="396">
        <v>51</v>
      </c>
      <c r="B25" s="397" t="s">
        <v>282</v>
      </c>
      <c r="C25" s="667">
        <f>'2.CT1A'!$C$222</f>
        <v>0</v>
      </c>
      <c r="D25" s="864">
        <f si="4" t="shared"/>
        <v>0</v>
      </c>
      <c r="E25" s="667">
        <f>'2.CT1A'!$D$222</f>
        <v>0</v>
      </c>
      <c r="F25" s="864">
        <f si="5" t="shared"/>
        <v>0</v>
      </c>
      <c r="G25" s="863">
        <f si="2" t="shared"/>
        <v>0</v>
      </c>
      <c r="H25" s="863">
        <f si="3" t="shared"/>
        <v>0</v>
      </c>
    </row>
    <row ht="25.5" r="26" spans="1:8">
      <c r="A26" s="416">
        <v>6</v>
      </c>
      <c r="B26" s="417" t="s">
        <v>291</v>
      </c>
      <c r="C26" s="884">
        <f>'2.CT1A'!$C$238+0.0000001</f>
        <v>9.9999999999999995E-8</v>
      </c>
      <c r="D26" s="866"/>
      <c r="E26" s="884">
        <f>'2.CT1A'!$D$238+0.0000001</f>
        <v>9.9999999999999995E-8</v>
      </c>
      <c r="F26" s="885"/>
      <c r="G26" s="867">
        <f si="2" t="shared"/>
        <v>0</v>
      </c>
      <c r="H26" s="885">
        <f si="3" t="shared"/>
        <v>0</v>
      </c>
    </row>
    <row r="27" spans="1:8">
      <c r="C27" s="561">
        <f>+C20-C26</f>
        <v>0</v>
      </c>
      <c r="D27" s="561">
        <f ref="D27:E27" si="6" t="shared">+D20-D26</f>
        <v>0</v>
      </c>
      <c r="E27" s="561">
        <f si="6" t="shared"/>
        <v>0</v>
      </c>
    </row>
    <row r="30" spans="1:8">
      <c r="B30" s="551" t="s">
        <v>1897</v>
      </c>
      <c r="C30" s="551"/>
      <c r="D30" s="551"/>
      <c r="E30" s="406"/>
      <c r="F30" s="406"/>
    </row>
    <row r="31" spans="1:8">
      <c r="B31" s="406">
        <f>+ЧХ!$C$15</f>
        <v>0</v>
      </c>
      <c r="C31" s="406"/>
      <c r="D31" s="1679">
        <f>+ЧХ!$C$16</f>
        <v>0</v>
      </c>
      <c r="E31" s="1679"/>
      <c r="F31" s="539" t="s">
        <v>1777</v>
      </c>
    </row>
    <row r="32" spans="1:8">
      <c r="B32" s="406"/>
      <c r="C32" s="406"/>
      <c r="D32" s="539"/>
      <c r="E32" s="539"/>
      <c r="F32" s="539"/>
    </row>
    <row r="33" spans="2:6">
      <c r="B33" s="551" t="s">
        <v>1873</v>
      </c>
      <c r="C33" s="551"/>
      <c r="D33" s="406"/>
      <c r="E33" s="406"/>
      <c r="F33" s="539"/>
    </row>
    <row r="34" spans="2:6">
      <c r="B34" s="406" t="str">
        <f>+ЧХ!$B$6</f>
        <v>Аудитын менежер</v>
      </c>
      <c r="C34" s="406"/>
      <c r="D34" s="1679">
        <f>+ЧХ!$C$6</f>
        <v>0</v>
      </c>
      <c r="E34" s="1679"/>
      <c r="F34" s="539" t="s">
        <v>1777</v>
      </c>
    </row>
    <row r="35" spans="2:6">
      <c r="B35" s="406"/>
      <c r="C35" s="406"/>
      <c r="D35" s="539"/>
      <c r="E35" s="539"/>
      <c r="F35" s="539"/>
    </row>
    <row r="36" spans="2:6">
      <c r="B36" s="551" t="s">
        <v>2035</v>
      </c>
      <c r="C36" s="551"/>
      <c r="D36" s="406"/>
      <c r="E36" s="406"/>
      <c r="F36" s="539"/>
    </row>
    <row r="37" spans="2:6">
      <c r="B37" s="406" t="str">
        <f>+ЧХ!$B$5</f>
        <v>Тэргүүлэх аудитор</v>
      </c>
      <c r="C37" s="406"/>
      <c r="D37" s="1689" t="str">
        <f>+ЧХ!$C$5</f>
        <v>С.Энхбаатар</v>
      </c>
      <c r="E37" s="1689"/>
      <c r="F37" s="539"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11">
    <mergeCell ref="B2:H2"/>
    <mergeCell ref="E6:F6"/>
    <mergeCell ref="D31:E31"/>
    <mergeCell ref="D34:E34"/>
    <mergeCell ref="D37:E37"/>
    <mergeCell ref="B4:E4"/>
    <mergeCell ref="A7:A8"/>
    <mergeCell ref="B7:B8"/>
    <mergeCell ref="C7:D7"/>
    <mergeCell ref="E7:F7"/>
    <mergeCell ref="G7:H7"/>
  </mergeCells>
  <printOptions horizontalCentered="1"/>
  <pageMargins bottom="0.75" footer="0.3" header="0.3" left="0.7" right="0.2" top="0.75"/>
  <pageSetup orientation="landscape" paperSize="9" r:id="rId1" scale="9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customWidth="true" style="85" width="26.28515625" collapsed="false"/>
    <col min="2" max="2" customWidth="true" style="406" width="42.85546875" collapsed="false"/>
    <col min="3" max="3" customWidth="true" style="85" width="14.28515625" collapsed="false"/>
    <col min="4" max="16384" style="85" width="9.140625" collapsed="false"/>
  </cols>
  <sheetData>
    <row customFormat="1" r="1" s="406" spans="1:3">
      <c r="C1" s="69" t="s">
        <v>1884</v>
      </c>
    </row>
    <row customHeight="1" ht="15.75" r="2" spans="1:3">
      <c r="A2" s="1699" t="s">
        <v>1883</v>
      </c>
      <c r="B2" s="1699"/>
      <c r="C2" s="1699"/>
    </row>
    <row customFormat="1" customHeight="1" ht="15.75" r="3" s="406" spans="1:3">
      <c r="A3" s="1101"/>
      <c r="B3" s="1101"/>
      <c r="C3" s="1101"/>
    </row>
    <row customHeight="1" ht="17.25" r="4" spans="1:3">
      <c r="A4" s="1809" t="str">
        <f>"Байгууллагын нэр: "&amp;ЧХ!C$7</f>
        <v xml:space="preserve">Байгууллагын нэр: </v>
      </c>
      <c r="B4" s="1809"/>
      <c r="C4" s="1809"/>
    </row>
    <row customHeight="1" ht="18" r="5" spans="1:3">
      <c r="A5" s="1089" t="str">
        <f>"Тайлант он: "&amp;ЧХ!$C$8</f>
        <v xml:space="preserve">Тайлант он: </v>
      </c>
      <c r="B5" s="566"/>
    </row>
    <row customFormat="1" customHeight="1" ht="18" r="6" s="406" spans="1:3">
      <c r="A6" s="559"/>
      <c r="B6" s="566"/>
    </row>
    <row customHeight="1" ht="43.5" r="7" spans="1:3">
      <c r="A7" s="1777" t="s">
        <v>1885</v>
      </c>
      <c r="B7" s="1777"/>
      <c r="C7" s="1777"/>
    </row>
    <row customHeight="1" ht="69" r="8" spans="1:3">
      <c r="A8" s="1810" t="s">
        <v>1886</v>
      </c>
      <c r="B8" s="1811"/>
      <c r="C8" s="80" t="s">
        <v>2211</v>
      </c>
    </row>
    <row customHeight="1" ht="25.5" r="9" spans="1:3">
      <c r="A9" s="1810" t="s">
        <v>1887</v>
      </c>
      <c r="B9" s="1811"/>
      <c r="C9" s="15">
        <v>0</v>
      </c>
    </row>
    <row customHeight="1" ht="41.25" r="10" spans="1:3">
      <c r="A10" s="1810" t="s">
        <v>1888</v>
      </c>
      <c r="B10" s="1811"/>
      <c r="C10" s="15">
        <v>0</v>
      </c>
    </row>
    <row customHeight="1" ht="105.75" r="11" spans="1:3">
      <c r="A11" s="1810" t="s">
        <v>2218</v>
      </c>
      <c r="B11" s="1811"/>
      <c r="C11" s="15">
        <v>0</v>
      </c>
    </row>
    <row customHeight="1" ht="36.75" r="12" spans="1:3">
      <c r="A12" s="1810" t="s">
        <v>1889</v>
      </c>
      <c r="B12" s="1811"/>
      <c r="C12" s="15">
        <v>0</v>
      </c>
    </row>
    <row customHeight="1" ht="28.5" r="13" spans="1:3">
      <c r="A13" s="1810" t="s">
        <v>1890</v>
      </c>
      <c r="B13" s="1811"/>
      <c r="C13" s="15">
        <v>0</v>
      </c>
    </row>
    <row customHeight="1" ht="27.75" r="14" spans="1:3">
      <c r="A14" s="1810" t="s">
        <v>1891</v>
      </c>
      <c r="B14" s="1811"/>
      <c r="C14" s="15">
        <v>0</v>
      </c>
    </row>
    <row customHeight="1" ht="66" r="15" spans="1:3">
      <c r="A15" s="1810" t="s">
        <v>1892</v>
      </c>
      <c r="B15" s="1811"/>
      <c r="C15" s="15">
        <v>0</v>
      </c>
    </row>
    <row customHeight="1" ht="33" r="16" spans="1:3">
      <c r="A16" s="1810" t="s">
        <v>3501</v>
      </c>
      <c r="B16" s="1811"/>
      <c r="C16" s="15">
        <v>0</v>
      </c>
    </row>
    <row r="17" spans="1:3">
      <c r="C17" s="1484"/>
    </row>
    <row r="19" spans="1:3">
      <c r="A19" s="551" t="s">
        <v>1897</v>
      </c>
      <c r="B19" s="551"/>
      <c r="C19" s="551"/>
    </row>
    <row r="20" spans="1:3">
      <c r="A20" s="406">
        <f>+ЧХ!$C$15</f>
        <v>0</v>
      </c>
      <c r="B20" s="539">
        <f>+ЧХ!$C$16</f>
        <v>0</v>
      </c>
      <c r="C20" s="539" t="s">
        <v>1777</v>
      </c>
    </row>
    <row r="21" spans="1:3">
      <c r="A21" s="406"/>
      <c r="B21" s="539"/>
      <c r="C21" s="539"/>
    </row>
    <row r="22" spans="1:3">
      <c r="A22" s="551" t="s">
        <v>1873</v>
      </c>
      <c r="C22" s="539"/>
    </row>
    <row r="23" spans="1:3">
      <c r="A23" s="406" t="str">
        <f>+ЧХ!$B$6</f>
        <v>Аудитын менежер</v>
      </c>
      <c r="B23" s="539">
        <f>+ЧХ!$C$6</f>
        <v>0</v>
      </c>
      <c r="C23" s="539" t="s">
        <v>1777</v>
      </c>
    </row>
    <row r="24" spans="1:3">
      <c r="A24" s="406"/>
      <c r="B24" s="539"/>
      <c r="C24" s="539"/>
    </row>
    <row r="25" spans="1:3">
      <c r="A25" s="551" t="s">
        <v>2035</v>
      </c>
      <c r="C25" s="539"/>
    </row>
    <row r="26" spans="1:3">
      <c r="A26" s="406" t="str">
        <f>+ЧХ!$B$5</f>
        <v>Тэргүүлэх аудитор</v>
      </c>
      <c r="B26" s="540" t="str">
        <f>+ЧХ!$C$5</f>
        <v>С.Энхбаатар</v>
      </c>
      <c r="C26" s="539" t="s">
        <v>1777</v>
      </c>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allowBlank="1" showErrorMessage="1" showInputMessage="1" sqref="C9:C16" type="list">
      <formula1>"1, 0"</formula1>
    </dataValidation>
  </dataValidations>
  <pageMargins bottom="0.75" footer="0.3" header="0.3" left="0.7" right="0.7" top="0.75"/>
  <pageSetup orientation="portrait"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2"/>
  <sheetViews>
    <sheetView workbookViewId="0">
      <selection activeCell="F21" sqref="F21"/>
    </sheetView>
  </sheetViews>
  <sheetFormatPr defaultRowHeight="12.75"/>
  <cols>
    <col min="1" max="1" customWidth="true" style="85" width="24.7109375" collapsed="false"/>
    <col min="2" max="2" customWidth="true" style="406" width="39.85546875" collapsed="false"/>
    <col min="3" max="3" customWidth="true" style="85" width="20.7109375" collapsed="false"/>
    <col min="4" max="5" style="85" width="9.140625" collapsed="false"/>
    <col min="6" max="6" customWidth="true" style="85" width="22.7109375" collapsed="false"/>
    <col min="7" max="16384" style="85" width="9.140625" collapsed="false"/>
  </cols>
  <sheetData>
    <row r="1" spans="1:9">
      <c r="B1" s="52"/>
      <c r="C1" s="52" t="s">
        <v>1893</v>
      </c>
    </row>
    <row r="2" spans="1:9">
      <c r="A2" s="1812" t="s">
        <v>2353</v>
      </c>
      <c r="B2" s="1812"/>
      <c r="C2" s="1812"/>
      <c r="G2" s="54"/>
    </row>
    <row customFormat="1" r="3" s="406" spans="1:9">
      <c r="C3" s="567"/>
      <c r="G3" s="54"/>
    </row>
    <row customFormat="1" customHeight="1" ht="17.25" r="4" s="406" spans="1:9">
      <c r="A4" s="1809" t="str">
        <f>"Байгууллагын нэр: "&amp;ЧХ!C$7</f>
        <v xml:space="preserve">Байгууллагын нэр: </v>
      </c>
      <c r="B4" s="1809"/>
      <c r="C4" s="1809"/>
      <c r="G4" s="54"/>
    </row>
    <row customFormat="1" r="5" s="406" spans="1:9">
      <c r="A5" s="1105" t="str">
        <f>"Тайлант он: "&amp;ЧХ!$C$8</f>
        <v xml:space="preserve">Тайлант он: </v>
      </c>
      <c r="G5" s="54"/>
    </row>
    <row customFormat="1" r="6" s="406" spans="1:9">
      <c r="B6" s="69"/>
      <c r="G6" s="54"/>
    </row>
    <row customHeight="1" ht="40.5" r="7" spans="1:9">
      <c r="A7" s="1777" t="s">
        <v>1894</v>
      </c>
      <c r="B7" s="1777"/>
      <c r="C7" s="1777"/>
      <c r="G7" s="550"/>
    </row>
    <row customHeight="1" ht="52.5" r="8" spans="1:9">
      <c r="A8" s="1670" t="s">
        <v>1886</v>
      </c>
      <c r="B8" s="1672"/>
      <c r="C8" s="80" t="s">
        <v>2211</v>
      </c>
      <c r="F8" s="88"/>
      <c r="G8" s="88"/>
      <c r="H8" s="88"/>
      <c r="I8" s="432"/>
    </row>
    <row customHeight="1" ht="41.25" r="9" spans="1:9">
      <c r="A9" s="1670" t="s">
        <v>3502</v>
      </c>
      <c r="B9" s="1672"/>
      <c r="C9" s="15">
        <v>0</v>
      </c>
      <c r="F9" s="88"/>
      <c r="G9" s="88"/>
      <c r="H9" s="88"/>
      <c r="I9" s="432"/>
    </row>
    <row customHeight="1" ht="34.5" r="10" spans="1:9">
      <c r="A10" s="1670" t="s">
        <v>3503</v>
      </c>
      <c r="B10" s="1672"/>
      <c r="C10" s="15">
        <v>0</v>
      </c>
      <c r="F10" s="88"/>
      <c r="G10" s="88"/>
      <c r="H10" s="88"/>
      <c r="I10" s="432"/>
    </row>
    <row customHeight="1" ht="29.25" r="11" spans="1:9">
      <c r="A11" s="1670" t="s">
        <v>1501</v>
      </c>
      <c r="B11" s="1672"/>
      <c r="C11" s="15">
        <v>0</v>
      </c>
      <c r="F11" s="88"/>
      <c r="G11" s="88"/>
      <c r="H11" s="88"/>
      <c r="I11" s="432"/>
    </row>
    <row customHeight="1" ht="48" r="12" spans="1:9">
      <c r="A12" s="1670" t="s">
        <v>3504</v>
      </c>
      <c r="B12" s="1672"/>
      <c r="C12" s="15">
        <v>0</v>
      </c>
      <c r="F12" s="88"/>
      <c r="G12" s="88"/>
      <c r="H12" s="88"/>
      <c r="I12" s="432"/>
    </row>
    <row customHeight="1" ht="41.25" r="13" spans="1:9">
      <c r="A13" s="1670" t="s">
        <v>1502</v>
      </c>
      <c r="B13" s="1672"/>
      <c r="C13" s="1480">
        <v>0</v>
      </c>
      <c r="F13" s="88"/>
      <c r="G13" s="88"/>
      <c r="H13" s="88"/>
      <c r="I13" s="432"/>
    </row>
    <row customFormat="1" customHeight="1" ht="39" r="14" s="406" spans="1:9">
      <c r="A14" s="1670" t="s">
        <v>3505</v>
      </c>
      <c r="B14" s="1672"/>
      <c r="C14" s="1480">
        <v>0</v>
      </c>
      <c r="F14" s="88"/>
      <c r="G14" s="88"/>
      <c r="H14" s="88"/>
      <c r="I14" s="432"/>
    </row>
    <row customFormat="1" customHeight="1" ht="19.5" r="15" s="406" spans="1:9">
      <c r="C15" s="1484"/>
      <c r="F15" s="88"/>
      <c r="G15" s="88"/>
      <c r="H15" s="88"/>
      <c r="I15" s="432"/>
    </row>
    <row customFormat="1" r="16" s="406" spans="1:9"/>
    <row r="17" spans="1:3">
      <c r="A17" s="551" t="s">
        <v>1897</v>
      </c>
      <c r="B17" s="551"/>
      <c r="C17" s="551"/>
    </row>
    <row customFormat="1" r="18" s="406" spans="1:3">
      <c r="A18" s="551"/>
      <c r="B18" s="551"/>
      <c r="C18" s="551"/>
    </row>
    <row r="19" spans="1:3">
      <c r="A19" s="406">
        <f>+ЧХ!$C$15</f>
        <v>0</v>
      </c>
      <c r="B19" s="539">
        <f>+ЧХ!$C$16</f>
        <v>0</v>
      </c>
      <c r="C19" s="539" t="s">
        <v>1777</v>
      </c>
    </row>
    <row r="20" spans="1:3">
      <c r="A20" s="406"/>
      <c r="B20" s="539"/>
      <c r="C20" s="539"/>
    </row>
    <row r="21" spans="1:3">
      <c r="A21" s="551" t="s">
        <v>1873</v>
      </c>
      <c r="C21" s="539"/>
    </row>
    <row customFormat="1" r="22" s="406" spans="1:3">
      <c r="A22" s="551"/>
      <c r="C22" s="539"/>
    </row>
    <row r="23" spans="1:3">
      <c r="A23" s="406" t="str">
        <f>+ЧХ!$B$6</f>
        <v>Аудитын менежер</v>
      </c>
      <c r="B23" s="539">
        <f>+ЧХ!$C$6</f>
        <v>0</v>
      </c>
      <c r="C23" s="539" t="s">
        <v>1777</v>
      </c>
    </row>
    <row r="24" spans="1:3">
      <c r="A24" s="406"/>
      <c r="B24" s="539"/>
      <c r="C24" s="539"/>
    </row>
    <row r="25" spans="1:3">
      <c r="A25" s="551" t="s">
        <v>2035</v>
      </c>
      <c r="C25" s="539"/>
    </row>
    <row customFormat="1" r="26" s="406" spans="1:3">
      <c r="A26" s="551"/>
      <c r="C26" s="539"/>
    </row>
    <row r="27" spans="1:3">
      <c r="A27" s="406" t="str">
        <f>+ЧХ!$B$5</f>
        <v>Тэргүүлэх аудитор</v>
      </c>
      <c r="B27" s="540" t="str">
        <f>+ЧХ!$C$5</f>
        <v>С.Энхбаатар</v>
      </c>
      <c r="C27" s="539" t="s">
        <v>1777</v>
      </c>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allowBlank="1" showErrorMessage="1" showInputMessage="1" sqref="C9:C14" type="list">
      <formula1>"1, 0"</formula1>
    </dataValidation>
  </dataValidations>
  <pageMargins bottom="0.75" footer="0.3" header="0.3" left="0.7" right="0.7" top="0.75"/>
  <pageSetup orientation="portrait"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5"/>
  <sheetViews>
    <sheetView workbookViewId="0">
      <selection activeCell="C23" sqref="C23"/>
    </sheetView>
  </sheetViews>
  <sheetFormatPr defaultRowHeight="12.75"/>
  <cols>
    <col min="1" max="1" customWidth="true" style="85" width="24.7109375" collapsed="false"/>
    <col min="2" max="2" customWidth="true" style="406" width="39.85546875" collapsed="false"/>
    <col min="3" max="3" customWidth="true" style="85" width="20.7109375" collapsed="false"/>
    <col min="4" max="16384" style="85" width="9.140625" collapsed="false"/>
  </cols>
  <sheetData>
    <row customFormat="1" r="1" s="406" spans="1:7">
      <c r="C1" s="52" t="s">
        <v>1895</v>
      </c>
    </row>
    <row customFormat="1" r="2" s="406" spans="1:7">
      <c r="A2" s="1812" t="s">
        <v>2352</v>
      </c>
      <c r="B2" s="1812"/>
      <c r="C2" s="1812"/>
      <c r="D2" s="568"/>
    </row>
    <row customFormat="1" r="3" s="406" spans="1:7">
      <c r="D3" s="567"/>
    </row>
    <row customFormat="1" customHeight="1" ht="18.75" r="4" s="406" spans="1:7">
      <c r="A4" s="1809" t="str">
        <f>"Байгууллагын нэр: "&amp;ЧХ!C$7</f>
        <v xml:space="preserve">Байгууллагын нэр: </v>
      </c>
      <c r="B4" s="1809"/>
      <c r="C4" s="1809"/>
    </row>
    <row r="5" spans="1:7">
      <c r="A5" s="1105" t="str">
        <f>"Тайлант он: "&amp;ЧХ!$C$8</f>
        <v xml:space="preserve">Тайлант он: </v>
      </c>
      <c r="C5" s="406"/>
    </row>
    <row customFormat="1" r="6" s="406" spans="1:7">
      <c r="B6" s="69"/>
    </row>
    <row customHeight="1" ht="42.75" r="7" spans="1:7">
      <c r="A7" s="1754" t="s">
        <v>1896</v>
      </c>
      <c r="B7" s="1754"/>
      <c r="C7" s="1754"/>
    </row>
    <row customHeight="1" ht="50.25" r="8" spans="1:7">
      <c r="A8" s="1670" t="s">
        <v>1886</v>
      </c>
      <c r="B8" s="1672"/>
      <c r="C8" s="435" t="s">
        <v>2211</v>
      </c>
    </row>
    <row customHeight="1" ht="33.75" r="9" spans="1:7">
      <c r="A9" s="1670" t="s">
        <v>1508</v>
      </c>
      <c r="B9" s="1672"/>
      <c r="C9" s="15">
        <v>0</v>
      </c>
    </row>
    <row customHeight="1" ht="29.25" r="10" spans="1:7">
      <c r="A10" s="1670" t="s">
        <v>3506</v>
      </c>
      <c r="B10" s="1672"/>
      <c r="C10" s="15">
        <v>0</v>
      </c>
    </row>
    <row customHeight="1" ht="30.75" r="11" spans="1:7">
      <c r="A11" s="1670" t="s">
        <v>1509</v>
      </c>
      <c r="B11" s="1672"/>
      <c r="C11" s="15">
        <v>0</v>
      </c>
    </row>
    <row customHeight="1" ht="31.5" r="12" spans="1:7">
      <c r="A12" s="1670" t="s">
        <v>3507</v>
      </c>
      <c r="B12" s="1672"/>
      <c r="C12" s="15">
        <v>0</v>
      </c>
    </row>
    <row customHeight="1" ht="27.75" r="13" spans="1:7">
      <c r="A13" s="1670" t="s">
        <v>3508</v>
      </c>
      <c r="B13" s="1672"/>
      <c r="C13" s="15">
        <v>0</v>
      </c>
    </row>
    <row customHeight="1" ht="21.75" r="14" spans="1:7">
      <c r="A14" s="1670" t="s">
        <v>3509</v>
      </c>
      <c r="B14" s="1672"/>
      <c r="C14" s="15">
        <v>0</v>
      </c>
    </row>
    <row customHeight="1" ht="27.75" r="15" spans="1:7">
      <c r="A15" s="1670" t="s">
        <v>3510</v>
      </c>
      <c r="B15" s="1672"/>
      <c r="C15" s="15">
        <v>0</v>
      </c>
      <c r="G15" s="1"/>
    </row>
    <row customHeight="1" ht="36.75" r="16" spans="1:7">
      <c r="A16" s="1670" t="s">
        <v>3511</v>
      </c>
      <c r="B16" s="1672"/>
      <c r="C16" s="15">
        <v>0</v>
      </c>
    </row>
    <row customHeight="1" ht="26.25" r="17" spans="1:3">
      <c r="A17" s="1670" t="s">
        <v>3512</v>
      </c>
      <c r="B17" s="1672"/>
      <c r="C17" s="15">
        <v>0</v>
      </c>
    </row>
    <row customHeight="1" ht="32.25" r="18" spans="1:3">
      <c r="A18" s="1670" t="s">
        <v>3513</v>
      </c>
      <c r="B18" s="1672"/>
      <c r="C18" s="15">
        <v>0</v>
      </c>
    </row>
    <row customHeight="1" ht="32.25" r="19" spans="1:3">
      <c r="A19" s="1670" t="s">
        <v>1510</v>
      </c>
      <c r="B19" s="1672"/>
      <c r="C19" s="15">
        <v>0</v>
      </c>
    </row>
    <row customHeight="1" ht="28.5" r="20" spans="1:3">
      <c r="A20" s="1670" t="s">
        <v>1511</v>
      </c>
      <c r="B20" s="1672"/>
      <c r="C20" s="15">
        <v>0</v>
      </c>
    </row>
    <row customHeight="1" ht="17.25" r="21" spans="1:3">
      <c r="A21" s="1670" t="s">
        <v>1512</v>
      </c>
      <c r="B21" s="1672"/>
      <c r="C21" s="15">
        <v>0</v>
      </c>
    </row>
    <row r="22" spans="1:3">
      <c r="C22" s="1484"/>
    </row>
    <row r="23" spans="1:3">
      <c r="A23" s="551" t="s">
        <v>1897</v>
      </c>
      <c r="B23" s="551"/>
      <c r="C23" s="551"/>
    </row>
    <row r="24" spans="1:3">
      <c r="A24" s="551"/>
      <c r="B24" s="551"/>
      <c r="C24" s="551"/>
    </row>
    <row r="25" spans="1:3">
      <c r="A25" s="406">
        <f>+ЧХ!$C$15</f>
        <v>0</v>
      </c>
      <c r="B25" s="539">
        <f>+ЧХ!$C$16</f>
        <v>0</v>
      </c>
      <c r="C25" s="539" t="s">
        <v>1777</v>
      </c>
    </row>
    <row r="26" spans="1:3">
      <c r="A26" s="551" t="s">
        <v>1873</v>
      </c>
      <c r="C26" s="539"/>
    </row>
    <row r="27" spans="1:3">
      <c r="A27" s="406" t="str">
        <f>+ЧХ!$B$6</f>
        <v>Аудитын менежер</v>
      </c>
      <c r="B27" s="539">
        <f>+ЧХ!$C$6</f>
        <v>0</v>
      </c>
      <c r="C27" s="539" t="s">
        <v>1777</v>
      </c>
    </row>
    <row r="28" spans="1:3">
      <c r="A28" s="551" t="s">
        <v>2035</v>
      </c>
      <c r="C28" s="539"/>
    </row>
    <row r="29" spans="1:3">
      <c r="A29" s="551"/>
      <c r="C29" s="539"/>
    </row>
    <row r="30" spans="1:3">
      <c r="A30" s="406" t="str">
        <f>+ЧХ!$B$5</f>
        <v>Тэргүүлэх аудитор</v>
      </c>
      <c r="B30" s="540" t="str">
        <f>+ЧХ!$C$5</f>
        <v>С.Энхбаатар</v>
      </c>
      <c r="C30" s="539" t="s">
        <v>1777</v>
      </c>
    </row>
    <row r="32" spans="1:3">
      <c r="A32" s="406" t="str">
        <f>+ЧХ!$B$6&amp;"ийн санал: ………………………………………………………………………………………"</f>
        <v>Аудитын менежерийн санал: ………………………………………………………………………………………</v>
      </c>
    </row>
    <row customFormat="1" r="33" s="85" spans="1:1">
      <c r="A33" s="406"/>
    </row>
    <row customFormat="1" r="34" s="85" spans="1:1">
      <c r="A34" s="406"/>
    </row>
    <row customFormat="1" r="35" s="85" spans="1:1">
      <c r="A35" s="406" t="str">
        <f>+ЧХ!$B$5&amp;"ын санал: ..........................................................................................................."</f>
        <v>Тэргүүлэх аудиторын санал: ...........................................................................................................</v>
      </c>
    </row>
  </sheetData>
  <mergeCells count="17">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 ref="A4:C4"/>
  </mergeCells>
  <dataValidations count="1">
    <dataValidation allowBlank="1" showErrorMessage="1" showInputMessage="1" sqref="C9:C21" type="list">
      <formula1>"1, 0"</formula1>
    </dataValidation>
  </dataValidations>
  <pageMargins bottom="0.75" footer="0.3" header="0.3" left="0.7" right="0.7" top="0.75"/>
  <pageSetup orientation="portrait"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4"/>
  <sheetViews>
    <sheetView workbookViewId="0">
      <selection activeCell="I14" sqref="I14"/>
    </sheetView>
  </sheetViews>
  <sheetFormatPr defaultRowHeight="12.75"/>
  <cols>
    <col min="1" max="1" customWidth="true" style="85" width="28.28515625" collapsed="false"/>
    <col min="2" max="2" customWidth="true" style="406" width="43.42578125" collapsed="false"/>
    <col min="3" max="3" customWidth="true" style="85" width="20.7109375" collapsed="false"/>
    <col min="4" max="16384" style="85" width="9.140625" collapsed="false"/>
  </cols>
  <sheetData>
    <row customFormat="1" r="1" s="406" spans="1:7">
      <c r="C1" s="52" t="s">
        <v>2354</v>
      </c>
    </row>
    <row customFormat="1" r="2" s="406" spans="1:7">
      <c r="A2" s="1812" t="s">
        <v>2355</v>
      </c>
      <c r="B2" s="1812"/>
      <c r="C2" s="1812"/>
    </row>
    <row customFormat="1" r="3" s="406" spans="1:7">
      <c r="A3" s="1106"/>
      <c r="B3" s="1106"/>
      <c r="C3" s="1106"/>
    </row>
    <row customFormat="1" customHeight="1" ht="15" r="4" s="406" spans="1:7">
      <c r="A4" s="1809" t="str">
        <f>"Байгууллагын нэр: "&amp;ЧХ!C$7</f>
        <v xml:space="preserve">Байгууллагын нэр: </v>
      </c>
      <c r="B4" s="1809"/>
      <c r="C4" s="1809"/>
    </row>
    <row customFormat="1" r="5" s="406" spans="1:7">
      <c r="A5" s="1105" t="str">
        <f>"Тайлант он: "&amp;ЧХ!$C$8</f>
        <v xml:space="preserve">Тайлант он: </v>
      </c>
      <c r="B5" s="69"/>
    </row>
    <row customFormat="1" r="6" s="406" spans="1:7">
      <c r="A6" s="559"/>
      <c r="B6" s="69"/>
    </row>
    <row customHeight="1" ht="39" r="7" spans="1:7">
      <c r="A7" s="1813" t="s">
        <v>1898</v>
      </c>
      <c r="B7" s="1813"/>
      <c r="C7" s="1813"/>
      <c r="G7" s="54"/>
    </row>
    <row ht="51" r="8" spans="1:7">
      <c r="A8" s="1754" t="s">
        <v>1886</v>
      </c>
      <c r="B8" s="1754"/>
      <c r="C8" s="544" t="s">
        <v>2211</v>
      </c>
    </row>
    <row customHeight="1" ht="38.25" r="9" spans="1:7">
      <c r="A9" s="1754" t="s">
        <v>1523</v>
      </c>
      <c r="B9" s="1754"/>
      <c r="C9" s="15">
        <v>0</v>
      </c>
    </row>
    <row customHeight="1" ht="38.25" r="10" spans="1:7">
      <c r="A10" s="1754" t="s">
        <v>1524</v>
      </c>
      <c r="B10" s="1754"/>
      <c r="C10" s="15">
        <v>0</v>
      </c>
    </row>
    <row customHeight="1" ht="42" r="11" spans="1:7">
      <c r="A11" s="1754" t="s">
        <v>1525</v>
      </c>
      <c r="B11" s="1754"/>
      <c r="C11" s="15">
        <v>0</v>
      </c>
    </row>
    <row customHeight="1" ht="39.75" r="12" spans="1:7">
      <c r="A12" s="1754" t="s">
        <v>1526</v>
      </c>
      <c r="B12" s="1754"/>
      <c r="C12" s="15">
        <v>0</v>
      </c>
    </row>
    <row customHeight="1" ht="41.25" r="13" spans="1:7">
      <c r="A13" s="1754" t="s">
        <v>1527</v>
      </c>
      <c r="B13" s="1754"/>
      <c r="C13" s="15">
        <v>0</v>
      </c>
    </row>
    <row customHeight="1" ht="32.25" r="14" spans="1:7">
      <c r="A14" s="1754" t="s">
        <v>3514</v>
      </c>
      <c r="B14" s="1754"/>
      <c r="C14" s="15">
        <v>0</v>
      </c>
    </row>
    <row customHeight="1" ht="49.5" r="15" spans="1:7">
      <c r="A15" s="1754" t="s">
        <v>1528</v>
      </c>
      <c r="B15" s="1754"/>
      <c r="C15" s="15">
        <v>0</v>
      </c>
    </row>
    <row customHeight="1" ht="33.75" r="16" spans="1:7">
      <c r="A16" s="1754" t="s">
        <v>1529</v>
      </c>
      <c r="B16" s="1754"/>
      <c r="C16" s="15">
        <v>0</v>
      </c>
    </row>
    <row customHeight="1" ht="36" r="17" spans="1:7">
      <c r="A17" s="1754" t="s">
        <v>3515</v>
      </c>
      <c r="B17" s="1754"/>
      <c r="C17" s="15">
        <v>0</v>
      </c>
      <c r="G17" s="1"/>
    </row>
    <row customHeight="1" ht="32.25" r="18" spans="1:7">
      <c r="A18" s="1754" t="s">
        <v>1530</v>
      </c>
      <c r="B18" s="1754"/>
      <c r="C18" s="15">
        <v>0</v>
      </c>
    </row>
    <row customHeight="1" ht="24.75" r="19" spans="1:7">
      <c r="A19" s="1754" t="s">
        <v>3516</v>
      </c>
      <c r="B19" s="1754"/>
      <c r="C19" s="15">
        <v>0</v>
      </c>
    </row>
    <row customHeight="1" ht="42.75" r="20" spans="1:7">
      <c r="A20" s="1754" t="s">
        <v>3517</v>
      </c>
      <c r="B20" s="1754"/>
      <c r="C20" s="15">
        <v>0</v>
      </c>
    </row>
    <row customHeight="1" ht="31.5" r="21" spans="1:7">
      <c r="A21" s="1754" t="s">
        <v>3518</v>
      </c>
      <c r="B21" s="1754"/>
      <c r="C21" s="15">
        <v>0</v>
      </c>
    </row>
    <row r="22" spans="1:7">
      <c r="A22" s="91"/>
      <c r="B22" s="550"/>
      <c r="C22" s="1484"/>
    </row>
    <row r="23" spans="1:7">
      <c r="A23" s="551" t="s">
        <v>1897</v>
      </c>
      <c r="B23" s="551"/>
      <c r="C23" s="551"/>
    </row>
    <row r="24" spans="1:7">
      <c r="A24" s="551"/>
      <c r="B24" s="551"/>
      <c r="C24" s="551"/>
    </row>
    <row r="25" spans="1:7">
      <c r="A25" s="406">
        <f>+ЧХ!$C$15</f>
        <v>0</v>
      </c>
      <c r="B25" s="539">
        <f>+ЧХ!$C$16</f>
        <v>0</v>
      </c>
      <c r="C25" s="539" t="s">
        <v>1777</v>
      </c>
    </row>
    <row r="26" spans="1:7">
      <c r="A26" s="551" t="s">
        <v>1873</v>
      </c>
      <c r="C26" s="539"/>
    </row>
    <row r="27" spans="1:7">
      <c r="A27" s="406" t="str">
        <f>+ЧХ!$B$6</f>
        <v>Аудитын менежер</v>
      </c>
      <c r="B27" s="539">
        <f>+ЧХ!$C$6</f>
        <v>0</v>
      </c>
      <c r="C27" s="539" t="s">
        <v>1777</v>
      </c>
    </row>
    <row r="28" spans="1:7">
      <c r="A28" s="551" t="s">
        <v>2035</v>
      </c>
      <c r="C28" s="539"/>
    </row>
    <row r="29" spans="1:7">
      <c r="A29" s="406" t="str">
        <f>+ЧХ!$B$5</f>
        <v>Тэргүүлэх аудитор</v>
      </c>
      <c r="B29" s="540" t="str">
        <f>+ЧХ!$C$5</f>
        <v>С.Энхбаатар</v>
      </c>
      <c r="C29" s="539" t="s">
        <v>1777</v>
      </c>
    </row>
    <row r="31" spans="1:7">
      <c r="A31" s="406" t="str">
        <f>+ЧХ!$B$6&amp;"ийн санал: ………………………………………………………………………………………"</f>
        <v>Аудитын менежерийн санал: ………………………………………………………………………………………</v>
      </c>
    </row>
    <row r="32" spans="1:7">
      <c r="A32" s="406"/>
    </row>
    <row customFormat="1" r="33" s="85" spans="1:1">
      <c r="A33" s="406"/>
    </row>
    <row customFormat="1" r="34" s="85" spans="1:1">
      <c r="A34" s="406" t="str">
        <f>+ЧХ!$B$5&amp;"ын санал: ..........................................................................................................."</f>
        <v>Тэргүүлэх аудиторын санал: ...........................................................................................................</v>
      </c>
    </row>
  </sheetData>
  <mergeCells count="17">
    <mergeCell ref="A21:B21"/>
    <mergeCell ref="A12:B12"/>
    <mergeCell ref="A13:B13"/>
    <mergeCell ref="A14:B14"/>
    <mergeCell ref="A15:B15"/>
    <mergeCell ref="A16:B16"/>
    <mergeCell ref="A2:C2"/>
    <mergeCell ref="A17:B17"/>
    <mergeCell ref="A18:B18"/>
    <mergeCell ref="A19:B19"/>
    <mergeCell ref="A20:B20"/>
    <mergeCell ref="A7:C7"/>
    <mergeCell ref="A8:B8"/>
    <mergeCell ref="A9:B9"/>
    <mergeCell ref="A10:B10"/>
    <mergeCell ref="A11:B11"/>
    <mergeCell ref="A4:C4"/>
  </mergeCells>
  <dataValidations count="1">
    <dataValidation allowBlank="1" showErrorMessage="1" showInputMessage="1" sqref="C9:C21" type="list">
      <formula1>"1, 0"</formula1>
    </dataValidation>
  </dataValidations>
  <pageMargins bottom="0.75" footer="0.3" header="0.3" left="0.7" right="0.7" top="0.75"/>
  <pageSetup orientation="portrait" r:id="rId1" scale="9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customWidth="true" style="406" width="28.28515625" collapsed="false"/>
    <col min="2" max="2" customWidth="true" style="406" width="40.85546875" collapsed="false"/>
    <col min="3" max="3" customWidth="true" style="406" width="20.7109375" collapsed="false"/>
    <col min="4" max="16384" style="406" width="9.140625" collapsed="false"/>
  </cols>
  <sheetData>
    <row r="1" spans="1:7">
      <c r="C1" s="52" t="s">
        <v>2356</v>
      </c>
    </row>
    <row r="2" spans="1:7">
      <c r="A2" s="1812" t="s">
        <v>2357</v>
      </c>
      <c r="B2" s="1812"/>
      <c r="C2" s="1812"/>
    </row>
    <row r="3" spans="1:7">
      <c r="A3" s="567"/>
      <c r="B3" s="567"/>
      <c r="C3" s="567"/>
    </row>
    <row customHeight="1" ht="15" r="4" spans="1:7">
      <c r="A4" s="1809" t="str">
        <f>"Байгууллагын нэр: "&amp;ЧХ!C$7</f>
        <v xml:space="preserve">Байгууллагын нэр: </v>
      </c>
      <c r="B4" s="1809"/>
      <c r="C4" s="1809"/>
    </row>
    <row r="5" spans="1:7">
      <c r="A5" s="1089" t="str">
        <f>"Тайлант он: "&amp;ЧХ!$C$8</f>
        <v xml:space="preserve">Тайлант он: </v>
      </c>
      <c r="B5" s="69"/>
    </row>
    <row r="6" spans="1:7">
      <c r="A6" s="559"/>
      <c r="B6" s="69"/>
    </row>
    <row customHeight="1" ht="44.25" r="7" spans="1:7">
      <c r="A7" s="1813" t="s">
        <v>1899</v>
      </c>
      <c r="B7" s="1813"/>
      <c r="C7" s="1813"/>
      <c r="G7" s="54"/>
    </row>
    <row ht="51" r="8" spans="1:7">
      <c r="A8" s="1670" t="s">
        <v>1886</v>
      </c>
      <c r="B8" s="1672"/>
      <c r="C8" s="544" t="s">
        <v>2211</v>
      </c>
    </row>
    <row customHeight="1" ht="26.25" r="9" spans="1:7">
      <c r="A9" s="1814" t="s">
        <v>1535</v>
      </c>
      <c r="B9" s="1815"/>
      <c r="C9" s="15">
        <v>0</v>
      </c>
    </row>
    <row customHeight="1" ht="26.25" r="10" spans="1:7">
      <c r="A10" s="1814" t="s">
        <v>3519</v>
      </c>
      <c r="B10" s="1815"/>
      <c r="C10" s="15">
        <v>0</v>
      </c>
    </row>
    <row customHeight="1" ht="27" r="11" spans="1:7">
      <c r="A11" s="1814" t="s">
        <v>3520</v>
      </c>
      <c r="B11" s="1815"/>
      <c r="C11" s="15">
        <v>0</v>
      </c>
    </row>
    <row customHeight="1" ht="29.25" r="12" spans="1:7">
      <c r="A12" s="1814" t="s">
        <v>3521</v>
      </c>
      <c r="B12" s="1815"/>
      <c r="C12" s="15">
        <v>0</v>
      </c>
    </row>
    <row customHeight="1" ht="27.75" r="13" spans="1:7">
      <c r="A13" s="1814" t="s">
        <v>3522</v>
      </c>
      <c r="B13" s="1815"/>
      <c r="C13" s="15">
        <v>0</v>
      </c>
    </row>
    <row r="14" spans="1:7">
      <c r="A14" s="1814" t="s">
        <v>3523</v>
      </c>
      <c r="B14" s="1815"/>
      <c r="C14" s="15">
        <v>0</v>
      </c>
    </row>
    <row customHeight="1" ht="33.75" r="15" spans="1:7">
      <c r="A15" s="1814" t="s">
        <v>3525</v>
      </c>
      <c r="B15" s="1815"/>
      <c r="C15" s="15">
        <v>0</v>
      </c>
    </row>
    <row customHeight="1" ht="27.75" r="16" spans="1:7">
      <c r="A16" s="1814" t="s">
        <v>1536</v>
      </c>
      <c r="B16" s="1815"/>
      <c r="C16" s="15">
        <v>0</v>
      </c>
      <c r="G16" s="1"/>
    </row>
    <row customHeight="1" ht="32.25" r="17" spans="1:5">
      <c r="A17" s="1814" t="s">
        <v>1537</v>
      </c>
      <c r="B17" s="1815"/>
      <c r="C17" s="15">
        <v>0</v>
      </c>
    </row>
    <row customHeight="1" ht="27.75" r="18" spans="1:5">
      <c r="A18" s="1814" t="s">
        <v>3524</v>
      </c>
      <c r="B18" s="1815"/>
      <c r="C18" s="15">
        <v>0</v>
      </c>
    </row>
    <row r="19" spans="1:5">
      <c r="A19" s="550"/>
      <c r="B19" s="550"/>
      <c r="C19" s="1484"/>
    </row>
    <row r="20" spans="1:5">
      <c r="A20" s="551" t="s">
        <v>1897</v>
      </c>
      <c r="B20" s="551"/>
      <c r="C20" s="551"/>
    </row>
    <row r="21" spans="1:5">
      <c r="A21" s="551"/>
      <c r="B21" s="551"/>
      <c r="C21" s="551"/>
    </row>
    <row r="22" spans="1:5">
      <c r="A22" s="406">
        <f>+ЧХ!$C$15</f>
        <v>0</v>
      </c>
      <c r="B22" s="539">
        <f>+ЧХ!$C$16</f>
        <v>0</v>
      </c>
      <c r="C22" s="539" t="s">
        <v>1777</v>
      </c>
    </row>
    <row r="23" spans="1:5">
      <c r="A23" s="551" t="s">
        <v>1873</v>
      </c>
      <c r="C23" s="539"/>
      <c r="D23" s="569"/>
      <c r="E23" s="569"/>
    </row>
    <row r="24" spans="1:5">
      <c r="A24" s="406" t="str">
        <f>+ЧХ!$B$6</f>
        <v>Аудитын менежер</v>
      </c>
      <c r="B24" s="539">
        <f>+ЧХ!$C$6</f>
        <v>0</v>
      </c>
      <c r="C24" s="539" t="s">
        <v>1777</v>
      </c>
    </row>
    <row r="25" spans="1:5">
      <c r="A25" s="551" t="s">
        <v>2035</v>
      </c>
      <c r="C25" s="539"/>
    </row>
    <row r="26" spans="1:5">
      <c r="A26" s="406" t="str">
        <f>+ЧХ!$B$5</f>
        <v>Тэргүүлэх аудитор</v>
      </c>
      <c r="B26" s="540" t="str">
        <f>+ЧХ!$C$5</f>
        <v>С.Энхбаатар</v>
      </c>
      <c r="C26" s="539" t="s">
        <v>1777</v>
      </c>
    </row>
    <row r="28" spans="1:5">
      <c r="A28" s="406" t="str">
        <f>+ЧХ!$B$6&amp;"ийн санал: ………………………………………………………………………………………"</f>
        <v>Аудитын менежерийн санал: ………………………………………………………………………………………</v>
      </c>
    </row>
    <row r="31" spans="1:5">
      <c r="A31" s="406"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3"/>
  <sheetViews>
    <sheetView workbookViewId="0">
      <selection activeCell="I7" sqref="I7"/>
    </sheetView>
  </sheetViews>
  <sheetFormatPr defaultRowHeight="12.75"/>
  <cols>
    <col min="1" max="1" customWidth="true" style="85" width="28.28515625" collapsed="false"/>
    <col min="2" max="2" customWidth="true" style="406" width="38.7109375" collapsed="false"/>
    <col min="3" max="3" customWidth="true" style="85" width="20.7109375" collapsed="false"/>
    <col min="4" max="16384" style="85" width="9.140625" collapsed="false"/>
  </cols>
  <sheetData>
    <row customFormat="1" r="1" s="406" spans="1:3">
      <c r="C1" s="52" t="s">
        <v>1900</v>
      </c>
    </row>
    <row customFormat="1" r="2" s="406" spans="1:3">
      <c r="A2" s="1812" t="s">
        <v>2358</v>
      </c>
      <c r="B2" s="1812"/>
      <c r="C2" s="1812"/>
    </row>
    <row customFormat="1" r="3" s="406" spans="1:3">
      <c r="A3" s="567"/>
      <c r="B3" s="567"/>
      <c r="C3" s="567"/>
    </row>
    <row customFormat="1" customHeight="1" ht="24" r="4" s="550" spans="1:3">
      <c r="A4" s="1809" t="str">
        <f>"Байгууллагын нэр: "&amp;ЧХ!C$7</f>
        <v xml:space="preserve">Байгууллагын нэр: </v>
      </c>
      <c r="B4" s="1809"/>
      <c r="C4" s="1809"/>
    </row>
    <row customFormat="1" r="5" s="406" spans="1:3">
      <c r="A5" s="1089" t="str">
        <f>"Тайлант он: "&amp;ЧХ!$C$8</f>
        <v xml:space="preserve">Тайлант он: </v>
      </c>
      <c r="B5" s="69"/>
    </row>
    <row customFormat="1" r="6" s="406" spans="1:3">
      <c r="A6" s="559"/>
      <c r="B6" s="69"/>
    </row>
    <row customHeight="1" ht="42" r="7" spans="1:3">
      <c r="A7" s="1670" t="s">
        <v>1901</v>
      </c>
      <c r="B7" s="1671"/>
      <c r="C7" s="1672"/>
    </row>
    <row ht="51" r="8" spans="1:3">
      <c r="A8" s="1670" t="s">
        <v>1886</v>
      </c>
      <c r="B8" s="1672"/>
      <c r="C8" s="544" t="s">
        <v>2211</v>
      </c>
    </row>
    <row customHeight="1" ht="30.75" r="9" spans="1:3">
      <c r="A9" s="1814" t="s">
        <v>3526</v>
      </c>
      <c r="B9" s="1815"/>
      <c r="C9" s="15">
        <v>0</v>
      </c>
    </row>
    <row customHeight="1" ht="14.25" r="10" spans="1:3">
      <c r="A10" s="1814" t="s">
        <v>3527</v>
      </c>
      <c r="B10" s="1815"/>
      <c r="C10" s="15">
        <v>0</v>
      </c>
    </row>
    <row customHeight="1" ht="16.5" r="11" spans="1:3">
      <c r="A11" s="1814" t="s">
        <v>3528</v>
      </c>
      <c r="B11" s="1815"/>
      <c r="C11" s="15">
        <v>0</v>
      </c>
    </row>
    <row r="12" spans="1:3">
      <c r="A12" s="1814" t="s">
        <v>3529</v>
      </c>
      <c r="B12" s="1815"/>
      <c r="C12" s="15">
        <v>0</v>
      </c>
    </row>
    <row r="13" spans="1:3">
      <c r="A13" s="1814" t="s">
        <v>3530</v>
      </c>
      <c r="B13" s="1815"/>
      <c r="C13" s="15">
        <v>0</v>
      </c>
    </row>
    <row r="14" spans="1:3">
      <c r="A14" s="1814" t="s">
        <v>1948</v>
      </c>
      <c r="B14" s="1815"/>
      <c r="C14" s="15">
        <v>0</v>
      </c>
    </row>
    <row customHeight="1" ht="26.25" r="15" spans="1:3">
      <c r="A15" s="1814" t="s">
        <v>3531</v>
      </c>
      <c r="B15" s="1815"/>
      <c r="C15" s="15">
        <v>0</v>
      </c>
    </row>
    <row customHeight="1" ht="16.5" r="16" spans="1:3">
      <c r="A16" s="1814" t="s">
        <v>3532</v>
      </c>
      <c r="B16" s="1815"/>
      <c r="C16" s="15">
        <v>0</v>
      </c>
    </row>
    <row customHeight="1" ht="15.75" r="17" spans="1:3">
      <c r="A17" s="1814" t="s">
        <v>3533</v>
      </c>
      <c r="B17" s="1815"/>
      <c r="C17" s="15">
        <v>0</v>
      </c>
    </row>
    <row customHeight="1" ht="17.25" r="18" spans="1:3">
      <c r="A18" s="1814" t="s">
        <v>3534</v>
      </c>
      <c r="B18" s="1815"/>
      <c r="C18" s="15">
        <v>0</v>
      </c>
    </row>
    <row r="19" spans="1:3">
      <c r="A19" s="91"/>
      <c r="B19" s="550"/>
      <c r="C19" s="1484"/>
    </row>
    <row r="22" spans="1:3">
      <c r="A22" s="551" t="s">
        <v>1897</v>
      </c>
      <c r="B22" s="551"/>
      <c r="C22" s="551"/>
    </row>
    <row r="23" spans="1:3">
      <c r="A23" s="551"/>
      <c r="B23" s="551"/>
      <c r="C23" s="551"/>
    </row>
    <row r="24" spans="1:3">
      <c r="A24" s="406">
        <f>+ЧХ!$C$15</f>
        <v>0</v>
      </c>
      <c r="B24" s="539">
        <f>+ЧХ!$C$16</f>
        <v>0</v>
      </c>
      <c r="C24" s="539" t="s">
        <v>1777</v>
      </c>
    </row>
    <row r="25" spans="1:3">
      <c r="A25" s="551" t="s">
        <v>1873</v>
      </c>
      <c r="C25" s="539"/>
    </row>
    <row r="26" spans="1:3">
      <c r="A26" s="406" t="str">
        <f>+ЧХ!$B$6</f>
        <v>Аудитын менежер</v>
      </c>
      <c r="B26" s="539">
        <f>+ЧХ!$C$6</f>
        <v>0</v>
      </c>
      <c r="C26" s="539" t="s">
        <v>1777</v>
      </c>
    </row>
    <row r="27" spans="1:3">
      <c r="A27" s="551" t="s">
        <v>2035</v>
      </c>
      <c r="C27" s="539"/>
    </row>
    <row r="28" spans="1:3">
      <c r="A28" s="406" t="str">
        <f>+ЧХ!$B$5</f>
        <v>Тэргүүлэх аудитор</v>
      </c>
      <c r="B28" s="540" t="str">
        <f>+ЧХ!$C$5</f>
        <v>С.Энхбаатар</v>
      </c>
      <c r="C28" s="539" t="s">
        <v>1777</v>
      </c>
    </row>
    <row r="30" spans="1:3">
      <c r="A30" s="406" t="str">
        <f>+ЧХ!$B$6&amp;"ийн санал: ………………………………………………………………………………………"</f>
        <v>Аудитын менежерийн санал: ………………………………………………………………………………………</v>
      </c>
    </row>
    <row r="31" spans="1:3">
      <c r="A31" s="406"/>
    </row>
    <row r="32" spans="1:3">
      <c r="A32" s="406"/>
    </row>
    <row customFormat="1" r="33" s="85" spans="1:1">
      <c r="A33" s="406" t="str">
        <f>+ЧХ!$B$5&amp;"ын санал: ..........................................................................................................."</f>
        <v>Тэргүүлэх аудиторын санал: ...........................................................................................................</v>
      </c>
    </row>
  </sheetData>
  <mergeCells count="14">
    <mergeCell ref="A7:C7"/>
    <mergeCell ref="A2:C2"/>
    <mergeCell ref="A8:B8"/>
    <mergeCell ref="A9:B9"/>
    <mergeCell ref="A10:B10"/>
    <mergeCell ref="A4:C4"/>
    <mergeCell ref="A16:B16"/>
    <mergeCell ref="A17:B17"/>
    <mergeCell ref="A18:B18"/>
    <mergeCell ref="A11:B11"/>
    <mergeCell ref="A12:B12"/>
    <mergeCell ref="A13:B13"/>
    <mergeCell ref="A14:B14"/>
    <mergeCell ref="A15:B15"/>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customWidth="true" style="85" width="28.28515625" collapsed="false"/>
    <col min="2" max="2" customWidth="true" style="406" width="38.7109375" collapsed="false"/>
    <col min="3" max="3" customWidth="true" style="85" width="20.7109375" collapsed="false"/>
    <col min="4" max="16384" style="85" width="9.140625" collapsed="false"/>
  </cols>
  <sheetData>
    <row customFormat="1" r="1" s="406" spans="1:7">
      <c r="C1" s="52" t="s">
        <v>1902</v>
      </c>
    </row>
    <row customFormat="1" r="2" s="406" spans="1:7">
      <c r="A2" s="1812" t="s">
        <v>2359</v>
      </c>
      <c r="B2" s="1812"/>
      <c r="C2" s="1812"/>
    </row>
    <row customFormat="1" r="3" s="406" spans="1:7">
      <c r="A3" s="567"/>
      <c r="B3" s="567"/>
      <c r="C3" s="567"/>
    </row>
    <row customFormat="1" r="4" s="406" spans="1:7">
      <c r="A4" s="1809" t="str">
        <f>"Байгууллагын нэр: "&amp;ЧХ!C$7</f>
        <v xml:space="preserve">Байгууллагын нэр: </v>
      </c>
      <c r="B4" s="1809"/>
      <c r="C4" s="1809"/>
    </row>
    <row customFormat="1" r="5" s="406" spans="1:7">
      <c r="A5" s="1105" t="str">
        <f>"Тайлант он: "&amp;ЧХ!$C$8</f>
        <v xml:space="preserve">Тайлант он: </v>
      </c>
      <c r="B5" s="69"/>
    </row>
    <row customFormat="1" r="6" s="406" spans="1:7">
      <c r="A6" s="559"/>
      <c r="B6" s="69"/>
    </row>
    <row customHeight="1" ht="37.5" r="7" spans="1:7">
      <c r="A7" s="1813" t="s">
        <v>1903</v>
      </c>
      <c r="B7" s="1813"/>
      <c r="C7" s="1813"/>
    </row>
    <row ht="51" r="8" spans="1:7">
      <c r="A8" s="1670" t="s">
        <v>1886</v>
      </c>
      <c r="B8" s="1672"/>
      <c r="C8" s="544" t="s">
        <v>2211</v>
      </c>
    </row>
    <row customHeight="1" ht="27" r="9" spans="1:7">
      <c r="A9" s="1670" t="s">
        <v>3535</v>
      </c>
      <c r="B9" s="1672"/>
      <c r="C9" s="15">
        <v>0</v>
      </c>
    </row>
    <row customHeight="1" ht="27.75" r="10" spans="1:7">
      <c r="A10" s="1670" t="s">
        <v>3536</v>
      </c>
      <c r="B10" s="1672"/>
      <c r="C10" s="15">
        <v>0</v>
      </c>
    </row>
    <row customHeight="1" ht="27" r="11" spans="1:7">
      <c r="A11" s="1670" t="s">
        <v>3537</v>
      </c>
      <c r="B11" s="1672"/>
      <c r="C11" s="15">
        <v>0</v>
      </c>
    </row>
    <row customHeight="1" ht="14.25" r="12" spans="1:7">
      <c r="A12" s="1670" t="s">
        <v>3538</v>
      </c>
      <c r="B12" s="1672"/>
      <c r="C12" s="15">
        <v>0</v>
      </c>
    </row>
    <row customHeight="1" ht="17.25" r="13" spans="1:7">
      <c r="A13" s="1670" t="s">
        <v>3539</v>
      </c>
      <c r="B13" s="1672"/>
      <c r="C13" s="15">
        <v>0</v>
      </c>
      <c r="G13" s="1"/>
    </row>
    <row customHeight="1" ht="15" r="14" spans="1:7">
      <c r="A14" s="1670" t="s">
        <v>3540</v>
      </c>
      <c r="B14" s="1672"/>
      <c r="C14" s="15">
        <v>0</v>
      </c>
    </row>
    <row customHeight="1" ht="25.5" r="15" spans="1:7">
      <c r="A15" s="1670" t="s">
        <v>3541</v>
      </c>
      <c r="B15" s="1672"/>
      <c r="C15" s="15">
        <v>0</v>
      </c>
    </row>
    <row customHeight="1" ht="26.25" r="16" spans="1:7">
      <c r="A16" s="1670" t="s">
        <v>3542</v>
      </c>
      <c r="B16" s="1672"/>
      <c r="C16" s="15">
        <v>0</v>
      </c>
    </row>
    <row customHeight="1" ht="32.25" r="17" spans="1:3">
      <c r="A17" s="1670" t="s">
        <v>3543</v>
      </c>
      <c r="B17" s="1672"/>
      <c r="C17" s="15">
        <v>0</v>
      </c>
    </row>
    <row r="18" spans="1:3">
      <c r="A18" s="91"/>
      <c r="B18" s="550"/>
      <c r="C18" s="1484"/>
    </row>
    <row r="21" spans="1:3">
      <c r="A21" s="551" t="s">
        <v>1897</v>
      </c>
      <c r="B21" s="551"/>
      <c r="C21" s="551"/>
    </row>
    <row r="22" spans="1:3">
      <c r="A22" s="551"/>
      <c r="B22" s="551"/>
      <c r="C22" s="551"/>
    </row>
    <row r="23" spans="1:3">
      <c r="A23" s="406">
        <f>+ЧХ!$C$15</f>
        <v>0</v>
      </c>
      <c r="B23" s="539">
        <f>+ЧХ!$C$16</f>
        <v>0</v>
      </c>
      <c r="C23" s="539" t="s">
        <v>1777</v>
      </c>
    </row>
    <row r="24" spans="1:3">
      <c r="A24" s="551" t="s">
        <v>1873</v>
      </c>
      <c r="C24" s="539"/>
    </row>
    <row r="25" spans="1:3">
      <c r="A25" s="406" t="str">
        <f>+ЧХ!$B$6</f>
        <v>Аудитын менежер</v>
      </c>
      <c r="B25" s="539">
        <f>+ЧХ!$C$6</f>
        <v>0</v>
      </c>
      <c r="C25" s="539" t="s">
        <v>1777</v>
      </c>
    </row>
    <row r="26" spans="1:3">
      <c r="A26" s="551" t="s">
        <v>2035</v>
      </c>
      <c r="C26" s="539"/>
    </row>
    <row r="27" spans="1:3">
      <c r="A27" s="406" t="str">
        <f>+ЧХ!$B$5</f>
        <v>Тэргүүлэх аудитор</v>
      </c>
      <c r="B27" s="540" t="str">
        <f>+ЧХ!$C$5</f>
        <v>С.Энхбаатар</v>
      </c>
      <c r="C27" s="539" t="s">
        <v>1777</v>
      </c>
    </row>
    <row r="28" spans="1:3">
      <c r="A28" s="406"/>
      <c r="C28" s="406"/>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3">
    <mergeCell ref="A7:C7"/>
    <mergeCell ref="A2:C2"/>
    <mergeCell ref="A8:B8"/>
    <mergeCell ref="A9:B9"/>
    <mergeCell ref="A10:B10"/>
    <mergeCell ref="A4:C4"/>
    <mergeCell ref="A16:B16"/>
    <mergeCell ref="A17:B17"/>
    <mergeCell ref="A11:B11"/>
    <mergeCell ref="A12:B12"/>
    <mergeCell ref="A13:B13"/>
    <mergeCell ref="A14:B14"/>
    <mergeCell ref="A15:B15"/>
  </mergeCells>
  <dataValidations count="1">
    <dataValidation allowBlank="1" showErrorMessage="1" showInputMessage="1" sqref="C9:C17" type="list">
      <formula1>"1, 0"</formula1>
    </dataValidation>
  </dataValidations>
  <pageMargins bottom="0.75" footer="0.3" header="0.3" left="0.7" right="0.7" top="0.75"/>
  <pageSetup orientation="portrait"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workbookViewId="0">
      <selection activeCell="E24" sqref="E24"/>
    </sheetView>
  </sheetViews>
  <sheetFormatPr defaultRowHeight="12.75"/>
  <cols>
    <col min="1" max="1" customWidth="true" style="343" width="28.28515625" collapsed="false"/>
    <col min="2" max="2" customWidth="true" style="406" width="38.7109375" collapsed="false"/>
    <col min="3" max="3" customWidth="true" style="343" width="20.7109375" collapsed="false"/>
    <col min="4" max="16384" style="343" width="9.140625" collapsed="false"/>
  </cols>
  <sheetData>
    <row customFormat="1" r="1" s="406" spans="1:7">
      <c r="C1" s="52" t="s">
        <v>1904</v>
      </c>
    </row>
    <row customFormat="1" r="2" s="406" spans="1:7">
      <c r="A2" s="1812" t="s">
        <v>2360</v>
      </c>
      <c r="B2" s="1812"/>
      <c r="C2" s="1812"/>
    </row>
    <row customFormat="1" r="3" s="406" spans="1:7">
      <c r="A3" s="567"/>
      <c r="B3" s="567"/>
      <c r="C3" s="567"/>
    </row>
    <row customFormat="1" r="4" s="406" spans="1:7">
      <c r="A4" s="1809" t="str">
        <f>"Байгууллагын нэр: "&amp;ЧХ!C$7</f>
        <v xml:space="preserve">Байгууллагын нэр: </v>
      </c>
      <c r="B4" s="1809"/>
      <c r="C4" s="1809"/>
    </row>
    <row customFormat="1" r="5" s="406" spans="1:7">
      <c r="A5" s="1105" t="str">
        <f>"Тайлант он: "&amp;ЧХ!$C$8</f>
        <v xml:space="preserve">Тайлант он: </v>
      </c>
      <c r="B5" s="69"/>
    </row>
    <row customFormat="1" r="6" s="406" spans="1:7">
      <c r="A6" s="559"/>
      <c r="B6" s="69"/>
    </row>
    <row customHeight="1" ht="45.75" r="7" spans="1:7">
      <c r="A7" s="1813" t="s">
        <v>1905</v>
      </c>
      <c r="B7" s="1813"/>
      <c r="C7" s="1813"/>
    </row>
    <row ht="51" r="8" spans="1:7">
      <c r="A8" s="1670" t="s">
        <v>1886</v>
      </c>
      <c r="B8" s="1672"/>
      <c r="C8" s="342" t="s">
        <v>2211</v>
      </c>
    </row>
    <row customHeight="1" ht="36" r="9" spans="1:7">
      <c r="A9" s="1814" t="s">
        <v>3544</v>
      </c>
      <c r="B9" s="1815"/>
      <c r="C9" s="15">
        <v>0</v>
      </c>
    </row>
    <row customHeight="1" ht="27.75" r="10" spans="1:7">
      <c r="A10" s="1814" t="s">
        <v>3545</v>
      </c>
      <c r="B10" s="1815"/>
      <c r="C10" s="15">
        <v>0</v>
      </c>
    </row>
    <row customHeight="1" ht="21.75" r="11" spans="1:7">
      <c r="A11" s="1814" t="s">
        <v>3546</v>
      </c>
      <c r="B11" s="1815"/>
      <c r="C11" s="15">
        <v>0</v>
      </c>
    </row>
    <row customHeight="1" ht="14.25" r="12" spans="1:7">
      <c r="A12" s="1814" t="s">
        <v>3547</v>
      </c>
      <c r="B12" s="1815"/>
      <c r="C12" s="15">
        <v>0</v>
      </c>
    </row>
    <row customHeight="1" ht="27.75" r="13" spans="1:7">
      <c r="A13" s="1814" t="s">
        <v>3548</v>
      </c>
      <c r="B13" s="1815"/>
      <c r="C13" s="15">
        <v>0</v>
      </c>
    </row>
    <row customHeight="1" ht="26.25" r="14" spans="1:7">
      <c r="A14" s="1814" t="s">
        <v>3514</v>
      </c>
      <c r="B14" s="1815"/>
      <c r="C14" s="15">
        <v>0</v>
      </c>
    </row>
    <row customHeight="1" ht="41.25" r="15" spans="1:7">
      <c r="A15" s="1814" t="s">
        <v>3549</v>
      </c>
      <c r="B15" s="1815"/>
      <c r="C15" s="15">
        <v>0</v>
      </c>
    </row>
    <row r="16" spans="1:7">
      <c r="A16" s="345"/>
      <c r="B16" s="550"/>
      <c r="C16" s="1484"/>
      <c r="G16" s="1"/>
    </row>
    <row r="18" spans="1:3">
      <c r="A18" s="551" t="s">
        <v>1897</v>
      </c>
      <c r="B18" s="551"/>
      <c r="C18" s="551"/>
    </row>
    <row r="19" spans="1:3">
      <c r="A19" s="406">
        <f>+ЧХ!$C$15</f>
        <v>0</v>
      </c>
      <c r="B19" s="539">
        <f>+ЧХ!$C$16</f>
        <v>0</v>
      </c>
      <c r="C19" s="539" t="s">
        <v>1777</v>
      </c>
    </row>
    <row customFormat="1" r="20" s="406" spans="1:3">
      <c r="B20" s="539"/>
      <c r="C20" s="539"/>
    </row>
    <row r="21" spans="1:3">
      <c r="A21" s="551" t="s">
        <v>1873</v>
      </c>
      <c r="C21" s="539"/>
    </row>
    <row customFormat="1" r="22" s="406" spans="1:3">
      <c r="A22" s="551"/>
      <c r="C22" s="539"/>
    </row>
    <row r="23" spans="1:3">
      <c r="A23" s="406" t="str">
        <f>+ЧХ!$B$6</f>
        <v>Аудитын менежер</v>
      </c>
      <c r="B23" s="539">
        <f>+ЧХ!$C$6</f>
        <v>0</v>
      </c>
      <c r="C23" s="539" t="s">
        <v>1777</v>
      </c>
    </row>
    <row customFormat="1" r="24" s="406" spans="1:3">
      <c r="B24" s="539"/>
      <c r="C24" s="539"/>
    </row>
    <row r="25" spans="1:3">
      <c r="A25" s="551" t="s">
        <v>2035</v>
      </c>
      <c r="C25" s="539"/>
    </row>
    <row r="26" spans="1:3">
      <c r="A26" s="406" t="str">
        <f>+ЧХ!$B$5</f>
        <v>Тэргүүлэх аудитор</v>
      </c>
      <c r="B26" s="540" t="str">
        <f>+ЧХ!$C$5</f>
        <v>С.Энхбаатар</v>
      </c>
      <c r="C26" s="539" t="s">
        <v>1777</v>
      </c>
    </row>
    <row r="27" spans="1:3">
      <c r="A27" s="406"/>
      <c r="C27" s="406"/>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1">
    <mergeCell ref="A7:C7"/>
    <mergeCell ref="A2:C2"/>
    <mergeCell ref="A8:B8"/>
    <mergeCell ref="A9:B9"/>
    <mergeCell ref="A10:B10"/>
    <mergeCell ref="A4:C4"/>
    <mergeCell ref="A11:B11"/>
    <mergeCell ref="A12:B12"/>
    <mergeCell ref="A13:B13"/>
    <mergeCell ref="A14:B14"/>
    <mergeCell ref="A15:B15"/>
  </mergeCells>
  <dataValidations count="1">
    <dataValidation allowBlank="1" showErrorMessage="1" showInputMessage="1" sqref="C9:C15" type="list">
      <formula1>"1, 0"</formula1>
    </dataValidation>
  </dataValidations>
  <pageMargins bottom="0.75" footer="0.3" header="0.3" left="0.7" right="0.7" top="0.75"/>
  <pageSetup orientation="portrait" r:id="rId1"/>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7"/>
  <sheetViews>
    <sheetView workbookViewId="0">
      <selection activeCell="C9" sqref="C9"/>
    </sheetView>
  </sheetViews>
  <sheetFormatPr defaultRowHeight="12.75"/>
  <cols>
    <col min="1" max="1" customWidth="true" style="343" width="28.28515625" collapsed="false"/>
    <col min="2" max="2" customWidth="true" style="406" width="38.7109375" collapsed="false"/>
    <col min="3" max="3" customWidth="true" style="343" width="20.7109375" collapsed="false"/>
    <col min="4" max="16384" style="343" width="9.140625" collapsed="false"/>
  </cols>
  <sheetData>
    <row customFormat="1" r="1" s="406" spans="1:7">
      <c r="A1" s="1484"/>
      <c r="B1" s="1484"/>
      <c r="C1" s="1481" t="s">
        <v>2362</v>
      </c>
    </row>
    <row customFormat="1" r="2" s="406" spans="1:7">
      <c r="A2" s="1678" t="s">
        <v>2361</v>
      </c>
      <c r="B2" s="1678"/>
      <c r="C2" s="1678"/>
    </row>
    <row customFormat="1" r="3" s="406" spans="1:7">
      <c r="A3" s="1486"/>
      <c r="B3" s="1486"/>
      <c r="C3" s="1486"/>
    </row>
    <row customFormat="1" r="4" s="406" spans="1:7">
      <c r="A4" s="1809" t="s">
        <v>3497</v>
      </c>
      <c r="B4" s="1809"/>
      <c r="C4" s="1809"/>
    </row>
    <row customFormat="1" r="5" s="406" spans="1:7">
      <c r="A5" s="1487" t="s">
        <v>3498</v>
      </c>
      <c r="B5" s="1482"/>
      <c r="C5" s="1484"/>
    </row>
    <row customFormat="1" r="6" s="406" spans="1:7">
      <c r="A6" s="1485"/>
      <c r="B6" s="1482"/>
      <c r="C6" s="1484"/>
    </row>
    <row customHeight="1" ht="31.5" r="7" spans="1:7">
      <c r="A7" s="1813" t="s">
        <v>2161</v>
      </c>
      <c r="B7" s="1813"/>
      <c r="C7" s="1813"/>
    </row>
    <row customHeight="1" ht="59.25" r="8" spans="1:7">
      <c r="A8" s="1670" t="s">
        <v>1886</v>
      </c>
      <c r="B8" s="1672"/>
      <c r="C8" s="1483" t="s">
        <v>2211</v>
      </c>
    </row>
    <row customHeight="1" ht="32.25" r="9" spans="1:7">
      <c r="A9" s="1814" t="s">
        <v>3550</v>
      </c>
      <c r="B9" s="1815"/>
      <c r="C9" s="1480">
        <v>0</v>
      </c>
    </row>
    <row customHeight="1" ht="28.5" r="10" spans="1:7">
      <c r="A10" s="1814" t="s">
        <v>3551</v>
      </c>
      <c r="B10" s="1815"/>
      <c r="C10" s="1480">
        <v>0</v>
      </c>
    </row>
    <row customHeight="1" ht="30.75" r="11" spans="1:7">
      <c r="A11" s="1814" t="s">
        <v>3552</v>
      </c>
      <c r="B11" s="1815"/>
      <c r="C11" s="1480">
        <v>0</v>
      </c>
    </row>
    <row customHeight="1" ht="28.5" r="12" spans="1:7">
      <c r="A12" s="1814" t="s">
        <v>3553</v>
      </c>
      <c r="B12" s="1815"/>
      <c r="C12" s="1480">
        <v>0</v>
      </c>
    </row>
    <row customHeight="1" ht="45.75" r="13" spans="1:7">
      <c r="A13" s="1814" t="s">
        <v>3554</v>
      </c>
      <c r="B13" s="1815"/>
      <c r="C13" s="1480">
        <v>0</v>
      </c>
    </row>
    <row r="14" spans="1:7">
      <c r="A14" s="345"/>
      <c r="B14" s="550"/>
      <c r="C14" s="1484"/>
      <c r="G14" s="1"/>
    </row>
    <row r="15" spans="1:7">
      <c r="A15" s="551" t="s">
        <v>1897</v>
      </c>
      <c r="B15" s="551"/>
      <c r="C15" s="551"/>
    </row>
    <row r="16" spans="1:7">
      <c r="A16" s="406">
        <f>+ЧХ!$C$15</f>
        <v>0</v>
      </c>
      <c r="B16" s="539">
        <f>+ЧХ!$C$16</f>
        <v>0</v>
      </c>
      <c r="C16" s="539" t="s">
        <v>1777</v>
      </c>
    </row>
    <row customFormat="1" r="17" s="406" spans="1:3">
      <c r="B17" s="539"/>
      <c r="C17" s="539"/>
    </row>
    <row r="18" spans="1:3">
      <c r="A18" s="551" t="s">
        <v>1873</v>
      </c>
      <c r="C18" s="539"/>
    </row>
    <row r="19" spans="1:3">
      <c r="A19" s="406" t="str">
        <f>+ЧХ!$B$6</f>
        <v>Аудитын менежер</v>
      </c>
      <c r="B19" s="539">
        <f>+ЧХ!$C$6</f>
        <v>0</v>
      </c>
      <c r="C19" s="539" t="s">
        <v>1777</v>
      </c>
    </row>
    <row customFormat="1" r="20" s="406" spans="1:3">
      <c r="B20" s="539"/>
      <c r="C20" s="539"/>
    </row>
    <row r="21" spans="1:3">
      <c r="A21" s="551" t="s">
        <v>2035</v>
      </c>
      <c r="C21" s="539"/>
    </row>
    <row r="22" spans="1:3">
      <c r="A22" s="406" t="str">
        <f>+ЧХ!$B$5</f>
        <v>Тэргүүлэх аудитор</v>
      </c>
      <c r="B22" s="540" t="str">
        <f>+ЧХ!$C$5</f>
        <v>С.Энхбаатар</v>
      </c>
      <c r="C22" s="539" t="s">
        <v>1777</v>
      </c>
    </row>
    <row r="23" spans="1:3">
      <c r="A23" s="406"/>
      <c r="C23" s="406"/>
    </row>
    <row r="24" spans="1:3">
      <c r="A24" s="406" t="str">
        <f>+ЧХ!$B$6&amp;"ийн санал: ………………………………………………………………………………………"</f>
        <v>Аудитын менежерийн санал: ………………………………………………………………………………………</v>
      </c>
    </row>
    <row r="25" spans="1:3">
      <c r="A25" s="406"/>
    </row>
    <row r="26" spans="1:3">
      <c r="A26" s="406"/>
    </row>
    <row r="27" spans="1:3">
      <c r="A27" s="406"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allowBlank="1" showErrorMessage="1" showInputMessage="1" sqref="C9:C13" type="list">
      <formula1>"1, 0"</formula1>
    </dataValidation>
  </dataValidations>
  <pageMargins bottom="0.75" footer="0.3" header="0.3" left="0.7" right="0.7" top="0.75"/>
  <pageSetup orientation="portrait"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customWidth="true" style="61" width="6.0" collapsed="false"/>
    <col min="2" max="2" bestFit="true" customWidth="true" style="61" width="43.5703125" collapsed="false"/>
    <col min="3" max="3" customWidth="true" style="871" width="16.140625" collapsed="false"/>
    <col min="4" max="4" customWidth="true" style="871" width="11.7109375" collapsed="false"/>
    <col min="5" max="5" customWidth="true" style="871" width="17.0" collapsed="false"/>
    <col min="6" max="6" customWidth="true" style="871" width="11.140625" collapsed="false"/>
    <col min="7" max="7" customWidth="true" style="871" width="18.140625" collapsed="false"/>
    <col min="8" max="8" customWidth="true" style="871" width="14.28515625" collapsed="false"/>
    <col min="9" max="16384" style="61" width="9.140625" collapsed="false"/>
  </cols>
  <sheetData>
    <row r="1" spans="1:8">
      <c r="C1" s="868"/>
      <c r="D1" s="868"/>
      <c r="E1" s="868"/>
      <c r="F1" s="868"/>
      <c r="G1" s="869"/>
      <c r="H1" s="299" t="s">
        <v>2342</v>
      </c>
    </row>
    <row r="2" spans="1:8">
      <c r="B2" s="1795" t="s">
        <v>3020</v>
      </c>
      <c r="C2" s="1795"/>
      <c r="D2" s="1795"/>
      <c r="E2" s="1795"/>
      <c r="F2" s="1795"/>
      <c r="G2" s="1795"/>
      <c r="H2" s="1795"/>
    </row>
    <row r="3" spans="1:8">
      <c r="B3" s="563"/>
      <c r="C3" s="870"/>
      <c r="D3" s="870"/>
      <c r="E3" s="870"/>
      <c r="F3" s="870"/>
      <c r="G3" s="869"/>
      <c r="H3" s="299"/>
    </row>
    <row customHeight="1" ht="20.25" r="4" spans="1:8">
      <c r="B4" s="1407" t="str">
        <f>"Байгууллагын нэр: "&amp;ЧХ!C7</f>
        <v xml:space="preserve">Байгууллагын нэр: </v>
      </c>
      <c r="C4" s="1818"/>
      <c r="D4" s="1818"/>
      <c r="E4" s="1818"/>
      <c r="F4" s="1818"/>
      <c r="G4" s="1818"/>
      <c r="H4" s="868"/>
    </row>
    <row customHeight="1" ht="16.5" r="5" spans="1:8">
      <c r="B5" s="1087" t="str">
        <f>"Тайлант он: "&amp;ЧХ!$C$8</f>
        <v xml:space="preserve">Тайлант он: </v>
      </c>
    </row>
    <row customFormat="1" r="6" s="875" spans="1:8">
      <c r="B6" s="876"/>
      <c r="C6" s="877"/>
      <c r="D6" s="877"/>
      <c r="E6" s="1819"/>
      <c r="F6" s="1819"/>
      <c r="G6" s="878"/>
      <c r="H6" s="879" t="s">
        <v>2396</v>
      </c>
    </row>
    <row customFormat="1" customHeight="1" ht="34.5" r="7" s="880" spans="1:8">
      <c r="A7" s="872"/>
      <c r="B7" s="872"/>
      <c r="C7" s="872"/>
      <c r="D7" s="872"/>
      <c r="E7" s="872"/>
      <c r="F7" s="872"/>
      <c r="G7" s="872"/>
      <c r="H7" s="872"/>
    </row>
    <row customFormat="1" customHeight="1" ht="32.25" r="8" s="880" spans="1:8">
      <c r="A8" s="872"/>
      <c r="B8" s="872"/>
      <c r="C8" s="872"/>
      <c r="D8" s="872"/>
      <c r="E8" s="872"/>
      <c r="F8" s="872"/>
      <c r="G8" s="872"/>
      <c r="H8" s="872"/>
    </row>
    <row r="9" spans="1:8">
      <c r="A9" s="872"/>
      <c r="B9" s="872"/>
      <c r="C9" s="872"/>
      <c r="D9" s="872"/>
      <c r="E9" s="872"/>
      <c r="F9" s="872"/>
      <c r="G9" s="872"/>
      <c r="H9" s="872"/>
    </row>
    <row r="10" spans="1:8">
      <c r="A10" s="872"/>
      <c r="B10" s="872"/>
      <c r="C10" s="872"/>
      <c r="D10" s="872"/>
      <c r="E10" s="872"/>
      <c r="F10" s="872"/>
      <c r="G10" s="872"/>
      <c r="H10" s="872"/>
    </row>
    <row r="11" spans="1:8">
      <c r="A11" s="872"/>
      <c r="B11" s="872"/>
      <c r="C11" s="872"/>
      <c r="D11" s="872"/>
      <c r="E11" s="872"/>
      <c r="F11" s="872"/>
      <c r="G11" s="872"/>
      <c r="H11" s="872"/>
    </row>
    <row r="12" spans="1:8">
      <c r="A12" s="872"/>
      <c r="B12" s="872"/>
      <c r="C12" s="872"/>
      <c r="D12" s="872"/>
      <c r="E12" s="872"/>
      <c r="F12" s="872"/>
      <c r="G12" s="872"/>
      <c r="H12" s="872"/>
    </row>
    <row r="13" spans="1:8">
      <c r="A13" s="872"/>
      <c r="B13" s="872"/>
      <c r="C13" s="872"/>
      <c r="D13" s="872"/>
      <c r="E13" s="872"/>
      <c r="F13" s="872"/>
      <c r="G13" s="872"/>
      <c r="H13" s="872"/>
    </row>
    <row r="14" spans="1:8">
      <c r="A14" s="872"/>
      <c r="B14" s="872"/>
      <c r="C14" s="872"/>
      <c r="D14" s="872"/>
      <c r="E14" s="872"/>
      <c r="F14" s="872"/>
      <c r="G14" s="872"/>
      <c r="H14" s="872"/>
    </row>
    <row r="15" spans="1:8">
      <c r="A15" s="872"/>
      <c r="B15" s="872"/>
      <c r="C15" s="872"/>
      <c r="D15" s="872"/>
      <c r="E15" s="872"/>
      <c r="F15" s="872"/>
      <c r="G15" s="872"/>
      <c r="H15" s="872"/>
    </row>
    <row r="16" spans="1:8">
      <c r="A16" s="872"/>
      <c r="B16" s="872"/>
      <c r="C16" s="872"/>
      <c r="D16" s="872"/>
      <c r="E16" s="872"/>
      <c r="F16" s="872"/>
      <c r="G16" s="872"/>
      <c r="H16" s="872"/>
    </row>
    <row r="17" spans="1:8">
      <c r="A17" s="872"/>
      <c r="B17" s="872"/>
      <c r="C17" s="872"/>
      <c r="D17" s="872"/>
      <c r="E17" s="872"/>
      <c r="F17" s="872"/>
      <c r="G17" s="872"/>
      <c r="H17" s="872"/>
    </row>
    <row r="18" spans="1:8">
      <c r="A18" s="872"/>
      <c r="B18" s="872"/>
      <c r="C18" s="872"/>
      <c r="D18" s="872"/>
      <c r="E18" s="872"/>
      <c r="F18" s="872"/>
      <c r="G18" s="872"/>
      <c r="H18" s="872"/>
    </row>
    <row r="19" spans="1:8">
      <c r="A19" s="872"/>
      <c r="B19" s="872"/>
      <c r="C19" s="872"/>
      <c r="D19" s="872"/>
      <c r="E19" s="872"/>
      <c r="F19" s="872"/>
      <c r="G19" s="872"/>
      <c r="H19" s="872"/>
    </row>
    <row r="20" spans="1:8">
      <c r="A20" s="872"/>
      <c r="B20" s="872"/>
      <c r="C20" s="872"/>
      <c r="D20" s="872"/>
      <c r="E20" s="872"/>
      <c r="F20" s="872"/>
      <c r="G20" s="872"/>
      <c r="H20" s="872"/>
    </row>
    <row r="21" spans="1:8">
      <c r="A21" s="872"/>
      <c r="B21" s="872"/>
      <c r="C21" s="872"/>
      <c r="D21" s="872"/>
      <c r="E21" s="872"/>
      <c r="F21" s="872"/>
      <c r="G21" s="872"/>
      <c r="H21" s="872"/>
    </row>
    <row r="22" spans="1:8">
      <c r="A22" s="872"/>
      <c r="B22" s="872"/>
      <c r="C22" s="872"/>
      <c r="D22" s="872"/>
      <c r="E22" s="872"/>
      <c r="F22" s="872"/>
      <c r="G22" s="872"/>
      <c r="H22" s="872"/>
    </row>
    <row r="23" spans="1:8">
      <c r="A23" s="872"/>
      <c r="B23" s="872"/>
      <c r="C23" s="872"/>
      <c r="D23" s="872"/>
      <c r="E23" s="872"/>
      <c r="F23" s="872"/>
      <c r="G23" s="872"/>
      <c r="H23" s="872"/>
    </row>
    <row r="24" spans="1:8">
      <c r="A24" s="872"/>
      <c r="B24" s="872"/>
      <c r="C24" s="872"/>
      <c r="D24" s="872"/>
      <c r="E24" s="872"/>
      <c r="F24" s="872"/>
      <c r="G24" s="872"/>
      <c r="H24" s="872"/>
    </row>
    <row r="25" spans="1:8">
      <c r="A25" s="872"/>
      <c r="B25" s="872"/>
      <c r="C25" s="872"/>
      <c r="D25" s="872"/>
      <c r="E25" s="872"/>
      <c r="F25" s="872"/>
      <c r="G25" s="872"/>
      <c r="H25" s="872"/>
    </row>
    <row r="26" spans="1:8">
      <c r="A26" s="872"/>
      <c r="B26" s="872"/>
      <c r="C26" s="872"/>
      <c r="D26" s="872"/>
      <c r="E26" s="872"/>
      <c r="F26" s="872"/>
      <c r="G26" s="872"/>
      <c r="H26" s="872"/>
    </row>
    <row r="27" spans="1:8">
      <c r="A27" s="872"/>
      <c r="B27" s="872"/>
      <c r="C27" s="872"/>
      <c r="D27" s="872"/>
      <c r="E27" s="872"/>
      <c r="F27" s="872"/>
      <c r="G27" s="872"/>
      <c r="H27" s="872"/>
    </row>
    <row r="28" spans="1:8">
      <c r="A28" s="872"/>
      <c r="B28" s="872"/>
      <c r="C28" s="872"/>
      <c r="D28" s="872"/>
      <c r="E28" s="872"/>
      <c r="F28" s="872"/>
      <c r="G28" s="872"/>
      <c r="H28" s="872"/>
    </row>
    <row r="30" spans="1:8">
      <c r="B30" s="853" t="s">
        <v>1897</v>
      </c>
      <c r="C30" s="872"/>
      <c r="D30" s="872"/>
      <c r="E30" s="873"/>
      <c r="F30" s="873"/>
    </row>
    <row r="31" spans="1:8">
      <c r="B31" s="406">
        <f>+ЧХ!$C$15</f>
        <v>0</v>
      </c>
      <c r="C31" s="873"/>
      <c r="D31" s="1816">
        <f>+ЧХ!$C$16</f>
        <v>0</v>
      </c>
      <c r="E31" s="1816"/>
      <c r="F31" s="874" t="s">
        <v>1777</v>
      </c>
    </row>
    <row r="32" spans="1:8">
      <c r="B32" s="406"/>
      <c r="C32" s="873"/>
      <c r="D32" s="874"/>
      <c r="E32" s="874"/>
      <c r="F32" s="874"/>
    </row>
    <row r="33" spans="2:6">
      <c r="B33" s="853" t="s">
        <v>1873</v>
      </c>
      <c r="C33" s="872"/>
      <c r="D33" s="873"/>
      <c r="E33" s="873"/>
      <c r="F33" s="874"/>
    </row>
    <row r="34" spans="2:6">
      <c r="B34" s="406" t="str">
        <f>+ЧХ!$B$6</f>
        <v>Аудитын менежер</v>
      </c>
      <c r="C34" s="873"/>
      <c r="D34" s="1816">
        <f>+ЧХ!$C$6</f>
        <v>0</v>
      </c>
      <c r="E34" s="1816"/>
      <c r="F34" s="874" t="s">
        <v>1777</v>
      </c>
    </row>
    <row r="35" spans="2:6">
      <c r="B35" s="406"/>
      <c r="C35" s="873"/>
      <c r="D35" s="874"/>
      <c r="E35" s="874"/>
      <c r="F35" s="874"/>
    </row>
    <row r="36" spans="2:6">
      <c r="B36" s="853" t="s">
        <v>2035</v>
      </c>
      <c r="C36" s="872"/>
      <c r="D36" s="873"/>
      <c r="E36" s="873"/>
      <c r="F36" s="874"/>
    </row>
    <row r="37" spans="2:6">
      <c r="B37" s="406" t="str">
        <f>+ЧХ!$B$5</f>
        <v>Тэргүүлэх аудитор</v>
      </c>
      <c r="C37" s="873"/>
      <c r="D37" s="1817" t="str">
        <f>+ЧХ!$C$5</f>
        <v>С.Энхбаатар</v>
      </c>
      <c r="E37" s="1817"/>
      <c r="F37" s="874"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bottom="0.75" footer="0.3" header="0.3" left="0.7" right="0.2" top="0.75"/>
  <pageSetup orientation="landscape" paperSize="9" r:id="rId1" scale="95"/>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32"/>
  <sheetViews>
    <sheetView workbookViewId="0">
      <selection activeCell="C9" sqref="C9"/>
    </sheetView>
  </sheetViews>
  <sheetFormatPr defaultRowHeight="12.75"/>
  <cols>
    <col min="1" max="1" customWidth="true" style="85" width="5.85546875" collapsed="false"/>
    <col min="2" max="2" customWidth="true" style="85" width="38.85546875" collapsed="false"/>
    <col min="3" max="3" customWidth="true" style="85" width="37.0" collapsed="false"/>
    <col min="4" max="4" customWidth="true" style="1632" width="20.7109375" collapsed="false"/>
    <col min="5" max="5" customWidth="true" style="1632" width="19.42578125" collapsed="false"/>
    <col min="6" max="6" customWidth="true" style="1632" width="18.85546875" collapsed="false"/>
    <col min="7" max="7" customWidth="true" style="1632" width="16.42578125" collapsed="false"/>
    <col min="8" max="8" customWidth="true" style="1632" width="15.42578125" collapsed="false"/>
    <col min="9" max="16384" style="85" width="9.140625" collapsed="false"/>
  </cols>
  <sheetData>
    <row r="1" spans="1:8">
      <c r="A1" s="406"/>
      <c r="B1" s="406"/>
      <c r="C1" s="52" t="s">
        <v>2363</v>
      </c>
    </row>
    <row r="2" spans="1:8">
      <c r="B2" s="1820" t="s">
        <v>1906</v>
      </c>
      <c r="C2" s="1820"/>
    </row>
    <row r="3" spans="1:8">
      <c r="A3" s="567"/>
      <c r="B3" s="567"/>
      <c r="C3" s="567"/>
    </row>
    <row customHeight="1" ht="21" r="4" spans="1:8">
      <c r="B4" s="1809" t="str">
        <f>"Байгууллагын нэр: "&amp;ЧХ!$C$7</f>
        <v xml:space="preserve">Байгууллагын нэр: </v>
      </c>
      <c r="C4" s="1809"/>
    </row>
    <row customHeight="1" ht="15.75" r="5" spans="1:8">
      <c r="A5" s="44"/>
      <c r="B5" s="580" t="str">
        <f>"Тайлант он: "&amp;ЧХ!$C$8</f>
        <v xml:space="preserve">Тайлант он: </v>
      </c>
      <c r="C5" s="550"/>
    </row>
    <row customFormat="1" customHeight="1" ht="21.75" r="6" s="406" spans="1:8">
      <c r="A6" s="581"/>
      <c r="B6" s="580"/>
      <c r="C6" s="590"/>
      <c r="D6" s="1632"/>
      <c r="E6" s="1632"/>
      <c r="F6" s="1632"/>
      <c r="G6" s="1632"/>
      <c r="H6" s="1632"/>
    </row>
    <row customHeight="1" ht="19.5" r="7" spans="1:8">
      <c r="A7" s="71" t="s">
        <v>649</v>
      </c>
      <c r="B7" s="71" t="s">
        <v>1907</v>
      </c>
      <c r="C7" s="71" t="s">
        <v>1908</v>
      </c>
    </row>
    <row customHeight="1" ht="25.5" r="8" spans="1:8">
      <c r="A8" s="538">
        <v>1</v>
      </c>
      <c r="B8" s="537" t="s">
        <v>1909</v>
      </c>
      <c r="C8" s="1652"/>
      <c r="D8" s="1644" t="str">
        <f>АБ!C$9&amp;"  "&amp;АБ!C7&amp;" овогтой "&amp;АБ!C8</f>
        <v xml:space="preserve">   овогтой </v>
      </c>
      <c r="E8" s="1644" t="str">
        <f>АБ!D$9&amp;"  "&amp;АБ!D7&amp;" овогтой "&amp;АБ!D8</f>
        <v xml:space="preserve">   овогтой </v>
      </c>
      <c r="F8" s="1644" t="str">
        <f>АБ!E$9&amp;"  "&amp;АБ!E7&amp;" овогтой "&amp;АБ!E8</f>
        <v xml:space="preserve">   овогтой </v>
      </c>
      <c r="G8" s="1644" t="str">
        <f>АБ!F$9&amp;"  "&amp;АБ!F7&amp;" овогтой "&amp;АБ!F8</f>
        <v xml:space="preserve">   овогтой </v>
      </c>
      <c r="H8" s="1644" t="str">
        <f>АБ!G$9&amp;"  "&amp;АБ!G7&amp;" овогтой "&amp;АБ!G8</f>
        <v xml:space="preserve">   овогтой </v>
      </c>
    </row>
    <row customHeight="1" ht="29.25" r="9" spans="1:8">
      <c r="A9" s="538">
        <v>2</v>
      </c>
      <c r="B9" s="537" t="s">
        <v>1910</v>
      </c>
      <c r="C9" s="1652"/>
      <c r="D9" s="1645">
        <f>+АБ!C5</f>
        <v>0</v>
      </c>
      <c r="E9" s="1645">
        <f>+АБ!D5</f>
        <v>0</v>
      </c>
      <c r="F9" s="1645">
        <f>+АБ!E5</f>
        <v>0</v>
      </c>
      <c r="G9" s="1645">
        <f>+АБ!F5</f>
        <v>0</v>
      </c>
      <c r="H9" s="1645">
        <f>+АБ!G5</f>
        <v>0</v>
      </c>
    </row>
    <row customHeight="1" ht="22.5" r="10" spans="1:8">
      <c r="A10" s="538">
        <v>3</v>
      </c>
      <c r="B10" s="537" t="s">
        <v>1911</v>
      </c>
      <c r="C10" s="1652" t="s">
        <v>3569</v>
      </c>
      <c r="D10" s="1645">
        <f>+АБ!C22</f>
        <v>0</v>
      </c>
      <c r="E10" s="1645">
        <f>+АБ!D22</f>
        <v>0</v>
      </c>
      <c r="F10" s="1645">
        <f>+АБ!E22</f>
        <v>0</v>
      </c>
      <c r="G10" s="1645">
        <f>+АБ!F22</f>
        <v>0</v>
      </c>
      <c r="H10" s="1645">
        <f>+АБ!G22</f>
        <v>0</v>
      </c>
    </row>
    <row ht="25.5" r="11" spans="1:8">
      <c r="A11" s="538">
        <v>4</v>
      </c>
      <c r="B11" s="537" t="s">
        <v>1912</v>
      </c>
      <c r="C11" s="1652" t="s">
        <v>1475</v>
      </c>
      <c r="D11" s="1643" t="s">
        <v>1475</v>
      </c>
      <c r="E11" s="1643" t="s">
        <v>1475</v>
      </c>
      <c r="F11" s="1643" t="s">
        <v>1475</v>
      </c>
      <c r="G11" s="1643" t="s">
        <v>1475</v>
      </c>
      <c r="H11" s="1643" t="s">
        <v>1475</v>
      </c>
    </row>
    <row customHeight="1" ht="42" r="12" spans="1:8">
      <c r="A12" s="538">
        <v>5</v>
      </c>
      <c r="B12" s="537" t="s">
        <v>1913</v>
      </c>
      <c r="C12" s="1642" t="s">
        <v>3568</v>
      </c>
      <c r="D12" s="1645">
        <f>+АБ!C15</f>
        <v>0</v>
      </c>
      <c r="E12" s="1645">
        <f>+АБ!D15</f>
        <v>0</v>
      </c>
      <c r="F12" s="1645">
        <f>+АБ!E15</f>
        <v>0</v>
      </c>
      <c r="G12" s="1645">
        <f>+АБ!F15</f>
        <v>0</v>
      </c>
      <c r="H12" s="1645">
        <f>+АБ!G15</f>
        <v>0</v>
      </c>
    </row>
    <row ht="25.5" r="13" spans="1:8">
      <c r="A13" s="538">
        <v>6</v>
      </c>
      <c r="B13" s="537" t="s">
        <v>1914</v>
      </c>
      <c r="C13" s="1642" t="s">
        <v>3610</v>
      </c>
      <c r="D13" s="1645">
        <f>+АБ!C16</f>
        <v>0</v>
      </c>
      <c r="E13" s="1645">
        <f>+АБ!D16</f>
        <v>0</v>
      </c>
      <c r="F13" s="1645">
        <f>+АБ!E16</f>
        <v>0</v>
      </c>
      <c r="G13" s="1645">
        <f>+АБ!F16</f>
        <v>0</v>
      </c>
      <c r="H13" s="1645">
        <f>+АБ!G16</f>
        <v>0</v>
      </c>
    </row>
    <row customHeight="1" ht="24.75" r="14" spans="1:8">
      <c r="A14" s="538">
        <v>7</v>
      </c>
      <c r="B14" s="537" t="s">
        <v>1915</v>
      </c>
      <c r="C14" s="1642"/>
      <c r="D14" s="1645">
        <f>+АБ!C23</f>
        <v>0</v>
      </c>
      <c r="E14" s="1645">
        <f>+АБ!D23</f>
        <v>0</v>
      </c>
      <c r="F14" s="1645">
        <f>+АБ!E23</f>
        <v>0</v>
      </c>
      <c r="G14" s="1645">
        <f>+АБ!F23</f>
        <v>0</v>
      </c>
      <c r="H14" s="1645">
        <f>+АБ!G23</f>
        <v>0</v>
      </c>
    </row>
    <row customFormat="1" ht="25.5" r="15" s="406" spans="1:8">
      <c r="A15" s="538">
        <v>8</v>
      </c>
      <c r="B15" s="537" t="s">
        <v>1916</v>
      </c>
      <c r="C15" s="1480" t="s">
        <v>1475</v>
      </c>
      <c r="D15" s="1643" t="s">
        <v>1475</v>
      </c>
      <c r="E15" s="1643" t="s">
        <v>1475</v>
      </c>
      <c r="F15" s="1643" t="s">
        <v>1475</v>
      </c>
      <c r="G15" s="1643" t="s">
        <v>1475</v>
      </c>
      <c r="H15" s="1643" t="s">
        <v>1475</v>
      </c>
    </row>
    <row r="16" spans="1:8">
      <c r="A16" s="32"/>
    </row>
    <row r="17" spans="1:8">
      <c r="B17" s="551" t="s">
        <v>1897</v>
      </c>
      <c r="C17" s="551"/>
    </row>
    <row r="18" spans="1:8">
      <c r="B18" s="406">
        <f>+ЧХ!$C$15</f>
        <v>0</v>
      </c>
    </row>
    <row customFormat="1" r="19" s="406" spans="1:8">
      <c r="B19" s="539">
        <f>+ЧХ!$C$16</f>
        <v>0</v>
      </c>
      <c r="C19" s="539" t="s">
        <v>1777</v>
      </c>
      <c r="D19" s="1632"/>
      <c r="E19" s="1632"/>
      <c r="F19" s="1632"/>
      <c r="G19" s="1632"/>
      <c r="H19" s="1632"/>
    </row>
    <row r="20" spans="1:8">
      <c r="A20" s="406"/>
      <c r="B20" s="539"/>
      <c r="C20" s="539"/>
    </row>
    <row r="21" spans="1:8">
      <c r="B21" s="551" t="s">
        <v>1873</v>
      </c>
      <c r="C21" s="539"/>
    </row>
    <row r="22" spans="1:8">
      <c r="B22" s="406" t="str">
        <f>+ЧХ!$B$6</f>
        <v>Аудитын менежер</v>
      </c>
    </row>
    <row r="23" spans="1:8">
      <c r="A23" s="406"/>
      <c r="B23" s="539">
        <f>+ЧХ!$C$6</f>
        <v>0</v>
      </c>
      <c r="C23" s="539" t="s">
        <v>1777</v>
      </c>
    </row>
    <row r="24" spans="1:8">
      <c r="A24" s="406"/>
      <c r="B24" s="539"/>
      <c r="C24" s="539"/>
    </row>
    <row r="25" spans="1:8">
      <c r="B25" s="551" t="s">
        <v>2035</v>
      </c>
      <c r="C25" s="539"/>
    </row>
    <row r="26" spans="1:8">
      <c r="B26" s="406" t="str">
        <f>+ЧХ!$B$5</f>
        <v>Тэргүүлэх аудитор</v>
      </c>
    </row>
    <row r="27" spans="1:8">
      <c r="B27" s="540" t="str">
        <f>+ЧХ!$C$5</f>
        <v>С.Энхбаатар</v>
      </c>
      <c r="C27" s="539" t="s">
        <v>1777</v>
      </c>
    </row>
    <row r="29" spans="1:8">
      <c r="B29" s="406" t="str">
        <f>+ЧХ!$B$6&amp;"ийн санал: ………………………………………………………………………………………"</f>
        <v>Аудитын менежерийн санал: ………………………………………………………………………………………</v>
      </c>
    </row>
    <row r="30" spans="1:8">
      <c r="B30" s="406"/>
    </row>
    <row r="31" spans="1:8">
      <c r="B31" s="406"/>
    </row>
    <row r="32" spans="1:8">
      <c r="B32" s="406" t="str">
        <f>+ЧХ!$B$5&amp;"ын санал: ..........................................................................................................."</f>
        <v>Тэргүүлэх аудиторын санал: ...........................................................................................................</v>
      </c>
    </row>
  </sheetData>
  <mergeCells count="2">
    <mergeCell ref="B2:C2"/>
    <mergeCell ref="B4:C4"/>
  </mergeCells>
  <dataValidations count="1">
    <dataValidation allowBlank="1" showErrorMessage="1" showInputMessage="1" sqref="C15:H15 C11:H11" type="list">
      <formula1>"Тийм, Үгүй"</formula1>
    </dataValidation>
  </dataValidations>
  <pageMargins bottom="0.75" footer="0.3" header="0.3" left="0.7" right="0.7" top="0.75"/>
  <pageSetup orientation="portrait"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B3"/>
  <sheetViews>
    <sheetView workbookViewId="0">
      <selection activeCell="B3" sqref="B3"/>
    </sheetView>
  </sheetViews>
  <sheetFormatPr defaultRowHeight="12.75"/>
  <cols>
    <col min="1" max="1" customWidth="true" style="85" width="20.85546875" collapsed="false"/>
    <col min="2" max="2" customWidth="true" style="85" width="26.0" collapsed="false"/>
    <col min="3" max="3" customWidth="true" style="85" width="21.85546875" collapsed="false"/>
    <col min="4" max="4" customWidth="true" style="85" width="20.7109375" collapsed="false"/>
    <col min="5" max="5" customWidth="true" style="85" width="16.7109375" collapsed="false"/>
    <col min="6" max="6" customWidth="true" style="85" width="10.85546875" collapsed="false"/>
    <col min="7" max="7" customWidth="true" style="85" width="11.0" collapsed="false"/>
    <col min="8" max="8" customWidth="true" style="85" width="19.28515625" collapsed="false"/>
    <col min="9" max="256" style="85" width="9.140625" collapsed="false"/>
    <col min="257" max="257" customWidth="true" style="85" width="24.7109375" collapsed="false"/>
    <col min="258" max="258" customWidth="true" style="85" width="14.42578125" collapsed="false"/>
    <col min="259" max="259" customWidth="true" style="85" width="18.85546875" collapsed="false"/>
    <col min="260" max="260" customWidth="true" style="85" width="17.0" collapsed="false"/>
    <col min="261" max="261" customWidth="true" style="85" width="20.140625" collapsed="false"/>
    <col min="262" max="262" customWidth="true" style="85" width="19.28515625" collapsed="false"/>
    <col min="263" max="263" customWidth="true" style="85" width="19.0" collapsed="false"/>
    <col min="264" max="264" customWidth="true" style="85" width="19.28515625" collapsed="false"/>
    <col min="265" max="512" style="85" width="9.140625" collapsed="false"/>
    <col min="513" max="513" customWidth="true" style="85" width="24.7109375" collapsed="false"/>
    <col min="514" max="514" customWidth="true" style="85" width="14.42578125" collapsed="false"/>
    <col min="515" max="515" customWidth="true" style="85" width="18.85546875" collapsed="false"/>
    <col min="516" max="516" customWidth="true" style="85" width="17.0" collapsed="false"/>
    <col min="517" max="517" customWidth="true" style="85" width="20.140625" collapsed="false"/>
    <col min="518" max="518" customWidth="true" style="85" width="19.28515625" collapsed="false"/>
    <col min="519" max="519" customWidth="true" style="85" width="19.0" collapsed="false"/>
    <col min="520" max="520" customWidth="true" style="85" width="19.28515625" collapsed="false"/>
    <col min="521" max="768" style="85" width="9.140625" collapsed="false"/>
    <col min="769" max="769" customWidth="true" style="85" width="24.7109375" collapsed="false"/>
    <col min="770" max="770" customWidth="true" style="85" width="14.42578125" collapsed="false"/>
    <col min="771" max="771" customWidth="true" style="85" width="18.85546875" collapsed="false"/>
    <col min="772" max="772" customWidth="true" style="85" width="17.0" collapsed="false"/>
    <col min="773" max="773" customWidth="true" style="85" width="20.140625" collapsed="false"/>
    <col min="774" max="774" customWidth="true" style="85" width="19.28515625" collapsed="false"/>
    <col min="775" max="775" customWidth="true" style="85" width="19.0" collapsed="false"/>
    <col min="776" max="776" customWidth="true" style="85" width="19.28515625" collapsed="false"/>
    <col min="777" max="1024" style="85" width="9.140625" collapsed="false"/>
    <col min="1025" max="1025" customWidth="true" style="85" width="24.7109375" collapsed="false"/>
    <col min="1026" max="1026" customWidth="true" style="85" width="14.42578125" collapsed="false"/>
    <col min="1027" max="1027" customWidth="true" style="85" width="18.85546875" collapsed="false"/>
    <col min="1028" max="1028" customWidth="true" style="85" width="17.0" collapsed="false"/>
    <col min="1029" max="1029" customWidth="true" style="85" width="20.140625" collapsed="false"/>
    <col min="1030" max="1030" customWidth="true" style="85" width="19.28515625" collapsed="false"/>
    <col min="1031" max="1031" customWidth="true" style="85" width="19.0" collapsed="false"/>
    <col min="1032" max="1032" customWidth="true" style="85" width="19.28515625" collapsed="false"/>
    <col min="1033" max="1280" style="85" width="9.140625" collapsed="false"/>
    <col min="1281" max="1281" customWidth="true" style="85" width="24.7109375" collapsed="false"/>
    <col min="1282" max="1282" customWidth="true" style="85" width="14.42578125" collapsed="false"/>
    <col min="1283" max="1283" customWidth="true" style="85" width="18.85546875" collapsed="false"/>
    <col min="1284" max="1284" customWidth="true" style="85" width="17.0" collapsed="false"/>
    <col min="1285" max="1285" customWidth="true" style="85" width="20.140625" collapsed="false"/>
    <col min="1286" max="1286" customWidth="true" style="85" width="19.28515625" collapsed="false"/>
    <col min="1287" max="1287" customWidth="true" style="85" width="19.0" collapsed="false"/>
    <col min="1288" max="1288" customWidth="true" style="85" width="19.28515625" collapsed="false"/>
    <col min="1289" max="1536" style="85" width="9.140625" collapsed="false"/>
    <col min="1537" max="1537" customWidth="true" style="85" width="24.7109375" collapsed="false"/>
    <col min="1538" max="1538" customWidth="true" style="85" width="14.42578125" collapsed="false"/>
    <col min="1539" max="1539" customWidth="true" style="85" width="18.85546875" collapsed="false"/>
    <col min="1540" max="1540" customWidth="true" style="85" width="17.0" collapsed="false"/>
    <col min="1541" max="1541" customWidth="true" style="85" width="20.140625" collapsed="false"/>
    <col min="1542" max="1542" customWidth="true" style="85" width="19.28515625" collapsed="false"/>
    <col min="1543" max="1543" customWidth="true" style="85" width="19.0" collapsed="false"/>
    <col min="1544" max="1544" customWidth="true" style="85" width="19.28515625" collapsed="false"/>
    <col min="1545" max="1792" style="85" width="9.140625" collapsed="false"/>
    <col min="1793" max="1793" customWidth="true" style="85" width="24.7109375" collapsed="false"/>
    <col min="1794" max="1794" customWidth="true" style="85" width="14.42578125" collapsed="false"/>
    <col min="1795" max="1795" customWidth="true" style="85" width="18.85546875" collapsed="false"/>
    <col min="1796" max="1796" customWidth="true" style="85" width="17.0" collapsed="false"/>
    <col min="1797" max="1797" customWidth="true" style="85" width="20.140625" collapsed="false"/>
    <col min="1798" max="1798" customWidth="true" style="85" width="19.28515625" collapsed="false"/>
    <col min="1799" max="1799" customWidth="true" style="85" width="19.0" collapsed="false"/>
    <col min="1800" max="1800" customWidth="true" style="85" width="19.28515625" collapsed="false"/>
    <col min="1801" max="2048" style="85" width="9.140625" collapsed="false"/>
    <col min="2049" max="2049" customWidth="true" style="85" width="24.7109375" collapsed="false"/>
    <col min="2050" max="2050" customWidth="true" style="85" width="14.42578125" collapsed="false"/>
    <col min="2051" max="2051" customWidth="true" style="85" width="18.85546875" collapsed="false"/>
    <col min="2052" max="2052" customWidth="true" style="85" width="17.0" collapsed="false"/>
    <col min="2053" max="2053" customWidth="true" style="85" width="20.140625" collapsed="false"/>
    <col min="2054" max="2054" customWidth="true" style="85" width="19.28515625" collapsed="false"/>
    <col min="2055" max="2055" customWidth="true" style="85" width="19.0" collapsed="false"/>
    <col min="2056" max="2056" customWidth="true" style="85" width="19.28515625" collapsed="false"/>
    <col min="2057" max="2304" style="85" width="9.140625" collapsed="false"/>
    <col min="2305" max="2305" customWidth="true" style="85" width="24.7109375" collapsed="false"/>
    <col min="2306" max="2306" customWidth="true" style="85" width="14.42578125" collapsed="false"/>
    <col min="2307" max="2307" customWidth="true" style="85" width="18.85546875" collapsed="false"/>
    <col min="2308" max="2308" customWidth="true" style="85" width="17.0" collapsed="false"/>
    <col min="2309" max="2309" customWidth="true" style="85" width="20.140625" collapsed="false"/>
    <col min="2310" max="2310" customWidth="true" style="85" width="19.28515625" collapsed="false"/>
    <col min="2311" max="2311" customWidth="true" style="85" width="19.0" collapsed="false"/>
    <col min="2312" max="2312" customWidth="true" style="85" width="19.28515625" collapsed="false"/>
    <col min="2313" max="2560" style="85" width="9.140625" collapsed="false"/>
    <col min="2561" max="2561" customWidth="true" style="85" width="24.7109375" collapsed="false"/>
    <col min="2562" max="2562" customWidth="true" style="85" width="14.42578125" collapsed="false"/>
    <col min="2563" max="2563" customWidth="true" style="85" width="18.85546875" collapsed="false"/>
    <col min="2564" max="2564" customWidth="true" style="85" width="17.0" collapsed="false"/>
    <col min="2565" max="2565" customWidth="true" style="85" width="20.140625" collapsed="false"/>
    <col min="2566" max="2566" customWidth="true" style="85" width="19.28515625" collapsed="false"/>
    <col min="2567" max="2567" customWidth="true" style="85" width="19.0" collapsed="false"/>
    <col min="2568" max="2568" customWidth="true" style="85" width="19.28515625" collapsed="false"/>
    <col min="2569" max="2816" style="85" width="9.140625" collapsed="false"/>
    <col min="2817" max="2817" customWidth="true" style="85" width="24.7109375" collapsed="false"/>
    <col min="2818" max="2818" customWidth="true" style="85" width="14.42578125" collapsed="false"/>
    <col min="2819" max="2819" customWidth="true" style="85" width="18.85546875" collapsed="false"/>
    <col min="2820" max="2820" customWidth="true" style="85" width="17.0" collapsed="false"/>
    <col min="2821" max="2821" customWidth="true" style="85" width="20.140625" collapsed="false"/>
    <col min="2822" max="2822" customWidth="true" style="85" width="19.28515625" collapsed="false"/>
    <col min="2823" max="2823" customWidth="true" style="85" width="19.0" collapsed="false"/>
    <col min="2824" max="2824" customWidth="true" style="85" width="19.28515625" collapsed="false"/>
    <col min="2825" max="3072" style="85" width="9.140625" collapsed="false"/>
    <col min="3073" max="3073" customWidth="true" style="85" width="24.7109375" collapsed="false"/>
    <col min="3074" max="3074" customWidth="true" style="85" width="14.42578125" collapsed="false"/>
    <col min="3075" max="3075" customWidth="true" style="85" width="18.85546875" collapsed="false"/>
    <col min="3076" max="3076" customWidth="true" style="85" width="17.0" collapsed="false"/>
    <col min="3077" max="3077" customWidth="true" style="85" width="20.140625" collapsed="false"/>
    <col min="3078" max="3078" customWidth="true" style="85" width="19.28515625" collapsed="false"/>
    <col min="3079" max="3079" customWidth="true" style="85" width="19.0" collapsed="false"/>
    <col min="3080" max="3080" customWidth="true" style="85" width="19.28515625" collapsed="false"/>
    <col min="3081" max="3328" style="85" width="9.140625" collapsed="false"/>
    <col min="3329" max="3329" customWidth="true" style="85" width="24.7109375" collapsed="false"/>
    <col min="3330" max="3330" customWidth="true" style="85" width="14.42578125" collapsed="false"/>
    <col min="3331" max="3331" customWidth="true" style="85" width="18.85546875" collapsed="false"/>
    <col min="3332" max="3332" customWidth="true" style="85" width="17.0" collapsed="false"/>
    <col min="3333" max="3333" customWidth="true" style="85" width="20.140625" collapsed="false"/>
    <col min="3334" max="3334" customWidth="true" style="85" width="19.28515625" collapsed="false"/>
    <col min="3335" max="3335" customWidth="true" style="85" width="19.0" collapsed="false"/>
    <col min="3336" max="3336" customWidth="true" style="85" width="19.28515625" collapsed="false"/>
    <col min="3337" max="3584" style="85" width="9.140625" collapsed="false"/>
    <col min="3585" max="3585" customWidth="true" style="85" width="24.7109375" collapsed="false"/>
    <col min="3586" max="3586" customWidth="true" style="85" width="14.42578125" collapsed="false"/>
    <col min="3587" max="3587" customWidth="true" style="85" width="18.85546875" collapsed="false"/>
    <col min="3588" max="3588" customWidth="true" style="85" width="17.0" collapsed="false"/>
    <col min="3589" max="3589" customWidth="true" style="85" width="20.140625" collapsed="false"/>
    <col min="3590" max="3590" customWidth="true" style="85" width="19.28515625" collapsed="false"/>
    <col min="3591" max="3591" customWidth="true" style="85" width="19.0" collapsed="false"/>
    <col min="3592" max="3592" customWidth="true" style="85" width="19.28515625" collapsed="false"/>
    <col min="3593" max="3840" style="85" width="9.140625" collapsed="false"/>
    <col min="3841" max="3841" customWidth="true" style="85" width="24.7109375" collapsed="false"/>
    <col min="3842" max="3842" customWidth="true" style="85" width="14.42578125" collapsed="false"/>
    <col min="3843" max="3843" customWidth="true" style="85" width="18.85546875" collapsed="false"/>
    <col min="3844" max="3844" customWidth="true" style="85" width="17.0" collapsed="false"/>
    <col min="3845" max="3845" customWidth="true" style="85" width="20.140625" collapsed="false"/>
    <col min="3846" max="3846" customWidth="true" style="85" width="19.28515625" collapsed="false"/>
    <col min="3847" max="3847" customWidth="true" style="85" width="19.0" collapsed="false"/>
    <col min="3848" max="3848" customWidth="true" style="85" width="19.28515625" collapsed="false"/>
    <col min="3849" max="4096" style="85" width="9.140625" collapsed="false"/>
    <col min="4097" max="4097" customWidth="true" style="85" width="24.7109375" collapsed="false"/>
    <col min="4098" max="4098" customWidth="true" style="85" width="14.42578125" collapsed="false"/>
    <col min="4099" max="4099" customWidth="true" style="85" width="18.85546875" collapsed="false"/>
    <col min="4100" max="4100" customWidth="true" style="85" width="17.0" collapsed="false"/>
    <col min="4101" max="4101" customWidth="true" style="85" width="20.140625" collapsed="false"/>
    <col min="4102" max="4102" customWidth="true" style="85" width="19.28515625" collapsed="false"/>
    <col min="4103" max="4103" customWidth="true" style="85" width="19.0" collapsed="false"/>
    <col min="4104" max="4104" customWidth="true" style="85" width="19.28515625" collapsed="false"/>
    <col min="4105" max="4352" style="85" width="9.140625" collapsed="false"/>
    <col min="4353" max="4353" customWidth="true" style="85" width="24.7109375" collapsed="false"/>
    <col min="4354" max="4354" customWidth="true" style="85" width="14.42578125" collapsed="false"/>
    <col min="4355" max="4355" customWidth="true" style="85" width="18.85546875" collapsed="false"/>
    <col min="4356" max="4356" customWidth="true" style="85" width="17.0" collapsed="false"/>
    <col min="4357" max="4357" customWidth="true" style="85" width="20.140625" collapsed="false"/>
    <col min="4358" max="4358" customWidth="true" style="85" width="19.28515625" collapsed="false"/>
    <col min="4359" max="4359" customWidth="true" style="85" width="19.0" collapsed="false"/>
    <col min="4360" max="4360" customWidth="true" style="85" width="19.28515625" collapsed="false"/>
    <col min="4361" max="4608" style="85" width="9.140625" collapsed="false"/>
    <col min="4609" max="4609" customWidth="true" style="85" width="24.7109375" collapsed="false"/>
    <col min="4610" max="4610" customWidth="true" style="85" width="14.42578125" collapsed="false"/>
    <col min="4611" max="4611" customWidth="true" style="85" width="18.85546875" collapsed="false"/>
    <col min="4612" max="4612" customWidth="true" style="85" width="17.0" collapsed="false"/>
    <col min="4613" max="4613" customWidth="true" style="85" width="20.140625" collapsed="false"/>
    <col min="4614" max="4614" customWidth="true" style="85" width="19.28515625" collapsed="false"/>
    <col min="4615" max="4615" customWidth="true" style="85" width="19.0" collapsed="false"/>
    <col min="4616" max="4616" customWidth="true" style="85" width="19.28515625" collapsed="false"/>
    <col min="4617" max="4864" style="85" width="9.140625" collapsed="false"/>
    <col min="4865" max="4865" customWidth="true" style="85" width="24.7109375" collapsed="false"/>
    <col min="4866" max="4866" customWidth="true" style="85" width="14.42578125" collapsed="false"/>
    <col min="4867" max="4867" customWidth="true" style="85" width="18.85546875" collapsed="false"/>
    <col min="4868" max="4868" customWidth="true" style="85" width="17.0" collapsed="false"/>
    <col min="4869" max="4869" customWidth="true" style="85" width="20.140625" collapsed="false"/>
    <col min="4870" max="4870" customWidth="true" style="85" width="19.28515625" collapsed="false"/>
    <col min="4871" max="4871" customWidth="true" style="85" width="19.0" collapsed="false"/>
    <col min="4872" max="4872" customWidth="true" style="85" width="19.28515625" collapsed="false"/>
    <col min="4873" max="5120" style="85" width="9.140625" collapsed="false"/>
    <col min="5121" max="5121" customWidth="true" style="85" width="24.7109375" collapsed="false"/>
    <col min="5122" max="5122" customWidth="true" style="85" width="14.42578125" collapsed="false"/>
    <col min="5123" max="5123" customWidth="true" style="85" width="18.85546875" collapsed="false"/>
    <col min="5124" max="5124" customWidth="true" style="85" width="17.0" collapsed="false"/>
    <col min="5125" max="5125" customWidth="true" style="85" width="20.140625" collapsed="false"/>
    <col min="5126" max="5126" customWidth="true" style="85" width="19.28515625" collapsed="false"/>
    <col min="5127" max="5127" customWidth="true" style="85" width="19.0" collapsed="false"/>
    <col min="5128" max="5128" customWidth="true" style="85" width="19.28515625" collapsed="false"/>
    <col min="5129" max="5376" style="85" width="9.140625" collapsed="false"/>
    <col min="5377" max="5377" customWidth="true" style="85" width="24.7109375" collapsed="false"/>
    <col min="5378" max="5378" customWidth="true" style="85" width="14.42578125" collapsed="false"/>
    <col min="5379" max="5379" customWidth="true" style="85" width="18.85546875" collapsed="false"/>
    <col min="5380" max="5380" customWidth="true" style="85" width="17.0" collapsed="false"/>
    <col min="5381" max="5381" customWidth="true" style="85" width="20.140625" collapsed="false"/>
    <col min="5382" max="5382" customWidth="true" style="85" width="19.28515625" collapsed="false"/>
    <col min="5383" max="5383" customWidth="true" style="85" width="19.0" collapsed="false"/>
    <col min="5384" max="5384" customWidth="true" style="85" width="19.28515625" collapsed="false"/>
    <col min="5385" max="5632" style="85" width="9.140625" collapsed="false"/>
    <col min="5633" max="5633" customWidth="true" style="85" width="24.7109375" collapsed="false"/>
    <col min="5634" max="5634" customWidth="true" style="85" width="14.42578125" collapsed="false"/>
    <col min="5635" max="5635" customWidth="true" style="85" width="18.85546875" collapsed="false"/>
    <col min="5636" max="5636" customWidth="true" style="85" width="17.0" collapsed="false"/>
    <col min="5637" max="5637" customWidth="true" style="85" width="20.140625" collapsed="false"/>
    <col min="5638" max="5638" customWidth="true" style="85" width="19.28515625" collapsed="false"/>
    <col min="5639" max="5639" customWidth="true" style="85" width="19.0" collapsed="false"/>
    <col min="5640" max="5640" customWidth="true" style="85" width="19.28515625" collapsed="false"/>
    <col min="5641" max="5888" style="85" width="9.140625" collapsed="false"/>
    <col min="5889" max="5889" customWidth="true" style="85" width="24.7109375" collapsed="false"/>
    <col min="5890" max="5890" customWidth="true" style="85" width="14.42578125" collapsed="false"/>
    <col min="5891" max="5891" customWidth="true" style="85" width="18.85546875" collapsed="false"/>
    <col min="5892" max="5892" customWidth="true" style="85" width="17.0" collapsed="false"/>
    <col min="5893" max="5893" customWidth="true" style="85" width="20.140625" collapsed="false"/>
    <col min="5894" max="5894" customWidth="true" style="85" width="19.28515625" collapsed="false"/>
    <col min="5895" max="5895" customWidth="true" style="85" width="19.0" collapsed="false"/>
    <col min="5896" max="5896" customWidth="true" style="85" width="19.28515625" collapsed="false"/>
    <col min="5897" max="6144" style="85" width="9.140625" collapsed="false"/>
    <col min="6145" max="6145" customWidth="true" style="85" width="24.7109375" collapsed="false"/>
    <col min="6146" max="6146" customWidth="true" style="85" width="14.42578125" collapsed="false"/>
    <col min="6147" max="6147" customWidth="true" style="85" width="18.85546875" collapsed="false"/>
    <col min="6148" max="6148" customWidth="true" style="85" width="17.0" collapsed="false"/>
    <col min="6149" max="6149" customWidth="true" style="85" width="20.140625" collapsed="false"/>
    <col min="6150" max="6150" customWidth="true" style="85" width="19.28515625" collapsed="false"/>
    <col min="6151" max="6151" customWidth="true" style="85" width="19.0" collapsed="false"/>
    <col min="6152" max="6152" customWidth="true" style="85" width="19.28515625" collapsed="false"/>
    <col min="6153" max="6400" style="85" width="9.140625" collapsed="false"/>
    <col min="6401" max="6401" customWidth="true" style="85" width="24.7109375" collapsed="false"/>
    <col min="6402" max="6402" customWidth="true" style="85" width="14.42578125" collapsed="false"/>
    <col min="6403" max="6403" customWidth="true" style="85" width="18.85546875" collapsed="false"/>
    <col min="6404" max="6404" customWidth="true" style="85" width="17.0" collapsed="false"/>
    <col min="6405" max="6405" customWidth="true" style="85" width="20.140625" collapsed="false"/>
    <col min="6406" max="6406" customWidth="true" style="85" width="19.28515625" collapsed="false"/>
    <col min="6407" max="6407" customWidth="true" style="85" width="19.0" collapsed="false"/>
    <col min="6408" max="6408" customWidth="true" style="85" width="19.28515625" collapsed="false"/>
    <col min="6409" max="6656" style="85" width="9.140625" collapsed="false"/>
    <col min="6657" max="6657" customWidth="true" style="85" width="24.7109375" collapsed="false"/>
    <col min="6658" max="6658" customWidth="true" style="85" width="14.42578125" collapsed="false"/>
    <col min="6659" max="6659" customWidth="true" style="85" width="18.85546875" collapsed="false"/>
    <col min="6660" max="6660" customWidth="true" style="85" width="17.0" collapsed="false"/>
    <col min="6661" max="6661" customWidth="true" style="85" width="20.140625" collapsed="false"/>
    <col min="6662" max="6662" customWidth="true" style="85" width="19.28515625" collapsed="false"/>
    <col min="6663" max="6663" customWidth="true" style="85" width="19.0" collapsed="false"/>
    <col min="6664" max="6664" customWidth="true" style="85" width="19.28515625" collapsed="false"/>
    <col min="6665" max="6912" style="85" width="9.140625" collapsed="false"/>
    <col min="6913" max="6913" customWidth="true" style="85" width="24.7109375" collapsed="false"/>
    <col min="6914" max="6914" customWidth="true" style="85" width="14.42578125" collapsed="false"/>
    <col min="6915" max="6915" customWidth="true" style="85" width="18.85546875" collapsed="false"/>
    <col min="6916" max="6916" customWidth="true" style="85" width="17.0" collapsed="false"/>
    <col min="6917" max="6917" customWidth="true" style="85" width="20.140625" collapsed="false"/>
    <col min="6918" max="6918" customWidth="true" style="85" width="19.28515625" collapsed="false"/>
    <col min="6919" max="6919" customWidth="true" style="85" width="19.0" collapsed="false"/>
    <col min="6920" max="6920" customWidth="true" style="85" width="19.28515625" collapsed="false"/>
    <col min="6921" max="7168" style="85" width="9.140625" collapsed="false"/>
    <col min="7169" max="7169" customWidth="true" style="85" width="24.7109375" collapsed="false"/>
    <col min="7170" max="7170" customWidth="true" style="85" width="14.42578125" collapsed="false"/>
    <col min="7171" max="7171" customWidth="true" style="85" width="18.85546875" collapsed="false"/>
    <col min="7172" max="7172" customWidth="true" style="85" width="17.0" collapsed="false"/>
    <col min="7173" max="7173" customWidth="true" style="85" width="20.140625" collapsed="false"/>
    <col min="7174" max="7174" customWidth="true" style="85" width="19.28515625" collapsed="false"/>
    <col min="7175" max="7175" customWidth="true" style="85" width="19.0" collapsed="false"/>
    <col min="7176" max="7176" customWidth="true" style="85" width="19.28515625" collapsed="false"/>
    <col min="7177" max="7424" style="85" width="9.140625" collapsed="false"/>
    <col min="7425" max="7425" customWidth="true" style="85" width="24.7109375" collapsed="false"/>
    <col min="7426" max="7426" customWidth="true" style="85" width="14.42578125" collapsed="false"/>
    <col min="7427" max="7427" customWidth="true" style="85" width="18.85546875" collapsed="false"/>
    <col min="7428" max="7428" customWidth="true" style="85" width="17.0" collapsed="false"/>
    <col min="7429" max="7429" customWidth="true" style="85" width="20.140625" collapsed="false"/>
    <col min="7430" max="7430" customWidth="true" style="85" width="19.28515625" collapsed="false"/>
    <col min="7431" max="7431" customWidth="true" style="85" width="19.0" collapsed="false"/>
    <col min="7432" max="7432" customWidth="true" style="85" width="19.28515625" collapsed="false"/>
    <col min="7433" max="7680" style="85" width="9.140625" collapsed="false"/>
    <col min="7681" max="7681" customWidth="true" style="85" width="24.7109375" collapsed="false"/>
    <col min="7682" max="7682" customWidth="true" style="85" width="14.42578125" collapsed="false"/>
    <col min="7683" max="7683" customWidth="true" style="85" width="18.85546875" collapsed="false"/>
    <col min="7684" max="7684" customWidth="true" style="85" width="17.0" collapsed="false"/>
    <col min="7685" max="7685" customWidth="true" style="85" width="20.140625" collapsed="false"/>
    <col min="7686" max="7686" customWidth="true" style="85" width="19.28515625" collapsed="false"/>
    <col min="7687" max="7687" customWidth="true" style="85" width="19.0" collapsed="false"/>
    <col min="7688" max="7688" customWidth="true" style="85" width="19.28515625" collapsed="false"/>
    <col min="7689" max="7936" style="85" width="9.140625" collapsed="false"/>
    <col min="7937" max="7937" customWidth="true" style="85" width="24.7109375" collapsed="false"/>
    <col min="7938" max="7938" customWidth="true" style="85" width="14.42578125" collapsed="false"/>
    <col min="7939" max="7939" customWidth="true" style="85" width="18.85546875" collapsed="false"/>
    <col min="7940" max="7940" customWidth="true" style="85" width="17.0" collapsed="false"/>
    <col min="7941" max="7941" customWidth="true" style="85" width="20.140625" collapsed="false"/>
    <col min="7942" max="7942" customWidth="true" style="85" width="19.28515625" collapsed="false"/>
    <col min="7943" max="7943" customWidth="true" style="85" width="19.0" collapsed="false"/>
    <col min="7944" max="7944" customWidth="true" style="85" width="19.28515625" collapsed="false"/>
    <col min="7945" max="8192" style="85" width="9.140625" collapsed="false"/>
    <col min="8193" max="8193" customWidth="true" style="85" width="24.7109375" collapsed="false"/>
    <col min="8194" max="8194" customWidth="true" style="85" width="14.42578125" collapsed="false"/>
    <col min="8195" max="8195" customWidth="true" style="85" width="18.85546875" collapsed="false"/>
    <col min="8196" max="8196" customWidth="true" style="85" width="17.0" collapsed="false"/>
    <col min="8197" max="8197" customWidth="true" style="85" width="20.140625" collapsed="false"/>
    <col min="8198" max="8198" customWidth="true" style="85" width="19.28515625" collapsed="false"/>
    <col min="8199" max="8199" customWidth="true" style="85" width="19.0" collapsed="false"/>
    <col min="8200" max="8200" customWidth="true" style="85" width="19.28515625" collapsed="false"/>
    <col min="8201" max="8448" style="85" width="9.140625" collapsed="false"/>
    <col min="8449" max="8449" customWidth="true" style="85" width="24.7109375" collapsed="false"/>
    <col min="8450" max="8450" customWidth="true" style="85" width="14.42578125" collapsed="false"/>
    <col min="8451" max="8451" customWidth="true" style="85" width="18.85546875" collapsed="false"/>
    <col min="8452" max="8452" customWidth="true" style="85" width="17.0" collapsed="false"/>
    <col min="8453" max="8453" customWidth="true" style="85" width="20.140625" collapsed="false"/>
    <col min="8454" max="8454" customWidth="true" style="85" width="19.28515625" collapsed="false"/>
    <col min="8455" max="8455" customWidth="true" style="85" width="19.0" collapsed="false"/>
    <col min="8456" max="8456" customWidth="true" style="85" width="19.28515625" collapsed="false"/>
    <col min="8457" max="8704" style="85" width="9.140625" collapsed="false"/>
    <col min="8705" max="8705" customWidth="true" style="85" width="24.7109375" collapsed="false"/>
    <col min="8706" max="8706" customWidth="true" style="85" width="14.42578125" collapsed="false"/>
    <col min="8707" max="8707" customWidth="true" style="85" width="18.85546875" collapsed="false"/>
    <col min="8708" max="8708" customWidth="true" style="85" width="17.0" collapsed="false"/>
    <col min="8709" max="8709" customWidth="true" style="85" width="20.140625" collapsed="false"/>
    <col min="8710" max="8710" customWidth="true" style="85" width="19.28515625" collapsed="false"/>
    <col min="8711" max="8711" customWidth="true" style="85" width="19.0" collapsed="false"/>
    <col min="8712" max="8712" customWidth="true" style="85" width="19.28515625" collapsed="false"/>
    <col min="8713" max="8960" style="85" width="9.140625" collapsed="false"/>
    <col min="8961" max="8961" customWidth="true" style="85" width="24.7109375" collapsed="false"/>
    <col min="8962" max="8962" customWidth="true" style="85" width="14.42578125" collapsed="false"/>
    <col min="8963" max="8963" customWidth="true" style="85" width="18.85546875" collapsed="false"/>
    <col min="8964" max="8964" customWidth="true" style="85" width="17.0" collapsed="false"/>
    <col min="8965" max="8965" customWidth="true" style="85" width="20.140625" collapsed="false"/>
    <col min="8966" max="8966" customWidth="true" style="85" width="19.28515625" collapsed="false"/>
    <col min="8967" max="8967" customWidth="true" style="85" width="19.0" collapsed="false"/>
    <col min="8968" max="8968" customWidth="true" style="85" width="19.28515625" collapsed="false"/>
    <col min="8969" max="9216" style="85" width="9.140625" collapsed="false"/>
    <col min="9217" max="9217" customWidth="true" style="85" width="24.7109375" collapsed="false"/>
    <col min="9218" max="9218" customWidth="true" style="85" width="14.42578125" collapsed="false"/>
    <col min="9219" max="9219" customWidth="true" style="85" width="18.85546875" collapsed="false"/>
    <col min="9220" max="9220" customWidth="true" style="85" width="17.0" collapsed="false"/>
    <col min="9221" max="9221" customWidth="true" style="85" width="20.140625" collapsed="false"/>
    <col min="9222" max="9222" customWidth="true" style="85" width="19.28515625" collapsed="false"/>
    <col min="9223" max="9223" customWidth="true" style="85" width="19.0" collapsed="false"/>
    <col min="9224" max="9224" customWidth="true" style="85" width="19.28515625" collapsed="false"/>
    <col min="9225" max="9472" style="85" width="9.140625" collapsed="false"/>
    <col min="9473" max="9473" customWidth="true" style="85" width="24.7109375" collapsed="false"/>
    <col min="9474" max="9474" customWidth="true" style="85" width="14.42578125" collapsed="false"/>
    <col min="9475" max="9475" customWidth="true" style="85" width="18.85546875" collapsed="false"/>
    <col min="9476" max="9476" customWidth="true" style="85" width="17.0" collapsed="false"/>
    <col min="9477" max="9477" customWidth="true" style="85" width="20.140625" collapsed="false"/>
    <col min="9478" max="9478" customWidth="true" style="85" width="19.28515625" collapsed="false"/>
    <col min="9479" max="9479" customWidth="true" style="85" width="19.0" collapsed="false"/>
    <col min="9480" max="9480" customWidth="true" style="85" width="19.28515625" collapsed="false"/>
    <col min="9481" max="9728" style="85" width="9.140625" collapsed="false"/>
    <col min="9729" max="9729" customWidth="true" style="85" width="24.7109375" collapsed="false"/>
    <col min="9730" max="9730" customWidth="true" style="85" width="14.42578125" collapsed="false"/>
    <col min="9731" max="9731" customWidth="true" style="85" width="18.85546875" collapsed="false"/>
    <col min="9732" max="9732" customWidth="true" style="85" width="17.0" collapsed="false"/>
    <col min="9733" max="9733" customWidth="true" style="85" width="20.140625" collapsed="false"/>
    <col min="9734" max="9734" customWidth="true" style="85" width="19.28515625" collapsed="false"/>
    <col min="9735" max="9735" customWidth="true" style="85" width="19.0" collapsed="false"/>
    <col min="9736" max="9736" customWidth="true" style="85" width="19.28515625" collapsed="false"/>
    <col min="9737" max="9984" style="85" width="9.140625" collapsed="false"/>
    <col min="9985" max="9985" customWidth="true" style="85" width="24.7109375" collapsed="false"/>
    <col min="9986" max="9986" customWidth="true" style="85" width="14.42578125" collapsed="false"/>
    <col min="9987" max="9987" customWidth="true" style="85" width="18.85546875" collapsed="false"/>
    <col min="9988" max="9988" customWidth="true" style="85" width="17.0" collapsed="false"/>
    <col min="9989" max="9989" customWidth="true" style="85" width="20.140625" collapsed="false"/>
    <col min="9990" max="9990" customWidth="true" style="85" width="19.28515625" collapsed="false"/>
    <col min="9991" max="9991" customWidth="true" style="85" width="19.0" collapsed="false"/>
    <col min="9992" max="9992" customWidth="true" style="85" width="19.28515625" collapsed="false"/>
    <col min="9993" max="10240" style="85" width="9.140625" collapsed="false"/>
    <col min="10241" max="10241" customWidth="true" style="85" width="24.7109375" collapsed="false"/>
    <col min="10242" max="10242" customWidth="true" style="85" width="14.42578125" collapsed="false"/>
    <col min="10243" max="10243" customWidth="true" style="85" width="18.85546875" collapsed="false"/>
    <col min="10244" max="10244" customWidth="true" style="85" width="17.0" collapsed="false"/>
    <col min="10245" max="10245" customWidth="true" style="85" width="20.140625" collapsed="false"/>
    <col min="10246" max="10246" customWidth="true" style="85" width="19.28515625" collapsed="false"/>
    <col min="10247" max="10247" customWidth="true" style="85" width="19.0" collapsed="false"/>
    <col min="10248" max="10248" customWidth="true" style="85" width="19.28515625" collapsed="false"/>
    <col min="10249" max="10496" style="85" width="9.140625" collapsed="false"/>
    <col min="10497" max="10497" customWidth="true" style="85" width="24.7109375" collapsed="false"/>
    <col min="10498" max="10498" customWidth="true" style="85" width="14.42578125" collapsed="false"/>
    <col min="10499" max="10499" customWidth="true" style="85" width="18.85546875" collapsed="false"/>
    <col min="10500" max="10500" customWidth="true" style="85" width="17.0" collapsed="false"/>
    <col min="10501" max="10501" customWidth="true" style="85" width="20.140625" collapsed="false"/>
    <col min="10502" max="10502" customWidth="true" style="85" width="19.28515625" collapsed="false"/>
    <col min="10503" max="10503" customWidth="true" style="85" width="19.0" collapsed="false"/>
    <col min="10504" max="10504" customWidth="true" style="85" width="19.28515625" collapsed="false"/>
    <col min="10505" max="10752" style="85" width="9.140625" collapsed="false"/>
    <col min="10753" max="10753" customWidth="true" style="85" width="24.7109375" collapsed="false"/>
    <col min="10754" max="10754" customWidth="true" style="85" width="14.42578125" collapsed="false"/>
    <col min="10755" max="10755" customWidth="true" style="85" width="18.85546875" collapsed="false"/>
    <col min="10756" max="10756" customWidth="true" style="85" width="17.0" collapsed="false"/>
    <col min="10757" max="10757" customWidth="true" style="85" width="20.140625" collapsed="false"/>
    <col min="10758" max="10758" customWidth="true" style="85" width="19.28515625" collapsed="false"/>
    <col min="10759" max="10759" customWidth="true" style="85" width="19.0" collapsed="false"/>
    <col min="10760" max="10760" customWidth="true" style="85" width="19.28515625" collapsed="false"/>
    <col min="10761" max="11008" style="85" width="9.140625" collapsed="false"/>
    <col min="11009" max="11009" customWidth="true" style="85" width="24.7109375" collapsed="false"/>
    <col min="11010" max="11010" customWidth="true" style="85" width="14.42578125" collapsed="false"/>
    <col min="11011" max="11011" customWidth="true" style="85" width="18.85546875" collapsed="false"/>
    <col min="11012" max="11012" customWidth="true" style="85" width="17.0" collapsed="false"/>
    <col min="11013" max="11013" customWidth="true" style="85" width="20.140625" collapsed="false"/>
    <col min="11014" max="11014" customWidth="true" style="85" width="19.28515625" collapsed="false"/>
    <col min="11015" max="11015" customWidth="true" style="85" width="19.0" collapsed="false"/>
    <col min="11016" max="11016" customWidth="true" style="85" width="19.28515625" collapsed="false"/>
    <col min="11017" max="11264" style="85" width="9.140625" collapsed="false"/>
    <col min="11265" max="11265" customWidth="true" style="85" width="24.7109375" collapsed="false"/>
    <col min="11266" max="11266" customWidth="true" style="85" width="14.42578125" collapsed="false"/>
    <col min="11267" max="11267" customWidth="true" style="85" width="18.85546875" collapsed="false"/>
    <col min="11268" max="11268" customWidth="true" style="85" width="17.0" collapsed="false"/>
    <col min="11269" max="11269" customWidth="true" style="85" width="20.140625" collapsed="false"/>
    <col min="11270" max="11270" customWidth="true" style="85" width="19.28515625" collapsed="false"/>
    <col min="11271" max="11271" customWidth="true" style="85" width="19.0" collapsed="false"/>
    <col min="11272" max="11272" customWidth="true" style="85" width="19.28515625" collapsed="false"/>
    <col min="11273" max="11520" style="85" width="9.140625" collapsed="false"/>
    <col min="11521" max="11521" customWidth="true" style="85" width="24.7109375" collapsed="false"/>
    <col min="11522" max="11522" customWidth="true" style="85" width="14.42578125" collapsed="false"/>
    <col min="11523" max="11523" customWidth="true" style="85" width="18.85546875" collapsed="false"/>
    <col min="11524" max="11524" customWidth="true" style="85" width="17.0" collapsed="false"/>
    <col min="11525" max="11525" customWidth="true" style="85" width="20.140625" collapsed="false"/>
    <col min="11526" max="11526" customWidth="true" style="85" width="19.28515625" collapsed="false"/>
    <col min="11527" max="11527" customWidth="true" style="85" width="19.0" collapsed="false"/>
    <col min="11528" max="11528" customWidth="true" style="85" width="19.28515625" collapsed="false"/>
    <col min="11529" max="11776" style="85" width="9.140625" collapsed="false"/>
    <col min="11777" max="11777" customWidth="true" style="85" width="24.7109375" collapsed="false"/>
    <col min="11778" max="11778" customWidth="true" style="85" width="14.42578125" collapsed="false"/>
    <col min="11779" max="11779" customWidth="true" style="85" width="18.85546875" collapsed="false"/>
    <col min="11780" max="11780" customWidth="true" style="85" width="17.0" collapsed="false"/>
    <col min="11781" max="11781" customWidth="true" style="85" width="20.140625" collapsed="false"/>
    <col min="11782" max="11782" customWidth="true" style="85" width="19.28515625" collapsed="false"/>
    <col min="11783" max="11783" customWidth="true" style="85" width="19.0" collapsed="false"/>
    <col min="11784" max="11784" customWidth="true" style="85" width="19.28515625" collapsed="false"/>
    <col min="11785" max="12032" style="85" width="9.140625" collapsed="false"/>
    <col min="12033" max="12033" customWidth="true" style="85" width="24.7109375" collapsed="false"/>
    <col min="12034" max="12034" customWidth="true" style="85" width="14.42578125" collapsed="false"/>
    <col min="12035" max="12035" customWidth="true" style="85" width="18.85546875" collapsed="false"/>
    <col min="12036" max="12036" customWidth="true" style="85" width="17.0" collapsed="false"/>
    <col min="12037" max="12037" customWidth="true" style="85" width="20.140625" collapsed="false"/>
    <col min="12038" max="12038" customWidth="true" style="85" width="19.28515625" collapsed="false"/>
    <col min="12039" max="12039" customWidth="true" style="85" width="19.0" collapsed="false"/>
    <col min="12040" max="12040" customWidth="true" style="85" width="19.28515625" collapsed="false"/>
    <col min="12041" max="12288" style="85" width="9.140625" collapsed="false"/>
    <col min="12289" max="12289" customWidth="true" style="85" width="24.7109375" collapsed="false"/>
    <col min="12290" max="12290" customWidth="true" style="85" width="14.42578125" collapsed="false"/>
    <col min="12291" max="12291" customWidth="true" style="85" width="18.85546875" collapsed="false"/>
    <col min="12292" max="12292" customWidth="true" style="85" width="17.0" collapsed="false"/>
    <col min="12293" max="12293" customWidth="true" style="85" width="20.140625" collapsed="false"/>
    <col min="12294" max="12294" customWidth="true" style="85" width="19.28515625" collapsed="false"/>
    <col min="12295" max="12295" customWidth="true" style="85" width="19.0" collapsed="false"/>
    <col min="12296" max="12296" customWidth="true" style="85" width="19.28515625" collapsed="false"/>
    <col min="12297" max="12544" style="85" width="9.140625" collapsed="false"/>
    <col min="12545" max="12545" customWidth="true" style="85" width="24.7109375" collapsed="false"/>
    <col min="12546" max="12546" customWidth="true" style="85" width="14.42578125" collapsed="false"/>
    <col min="12547" max="12547" customWidth="true" style="85" width="18.85546875" collapsed="false"/>
    <col min="12548" max="12548" customWidth="true" style="85" width="17.0" collapsed="false"/>
    <col min="12549" max="12549" customWidth="true" style="85" width="20.140625" collapsed="false"/>
    <col min="12550" max="12550" customWidth="true" style="85" width="19.28515625" collapsed="false"/>
    <col min="12551" max="12551" customWidth="true" style="85" width="19.0" collapsed="false"/>
    <col min="12552" max="12552" customWidth="true" style="85" width="19.28515625" collapsed="false"/>
    <col min="12553" max="12800" style="85" width="9.140625" collapsed="false"/>
    <col min="12801" max="12801" customWidth="true" style="85" width="24.7109375" collapsed="false"/>
    <col min="12802" max="12802" customWidth="true" style="85" width="14.42578125" collapsed="false"/>
    <col min="12803" max="12803" customWidth="true" style="85" width="18.85546875" collapsed="false"/>
    <col min="12804" max="12804" customWidth="true" style="85" width="17.0" collapsed="false"/>
    <col min="12805" max="12805" customWidth="true" style="85" width="20.140625" collapsed="false"/>
    <col min="12806" max="12806" customWidth="true" style="85" width="19.28515625" collapsed="false"/>
    <col min="12807" max="12807" customWidth="true" style="85" width="19.0" collapsed="false"/>
    <col min="12808" max="12808" customWidth="true" style="85" width="19.28515625" collapsed="false"/>
    <col min="12809" max="13056" style="85" width="9.140625" collapsed="false"/>
    <col min="13057" max="13057" customWidth="true" style="85" width="24.7109375" collapsed="false"/>
    <col min="13058" max="13058" customWidth="true" style="85" width="14.42578125" collapsed="false"/>
    <col min="13059" max="13059" customWidth="true" style="85" width="18.85546875" collapsed="false"/>
    <col min="13060" max="13060" customWidth="true" style="85" width="17.0" collapsed="false"/>
    <col min="13061" max="13061" customWidth="true" style="85" width="20.140625" collapsed="false"/>
    <col min="13062" max="13062" customWidth="true" style="85" width="19.28515625" collapsed="false"/>
    <col min="13063" max="13063" customWidth="true" style="85" width="19.0" collapsed="false"/>
    <col min="13064" max="13064" customWidth="true" style="85" width="19.28515625" collapsed="false"/>
    <col min="13065" max="13312" style="85" width="9.140625" collapsed="false"/>
    <col min="13313" max="13313" customWidth="true" style="85" width="24.7109375" collapsed="false"/>
    <col min="13314" max="13314" customWidth="true" style="85" width="14.42578125" collapsed="false"/>
    <col min="13315" max="13315" customWidth="true" style="85" width="18.85546875" collapsed="false"/>
    <col min="13316" max="13316" customWidth="true" style="85" width="17.0" collapsed="false"/>
    <col min="13317" max="13317" customWidth="true" style="85" width="20.140625" collapsed="false"/>
    <col min="13318" max="13318" customWidth="true" style="85" width="19.28515625" collapsed="false"/>
    <col min="13319" max="13319" customWidth="true" style="85" width="19.0" collapsed="false"/>
    <col min="13320" max="13320" customWidth="true" style="85" width="19.28515625" collapsed="false"/>
    <col min="13321" max="13568" style="85" width="9.140625" collapsed="false"/>
    <col min="13569" max="13569" customWidth="true" style="85" width="24.7109375" collapsed="false"/>
    <col min="13570" max="13570" customWidth="true" style="85" width="14.42578125" collapsed="false"/>
    <col min="13571" max="13571" customWidth="true" style="85" width="18.85546875" collapsed="false"/>
    <col min="13572" max="13572" customWidth="true" style="85" width="17.0" collapsed="false"/>
    <col min="13573" max="13573" customWidth="true" style="85" width="20.140625" collapsed="false"/>
    <col min="13574" max="13574" customWidth="true" style="85" width="19.28515625" collapsed="false"/>
    <col min="13575" max="13575" customWidth="true" style="85" width="19.0" collapsed="false"/>
    <col min="13576" max="13576" customWidth="true" style="85" width="19.28515625" collapsed="false"/>
    <col min="13577" max="13824" style="85" width="9.140625" collapsed="false"/>
    <col min="13825" max="13825" customWidth="true" style="85" width="24.7109375" collapsed="false"/>
    <col min="13826" max="13826" customWidth="true" style="85" width="14.42578125" collapsed="false"/>
    <col min="13827" max="13827" customWidth="true" style="85" width="18.85546875" collapsed="false"/>
    <col min="13828" max="13828" customWidth="true" style="85" width="17.0" collapsed="false"/>
    <col min="13829" max="13829" customWidth="true" style="85" width="20.140625" collapsed="false"/>
    <col min="13830" max="13830" customWidth="true" style="85" width="19.28515625" collapsed="false"/>
    <col min="13831" max="13831" customWidth="true" style="85" width="19.0" collapsed="false"/>
    <col min="13832" max="13832" customWidth="true" style="85" width="19.28515625" collapsed="false"/>
    <col min="13833" max="14080" style="85" width="9.140625" collapsed="false"/>
    <col min="14081" max="14081" customWidth="true" style="85" width="24.7109375" collapsed="false"/>
    <col min="14082" max="14082" customWidth="true" style="85" width="14.42578125" collapsed="false"/>
    <col min="14083" max="14083" customWidth="true" style="85" width="18.85546875" collapsed="false"/>
    <col min="14084" max="14084" customWidth="true" style="85" width="17.0" collapsed="false"/>
    <col min="14085" max="14085" customWidth="true" style="85" width="20.140625" collapsed="false"/>
    <col min="14086" max="14086" customWidth="true" style="85" width="19.28515625" collapsed="false"/>
    <col min="14087" max="14087" customWidth="true" style="85" width="19.0" collapsed="false"/>
    <col min="14088" max="14088" customWidth="true" style="85" width="19.28515625" collapsed="false"/>
    <col min="14089" max="14336" style="85" width="9.140625" collapsed="false"/>
    <col min="14337" max="14337" customWidth="true" style="85" width="24.7109375" collapsed="false"/>
    <col min="14338" max="14338" customWidth="true" style="85" width="14.42578125" collapsed="false"/>
    <col min="14339" max="14339" customWidth="true" style="85" width="18.85546875" collapsed="false"/>
    <col min="14340" max="14340" customWidth="true" style="85" width="17.0" collapsed="false"/>
    <col min="14341" max="14341" customWidth="true" style="85" width="20.140625" collapsed="false"/>
    <col min="14342" max="14342" customWidth="true" style="85" width="19.28515625" collapsed="false"/>
    <col min="14343" max="14343" customWidth="true" style="85" width="19.0" collapsed="false"/>
    <col min="14344" max="14344" customWidth="true" style="85" width="19.28515625" collapsed="false"/>
    <col min="14345" max="14592" style="85" width="9.140625" collapsed="false"/>
    <col min="14593" max="14593" customWidth="true" style="85" width="24.7109375" collapsed="false"/>
    <col min="14594" max="14594" customWidth="true" style="85" width="14.42578125" collapsed="false"/>
    <col min="14595" max="14595" customWidth="true" style="85" width="18.85546875" collapsed="false"/>
    <col min="14596" max="14596" customWidth="true" style="85" width="17.0" collapsed="false"/>
    <col min="14597" max="14597" customWidth="true" style="85" width="20.140625" collapsed="false"/>
    <col min="14598" max="14598" customWidth="true" style="85" width="19.28515625" collapsed="false"/>
    <col min="14599" max="14599" customWidth="true" style="85" width="19.0" collapsed="false"/>
    <col min="14600" max="14600" customWidth="true" style="85" width="19.28515625" collapsed="false"/>
    <col min="14601" max="14848" style="85" width="9.140625" collapsed="false"/>
    <col min="14849" max="14849" customWidth="true" style="85" width="24.7109375" collapsed="false"/>
    <col min="14850" max="14850" customWidth="true" style="85" width="14.42578125" collapsed="false"/>
    <col min="14851" max="14851" customWidth="true" style="85" width="18.85546875" collapsed="false"/>
    <col min="14852" max="14852" customWidth="true" style="85" width="17.0" collapsed="false"/>
    <col min="14853" max="14853" customWidth="true" style="85" width="20.140625" collapsed="false"/>
    <col min="14854" max="14854" customWidth="true" style="85" width="19.28515625" collapsed="false"/>
    <col min="14855" max="14855" customWidth="true" style="85" width="19.0" collapsed="false"/>
    <col min="14856" max="14856" customWidth="true" style="85" width="19.28515625" collapsed="false"/>
    <col min="14857" max="15104" style="85" width="9.140625" collapsed="false"/>
    <col min="15105" max="15105" customWidth="true" style="85" width="24.7109375" collapsed="false"/>
    <col min="15106" max="15106" customWidth="true" style="85" width="14.42578125" collapsed="false"/>
    <col min="15107" max="15107" customWidth="true" style="85" width="18.85546875" collapsed="false"/>
    <col min="15108" max="15108" customWidth="true" style="85" width="17.0" collapsed="false"/>
    <col min="15109" max="15109" customWidth="true" style="85" width="20.140625" collapsed="false"/>
    <col min="15110" max="15110" customWidth="true" style="85" width="19.28515625" collapsed="false"/>
    <col min="15111" max="15111" customWidth="true" style="85" width="19.0" collapsed="false"/>
    <col min="15112" max="15112" customWidth="true" style="85" width="19.28515625" collapsed="false"/>
    <col min="15113" max="15360" style="85" width="9.140625" collapsed="false"/>
    <col min="15361" max="15361" customWidth="true" style="85" width="24.7109375" collapsed="false"/>
    <col min="15362" max="15362" customWidth="true" style="85" width="14.42578125" collapsed="false"/>
    <col min="15363" max="15363" customWidth="true" style="85" width="18.85546875" collapsed="false"/>
    <col min="15364" max="15364" customWidth="true" style="85" width="17.0" collapsed="false"/>
    <col min="15365" max="15365" customWidth="true" style="85" width="20.140625" collapsed="false"/>
    <col min="15366" max="15366" customWidth="true" style="85" width="19.28515625" collapsed="false"/>
    <col min="15367" max="15367" customWidth="true" style="85" width="19.0" collapsed="false"/>
    <col min="15368" max="15368" customWidth="true" style="85" width="19.28515625" collapsed="false"/>
    <col min="15369" max="15616" style="85" width="9.140625" collapsed="false"/>
    <col min="15617" max="15617" customWidth="true" style="85" width="24.7109375" collapsed="false"/>
    <col min="15618" max="15618" customWidth="true" style="85" width="14.42578125" collapsed="false"/>
    <col min="15619" max="15619" customWidth="true" style="85" width="18.85546875" collapsed="false"/>
    <col min="15620" max="15620" customWidth="true" style="85" width="17.0" collapsed="false"/>
    <col min="15621" max="15621" customWidth="true" style="85" width="20.140625" collapsed="false"/>
    <col min="15622" max="15622" customWidth="true" style="85" width="19.28515625" collapsed="false"/>
    <col min="15623" max="15623" customWidth="true" style="85" width="19.0" collapsed="false"/>
    <col min="15624" max="15624" customWidth="true" style="85" width="19.28515625" collapsed="false"/>
    <col min="15625" max="15872" style="85" width="9.140625" collapsed="false"/>
    <col min="15873" max="15873" customWidth="true" style="85" width="24.7109375" collapsed="false"/>
    <col min="15874" max="15874" customWidth="true" style="85" width="14.42578125" collapsed="false"/>
    <col min="15875" max="15875" customWidth="true" style="85" width="18.85546875" collapsed="false"/>
    <col min="15876" max="15876" customWidth="true" style="85" width="17.0" collapsed="false"/>
    <col min="15877" max="15877" customWidth="true" style="85" width="20.140625" collapsed="false"/>
    <col min="15878" max="15878" customWidth="true" style="85" width="19.28515625" collapsed="false"/>
    <col min="15879" max="15879" customWidth="true" style="85" width="19.0" collapsed="false"/>
    <col min="15880" max="15880" customWidth="true" style="85" width="19.28515625" collapsed="false"/>
    <col min="15881" max="16128" style="85" width="9.140625" collapsed="false"/>
    <col min="16129" max="16129" customWidth="true" style="85" width="24.7109375" collapsed="false"/>
    <col min="16130" max="16130" customWidth="true" style="85" width="14.42578125" collapsed="false"/>
    <col min="16131" max="16131" customWidth="true" style="85" width="18.85546875" collapsed="false"/>
    <col min="16132" max="16132" customWidth="true" style="85" width="17.0" collapsed="false"/>
    <col min="16133" max="16133" customWidth="true" style="85" width="20.140625" collapsed="false"/>
    <col min="16134" max="16134" customWidth="true" style="85" width="19.28515625" collapsed="false"/>
    <col min="16135" max="16135" customWidth="true" style="85" width="19.0" collapsed="false"/>
    <col min="16136" max="16136" customWidth="true" style="85" width="19.28515625" collapsed="false"/>
    <col min="16137" max="16384" style="85" width="9.140625" collapsed="false"/>
  </cols>
  <sheetData>
    <row r="3" spans="2:2">
      <c r="B3" s="1402" t="s">
        <v>1357</v>
      </c>
    </row>
  </sheetData>
  <pageMargins bottom="0.75" footer="0.3" header="0.3" left="0.7" right="0.7" top="0.75"/>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customWidth="true" style="11" width="5.140625" collapsed="false"/>
    <col min="2" max="2" customWidth="true" style="1" width="29.85546875" collapsed="false"/>
    <col min="3" max="3" customWidth="true" style="1" width="11.7109375" collapsed="false"/>
    <col min="4" max="4" bestFit="true" customWidth="true" style="1115" width="11.0" collapsed="false"/>
    <col min="5" max="5" customWidth="true" style="1115" width="12.0" collapsed="false"/>
    <col min="6" max="6" customWidth="true" style="11" width="27.140625" collapsed="false"/>
    <col min="7" max="7" customWidth="true" style="406" width="11.0" collapsed="false"/>
    <col min="8" max="8" customWidth="true" style="406" width="19.28515625" collapsed="false"/>
    <col min="9" max="256" style="406" width="9.140625" collapsed="false"/>
    <col min="257" max="257" customWidth="true" style="406" width="24.7109375" collapsed="false"/>
    <col min="258" max="258" customWidth="true" style="406" width="14.42578125" collapsed="false"/>
    <col min="259" max="259" customWidth="true" style="406" width="18.85546875" collapsed="false"/>
    <col min="260" max="260" customWidth="true" style="406" width="17.0" collapsed="false"/>
    <col min="261" max="261" customWidth="true" style="406" width="20.140625" collapsed="false"/>
    <col min="262" max="262" customWidth="true" style="406" width="19.28515625" collapsed="false"/>
    <col min="263" max="263" customWidth="true" style="406" width="19.0" collapsed="false"/>
    <col min="264" max="264" customWidth="true" style="406" width="19.28515625" collapsed="false"/>
    <col min="265" max="512" style="406" width="9.140625" collapsed="false"/>
    <col min="513" max="513" customWidth="true" style="406" width="24.7109375" collapsed="false"/>
    <col min="514" max="514" customWidth="true" style="406" width="14.42578125" collapsed="false"/>
    <col min="515" max="515" customWidth="true" style="406" width="18.85546875" collapsed="false"/>
    <col min="516" max="516" customWidth="true" style="406" width="17.0" collapsed="false"/>
    <col min="517" max="517" customWidth="true" style="406" width="20.140625" collapsed="false"/>
    <col min="518" max="518" customWidth="true" style="406" width="19.28515625" collapsed="false"/>
    <col min="519" max="519" customWidth="true" style="406" width="19.0" collapsed="false"/>
    <col min="520" max="520" customWidth="true" style="406" width="19.28515625" collapsed="false"/>
    <col min="521" max="768" style="406" width="9.140625" collapsed="false"/>
    <col min="769" max="769" customWidth="true" style="406" width="24.7109375" collapsed="false"/>
    <col min="770" max="770" customWidth="true" style="406" width="14.42578125" collapsed="false"/>
    <col min="771" max="771" customWidth="true" style="406" width="18.85546875" collapsed="false"/>
    <col min="772" max="772" customWidth="true" style="406" width="17.0" collapsed="false"/>
    <col min="773" max="773" customWidth="true" style="406" width="20.140625" collapsed="false"/>
    <col min="774" max="774" customWidth="true" style="406" width="19.28515625" collapsed="false"/>
    <col min="775" max="775" customWidth="true" style="406" width="19.0" collapsed="false"/>
    <col min="776" max="776" customWidth="true" style="406" width="19.28515625" collapsed="false"/>
    <col min="777" max="1024" style="406" width="9.140625" collapsed="false"/>
    <col min="1025" max="1025" customWidth="true" style="406" width="24.7109375" collapsed="false"/>
    <col min="1026" max="1026" customWidth="true" style="406" width="14.42578125" collapsed="false"/>
    <col min="1027" max="1027" customWidth="true" style="406" width="18.85546875" collapsed="false"/>
    <col min="1028" max="1028" customWidth="true" style="406" width="17.0" collapsed="false"/>
    <col min="1029" max="1029" customWidth="true" style="406" width="20.140625" collapsed="false"/>
    <col min="1030" max="1030" customWidth="true" style="406" width="19.28515625" collapsed="false"/>
    <col min="1031" max="1031" customWidth="true" style="406" width="19.0" collapsed="false"/>
    <col min="1032" max="1032" customWidth="true" style="406" width="19.28515625" collapsed="false"/>
    <col min="1033" max="1280" style="406" width="9.140625" collapsed="false"/>
    <col min="1281" max="1281" customWidth="true" style="406" width="24.7109375" collapsed="false"/>
    <col min="1282" max="1282" customWidth="true" style="406" width="14.42578125" collapsed="false"/>
    <col min="1283" max="1283" customWidth="true" style="406" width="18.85546875" collapsed="false"/>
    <col min="1284" max="1284" customWidth="true" style="406" width="17.0" collapsed="false"/>
    <col min="1285" max="1285" customWidth="true" style="406" width="20.140625" collapsed="false"/>
    <col min="1286" max="1286" customWidth="true" style="406" width="19.28515625" collapsed="false"/>
    <col min="1287" max="1287" customWidth="true" style="406" width="19.0" collapsed="false"/>
    <col min="1288" max="1288" customWidth="true" style="406" width="19.28515625" collapsed="false"/>
    <col min="1289" max="1536" style="406" width="9.140625" collapsed="false"/>
    <col min="1537" max="1537" customWidth="true" style="406" width="24.7109375" collapsed="false"/>
    <col min="1538" max="1538" customWidth="true" style="406" width="14.42578125" collapsed="false"/>
    <col min="1539" max="1539" customWidth="true" style="406" width="18.85546875" collapsed="false"/>
    <col min="1540" max="1540" customWidth="true" style="406" width="17.0" collapsed="false"/>
    <col min="1541" max="1541" customWidth="true" style="406" width="20.140625" collapsed="false"/>
    <col min="1542" max="1542" customWidth="true" style="406" width="19.28515625" collapsed="false"/>
    <col min="1543" max="1543" customWidth="true" style="406" width="19.0" collapsed="false"/>
    <col min="1544" max="1544" customWidth="true" style="406" width="19.28515625" collapsed="false"/>
    <col min="1545" max="1792" style="406" width="9.140625" collapsed="false"/>
    <col min="1793" max="1793" customWidth="true" style="406" width="24.7109375" collapsed="false"/>
    <col min="1794" max="1794" customWidth="true" style="406" width="14.42578125" collapsed="false"/>
    <col min="1795" max="1795" customWidth="true" style="406" width="18.85546875" collapsed="false"/>
    <col min="1796" max="1796" customWidth="true" style="406" width="17.0" collapsed="false"/>
    <col min="1797" max="1797" customWidth="true" style="406" width="20.140625" collapsed="false"/>
    <col min="1798" max="1798" customWidth="true" style="406" width="19.28515625" collapsed="false"/>
    <col min="1799" max="1799" customWidth="true" style="406" width="19.0" collapsed="false"/>
    <col min="1800" max="1800" customWidth="true" style="406" width="19.28515625" collapsed="false"/>
    <col min="1801" max="2048" style="406" width="9.140625" collapsed="false"/>
    <col min="2049" max="2049" customWidth="true" style="406" width="24.7109375" collapsed="false"/>
    <col min="2050" max="2050" customWidth="true" style="406" width="14.42578125" collapsed="false"/>
    <col min="2051" max="2051" customWidth="true" style="406" width="18.85546875" collapsed="false"/>
    <col min="2052" max="2052" customWidth="true" style="406" width="17.0" collapsed="false"/>
    <col min="2053" max="2053" customWidth="true" style="406" width="20.140625" collapsed="false"/>
    <col min="2054" max="2054" customWidth="true" style="406" width="19.28515625" collapsed="false"/>
    <col min="2055" max="2055" customWidth="true" style="406" width="19.0" collapsed="false"/>
    <col min="2056" max="2056" customWidth="true" style="406" width="19.28515625" collapsed="false"/>
    <col min="2057" max="2304" style="406" width="9.140625" collapsed="false"/>
    <col min="2305" max="2305" customWidth="true" style="406" width="24.7109375" collapsed="false"/>
    <col min="2306" max="2306" customWidth="true" style="406" width="14.42578125" collapsed="false"/>
    <col min="2307" max="2307" customWidth="true" style="406" width="18.85546875" collapsed="false"/>
    <col min="2308" max="2308" customWidth="true" style="406" width="17.0" collapsed="false"/>
    <col min="2309" max="2309" customWidth="true" style="406" width="20.140625" collapsed="false"/>
    <col min="2310" max="2310" customWidth="true" style="406" width="19.28515625" collapsed="false"/>
    <col min="2311" max="2311" customWidth="true" style="406" width="19.0" collapsed="false"/>
    <col min="2312" max="2312" customWidth="true" style="406" width="19.28515625" collapsed="false"/>
    <col min="2313" max="2560" style="406" width="9.140625" collapsed="false"/>
    <col min="2561" max="2561" customWidth="true" style="406" width="24.7109375" collapsed="false"/>
    <col min="2562" max="2562" customWidth="true" style="406" width="14.42578125" collapsed="false"/>
    <col min="2563" max="2563" customWidth="true" style="406" width="18.85546875" collapsed="false"/>
    <col min="2564" max="2564" customWidth="true" style="406" width="17.0" collapsed="false"/>
    <col min="2565" max="2565" customWidth="true" style="406" width="20.140625" collapsed="false"/>
    <col min="2566" max="2566" customWidth="true" style="406" width="19.28515625" collapsed="false"/>
    <col min="2567" max="2567" customWidth="true" style="406" width="19.0" collapsed="false"/>
    <col min="2568" max="2568" customWidth="true" style="406" width="19.28515625" collapsed="false"/>
    <col min="2569" max="2816" style="406" width="9.140625" collapsed="false"/>
    <col min="2817" max="2817" customWidth="true" style="406" width="24.7109375" collapsed="false"/>
    <col min="2818" max="2818" customWidth="true" style="406" width="14.42578125" collapsed="false"/>
    <col min="2819" max="2819" customWidth="true" style="406" width="18.85546875" collapsed="false"/>
    <col min="2820" max="2820" customWidth="true" style="406" width="17.0" collapsed="false"/>
    <col min="2821" max="2821" customWidth="true" style="406" width="20.140625" collapsed="false"/>
    <col min="2822" max="2822" customWidth="true" style="406" width="19.28515625" collapsed="false"/>
    <col min="2823" max="2823" customWidth="true" style="406" width="19.0" collapsed="false"/>
    <col min="2824" max="2824" customWidth="true" style="406" width="19.28515625" collapsed="false"/>
    <col min="2825" max="3072" style="406" width="9.140625" collapsed="false"/>
    <col min="3073" max="3073" customWidth="true" style="406" width="24.7109375" collapsed="false"/>
    <col min="3074" max="3074" customWidth="true" style="406" width="14.42578125" collapsed="false"/>
    <col min="3075" max="3075" customWidth="true" style="406" width="18.85546875" collapsed="false"/>
    <col min="3076" max="3076" customWidth="true" style="406" width="17.0" collapsed="false"/>
    <col min="3077" max="3077" customWidth="true" style="406" width="20.140625" collapsed="false"/>
    <col min="3078" max="3078" customWidth="true" style="406" width="19.28515625" collapsed="false"/>
    <col min="3079" max="3079" customWidth="true" style="406" width="19.0" collapsed="false"/>
    <col min="3080" max="3080" customWidth="true" style="406" width="19.28515625" collapsed="false"/>
    <col min="3081" max="3328" style="406" width="9.140625" collapsed="false"/>
    <col min="3329" max="3329" customWidth="true" style="406" width="24.7109375" collapsed="false"/>
    <col min="3330" max="3330" customWidth="true" style="406" width="14.42578125" collapsed="false"/>
    <col min="3331" max="3331" customWidth="true" style="406" width="18.85546875" collapsed="false"/>
    <col min="3332" max="3332" customWidth="true" style="406" width="17.0" collapsed="false"/>
    <col min="3333" max="3333" customWidth="true" style="406" width="20.140625" collapsed="false"/>
    <col min="3334" max="3334" customWidth="true" style="406" width="19.28515625" collapsed="false"/>
    <col min="3335" max="3335" customWidth="true" style="406" width="19.0" collapsed="false"/>
    <col min="3336" max="3336" customWidth="true" style="406" width="19.28515625" collapsed="false"/>
    <col min="3337" max="3584" style="406" width="9.140625" collapsed="false"/>
    <col min="3585" max="3585" customWidth="true" style="406" width="24.7109375" collapsed="false"/>
    <col min="3586" max="3586" customWidth="true" style="406" width="14.42578125" collapsed="false"/>
    <col min="3587" max="3587" customWidth="true" style="406" width="18.85546875" collapsed="false"/>
    <col min="3588" max="3588" customWidth="true" style="406" width="17.0" collapsed="false"/>
    <col min="3589" max="3589" customWidth="true" style="406" width="20.140625" collapsed="false"/>
    <col min="3590" max="3590" customWidth="true" style="406" width="19.28515625" collapsed="false"/>
    <col min="3591" max="3591" customWidth="true" style="406" width="19.0" collapsed="false"/>
    <col min="3592" max="3592" customWidth="true" style="406" width="19.28515625" collapsed="false"/>
    <col min="3593" max="3840" style="406" width="9.140625" collapsed="false"/>
    <col min="3841" max="3841" customWidth="true" style="406" width="24.7109375" collapsed="false"/>
    <col min="3842" max="3842" customWidth="true" style="406" width="14.42578125" collapsed="false"/>
    <col min="3843" max="3843" customWidth="true" style="406" width="18.85546875" collapsed="false"/>
    <col min="3844" max="3844" customWidth="true" style="406" width="17.0" collapsed="false"/>
    <col min="3845" max="3845" customWidth="true" style="406" width="20.140625" collapsed="false"/>
    <col min="3846" max="3846" customWidth="true" style="406" width="19.28515625" collapsed="false"/>
    <col min="3847" max="3847" customWidth="true" style="406" width="19.0" collapsed="false"/>
    <col min="3848" max="3848" customWidth="true" style="406" width="19.28515625" collapsed="false"/>
    <col min="3849" max="4096" style="406" width="9.140625" collapsed="false"/>
    <col min="4097" max="4097" customWidth="true" style="406" width="24.7109375" collapsed="false"/>
    <col min="4098" max="4098" customWidth="true" style="406" width="14.42578125" collapsed="false"/>
    <col min="4099" max="4099" customWidth="true" style="406" width="18.85546875" collapsed="false"/>
    <col min="4100" max="4100" customWidth="true" style="406" width="17.0" collapsed="false"/>
    <col min="4101" max="4101" customWidth="true" style="406" width="20.140625" collapsed="false"/>
    <col min="4102" max="4102" customWidth="true" style="406" width="19.28515625" collapsed="false"/>
    <col min="4103" max="4103" customWidth="true" style="406" width="19.0" collapsed="false"/>
    <col min="4104" max="4104" customWidth="true" style="406" width="19.28515625" collapsed="false"/>
    <col min="4105" max="4352" style="406" width="9.140625" collapsed="false"/>
    <col min="4353" max="4353" customWidth="true" style="406" width="24.7109375" collapsed="false"/>
    <col min="4354" max="4354" customWidth="true" style="406" width="14.42578125" collapsed="false"/>
    <col min="4355" max="4355" customWidth="true" style="406" width="18.85546875" collapsed="false"/>
    <col min="4356" max="4356" customWidth="true" style="406" width="17.0" collapsed="false"/>
    <col min="4357" max="4357" customWidth="true" style="406" width="20.140625" collapsed="false"/>
    <col min="4358" max="4358" customWidth="true" style="406" width="19.28515625" collapsed="false"/>
    <col min="4359" max="4359" customWidth="true" style="406" width="19.0" collapsed="false"/>
    <col min="4360" max="4360" customWidth="true" style="406" width="19.28515625" collapsed="false"/>
    <col min="4361" max="4608" style="406" width="9.140625" collapsed="false"/>
    <col min="4609" max="4609" customWidth="true" style="406" width="24.7109375" collapsed="false"/>
    <col min="4610" max="4610" customWidth="true" style="406" width="14.42578125" collapsed="false"/>
    <col min="4611" max="4611" customWidth="true" style="406" width="18.85546875" collapsed="false"/>
    <col min="4612" max="4612" customWidth="true" style="406" width="17.0" collapsed="false"/>
    <col min="4613" max="4613" customWidth="true" style="406" width="20.140625" collapsed="false"/>
    <col min="4614" max="4614" customWidth="true" style="406" width="19.28515625" collapsed="false"/>
    <col min="4615" max="4615" customWidth="true" style="406" width="19.0" collapsed="false"/>
    <col min="4616" max="4616" customWidth="true" style="406" width="19.28515625" collapsed="false"/>
    <col min="4617" max="4864" style="406" width="9.140625" collapsed="false"/>
    <col min="4865" max="4865" customWidth="true" style="406" width="24.7109375" collapsed="false"/>
    <col min="4866" max="4866" customWidth="true" style="406" width="14.42578125" collapsed="false"/>
    <col min="4867" max="4867" customWidth="true" style="406" width="18.85546875" collapsed="false"/>
    <col min="4868" max="4868" customWidth="true" style="406" width="17.0" collapsed="false"/>
    <col min="4869" max="4869" customWidth="true" style="406" width="20.140625" collapsed="false"/>
    <col min="4870" max="4870" customWidth="true" style="406" width="19.28515625" collapsed="false"/>
    <col min="4871" max="4871" customWidth="true" style="406" width="19.0" collapsed="false"/>
    <col min="4872" max="4872" customWidth="true" style="406" width="19.28515625" collapsed="false"/>
    <col min="4873" max="5120" style="406" width="9.140625" collapsed="false"/>
    <col min="5121" max="5121" customWidth="true" style="406" width="24.7109375" collapsed="false"/>
    <col min="5122" max="5122" customWidth="true" style="406" width="14.42578125" collapsed="false"/>
    <col min="5123" max="5123" customWidth="true" style="406" width="18.85546875" collapsed="false"/>
    <col min="5124" max="5124" customWidth="true" style="406" width="17.0" collapsed="false"/>
    <col min="5125" max="5125" customWidth="true" style="406" width="20.140625" collapsed="false"/>
    <col min="5126" max="5126" customWidth="true" style="406" width="19.28515625" collapsed="false"/>
    <col min="5127" max="5127" customWidth="true" style="406" width="19.0" collapsed="false"/>
    <col min="5128" max="5128" customWidth="true" style="406" width="19.28515625" collapsed="false"/>
    <col min="5129" max="5376" style="406" width="9.140625" collapsed="false"/>
    <col min="5377" max="5377" customWidth="true" style="406" width="24.7109375" collapsed="false"/>
    <col min="5378" max="5378" customWidth="true" style="406" width="14.42578125" collapsed="false"/>
    <col min="5379" max="5379" customWidth="true" style="406" width="18.85546875" collapsed="false"/>
    <col min="5380" max="5380" customWidth="true" style="406" width="17.0" collapsed="false"/>
    <col min="5381" max="5381" customWidth="true" style="406" width="20.140625" collapsed="false"/>
    <col min="5382" max="5382" customWidth="true" style="406" width="19.28515625" collapsed="false"/>
    <col min="5383" max="5383" customWidth="true" style="406" width="19.0" collapsed="false"/>
    <col min="5384" max="5384" customWidth="true" style="406" width="19.28515625" collapsed="false"/>
    <col min="5385" max="5632" style="406" width="9.140625" collapsed="false"/>
    <col min="5633" max="5633" customWidth="true" style="406" width="24.7109375" collapsed="false"/>
    <col min="5634" max="5634" customWidth="true" style="406" width="14.42578125" collapsed="false"/>
    <col min="5635" max="5635" customWidth="true" style="406" width="18.85546875" collapsed="false"/>
    <col min="5636" max="5636" customWidth="true" style="406" width="17.0" collapsed="false"/>
    <col min="5637" max="5637" customWidth="true" style="406" width="20.140625" collapsed="false"/>
    <col min="5638" max="5638" customWidth="true" style="406" width="19.28515625" collapsed="false"/>
    <col min="5639" max="5639" customWidth="true" style="406" width="19.0" collapsed="false"/>
    <col min="5640" max="5640" customWidth="true" style="406" width="19.28515625" collapsed="false"/>
    <col min="5641" max="5888" style="406" width="9.140625" collapsed="false"/>
    <col min="5889" max="5889" customWidth="true" style="406" width="24.7109375" collapsed="false"/>
    <col min="5890" max="5890" customWidth="true" style="406" width="14.42578125" collapsed="false"/>
    <col min="5891" max="5891" customWidth="true" style="406" width="18.85546875" collapsed="false"/>
    <col min="5892" max="5892" customWidth="true" style="406" width="17.0" collapsed="false"/>
    <col min="5893" max="5893" customWidth="true" style="406" width="20.140625" collapsed="false"/>
    <col min="5894" max="5894" customWidth="true" style="406" width="19.28515625" collapsed="false"/>
    <col min="5895" max="5895" customWidth="true" style="406" width="19.0" collapsed="false"/>
    <col min="5896" max="5896" customWidth="true" style="406" width="19.28515625" collapsed="false"/>
    <col min="5897" max="6144" style="406" width="9.140625" collapsed="false"/>
    <col min="6145" max="6145" customWidth="true" style="406" width="24.7109375" collapsed="false"/>
    <col min="6146" max="6146" customWidth="true" style="406" width="14.42578125" collapsed="false"/>
    <col min="6147" max="6147" customWidth="true" style="406" width="18.85546875" collapsed="false"/>
    <col min="6148" max="6148" customWidth="true" style="406" width="17.0" collapsed="false"/>
    <col min="6149" max="6149" customWidth="true" style="406" width="20.140625" collapsed="false"/>
    <col min="6150" max="6150" customWidth="true" style="406" width="19.28515625" collapsed="false"/>
    <col min="6151" max="6151" customWidth="true" style="406" width="19.0" collapsed="false"/>
    <col min="6152" max="6152" customWidth="true" style="406" width="19.28515625" collapsed="false"/>
    <col min="6153" max="6400" style="406" width="9.140625" collapsed="false"/>
    <col min="6401" max="6401" customWidth="true" style="406" width="24.7109375" collapsed="false"/>
    <col min="6402" max="6402" customWidth="true" style="406" width="14.42578125" collapsed="false"/>
    <col min="6403" max="6403" customWidth="true" style="406" width="18.85546875" collapsed="false"/>
    <col min="6404" max="6404" customWidth="true" style="406" width="17.0" collapsed="false"/>
    <col min="6405" max="6405" customWidth="true" style="406" width="20.140625" collapsed="false"/>
    <col min="6406" max="6406" customWidth="true" style="406" width="19.28515625" collapsed="false"/>
    <col min="6407" max="6407" customWidth="true" style="406" width="19.0" collapsed="false"/>
    <col min="6408" max="6408" customWidth="true" style="406" width="19.28515625" collapsed="false"/>
    <col min="6409" max="6656" style="406" width="9.140625" collapsed="false"/>
    <col min="6657" max="6657" customWidth="true" style="406" width="24.7109375" collapsed="false"/>
    <col min="6658" max="6658" customWidth="true" style="406" width="14.42578125" collapsed="false"/>
    <col min="6659" max="6659" customWidth="true" style="406" width="18.85546875" collapsed="false"/>
    <col min="6660" max="6660" customWidth="true" style="406" width="17.0" collapsed="false"/>
    <col min="6661" max="6661" customWidth="true" style="406" width="20.140625" collapsed="false"/>
    <col min="6662" max="6662" customWidth="true" style="406" width="19.28515625" collapsed="false"/>
    <col min="6663" max="6663" customWidth="true" style="406" width="19.0" collapsed="false"/>
    <col min="6664" max="6664" customWidth="true" style="406" width="19.28515625" collapsed="false"/>
    <col min="6665" max="6912" style="406" width="9.140625" collapsed="false"/>
    <col min="6913" max="6913" customWidth="true" style="406" width="24.7109375" collapsed="false"/>
    <col min="6914" max="6914" customWidth="true" style="406" width="14.42578125" collapsed="false"/>
    <col min="6915" max="6915" customWidth="true" style="406" width="18.85546875" collapsed="false"/>
    <col min="6916" max="6916" customWidth="true" style="406" width="17.0" collapsed="false"/>
    <col min="6917" max="6917" customWidth="true" style="406" width="20.140625" collapsed="false"/>
    <col min="6918" max="6918" customWidth="true" style="406" width="19.28515625" collapsed="false"/>
    <col min="6919" max="6919" customWidth="true" style="406" width="19.0" collapsed="false"/>
    <col min="6920" max="6920" customWidth="true" style="406" width="19.28515625" collapsed="false"/>
    <col min="6921" max="7168" style="406" width="9.140625" collapsed="false"/>
    <col min="7169" max="7169" customWidth="true" style="406" width="24.7109375" collapsed="false"/>
    <col min="7170" max="7170" customWidth="true" style="406" width="14.42578125" collapsed="false"/>
    <col min="7171" max="7171" customWidth="true" style="406" width="18.85546875" collapsed="false"/>
    <col min="7172" max="7172" customWidth="true" style="406" width="17.0" collapsed="false"/>
    <col min="7173" max="7173" customWidth="true" style="406" width="20.140625" collapsed="false"/>
    <col min="7174" max="7174" customWidth="true" style="406" width="19.28515625" collapsed="false"/>
    <col min="7175" max="7175" customWidth="true" style="406" width="19.0" collapsed="false"/>
    <col min="7176" max="7176" customWidth="true" style="406" width="19.28515625" collapsed="false"/>
    <col min="7177" max="7424" style="406" width="9.140625" collapsed="false"/>
    <col min="7425" max="7425" customWidth="true" style="406" width="24.7109375" collapsed="false"/>
    <col min="7426" max="7426" customWidth="true" style="406" width="14.42578125" collapsed="false"/>
    <col min="7427" max="7427" customWidth="true" style="406" width="18.85546875" collapsed="false"/>
    <col min="7428" max="7428" customWidth="true" style="406" width="17.0" collapsed="false"/>
    <col min="7429" max="7429" customWidth="true" style="406" width="20.140625" collapsed="false"/>
    <col min="7430" max="7430" customWidth="true" style="406" width="19.28515625" collapsed="false"/>
    <col min="7431" max="7431" customWidth="true" style="406" width="19.0" collapsed="false"/>
    <col min="7432" max="7432" customWidth="true" style="406" width="19.28515625" collapsed="false"/>
    <col min="7433" max="7680" style="406" width="9.140625" collapsed="false"/>
    <col min="7681" max="7681" customWidth="true" style="406" width="24.7109375" collapsed="false"/>
    <col min="7682" max="7682" customWidth="true" style="406" width="14.42578125" collapsed="false"/>
    <col min="7683" max="7683" customWidth="true" style="406" width="18.85546875" collapsed="false"/>
    <col min="7684" max="7684" customWidth="true" style="406" width="17.0" collapsed="false"/>
    <col min="7685" max="7685" customWidth="true" style="406" width="20.140625" collapsed="false"/>
    <col min="7686" max="7686" customWidth="true" style="406" width="19.28515625" collapsed="false"/>
    <col min="7687" max="7687" customWidth="true" style="406" width="19.0" collapsed="false"/>
    <col min="7688" max="7688" customWidth="true" style="406" width="19.28515625" collapsed="false"/>
    <col min="7689" max="7936" style="406" width="9.140625" collapsed="false"/>
    <col min="7937" max="7937" customWidth="true" style="406" width="24.7109375" collapsed="false"/>
    <col min="7938" max="7938" customWidth="true" style="406" width="14.42578125" collapsed="false"/>
    <col min="7939" max="7939" customWidth="true" style="406" width="18.85546875" collapsed="false"/>
    <col min="7940" max="7940" customWidth="true" style="406" width="17.0" collapsed="false"/>
    <col min="7941" max="7941" customWidth="true" style="406" width="20.140625" collapsed="false"/>
    <col min="7942" max="7942" customWidth="true" style="406" width="19.28515625" collapsed="false"/>
    <col min="7943" max="7943" customWidth="true" style="406" width="19.0" collapsed="false"/>
    <col min="7944" max="7944" customWidth="true" style="406" width="19.28515625" collapsed="false"/>
    <col min="7945" max="8192" style="406" width="9.140625" collapsed="false"/>
    <col min="8193" max="8193" customWidth="true" style="406" width="24.7109375" collapsed="false"/>
    <col min="8194" max="8194" customWidth="true" style="406" width="14.42578125" collapsed="false"/>
    <col min="8195" max="8195" customWidth="true" style="406" width="18.85546875" collapsed="false"/>
    <col min="8196" max="8196" customWidth="true" style="406" width="17.0" collapsed="false"/>
    <col min="8197" max="8197" customWidth="true" style="406" width="20.140625" collapsed="false"/>
    <col min="8198" max="8198" customWidth="true" style="406" width="19.28515625" collapsed="false"/>
    <col min="8199" max="8199" customWidth="true" style="406" width="19.0" collapsed="false"/>
    <col min="8200" max="8200" customWidth="true" style="406" width="19.28515625" collapsed="false"/>
    <col min="8201" max="8448" style="406" width="9.140625" collapsed="false"/>
    <col min="8449" max="8449" customWidth="true" style="406" width="24.7109375" collapsed="false"/>
    <col min="8450" max="8450" customWidth="true" style="406" width="14.42578125" collapsed="false"/>
    <col min="8451" max="8451" customWidth="true" style="406" width="18.85546875" collapsed="false"/>
    <col min="8452" max="8452" customWidth="true" style="406" width="17.0" collapsed="false"/>
    <col min="8453" max="8453" customWidth="true" style="406" width="20.140625" collapsed="false"/>
    <col min="8454" max="8454" customWidth="true" style="406" width="19.28515625" collapsed="false"/>
    <col min="8455" max="8455" customWidth="true" style="406" width="19.0" collapsed="false"/>
    <col min="8456" max="8456" customWidth="true" style="406" width="19.28515625" collapsed="false"/>
    <col min="8457" max="8704" style="406" width="9.140625" collapsed="false"/>
    <col min="8705" max="8705" customWidth="true" style="406" width="24.7109375" collapsed="false"/>
    <col min="8706" max="8706" customWidth="true" style="406" width="14.42578125" collapsed="false"/>
    <col min="8707" max="8707" customWidth="true" style="406" width="18.85546875" collapsed="false"/>
    <col min="8708" max="8708" customWidth="true" style="406" width="17.0" collapsed="false"/>
    <col min="8709" max="8709" customWidth="true" style="406" width="20.140625" collapsed="false"/>
    <col min="8710" max="8710" customWidth="true" style="406" width="19.28515625" collapsed="false"/>
    <col min="8711" max="8711" customWidth="true" style="406" width="19.0" collapsed="false"/>
    <col min="8712" max="8712" customWidth="true" style="406" width="19.28515625" collapsed="false"/>
    <col min="8713" max="8960" style="406" width="9.140625" collapsed="false"/>
    <col min="8961" max="8961" customWidth="true" style="406" width="24.7109375" collapsed="false"/>
    <col min="8962" max="8962" customWidth="true" style="406" width="14.42578125" collapsed="false"/>
    <col min="8963" max="8963" customWidth="true" style="406" width="18.85546875" collapsed="false"/>
    <col min="8964" max="8964" customWidth="true" style="406" width="17.0" collapsed="false"/>
    <col min="8965" max="8965" customWidth="true" style="406" width="20.140625" collapsed="false"/>
    <col min="8966" max="8966" customWidth="true" style="406" width="19.28515625" collapsed="false"/>
    <col min="8967" max="8967" customWidth="true" style="406" width="19.0" collapsed="false"/>
    <col min="8968" max="8968" customWidth="true" style="406" width="19.28515625" collapsed="false"/>
    <col min="8969" max="9216" style="406" width="9.140625" collapsed="false"/>
    <col min="9217" max="9217" customWidth="true" style="406" width="24.7109375" collapsed="false"/>
    <col min="9218" max="9218" customWidth="true" style="406" width="14.42578125" collapsed="false"/>
    <col min="9219" max="9219" customWidth="true" style="406" width="18.85546875" collapsed="false"/>
    <col min="9220" max="9220" customWidth="true" style="406" width="17.0" collapsed="false"/>
    <col min="9221" max="9221" customWidth="true" style="406" width="20.140625" collapsed="false"/>
    <col min="9222" max="9222" customWidth="true" style="406" width="19.28515625" collapsed="false"/>
    <col min="9223" max="9223" customWidth="true" style="406" width="19.0" collapsed="false"/>
    <col min="9224" max="9224" customWidth="true" style="406" width="19.28515625" collapsed="false"/>
    <col min="9225" max="9472" style="406" width="9.140625" collapsed="false"/>
    <col min="9473" max="9473" customWidth="true" style="406" width="24.7109375" collapsed="false"/>
    <col min="9474" max="9474" customWidth="true" style="406" width="14.42578125" collapsed="false"/>
    <col min="9475" max="9475" customWidth="true" style="406" width="18.85546875" collapsed="false"/>
    <col min="9476" max="9476" customWidth="true" style="406" width="17.0" collapsed="false"/>
    <col min="9477" max="9477" customWidth="true" style="406" width="20.140625" collapsed="false"/>
    <col min="9478" max="9478" customWidth="true" style="406" width="19.28515625" collapsed="false"/>
    <col min="9479" max="9479" customWidth="true" style="406" width="19.0" collapsed="false"/>
    <col min="9480" max="9480" customWidth="true" style="406" width="19.28515625" collapsed="false"/>
    <col min="9481" max="9728" style="406" width="9.140625" collapsed="false"/>
    <col min="9729" max="9729" customWidth="true" style="406" width="24.7109375" collapsed="false"/>
    <col min="9730" max="9730" customWidth="true" style="406" width="14.42578125" collapsed="false"/>
    <col min="9731" max="9731" customWidth="true" style="406" width="18.85546875" collapsed="false"/>
    <col min="9732" max="9732" customWidth="true" style="406" width="17.0" collapsed="false"/>
    <col min="9733" max="9733" customWidth="true" style="406" width="20.140625" collapsed="false"/>
    <col min="9734" max="9734" customWidth="true" style="406" width="19.28515625" collapsed="false"/>
    <col min="9735" max="9735" customWidth="true" style="406" width="19.0" collapsed="false"/>
    <col min="9736" max="9736" customWidth="true" style="406" width="19.28515625" collapsed="false"/>
    <col min="9737" max="9984" style="406" width="9.140625" collapsed="false"/>
    <col min="9985" max="9985" customWidth="true" style="406" width="24.7109375" collapsed="false"/>
    <col min="9986" max="9986" customWidth="true" style="406" width="14.42578125" collapsed="false"/>
    <col min="9987" max="9987" customWidth="true" style="406" width="18.85546875" collapsed="false"/>
    <col min="9988" max="9988" customWidth="true" style="406" width="17.0" collapsed="false"/>
    <col min="9989" max="9989" customWidth="true" style="406" width="20.140625" collapsed="false"/>
    <col min="9990" max="9990" customWidth="true" style="406" width="19.28515625" collapsed="false"/>
    <col min="9991" max="9991" customWidth="true" style="406" width="19.0" collapsed="false"/>
    <col min="9992" max="9992" customWidth="true" style="406" width="19.28515625" collapsed="false"/>
    <col min="9993" max="10240" style="406" width="9.140625" collapsed="false"/>
    <col min="10241" max="10241" customWidth="true" style="406" width="24.7109375" collapsed="false"/>
    <col min="10242" max="10242" customWidth="true" style="406" width="14.42578125" collapsed="false"/>
    <col min="10243" max="10243" customWidth="true" style="406" width="18.85546875" collapsed="false"/>
    <col min="10244" max="10244" customWidth="true" style="406" width="17.0" collapsed="false"/>
    <col min="10245" max="10245" customWidth="true" style="406" width="20.140625" collapsed="false"/>
    <col min="10246" max="10246" customWidth="true" style="406" width="19.28515625" collapsed="false"/>
    <col min="10247" max="10247" customWidth="true" style="406" width="19.0" collapsed="false"/>
    <col min="10248" max="10248" customWidth="true" style="406" width="19.28515625" collapsed="false"/>
    <col min="10249" max="10496" style="406" width="9.140625" collapsed="false"/>
    <col min="10497" max="10497" customWidth="true" style="406" width="24.7109375" collapsed="false"/>
    <col min="10498" max="10498" customWidth="true" style="406" width="14.42578125" collapsed="false"/>
    <col min="10499" max="10499" customWidth="true" style="406" width="18.85546875" collapsed="false"/>
    <col min="10500" max="10500" customWidth="true" style="406" width="17.0" collapsed="false"/>
    <col min="10501" max="10501" customWidth="true" style="406" width="20.140625" collapsed="false"/>
    <col min="10502" max="10502" customWidth="true" style="406" width="19.28515625" collapsed="false"/>
    <col min="10503" max="10503" customWidth="true" style="406" width="19.0" collapsed="false"/>
    <col min="10504" max="10504" customWidth="true" style="406" width="19.28515625" collapsed="false"/>
    <col min="10505" max="10752" style="406" width="9.140625" collapsed="false"/>
    <col min="10753" max="10753" customWidth="true" style="406" width="24.7109375" collapsed="false"/>
    <col min="10754" max="10754" customWidth="true" style="406" width="14.42578125" collapsed="false"/>
    <col min="10755" max="10755" customWidth="true" style="406" width="18.85546875" collapsed="false"/>
    <col min="10756" max="10756" customWidth="true" style="406" width="17.0" collapsed="false"/>
    <col min="10757" max="10757" customWidth="true" style="406" width="20.140625" collapsed="false"/>
    <col min="10758" max="10758" customWidth="true" style="406" width="19.28515625" collapsed="false"/>
    <col min="10759" max="10759" customWidth="true" style="406" width="19.0" collapsed="false"/>
    <col min="10760" max="10760" customWidth="true" style="406" width="19.28515625" collapsed="false"/>
    <col min="10761" max="11008" style="406" width="9.140625" collapsed="false"/>
    <col min="11009" max="11009" customWidth="true" style="406" width="24.7109375" collapsed="false"/>
    <col min="11010" max="11010" customWidth="true" style="406" width="14.42578125" collapsed="false"/>
    <col min="11011" max="11011" customWidth="true" style="406" width="18.85546875" collapsed="false"/>
    <col min="11012" max="11012" customWidth="true" style="406" width="17.0" collapsed="false"/>
    <col min="11013" max="11013" customWidth="true" style="406" width="20.140625" collapsed="false"/>
    <col min="11014" max="11014" customWidth="true" style="406" width="19.28515625" collapsed="false"/>
    <col min="11015" max="11015" customWidth="true" style="406" width="19.0" collapsed="false"/>
    <col min="11016" max="11016" customWidth="true" style="406" width="19.28515625" collapsed="false"/>
    <col min="11017" max="11264" style="406" width="9.140625" collapsed="false"/>
    <col min="11265" max="11265" customWidth="true" style="406" width="24.7109375" collapsed="false"/>
    <col min="11266" max="11266" customWidth="true" style="406" width="14.42578125" collapsed="false"/>
    <col min="11267" max="11267" customWidth="true" style="406" width="18.85546875" collapsed="false"/>
    <col min="11268" max="11268" customWidth="true" style="406" width="17.0" collapsed="false"/>
    <col min="11269" max="11269" customWidth="true" style="406" width="20.140625" collapsed="false"/>
    <col min="11270" max="11270" customWidth="true" style="406" width="19.28515625" collapsed="false"/>
    <col min="11271" max="11271" customWidth="true" style="406" width="19.0" collapsed="false"/>
    <col min="11272" max="11272" customWidth="true" style="406" width="19.28515625" collapsed="false"/>
    <col min="11273" max="11520" style="406" width="9.140625" collapsed="false"/>
    <col min="11521" max="11521" customWidth="true" style="406" width="24.7109375" collapsed="false"/>
    <col min="11522" max="11522" customWidth="true" style="406" width="14.42578125" collapsed="false"/>
    <col min="11523" max="11523" customWidth="true" style="406" width="18.85546875" collapsed="false"/>
    <col min="11524" max="11524" customWidth="true" style="406" width="17.0" collapsed="false"/>
    <col min="11525" max="11525" customWidth="true" style="406" width="20.140625" collapsed="false"/>
    <col min="11526" max="11526" customWidth="true" style="406" width="19.28515625" collapsed="false"/>
    <col min="11527" max="11527" customWidth="true" style="406" width="19.0" collapsed="false"/>
    <col min="11528" max="11528" customWidth="true" style="406" width="19.28515625" collapsed="false"/>
    <col min="11529" max="11776" style="406" width="9.140625" collapsed="false"/>
    <col min="11777" max="11777" customWidth="true" style="406" width="24.7109375" collapsed="false"/>
    <col min="11778" max="11778" customWidth="true" style="406" width="14.42578125" collapsed="false"/>
    <col min="11779" max="11779" customWidth="true" style="406" width="18.85546875" collapsed="false"/>
    <col min="11780" max="11780" customWidth="true" style="406" width="17.0" collapsed="false"/>
    <col min="11781" max="11781" customWidth="true" style="406" width="20.140625" collapsed="false"/>
    <col min="11782" max="11782" customWidth="true" style="406" width="19.28515625" collapsed="false"/>
    <col min="11783" max="11783" customWidth="true" style="406" width="19.0" collapsed="false"/>
    <col min="11784" max="11784" customWidth="true" style="406" width="19.28515625" collapsed="false"/>
    <col min="11785" max="12032" style="406" width="9.140625" collapsed="false"/>
    <col min="12033" max="12033" customWidth="true" style="406" width="24.7109375" collapsed="false"/>
    <col min="12034" max="12034" customWidth="true" style="406" width="14.42578125" collapsed="false"/>
    <col min="12035" max="12035" customWidth="true" style="406" width="18.85546875" collapsed="false"/>
    <col min="12036" max="12036" customWidth="true" style="406" width="17.0" collapsed="false"/>
    <col min="12037" max="12037" customWidth="true" style="406" width="20.140625" collapsed="false"/>
    <col min="12038" max="12038" customWidth="true" style="406" width="19.28515625" collapsed="false"/>
    <col min="12039" max="12039" customWidth="true" style="406" width="19.0" collapsed="false"/>
    <col min="12040" max="12040" customWidth="true" style="406" width="19.28515625" collapsed="false"/>
    <col min="12041" max="12288" style="406" width="9.140625" collapsed="false"/>
    <col min="12289" max="12289" customWidth="true" style="406" width="24.7109375" collapsed="false"/>
    <col min="12290" max="12290" customWidth="true" style="406" width="14.42578125" collapsed="false"/>
    <col min="12291" max="12291" customWidth="true" style="406" width="18.85546875" collapsed="false"/>
    <col min="12292" max="12292" customWidth="true" style="406" width="17.0" collapsed="false"/>
    <col min="12293" max="12293" customWidth="true" style="406" width="20.140625" collapsed="false"/>
    <col min="12294" max="12294" customWidth="true" style="406" width="19.28515625" collapsed="false"/>
    <col min="12295" max="12295" customWidth="true" style="406" width="19.0" collapsed="false"/>
    <col min="12296" max="12296" customWidth="true" style="406" width="19.28515625" collapsed="false"/>
    <col min="12297" max="12544" style="406" width="9.140625" collapsed="false"/>
    <col min="12545" max="12545" customWidth="true" style="406" width="24.7109375" collapsed="false"/>
    <col min="12546" max="12546" customWidth="true" style="406" width="14.42578125" collapsed="false"/>
    <col min="12547" max="12547" customWidth="true" style="406" width="18.85546875" collapsed="false"/>
    <col min="12548" max="12548" customWidth="true" style="406" width="17.0" collapsed="false"/>
    <col min="12549" max="12549" customWidth="true" style="406" width="20.140625" collapsed="false"/>
    <col min="12550" max="12550" customWidth="true" style="406" width="19.28515625" collapsed="false"/>
    <col min="12551" max="12551" customWidth="true" style="406" width="19.0" collapsed="false"/>
    <col min="12552" max="12552" customWidth="true" style="406" width="19.28515625" collapsed="false"/>
    <col min="12553" max="12800" style="406" width="9.140625" collapsed="false"/>
    <col min="12801" max="12801" customWidth="true" style="406" width="24.7109375" collapsed="false"/>
    <col min="12802" max="12802" customWidth="true" style="406" width="14.42578125" collapsed="false"/>
    <col min="12803" max="12803" customWidth="true" style="406" width="18.85546875" collapsed="false"/>
    <col min="12804" max="12804" customWidth="true" style="406" width="17.0" collapsed="false"/>
    <col min="12805" max="12805" customWidth="true" style="406" width="20.140625" collapsed="false"/>
    <col min="12806" max="12806" customWidth="true" style="406" width="19.28515625" collapsed="false"/>
    <col min="12807" max="12807" customWidth="true" style="406" width="19.0" collapsed="false"/>
    <col min="12808" max="12808" customWidth="true" style="406" width="19.28515625" collapsed="false"/>
    <col min="12809" max="13056" style="406" width="9.140625" collapsed="false"/>
    <col min="13057" max="13057" customWidth="true" style="406" width="24.7109375" collapsed="false"/>
    <col min="13058" max="13058" customWidth="true" style="406" width="14.42578125" collapsed="false"/>
    <col min="13059" max="13059" customWidth="true" style="406" width="18.85546875" collapsed="false"/>
    <col min="13060" max="13060" customWidth="true" style="406" width="17.0" collapsed="false"/>
    <col min="13061" max="13061" customWidth="true" style="406" width="20.140625" collapsed="false"/>
    <col min="13062" max="13062" customWidth="true" style="406" width="19.28515625" collapsed="false"/>
    <col min="13063" max="13063" customWidth="true" style="406" width="19.0" collapsed="false"/>
    <col min="13064" max="13064" customWidth="true" style="406" width="19.28515625" collapsed="false"/>
    <col min="13065" max="13312" style="406" width="9.140625" collapsed="false"/>
    <col min="13313" max="13313" customWidth="true" style="406" width="24.7109375" collapsed="false"/>
    <col min="13314" max="13314" customWidth="true" style="406" width="14.42578125" collapsed="false"/>
    <col min="13315" max="13315" customWidth="true" style="406" width="18.85546875" collapsed="false"/>
    <col min="13316" max="13316" customWidth="true" style="406" width="17.0" collapsed="false"/>
    <col min="13317" max="13317" customWidth="true" style="406" width="20.140625" collapsed="false"/>
    <col min="13318" max="13318" customWidth="true" style="406" width="19.28515625" collapsed="false"/>
    <col min="13319" max="13319" customWidth="true" style="406" width="19.0" collapsed="false"/>
    <col min="13320" max="13320" customWidth="true" style="406" width="19.28515625" collapsed="false"/>
    <col min="13321" max="13568" style="406" width="9.140625" collapsed="false"/>
    <col min="13569" max="13569" customWidth="true" style="406" width="24.7109375" collapsed="false"/>
    <col min="13570" max="13570" customWidth="true" style="406" width="14.42578125" collapsed="false"/>
    <col min="13571" max="13571" customWidth="true" style="406" width="18.85546875" collapsed="false"/>
    <col min="13572" max="13572" customWidth="true" style="406" width="17.0" collapsed="false"/>
    <col min="13573" max="13573" customWidth="true" style="406" width="20.140625" collapsed="false"/>
    <col min="13574" max="13574" customWidth="true" style="406" width="19.28515625" collapsed="false"/>
    <col min="13575" max="13575" customWidth="true" style="406" width="19.0" collapsed="false"/>
    <col min="13576" max="13576" customWidth="true" style="406" width="19.28515625" collapsed="false"/>
    <col min="13577" max="13824" style="406" width="9.140625" collapsed="false"/>
    <col min="13825" max="13825" customWidth="true" style="406" width="24.7109375" collapsed="false"/>
    <col min="13826" max="13826" customWidth="true" style="406" width="14.42578125" collapsed="false"/>
    <col min="13827" max="13827" customWidth="true" style="406" width="18.85546875" collapsed="false"/>
    <col min="13828" max="13828" customWidth="true" style="406" width="17.0" collapsed="false"/>
    <col min="13829" max="13829" customWidth="true" style="406" width="20.140625" collapsed="false"/>
    <col min="13830" max="13830" customWidth="true" style="406" width="19.28515625" collapsed="false"/>
    <col min="13831" max="13831" customWidth="true" style="406" width="19.0" collapsed="false"/>
    <col min="13832" max="13832" customWidth="true" style="406" width="19.28515625" collapsed="false"/>
    <col min="13833" max="14080" style="406" width="9.140625" collapsed="false"/>
    <col min="14081" max="14081" customWidth="true" style="406" width="24.7109375" collapsed="false"/>
    <col min="14082" max="14082" customWidth="true" style="406" width="14.42578125" collapsed="false"/>
    <col min="14083" max="14083" customWidth="true" style="406" width="18.85546875" collapsed="false"/>
    <col min="14084" max="14084" customWidth="true" style="406" width="17.0" collapsed="false"/>
    <col min="14085" max="14085" customWidth="true" style="406" width="20.140625" collapsed="false"/>
    <col min="14086" max="14086" customWidth="true" style="406" width="19.28515625" collapsed="false"/>
    <col min="14087" max="14087" customWidth="true" style="406" width="19.0" collapsed="false"/>
    <col min="14088" max="14088" customWidth="true" style="406" width="19.28515625" collapsed="false"/>
    <col min="14089" max="14336" style="406" width="9.140625" collapsed="false"/>
    <col min="14337" max="14337" customWidth="true" style="406" width="24.7109375" collapsed="false"/>
    <col min="14338" max="14338" customWidth="true" style="406" width="14.42578125" collapsed="false"/>
    <col min="14339" max="14339" customWidth="true" style="406" width="18.85546875" collapsed="false"/>
    <col min="14340" max="14340" customWidth="true" style="406" width="17.0" collapsed="false"/>
    <col min="14341" max="14341" customWidth="true" style="406" width="20.140625" collapsed="false"/>
    <col min="14342" max="14342" customWidth="true" style="406" width="19.28515625" collapsed="false"/>
    <col min="14343" max="14343" customWidth="true" style="406" width="19.0" collapsed="false"/>
    <col min="14344" max="14344" customWidth="true" style="406" width="19.28515625" collapsed="false"/>
    <col min="14345" max="14592" style="406" width="9.140625" collapsed="false"/>
    <col min="14593" max="14593" customWidth="true" style="406" width="24.7109375" collapsed="false"/>
    <col min="14594" max="14594" customWidth="true" style="406" width="14.42578125" collapsed="false"/>
    <col min="14595" max="14595" customWidth="true" style="406" width="18.85546875" collapsed="false"/>
    <col min="14596" max="14596" customWidth="true" style="406" width="17.0" collapsed="false"/>
    <col min="14597" max="14597" customWidth="true" style="406" width="20.140625" collapsed="false"/>
    <col min="14598" max="14598" customWidth="true" style="406" width="19.28515625" collapsed="false"/>
    <col min="14599" max="14599" customWidth="true" style="406" width="19.0" collapsed="false"/>
    <col min="14600" max="14600" customWidth="true" style="406" width="19.28515625" collapsed="false"/>
    <col min="14601" max="14848" style="406" width="9.140625" collapsed="false"/>
    <col min="14849" max="14849" customWidth="true" style="406" width="24.7109375" collapsed="false"/>
    <col min="14850" max="14850" customWidth="true" style="406" width="14.42578125" collapsed="false"/>
    <col min="14851" max="14851" customWidth="true" style="406" width="18.85546875" collapsed="false"/>
    <col min="14852" max="14852" customWidth="true" style="406" width="17.0" collapsed="false"/>
    <col min="14853" max="14853" customWidth="true" style="406" width="20.140625" collapsed="false"/>
    <col min="14854" max="14854" customWidth="true" style="406" width="19.28515625" collapsed="false"/>
    <col min="14855" max="14855" customWidth="true" style="406" width="19.0" collapsed="false"/>
    <col min="14856" max="14856" customWidth="true" style="406" width="19.28515625" collapsed="false"/>
    <col min="14857" max="15104" style="406" width="9.140625" collapsed="false"/>
    <col min="15105" max="15105" customWidth="true" style="406" width="24.7109375" collapsed="false"/>
    <col min="15106" max="15106" customWidth="true" style="406" width="14.42578125" collapsed="false"/>
    <col min="15107" max="15107" customWidth="true" style="406" width="18.85546875" collapsed="false"/>
    <col min="15108" max="15108" customWidth="true" style="406" width="17.0" collapsed="false"/>
    <col min="15109" max="15109" customWidth="true" style="406" width="20.140625" collapsed="false"/>
    <col min="15110" max="15110" customWidth="true" style="406" width="19.28515625" collapsed="false"/>
    <col min="15111" max="15111" customWidth="true" style="406" width="19.0" collapsed="false"/>
    <col min="15112" max="15112" customWidth="true" style="406" width="19.28515625" collapsed="false"/>
    <col min="15113" max="15360" style="406" width="9.140625" collapsed="false"/>
    <col min="15361" max="15361" customWidth="true" style="406" width="24.7109375" collapsed="false"/>
    <col min="15362" max="15362" customWidth="true" style="406" width="14.42578125" collapsed="false"/>
    <col min="15363" max="15363" customWidth="true" style="406" width="18.85546875" collapsed="false"/>
    <col min="15364" max="15364" customWidth="true" style="406" width="17.0" collapsed="false"/>
    <col min="15365" max="15365" customWidth="true" style="406" width="20.140625" collapsed="false"/>
    <col min="15366" max="15366" customWidth="true" style="406" width="19.28515625" collapsed="false"/>
    <col min="15367" max="15367" customWidth="true" style="406" width="19.0" collapsed="false"/>
    <col min="15368" max="15368" customWidth="true" style="406" width="19.28515625" collapsed="false"/>
    <col min="15369" max="15616" style="406" width="9.140625" collapsed="false"/>
    <col min="15617" max="15617" customWidth="true" style="406" width="24.7109375" collapsed="false"/>
    <col min="15618" max="15618" customWidth="true" style="406" width="14.42578125" collapsed="false"/>
    <col min="15619" max="15619" customWidth="true" style="406" width="18.85546875" collapsed="false"/>
    <col min="15620" max="15620" customWidth="true" style="406" width="17.0" collapsed="false"/>
    <col min="15621" max="15621" customWidth="true" style="406" width="20.140625" collapsed="false"/>
    <col min="15622" max="15622" customWidth="true" style="406" width="19.28515625" collapsed="false"/>
    <col min="15623" max="15623" customWidth="true" style="406" width="19.0" collapsed="false"/>
    <col min="15624" max="15624" customWidth="true" style="406" width="19.28515625" collapsed="false"/>
    <col min="15625" max="15872" style="406" width="9.140625" collapsed="false"/>
    <col min="15873" max="15873" customWidth="true" style="406" width="24.7109375" collapsed="false"/>
    <col min="15874" max="15874" customWidth="true" style="406" width="14.42578125" collapsed="false"/>
    <col min="15875" max="15875" customWidth="true" style="406" width="18.85546875" collapsed="false"/>
    <col min="15876" max="15876" customWidth="true" style="406" width="17.0" collapsed="false"/>
    <col min="15877" max="15877" customWidth="true" style="406" width="20.140625" collapsed="false"/>
    <col min="15878" max="15878" customWidth="true" style="406" width="19.28515625" collapsed="false"/>
    <col min="15879" max="15879" customWidth="true" style="406" width="19.0" collapsed="false"/>
    <col min="15880" max="15880" customWidth="true" style="406" width="19.28515625" collapsed="false"/>
    <col min="15881" max="16128" style="406" width="9.140625" collapsed="false"/>
    <col min="16129" max="16129" customWidth="true" style="406" width="24.7109375" collapsed="false"/>
    <col min="16130" max="16130" customWidth="true" style="406" width="14.42578125" collapsed="false"/>
    <col min="16131" max="16131" customWidth="true" style="406" width="18.85546875" collapsed="false"/>
    <col min="16132" max="16132" customWidth="true" style="406" width="17.0" collapsed="false"/>
    <col min="16133" max="16133" customWidth="true" style="406" width="20.140625" collapsed="false"/>
    <col min="16134" max="16134" customWidth="true" style="406" width="19.28515625" collapsed="false"/>
    <col min="16135" max="16135" customWidth="true" style="406" width="19.0" collapsed="false"/>
    <col min="16136" max="16136" customWidth="true" style="406" width="19.28515625" collapsed="false"/>
    <col min="16137" max="16384" style="406" width="9.140625" collapsed="false"/>
  </cols>
  <sheetData>
    <row r="1" spans="1:6">
      <c r="A1" s="406"/>
      <c r="B1" s="406"/>
      <c r="C1" s="52"/>
      <c r="F1" s="1099" t="s">
        <v>1918</v>
      </c>
    </row>
    <row customHeight="1" ht="17.25" r="2" spans="1:6">
      <c r="A2" s="406"/>
      <c r="B2" s="1678" t="s">
        <v>1919</v>
      </c>
      <c r="C2" s="1678"/>
      <c r="D2" s="1678"/>
      <c r="E2" s="1678"/>
    </row>
    <row r="3" spans="1:6">
      <c r="A3" s="1106"/>
      <c r="B3" s="1106"/>
      <c r="C3" s="1106"/>
    </row>
    <row r="4" spans="1:6">
      <c r="A4" s="406"/>
      <c r="B4" s="1809" t="str">
        <f>"Байгууллагын нэр: "&amp;ЧХ!$C$7</f>
        <v xml:space="preserve">Байгууллагын нэр: </v>
      </c>
      <c r="C4" s="1809"/>
      <c r="D4" s="1809"/>
      <c r="E4" s="1809"/>
    </row>
    <row r="5" spans="1:6">
      <c r="A5" s="1109"/>
      <c r="B5" s="1105" t="str">
        <f>"Тайлант он: "&amp;ЧХ!$C$8</f>
        <v xml:space="preserve">Тайлант он: </v>
      </c>
    </row>
    <row r="6" spans="1:6">
      <c r="C6" s="406"/>
      <c r="D6" s="1101"/>
      <c r="E6" s="1101"/>
      <c r="F6" s="1101"/>
    </row>
    <row customHeight="1" ht="26.25" r="7" spans="1:6">
      <c r="A7" s="1739" t="s">
        <v>1920</v>
      </c>
      <c r="B7" s="1740"/>
      <c r="C7" s="1740"/>
      <c r="D7" s="1740"/>
      <c r="E7" s="1740"/>
      <c r="F7" s="1741"/>
    </row>
    <row ht="38.25" r="8" spans="1:6">
      <c r="A8" s="1110" t="s">
        <v>649</v>
      </c>
      <c r="B8" s="1110" t="s">
        <v>1921</v>
      </c>
      <c r="C8" s="1110" t="s">
        <v>1922</v>
      </c>
      <c r="D8" s="1111" t="s">
        <v>3027</v>
      </c>
      <c r="E8" s="1111" t="s">
        <v>3028</v>
      </c>
      <c r="F8" s="1110" t="s">
        <v>1923</v>
      </c>
    </row>
    <row r="9" spans="1:6">
      <c r="A9" s="1110" t="s">
        <v>702</v>
      </c>
      <c r="B9" s="1110">
        <v>1</v>
      </c>
      <c r="C9" s="1110">
        <v>2</v>
      </c>
      <c r="D9" s="1111">
        <v>3</v>
      </c>
      <c r="E9" s="1110">
        <v>4</v>
      </c>
      <c r="F9" s="1110">
        <v>5</v>
      </c>
    </row>
    <row customHeight="1" ht="18.75" r="10" spans="1:6">
      <c r="A10" s="1739" t="s">
        <v>1924</v>
      </c>
      <c r="B10" s="1740"/>
      <c r="C10" s="1740"/>
      <c r="D10" s="1740"/>
      <c r="E10" s="1740"/>
      <c r="F10" s="1741"/>
    </row>
    <row r="11" spans="1:6">
      <c r="A11" s="1742">
        <v>1</v>
      </c>
      <c r="B11" s="1763" t="s">
        <v>1925</v>
      </c>
      <c r="C11" s="1742">
        <v>2</v>
      </c>
      <c r="D11" s="1822">
        <v>42887</v>
      </c>
      <c r="E11" s="1822">
        <f>+D11+C11</f>
        <v>42889</v>
      </c>
      <c r="F11" s="1400" t="str">
        <f>+ЧХ!B$6</f>
        <v>Аудитын менежер</v>
      </c>
    </row>
    <row r="12" spans="1:6">
      <c r="A12" s="1742"/>
      <c r="B12" s="1763"/>
      <c r="C12" s="1742"/>
      <c r="D12" s="1823"/>
      <c r="E12" s="1823"/>
      <c r="F12" s="1401">
        <f>+ЧХ!$C$6</f>
        <v>0</v>
      </c>
    </row>
    <row r="13" spans="1:6">
      <c r="A13" s="1742">
        <v>2</v>
      </c>
      <c r="B13" s="1763" t="s">
        <v>1926</v>
      </c>
      <c r="C13" s="1742">
        <v>1</v>
      </c>
      <c r="D13" s="1822">
        <f>+E11+C13</f>
        <v>42890</v>
      </c>
      <c r="E13" s="1822">
        <f>+D13+C13</f>
        <v>42891</v>
      </c>
      <c r="F13" s="1400" t="str">
        <f>+ЧХ!B$6</f>
        <v>Аудитын менежер</v>
      </c>
    </row>
    <row r="14" spans="1:6">
      <c r="A14" s="1742"/>
      <c r="B14" s="1763"/>
      <c r="C14" s="1742"/>
      <c r="D14" s="1823"/>
      <c r="E14" s="1823"/>
      <c r="F14" s="1401">
        <f>+ЧХ!$C$6</f>
        <v>0</v>
      </c>
    </row>
    <row r="15" spans="1:6">
      <c r="A15" s="1742">
        <v>3</v>
      </c>
      <c r="B15" s="1763" t="s">
        <v>1927</v>
      </c>
      <c r="C15" s="1742">
        <v>2</v>
      </c>
      <c r="D15" s="1822">
        <f>+E13</f>
        <v>42891</v>
      </c>
      <c r="E15" s="1822">
        <f ref="E15" si="0" t="shared">+D15+C15</f>
        <v>42893</v>
      </c>
      <c r="F15" s="1400" t="str">
        <f>+ЧХ!B$6</f>
        <v>Аудитын менежер</v>
      </c>
    </row>
    <row r="16" spans="1:6">
      <c r="A16" s="1742"/>
      <c r="B16" s="1763"/>
      <c r="C16" s="1742"/>
      <c r="D16" s="1823"/>
      <c r="E16" s="1823"/>
      <c r="F16" s="1401">
        <f>+ЧХ!$C$6</f>
        <v>0</v>
      </c>
    </row>
    <row r="17" spans="1:6">
      <c r="A17" s="1742">
        <v>4</v>
      </c>
      <c r="B17" s="1763" t="s">
        <v>1928</v>
      </c>
      <c r="C17" s="1742">
        <v>3</v>
      </c>
      <c r="D17" s="1822">
        <f>+E15</f>
        <v>42893</v>
      </c>
      <c r="E17" s="1822">
        <f ref="E17" si="1" t="shared">+D17+C17</f>
        <v>42896</v>
      </c>
      <c r="F17" s="1400" t="str">
        <f>+ЧХ!B$6</f>
        <v>Аудитын менежер</v>
      </c>
    </row>
    <row r="18" spans="1:6">
      <c r="A18" s="1742"/>
      <c r="B18" s="1763"/>
      <c r="C18" s="1742"/>
      <c r="D18" s="1823"/>
      <c r="E18" s="1823"/>
      <c r="F18" s="1401">
        <f>+ЧХ!$C$6</f>
        <v>0</v>
      </c>
    </row>
    <row r="19" spans="1:6">
      <c r="A19" s="1742">
        <v>5</v>
      </c>
      <c r="B19" s="1763" t="s">
        <v>1929</v>
      </c>
      <c r="C19" s="1742">
        <v>3</v>
      </c>
      <c r="D19" s="1822">
        <f ref="D19" si="2" t="shared">+E17</f>
        <v>42896</v>
      </c>
      <c r="E19" s="1822">
        <f ref="E19" si="3" t="shared">+D19+C19</f>
        <v>42899</v>
      </c>
      <c r="F19" s="1400" t="str">
        <f>+ЧХ!B$6</f>
        <v>Аудитын менежер</v>
      </c>
    </row>
    <row r="20" spans="1:6">
      <c r="A20" s="1742"/>
      <c r="B20" s="1763"/>
      <c r="C20" s="1742"/>
      <c r="D20" s="1823"/>
      <c r="E20" s="1823"/>
      <c r="F20" s="1401">
        <f>+ЧХ!$C$6</f>
        <v>0</v>
      </c>
    </row>
    <row r="21" spans="1:6">
      <c r="A21" s="1742">
        <v>6</v>
      </c>
      <c r="B21" s="1813" t="s">
        <v>1930</v>
      </c>
      <c r="C21" s="1742">
        <v>5</v>
      </c>
      <c r="D21" s="1822">
        <f ref="D21" si="4" t="shared">+E19</f>
        <v>42899</v>
      </c>
      <c r="E21" s="1822">
        <f ref="E21" si="5" t="shared">+D21+C21</f>
        <v>42904</v>
      </c>
      <c r="F21" s="1400" t="str">
        <f>+ЧХ!B$6</f>
        <v>Аудитын менежер</v>
      </c>
    </row>
    <row r="22" spans="1:6">
      <c r="A22" s="1742"/>
      <c r="B22" s="1813"/>
      <c r="C22" s="1742"/>
      <c r="D22" s="1823"/>
      <c r="E22" s="1823"/>
      <c r="F22" s="1401">
        <f>+ЧХ!$C$6</f>
        <v>0</v>
      </c>
    </row>
    <row r="23" spans="1:6">
      <c r="A23" s="1742">
        <v>7</v>
      </c>
      <c r="B23" s="1813" t="s">
        <v>1931</v>
      </c>
      <c r="C23" s="1742">
        <v>3</v>
      </c>
      <c r="D23" s="1822">
        <f ref="D23" si="6" t="shared">+E21</f>
        <v>42904</v>
      </c>
      <c r="E23" s="1822">
        <f ref="E23" si="7" t="shared">+D23+C23</f>
        <v>42907</v>
      </c>
      <c r="F23" s="1400" t="str">
        <f>+ЧХ!B$6</f>
        <v>Аудитын менежер</v>
      </c>
    </row>
    <row r="24" spans="1:6">
      <c r="A24" s="1742"/>
      <c r="B24" s="1813"/>
      <c r="C24" s="1742"/>
      <c r="D24" s="1823"/>
      <c r="E24" s="1823"/>
      <c r="F24" s="1401">
        <f>+ЧХ!$C$6</f>
        <v>0</v>
      </c>
    </row>
    <row r="25" spans="1:6">
      <c r="A25" s="1742">
        <v>8</v>
      </c>
      <c r="B25" s="1813" t="s">
        <v>1932</v>
      </c>
      <c r="C25" s="1742">
        <v>3</v>
      </c>
      <c r="D25" s="1822">
        <f ref="D25" si="8" t="shared">+E23</f>
        <v>42907</v>
      </c>
      <c r="E25" s="1822">
        <f ref="E25" si="9" t="shared">+D25+C25</f>
        <v>42910</v>
      </c>
      <c r="F25" s="1400" t="str">
        <f>+ЧХ!B$6</f>
        <v>Аудитын менежер</v>
      </c>
    </row>
    <row r="26" spans="1:6">
      <c r="A26" s="1742"/>
      <c r="B26" s="1813"/>
      <c r="C26" s="1742"/>
      <c r="D26" s="1823"/>
      <c r="E26" s="1823"/>
      <c r="F26" s="1401">
        <f>+ЧХ!$C$6</f>
        <v>0</v>
      </c>
    </row>
    <row customHeight="1" ht="16.5" r="27" spans="1:6">
      <c r="A27" s="1742">
        <v>9</v>
      </c>
      <c r="B27" s="1813" t="s">
        <v>1933</v>
      </c>
      <c r="C27" s="1742">
        <v>4</v>
      </c>
      <c r="D27" s="1822">
        <f ref="D27" si="10" t="shared">+E25</f>
        <v>42910</v>
      </c>
      <c r="E27" s="1822">
        <f ref="E27" si="11" t="shared">+D27+C27</f>
        <v>42914</v>
      </c>
      <c r="F27" s="1400" t="str">
        <f>+ЧХ!B$6</f>
        <v>Аудитын менежер</v>
      </c>
    </row>
    <row customHeight="1" ht="54" r="28" spans="1:6">
      <c r="A28" s="1742"/>
      <c r="B28" s="1813"/>
      <c r="C28" s="1742"/>
      <c r="D28" s="1823"/>
      <c r="E28" s="1823"/>
      <c r="F28" s="1401">
        <f>+ЧХ!$C$6</f>
        <v>0</v>
      </c>
    </row>
    <row r="29" spans="1:6">
      <c r="A29" s="1111"/>
      <c r="B29" s="571"/>
      <c r="C29" s="1112"/>
      <c r="D29" s="572"/>
      <c r="E29" s="572"/>
      <c r="F29" s="881"/>
    </row>
    <row customHeight="1" ht="18" r="30" spans="1:6">
      <c r="A30" s="1739" t="s">
        <v>1934</v>
      </c>
      <c r="B30" s="1740"/>
      <c r="C30" s="1740"/>
      <c r="D30" s="1740"/>
      <c r="E30" s="1740"/>
      <c r="F30" s="1741"/>
    </row>
    <row ht="51" r="31" spans="1:6">
      <c r="A31" s="1110">
        <v>1</v>
      </c>
      <c r="B31" s="1107" t="s">
        <v>1935</v>
      </c>
      <c r="C31" s="1761">
        <v>5</v>
      </c>
      <c r="D31" s="1822">
        <v>42979</v>
      </c>
      <c r="E31" s="1822">
        <f>+D31+C31</f>
        <v>42984</v>
      </c>
      <c r="F31" s="1110" t="str">
        <f>ЧХ!$C$15&amp;" "&amp;ЧХ!$C$16</f>
        <v xml:space="preserve"> </v>
      </c>
    </row>
    <row ht="25.5" r="32" spans="1:6">
      <c r="A32" s="546">
        <v>2</v>
      </c>
      <c r="B32" s="1107" t="s">
        <v>1936</v>
      </c>
      <c r="C32" s="1762"/>
      <c r="D32" s="1823"/>
      <c r="E32" s="1823"/>
      <c r="F32" s="1400" t="str">
        <f>ЧХ!$C$15&amp;" "&amp;ЧХ!$C$16</f>
        <v xml:space="preserve"> </v>
      </c>
    </row>
    <row ht="38.25" r="33" spans="1:6">
      <c r="A33" s="1110">
        <v>3</v>
      </c>
      <c r="B33" s="1107" t="s">
        <v>1937</v>
      </c>
      <c r="C33" s="1761">
        <v>2</v>
      </c>
      <c r="D33" s="1125">
        <f>+D31</f>
        <v>42979</v>
      </c>
      <c r="E33" s="1125">
        <f>+E31</f>
        <v>42984</v>
      </c>
      <c r="F33" s="1400" t="str">
        <f>ЧХ!$C$15&amp;" "&amp;ЧХ!$C$16</f>
        <v xml:space="preserve"> </v>
      </c>
    </row>
    <row r="34" spans="1:6">
      <c r="A34" s="1742">
        <v>4</v>
      </c>
      <c r="B34" s="1813" t="s">
        <v>1366</v>
      </c>
      <c r="C34" s="1773"/>
      <c r="D34" s="1125">
        <f ref="D34:E37" si="12" t="shared">+D33</f>
        <v>42979</v>
      </c>
      <c r="E34" s="1125">
        <f si="12" t="shared"/>
        <v>42984</v>
      </c>
      <c r="F34" s="1400" t="str">
        <f>ЧХ!$C$15&amp;" "&amp;ЧХ!$C$16</f>
        <v xml:space="preserve"> </v>
      </c>
    </row>
    <row r="35" spans="1:6">
      <c r="A35" s="1742"/>
      <c r="B35" s="1813"/>
      <c r="C35" s="1773"/>
      <c r="D35" s="1125">
        <f si="12" t="shared"/>
        <v>42979</v>
      </c>
      <c r="E35" s="1125">
        <f si="12" t="shared"/>
        <v>42984</v>
      </c>
      <c r="F35" s="1400" t="str">
        <f>ЧХ!$C$15&amp;" "&amp;ЧХ!$C$16</f>
        <v xml:space="preserve"> </v>
      </c>
    </row>
    <row r="36" spans="1:6">
      <c r="A36" s="1110">
        <v>5</v>
      </c>
      <c r="B36" s="1107" t="s">
        <v>1938</v>
      </c>
      <c r="C36" s="1773"/>
      <c r="D36" s="1125">
        <f si="12" t="shared"/>
        <v>42979</v>
      </c>
      <c r="E36" s="1125">
        <f si="12" t="shared"/>
        <v>42984</v>
      </c>
      <c r="F36" s="1400" t="str">
        <f>ЧХ!$C$15&amp;" "&amp;ЧХ!$C$16</f>
        <v xml:space="preserve"> </v>
      </c>
    </row>
    <row ht="25.5" r="37" spans="1:6">
      <c r="A37" s="1110">
        <v>6</v>
      </c>
      <c r="B37" s="1107" t="s">
        <v>1939</v>
      </c>
      <c r="C37" s="1762"/>
      <c r="D37" s="1125">
        <f si="12" t="shared"/>
        <v>42979</v>
      </c>
      <c r="E37" s="1125">
        <f si="12" t="shared"/>
        <v>42984</v>
      </c>
      <c r="F37" s="1400" t="str">
        <f>ЧХ!$C$15&amp;" "&amp;ЧХ!$C$16</f>
        <v xml:space="preserve"> </v>
      </c>
    </row>
    <row ht="63.75" r="38" spans="1:6">
      <c r="A38" s="1110">
        <v>7</v>
      </c>
      <c r="B38" s="1107" t="s">
        <v>1940</v>
      </c>
      <c r="C38" s="1110">
        <v>3</v>
      </c>
      <c r="D38" s="1125">
        <f>+E37</f>
        <v>42984</v>
      </c>
      <c r="E38" s="1125">
        <f>+D38+C38</f>
        <v>42987</v>
      </c>
      <c r="F38" s="1400" t="str">
        <f>ЧХ!$C$15&amp;" "&amp;ЧХ!$C$16</f>
        <v xml:space="preserve"> </v>
      </c>
    </row>
    <row r="39" spans="1:6">
      <c r="A39" s="1110">
        <v>8</v>
      </c>
      <c r="B39" s="1107" t="s">
        <v>1941</v>
      </c>
      <c r="C39" s="1742">
        <v>2</v>
      </c>
      <c r="D39" s="1125">
        <f>+E38</f>
        <v>42987</v>
      </c>
      <c r="E39" s="1125">
        <f>+D39+C39</f>
        <v>42989</v>
      </c>
      <c r="F39" s="1400" t="str">
        <f>ЧХ!$C$15&amp;" "&amp;ЧХ!$C$16</f>
        <v xml:space="preserve"> </v>
      </c>
    </row>
    <row r="40" spans="1:6">
      <c r="A40" s="1110">
        <v>9</v>
      </c>
      <c r="B40" s="1107" t="s">
        <v>1942</v>
      </c>
      <c r="C40" s="1742"/>
      <c r="D40" s="1125">
        <f>+D39</f>
        <v>42987</v>
      </c>
      <c r="E40" s="1125">
        <f>+E39</f>
        <v>42989</v>
      </c>
      <c r="F40" s="1400" t="str">
        <f>ЧХ!$C$15&amp;" "&amp;ЧХ!$C$16</f>
        <v xml:space="preserve"> </v>
      </c>
    </row>
    <row ht="25.5" r="41" spans="1:6">
      <c r="A41" s="1110">
        <v>10</v>
      </c>
      <c r="B41" s="1107" t="s">
        <v>1943</v>
      </c>
      <c r="C41" s="1110">
        <v>1</v>
      </c>
      <c r="D41" s="1125">
        <f>+E40+C41</f>
        <v>42990</v>
      </c>
      <c r="E41" s="1125">
        <f>+D41+C41</f>
        <v>42991</v>
      </c>
      <c r="F41" s="1400" t="str">
        <f>ЧХ!$C$15&amp;" "&amp;ЧХ!$C$16</f>
        <v xml:space="preserve"> </v>
      </c>
    </row>
    <row r="42" spans="1:6">
      <c r="A42" s="1742" t="s">
        <v>1944</v>
      </c>
      <c r="B42" s="1742"/>
      <c r="C42" s="1742"/>
      <c r="D42" s="1742"/>
      <c r="E42" s="1742"/>
      <c r="F42" s="1742"/>
    </row>
    <row ht="25.5" r="43" spans="1:6">
      <c r="A43" s="1110">
        <v>1</v>
      </c>
      <c r="B43" s="1107" t="s">
        <v>1945</v>
      </c>
      <c r="C43" s="1110">
        <v>1</v>
      </c>
      <c r="D43" s="1125">
        <v>43125</v>
      </c>
      <c r="E43" s="1125">
        <f>+D43+C43</f>
        <v>43126</v>
      </c>
      <c r="F43" s="1400" t="str">
        <f>ЧХ!$C$15&amp;" "&amp;ЧХ!$C$16</f>
        <v xml:space="preserve"> </v>
      </c>
    </row>
    <row ht="25.5" r="44" spans="1:6">
      <c r="A44" s="1110">
        <v>2</v>
      </c>
      <c r="B44" s="1107" t="s">
        <v>1946</v>
      </c>
      <c r="C44" s="1110">
        <v>1</v>
      </c>
      <c r="D44" s="1125">
        <f>+E43</f>
        <v>43126</v>
      </c>
      <c r="E44" s="1125">
        <f>+D44+C44</f>
        <v>43127</v>
      </c>
      <c r="F44" s="1400" t="str">
        <f>ЧХ!$C$15&amp;" "&amp;ЧХ!$C$16</f>
        <v xml:space="preserve"> </v>
      </c>
    </row>
    <row ht="25.5" r="45" spans="1:6">
      <c r="A45" s="1110">
        <v>3</v>
      </c>
      <c r="B45" s="1107" t="s">
        <v>1947</v>
      </c>
      <c r="C45" s="1110">
        <v>1</v>
      </c>
      <c r="D45" s="1125">
        <f>+E44</f>
        <v>43127</v>
      </c>
      <c r="E45" s="1125">
        <f>+D45+C45</f>
        <v>43128</v>
      </c>
      <c r="F45" s="1400" t="str">
        <f>ЧХ!$C$15&amp;" "&amp;ЧХ!$C$16</f>
        <v xml:space="preserve"> </v>
      </c>
    </row>
    <row customHeight="1" ht="16.5" r="46" spans="1:6">
      <c r="A46" s="1110">
        <v>4</v>
      </c>
      <c r="B46" s="1107" t="s">
        <v>1948</v>
      </c>
      <c r="C46" s="1110">
        <v>1</v>
      </c>
      <c r="D46" s="1125">
        <f ref="D46:D57" si="13" t="shared">+E45</f>
        <v>43128</v>
      </c>
      <c r="E46" s="1125">
        <f ref="E46:E57" si="14" t="shared">+D46+C46</f>
        <v>43129</v>
      </c>
      <c r="F46" s="1400" t="str">
        <f>ЧХ!$C$15&amp;" "&amp;ЧХ!$C$16</f>
        <v xml:space="preserve"> </v>
      </c>
    </row>
    <row ht="25.5" r="47" spans="1:6">
      <c r="A47" s="1110">
        <v>5</v>
      </c>
      <c r="B47" s="1107" t="s">
        <v>1949</v>
      </c>
      <c r="C47" s="1110">
        <v>1</v>
      </c>
      <c r="D47" s="1125">
        <f si="13" t="shared"/>
        <v>43129</v>
      </c>
      <c r="E47" s="1125">
        <f si="14" t="shared"/>
        <v>43130</v>
      </c>
      <c r="F47" s="1400" t="str">
        <f>ЧХ!$C$15&amp;" "&amp;ЧХ!$C$16</f>
        <v xml:space="preserve"> </v>
      </c>
    </row>
    <row ht="25.5" r="48" spans="1:6">
      <c r="A48" s="1110">
        <v>6</v>
      </c>
      <c r="B48" s="1107" t="s">
        <v>1950</v>
      </c>
      <c r="C48" s="1110">
        <v>1</v>
      </c>
      <c r="D48" s="1125">
        <f si="13" t="shared"/>
        <v>43130</v>
      </c>
      <c r="E48" s="1125">
        <f si="14" t="shared"/>
        <v>43131</v>
      </c>
      <c r="F48" s="1400" t="str">
        <f>ЧХ!$C$15&amp;" "&amp;ЧХ!$C$16</f>
        <v xml:space="preserve"> </v>
      </c>
    </row>
    <row ht="38.25" r="49" spans="1:6">
      <c r="A49" s="1110">
        <v>7</v>
      </c>
      <c r="B49" s="1107" t="s">
        <v>1951</v>
      </c>
      <c r="C49" s="1110">
        <v>1</v>
      </c>
      <c r="D49" s="1125">
        <f si="13" t="shared"/>
        <v>43131</v>
      </c>
      <c r="E49" s="1125">
        <f si="14" t="shared"/>
        <v>43132</v>
      </c>
      <c r="F49" s="1400" t="str">
        <f>ЧХ!$C$15&amp;" "&amp;ЧХ!$C$16</f>
        <v xml:space="preserve"> </v>
      </c>
    </row>
    <row r="50" spans="1:6">
      <c r="A50" s="1110">
        <v>8</v>
      </c>
      <c r="B50" s="1107" t="s">
        <v>1952</v>
      </c>
      <c r="C50" s="1110">
        <v>1</v>
      </c>
      <c r="D50" s="1125">
        <f si="13" t="shared"/>
        <v>43132</v>
      </c>
      <c r="E50" s="1125">
        <f si="14" t="shared"/>
        <v>43133</v>
      </c>
      <c r="F50" s="1400" t="str">
        <f>ЧХ!$C$15&amp;" "&amp;ЧХ!$C$16</f>
        <v xml:space="preserve"> </v>
      </c>
    </row>
    <row r="51" spans="1:6">
      <c r="A51" s="1110">
        <v>9</v>
      </c>
      <c r="B51" s="1107" t="s">
        <v>1953</v>
      </c>
      <c r="C51" s="1110">
        <v>1</v>
      </c>
      <c r="D51" s="1125">
        <f si="13" t="shared"/>
        <v>43133</v>
      </c>
      <c r="E51" s="1125">
        <f si="14" t="shared"/>
        <v>43134</v>
      </c>
      <c r="F51" s="1400" t="str">
        <f>ЧХ!$C$15&amp;" "&amp;ЧХ!$C$16</f>
        <v xml:space="preserve"> </v>
      </c>
    </row>
    <row ht="25.5" r="52" spans="1:6">
      <c r="A52" s="1110">
        <v>10</v>
      </c>
      <c r="B52" s="1107" t="s">
        <v>1954</v>
      </c>
      <c r="C52" s="1110">
        <v>1</v>
      </c>
      <c r="D52" s="1125">
        <f si="13" t="shared"/>
        <v>43134</v>
      </c>
      <c r="E52" s="1125">
        <f si="14" t="shared"/>
        <v>43135</v>
      </c>
      <c r="F52" s="1400" t="str">
        <f>ЧХ!$C$15&amp;" "&amp;ЧХ!$C$16</f>
        <v xml:space="preserve"> </v>
      </c>
    </row>
    <row ht="25.5" r="53" spans="1:6">
      <c r="A53" s="1110">
        <v>11</v>
      </c>
      <c r="B53" s="1107" t="s">
        <v>1955</v>
      </c>
      <c r="C53" s="1110">
        <v>1</v>
      </c>
      <c r="D53" s="1125">
        <f si="13" t="shared"/>
        <v>43135</v>
      </c>
      <c r="E53" s="1125">
        <f si="14" t="shared"/>
        <v>43136</v>
      </c>
      <c r="F53" s="1400" t="str">
        <f>ЧХ!$C$15&amp;" "&amp;ЧХ!$C$16</f>
        <v xml:space="preserve"> </v>
      </c>
    </row>
    <row r="54" spans="1:6">
      <c r="A54" s="1110">
        <v>12</v>
      </c>
      <c r="B54" s="1107" t="s">
        <v>1956</v>
      </c>
      <c r="C54" s="1110">
        <v>1</v>
      </c>
      <c r="D54" s="1125">
        <f si="13" t="shared"/>
        <v>43136</v>
      </c>
      <c r="E54" s="1125">
        <f si="14" t="shared"/>
        <v>43137</v>
      </c>
      <c r="F54" s="1400" t="str">
        <f>ЧХ!$C$15&amp;" "&amp;ЧХ!$C$16</f>
        <v xml:space="preserve"> </v>
      </c>
    </row>
    <row r="55" spans="1:6">
      <c r="A55" s="1110">
        <v>13</v>
      </c>
      <c r="B55" s="1107" t="s">
        <v>1957</v>
      </c>
      <c r="C55" s="1110">
        <v>1</v>
      </c>
      <c r="D55" s="1125">
        <f si="13" t="shared"/>
        <v>43137</v>
      </c>
      <c r="E55" s="1125">
        <f si="14" t="shared"/>
        <v>43138</v>
      </c>
      <c r="F55" s="1400" t="str">
        <f>ЧХ!$C$15&amp;" "&amp;ЧХ!$C$16</f>
        <v xml:space="preserve"> </v>
      </c>
    </row>
    <row ht="25.5" r="56" spans="1:6">
      <c r="A56" s="1110">
        <v>14</v>
      </c>
      <c r="B56" s="1107" t="s">
        <v>1958</v>
      </c>
      <c r="C56" s="1110">
        <v>1</v>
      </c>
      <c r="D56" s="1125">
        <f si="13" t="shared"/>
        <v>43138</v>
      </c>
      <c r="E56" s="1125">
        <f si="14" t="shared"/>
        <v>43139</v>
      </c>
      <c r="F56" s="1400" t="str">
        <f>ЧХ!$C$15&amp;" "&amp;ЧХ!$C$16</f>
        <v xml:space="preserve"> </v>
      </c>
    </row>
    <row ht="25.5" r="57" spans="1:6">
      <c r="A57" s="1110">
        <v>15</v>
      </c>
      <c r="B57" s="1107" t="s">
        <v>1959</v>
      </c>
      <c r="C57" s="1110">
        <v>1</v>
      </c>
      <c r="D57" s="1125">
        <f si="13" t="shared"/>
        <v>43139</v>
      </c>
      <c r="E57" s="1125">
        <f si="14" t="shared"/>
        <v>43140</v>
      </c>
      <c r="F57" s="1400" t="str">
        <f>ЧХ!$C$15&amp;" "&amp;ЧХ!$C$16</f>
        <v xml:space="preserve"> </v>
      </c>
    </row>
    <row r="58" spans="1:6">
      <c r="A58" s="1"/>
      <c r="D58" s="1"/>
      <c r="E58" s="1"/>
    </row>
    <row r="59" spans="1:6">
      <c r="A59" s="1742" t="s">
        <v>1960</v>
      </c>
      <c r="B59" s="1742"/>
      <c r="C59" s="1742"/>
      <c r="D59" s="1742"/>
      <c r="E59" s="1742"/>
      <c r="F59" s="1742"/>
    </row>
    <row r="60" spans="1:6">
      <c r="A60" s="1110">
        <v>1</v>
      </c>
      <c r="B60" s="1096" t="s">
        <v>1961</v>
      </c>
      <c r="C60" s="1110">
        <v>1</v>
      </c>
      <c r="D60" s="1125">
        <f>+E57</f>
        <v>43140</v>
      </c>
      <c r="E60" s="1125">
        <f>+D60+C60</f>
        <v>43141</v>
      </c>
      <c r="F60" s="1400" t="str">
        <f>ЧХ!$C$15&amp;" "&amp;ЧХ!$C$16</f>
        <v xml:space="preserve"> </v>
      </c>
    </row>
    <row r="61" spans="1:6">
      <c r="A61" s="1110">
        <v>2</v>
      </c>
      <c r="B61" s="1096" t="s">
        <v>1962</v>
      </c>
      <c r="C61" s="1110">
        <v>1</v>
      </c>
      <c r="D61" s="1125">
        <f>+E60:E60</f>
        <v>43141</v>
      </c>
      <c r="E61" s="1125">
        <f>+D61+C61</f>
        <v>43142</v>
      </c>
      <c r="F61" s="1400" t="str">
        <f>ЧХ!$C$15&amp;" "&amp;ЧХ!$C$16</f>
        <v xml:space="preserve"> </v>
      </c>
    </row>
    <row r="62" spans="1:6">
      <c r="A62" s="1110">
        <v>3</v>
      </c>
      <c r="B62" s="1096" t="s">
        <v>1963</v>
      </c>
      <c r="C62" s="1110">
        <v>1</v>
      </c>
      <c r="D62" s="1125">
        <f ref="D62:D64" si="15" t="shared">+E61:E61</f>
        <v>43142</v>
      </c>
      <c r="E62" s="1125">
        <f ref="E62:E64" si="16" t="shared">+D62+C62</f>
        <v>43143</v>
      </c>
      <c r="F62" s="1400" t="str">
        <f>ЧХ!$C$15&amp;" "&amp;ЧХ!$C$16</f>
        <v xml:space="preserve"> </v>
      </c>
    </row>
    <row ht="25.5" r="63" spans="1:6">
      <c r="A63" s="1110">
        <v>4</v>
      </c>
      <c r="B63" s="1096" t="s">
        <v>1964</v>
      </c>
      <c r="C63" s="1110">
        <v>1</v>
      </c>
      <c r="D63" s="1125">
        <f si="15" t="shared"/>
        <v>43143</v>
      </c>
      <c r="E63" s="1125">
        <f si="16" t="shared"/>
        <v>43144</v>
      </c>
      <c r="F63" s="1400" t="str">
        <f>ЧХ!$C$15&amp;" "&amp;ЧХ!$C$16</f>
        <v xml:space="preserve"> </v>
      </c>
    </row>
    <row ht="38.25" r="64" spans="1:6">
      <c r="A64" s="1110">
        <v>5</v>
      </c>
      <c r="B64" s="1096" t="s">
        <v>1965</v>
      </c>
      <c r="C64" s="1110">
        <v>1</v>
      </c>
      <c r="D64" s="1125">
        <f si="15" t="shared"/>
        <v>43144</v>
      </c>
      <c r="E64" s="1125">
        <f si="16" t="shared"/>
        <v>43145</v>
      </c>
      <c r="F64" s="1400" t="str">
        <f>ЧХ!$C$15&amp;" "&amp;ЧХ!$C$16</f>
        <v xml:space="preserve"> </v>
      </c>
    </row>
    <row r="65" spans="1:6">
      <c r="A65" s="55"/>
      <c r="B65" s="1103"/>
      <c r="C65" s="55"/>
      <c r="D65" s="55"/>
      <c r="E65" s="55"/>
      <c r="F65" s="55"/>
    </row>
    <row r="66" spans="1:6">
      <c r="A66" s="1108" t="s">
        <v>1897</v>
      </c>
      <c r="B66" s="1108"/>
      <c r="C66" s="1108"/>
      <c r="D66" s="1"/>
      <c r="E66" s="1"/>
    </row>
    <row r="67" spans="1:6">
      <c r="A67" s="1108"/>
      <c r="B67" s="406">
        <f>+ЧХ!$C$15</f>
        <v>0</v>
      </c>
      <c r="C67" s="1097">
        <f>+ЧХ!$C$16</f>
        <v>0</v>
      </c>
      <c r="D67" s="1"/>
      <c r="E67" s="1097" t="s">
        <v>1777</v>
      </c>
    </row>
    <row r="68" spans="1:6">
      <c r="A68" s="1"/>
      <c r="C68" s="1097"/>
      <c r="D68" s="1"/>
      <c r="E68" s="1097"/>
    </row>
    <row r="69" spans="1:6">
      <c r="A69" s="1108" t="s">
        <v>1873</v>
      </c>
      <c r="B69" s="406"/>
      <c r="C69" s="1097"/>
      <c r="D69" s="1"/>
      <c r="E69" s="406"/>
    </row>
    <row r="70" spans="1:6">
      <c r="A70" s="1108"/>
      <c r="B70" s="406" t="str">
        <f>+ЧХ!$B$6</f>
        <v>Аудитын менежер</v>
      </c>
      <c r="C70" s="1097">
        <f>+ЧХ!$C$6</f>
        <v>0</v>
      </c>
      <c r="D70" s="1"/>
      <c r="E70" s="1097" t="s">
        <v>1777</v>
      </c>
    </row>
    <row r="71" spans="1:6">
      <c r="A71" s="1"/>
      <c r="C71" s="1097"/>
      <c r="D71" s="1"/>
      <c r="E71" s="1097"/>
    </row>
    <row r="72" spans="1:6">
      <c r="A72" s="1108" t="s">
        <v>2035</v>
      </c>
      <c r="B72" s="406"/>
      <c r="C72" s="1097"/>
      <c r="D72" s="1"/>
      <c r="E72" s="406"/>
    </row>
    <row r="73" spans="1:6">
      <c r="A73" s="1108"/>
      <c r="B73" s="406" t="str">
        <f>+ЧХ!$B$5</f>
        <v>Тэргүүлэх аудитор</v>
      </c>
      <c r="C73" s="1098" t="str">
        <f>+ЧХ!$C$5</f>
        <v>С.Энхбаатар</v>
      </c>
      <c r="D73" s="1"/>
      <c r="E73" s="1097" t="s">
        <v>1777</v>
      </c>
    </row>
    <row r="74" spans="1:6">
      <c r="A74" s="1"/>
      <c r="C74" s="1097"/>
      <c r="D74" s="1"/>
      <c r="E74" s="1"/>
    </row>
    <row r="75" spans="1:6">
      <c r="A75" s="1821" t="s">
        <v>1966</v>
      </c>
      <c r="B75" s="1821"/>
      <c r="C75" s="1821"/>
      <c r="D75" s="1821"/>
      <c r="E75" s="1821"/>
      <c r="F75" s="1821"/>
    </row>
    <row r="77" spans="1:6">
      <c r="A77" s="406" t="str">
        <f>+ЧХ!$B$6&amp;"ийн санал: ………………………………………………………………………………………"</f>
        <v>Аудитын менежерийн санал: ………………………………………………………………………………………</v>
      </c>
    </row>
    <row r="78" spans="1:6">
      <c r="A78" s="406"/>
    </row>
    <row r="79" spans="1:6">
      <c r="A79" s="406"/>
    </row>
    <row r="80" spans="1:6">
      <c r="A80" s="406" t="str">
        <f>+ЧХ!$B$5&amp;"ын санал: ..........................................................................................................."</f>
        <v>Тэргүүлэх аудиторын санал: ...........................................................................................................</v>
      </c>
    </row>
  </sheetData>
  <mergeCells count="60">
    <mergeCell ref="B2:E2"/>
    <mergeCell ref="A7:F7"/>
    <mergeCell ref="A10:F10"/>
    <mergeCell ref="A11:A12"/>
    <mergeCell ref="B11:B12"/>
    <mergeCell ref="C11:C12"/>
    <mergeCell ref="D11:D12"/>
    <mergeCell ref="E11:E12"/>
    <mergeCell ref="B4:E4"/>
    <mergeCell ref="A15:A16"/>
    <mergeCell ref="B15:B16"/>
    <mergeCell ref="C15:C16"/>
    <mergeCell ref="D15:D16"/>
    <mergeCell ref="E15:E16"/>
    <mergeCell ref="A13:A14"/>
    <mergeCell ref="B13:B14"/>
    <mergeCell ref="C13:C14"/>
    <mergeCell ref="D13:D14"/>
    <mergeCell ref="E13:E14"/>
    <mergeCell ref="A19:A20"/>
    <mergeCell ref="B19:B20"/>
    <mergeCell ref="C19:C20"/>
    <mergeCell ref="D19:D20"/>
    <mergeCell ref="E19:E20"/>
    <mergeCell ref="A17:A18"/>
    <mergeCell ref="B17:B18"/>
    <mergeCell ref="C17:C18"/>
    <mergeCell ref="D17:D18"/>
    <mergeCell ref="E17:E18"/>
    <mergeCell ref="A23:A24"/>
    <mergeCell ref="B23:B24"/>
    <mergeCell ref="C23:C24"/>
    <mergeCell ref="D23:D24"/>
    <mergeCell ref="E23:E24"/>
    <mergeCell ref="A21:A22"/>
    <mergeCell ref="B21:B22"/>
    <mergeCell ref="C21:C22"/>
    <mergeCell ref="D21:D22"/>
    <mergeCell ref="E21:E22"/>
    <mergeCell ref="A27:A28"/>
    <mergeCell ref="B27:B28"/>
    <mergeCell ref="C27:C28"/>
    <mergeCell ref="D27:D28"/>
    <mergeCell ref="E27:E28"/>
    <mergeCell ref="A25:A26"/>
    <mergeCell ref="B25:B26"/>
    <mergeCell ref="C25:C26"/>
    <mergeCell ref="D25:D26"/>
    <mergeCell ref="E25:E26"/>
    <mergeCell ref="A30:F30"/>
    <mergeCell ref="C31:C32"/>
    <mergeCell ref="C33:C37"/>
    <mergeCell ref="A34:A35"/>
    <mergeCell ref="B34:B35"/>
    <mergeCell ref="C39:C40"/>
    <mergeCell ref="A42:F42"/>
    <mergeCell ref="A59:F59"/>
    <mergeCell ref="A75:F75"/>
    <mergeCell ref="D31:D32"/>
    <mergeCell ref="E31:E32"/>
  </mergeCells>
  <pageMargins bottom="0.75" footer="0.3" header="0.3" left="0.7" right="0.7" top="0.75"/>
  <ignoredErrors>
    <ignoredError formula="1" sqref="F12:F26"/>
  </ignoredErrors>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P199"/>
  <sheetViews>
    <sheetView workbookViewId="0" zoomScale="85" zoomScaleNormal="85">
      <selection activeCell="F51" sqref="F51"/>
    </sheetView>
  </sheetViews>
  <sheetFormatPr customHeight="1" defaultRowHeight="22.5"/>
  <cols>
    <col min="1" max="1" customWidth="true" style="381" width="8.28515625" collapsed="true"/>
    <col min="2" max="2" customWidth="true" style="888" width="32.140625" collapsed="true"/>
    <col min="3" max="3" customWidth="true" style="799" width="23.7109375" collapsed="true"/>
    <col min="4" max="4" customWidth="true" style="813" width="13.5703125" collapsed="true"/>
    <col min="5" max="5" customWidth="true" style="813" width="18.85546875" collapsed="true"/>
    <col min="6" max="6" customWidth="true" style="1500" width="35.28515625" collapsed="true"/>
    <col min="7" max="7" customWidth="true" style="799" width="15.7109375" collapsed="true"/>
    <col min="8" max="8" customWidth="true" style="813" width="14.42578125" collapsed="true"/>
    <col min="9" max="9" customWidth="true" style="780" width="26.85546875" collapsed="true"/>
    <col min="10" max="10" customWidth="true" style="798" width="18.85546875" collapsed="true"/>
    <col min="11" max="16" style="381" width="9.140625" collapsed="false"/>
    <col min="17" max="16384" style="381" width="9.140625" collapsed="true"/>
  </cols>
  <sheetData>
    <row customFormat="1" customHeight="1" ht="27" r="1" s="788" spans="1:10">
      <c r="A1" s="787" t="s">
        <v>1373</v>
      </c>
      <c r="B1" s="786" t="s">
        <v>2705</v>
      </c>
      <c r="C1" s="787" t="s">
        <v>2706</v>
      </c>
      <c r="D1" s="786" t="s">
        <v>2707</v>
      </c>
      <c r="E1" s="786" t="s">
        <v>36</v>
      </c>
      <c r="F1" s="1503" t="s">
        <v>2708</v>
      </c>
      <c r="G1" s="787" t="s">
        <v>2706</v>
      </c>
      <c r="H1" s="786" t="s">
        <v>2709</v>
      </c>
      <c r="I1" s="786" t="s">
        <v>36</v>
      </c>
      <c r="J1" s="786" t="s">
        <v>1234</v>
      </c>
    </row>
    <row customFormat="1" customHeight="1" ht="27.75" r="2" s="792" spans="1:10">
      <c r="A2" s="789" t="s">
        <v>2710</v>
      </c>
      <c r="B2" s="886"/>
      <c r="C2" s="790"/>
      <c r="D2" s="790"/>
      <c r="E2" s="790"/>
      <c r="F2" s="1497"/>
      <c r="G2" s="790"/>
      <c r="H2" s="790"/>
      <c r="I2" s="791"/>
      <c r="J2" s="791"/>
    </row>
    <row customHeight="1" ht="22.5" r="3" spans="1:10">
      <c r="A3" s="793"/>
      <c r="B3" s="895" t="s">
        <v>3011</v>
      </c>
      <c r="C3" s="794" t="s">
        <v>3012</v>
      </c>
      <c r="D3" s="1824" t="s">
        <v>2501</v>
      </c>
      <c r="E3" s="795">
        <f>+'2.CT1A'!$C$144</f>
        <v>0</v>
      </c>
      <c r="F3" s="1498" t="s">
        <v>2711</v>
      </c>
      <c r="G3" s="794" t="s">
        <v>49</v>
      </c>
      <c r="H3" s="1824" t="s">
        <v>2712</v>
      </c>
      <c r="I3" s="796">
        <f>+'2.CT1A'!$C$238</f>
        <v>0</v>
      </c>
      <c r="J3" s="797">
        <f ref="J3:J68" si="0" t="shared">+E3-I3</f>
        <v>0</v>
      </c>
    </row>
    <row customHeight="1" ht="22.5" r="4" spans="1:10">
      <c r="A4" s="793"/>
      <c r="B4" s="895" t="s">
        <v>3011</v>
      </c>
      <c r="C4" s="794" t="s">
        <v>3013</v>
      </c>
      <c r="D4" s="1824"/>
      <c r="E4" s="795">
        <f>+'2.CT1A'!$D$144</f>
        <v>0</v>
      </c>
      <c r="F4" s="1498" t="s">
        <v>2711</v>
      </c>
      <c r="G4" s="794" t="s">
        <v>50</v>
      </c>
      <c r="H4" s="1824"/>
      <c r="I4" s="796">
        <f>+'2.CT1A'!$D$238</f>
        <v>0</v>
      </c>
      <c r="J4" s="797">
        <f si="0" t="shared"/>
        <v>0</v>
      </c>
    </row>
    <row customHeight="1" ht="51" r="5" spans="1:10">
      <c r="A5" s="793"/>
      <c r="B5" s="895" t="s">
        <v>2713</v>
      </c>
      <c r="C5" s="794" t="s">
        <v>49</v>
      </c>
      <c r="D5" s="1824" t="s">
        <v>1236</v>
      </c>
      <c r="E5" s="795">
        <f>+'2.CT1A'!$C$8</f>
        <v>0</v>
      </c>
      <c r="F5" s="1498" t="s">
        <v>2714</v>
      </c>
      <c r="G5" s="794" t="s">
        <v>49</v>
      </c>
      <c r="H5" s="1824" t="s">
        <v>2715</v>
      </c>
      <c r="I5" s="796">
        <f>+'2.CT1A'!$C$9+'2.CT1A'!$C$30+'2.CT1A'!$C$34+'2.CT1A'!$C$55+'2.CT1A'!$C$67+'2.CT1A'!$C$83</f>
        <v>0</v>
      </c>
      <c r="J5" s="797">
        <f si="0" t="shared"/>
        <v>0</v>
      </c>
    </row>
    <row customHeight="1" ht="48.75" r="6" spans="1:10">
      <c r="A6" s="793"/>
      <c r="B6" s="895" t="s">
        <v>2713</v>
      </c>
      <c r="C6" s="794" t="s">
        <v>3010</v>
      </c>
      <c r="D6" s="1824"/>
      <c r="E6" s="795">
        <f>+'2.CT1A'!$D$8</f>
        <v>0</v>
      </c>
      <c r="F6" s="1498" t="s">
        <v>2714</v>
      </c>
      <c r="G6" s="794" t="s">
        <v>50</v>
      </c>
      <c r="H6" s="1824"/>
      <c r="I6" s="796">
        <f>+'2.CT1A'!$D$9+'2.CT1A'!$D$30+'2.CT1A'!$D$34+'2.CT1A'!$D$55+'2.CT1A'!$D$67+'2.CT1A'!$D$83</f>
        <v>0</v>
      </c>
      <c r="J6" s="797">
        <f si="0" t="shared"/>
        <v>0</v>
      </c>
    </row>
    <row customHeight="1" ht="42" r="7" spans="1:10">
      <c r="A7" s="793"/>
      <c r="B7" s="895" t="s">
        <v>2716</v>
      </c>
      <c r="C7" s="794" t="s">
        <v>49</v>
      </c>
      <c r="D7" s="1824" t="s">
        <v>2717</v>
      </c>
      <c r="E7" s="795">
        <f>+'2.CT1A'!$C$93</f>
        <v>0</v>
      </c>
      <c r="F7" s="1498" t="s">
        <v>2718</v>
      </c>
      <c r="G7" s="794" t="s">
        <v>49</v>
      </c>
      <c r="H7" s="1824" t="s">
        <v>2719</v>
      </c>
      <c r="I7" s="796">
        <f>+'2.CT1A'!$C$94+'2.CT1A'!$C$113</f>
        <v>0</v>
      </c>
      <c r="J7" s="797">
        <f si="0" t="shared"/>
        <v>0</v>
      </c>
    </row>
    <row customHeight="1" ht="31.5" r="8" spans="1:10">
      <c r="A8" s="793"/>
      <c r="B8" s="895" t="s">
        <v>2716</v>
      </c>
      <c r="C8" s="794" t="s">
        <v>50</v>
      </c>
      <c r="D8" s="1824"/>
      <c r="E8" s="795">
        <f>+'2.CT1A'!$D$93</f>
        <v>0</v>
      </c>
      <c r="F8" s="1498" t="s">
        <v>2718</v>
      </c>
      <c r="G8" s="794" t="s">
        <v>50</v>
      </c>
      <c r="H8" s="1824"/>
      <c r="I8" s="796">
        <f>+'2.CT1A'!$D$94+'2.CT1A'!$D$113</f>
        <v>0</v>
      </c>
      <c r="J8" s="797">
        <f si="0" t="shared"/>
        <v>0</v>
      </c>
    </row>
    <row customHeight="1" ht="45" r="9" spans="1:10">
      <c r="A9" s="793"/>
      <c r="B9" s="895" t="s">
        <v>2720</v>
      </c>
      <c r="C9" s="794" t="s">
        <v>49</v>
      </c>
      <c r="D9" s="1824" t="s">
        <v>122</v>
      </c>
      <c r="E9" s="795">
        <f>+'2.CT1A'!$C$9</f>
        <v>0</v>
      </c>
      <c r="F9" s="1498" t="s">
        <v>2721</v>
      </c>
      <c r="G9" s="794" t="s">
        <v>49</v>
      </c>
      <c r="H9" s="1824" t="s">
        <v>2722</v>
      </c>
      <c r="I9" s="796">
        <f>+'2.CT1A'!$C$10+'2.CT1A'!$C$15+'2.CT1A'!$C$28+'2.CT1A'!$C$29</f>
        <v>0</v>
      </c>
      <c r="J9" s="797">
        <f si="0" t="shared"/>
        <v>0</v>
      </c>
    </row>
    <row customHeight="1" ht="44.25" r="10" spans="1:10">
      <c r="A10" s="793"/>
      <c r="B10" s="895" t="s">
        <v>2720</v>
      </c>
      <c r="C10" s="794" t="s">
        <v>50</v>
      </c>
      <c r="D10" s="1824"/>
      <c r="E10" s="795">
        <f>+'2.CT1A'!$D$9</f>
        <v>0</v>
      </c>
      <c r="F10" s="1498" t="s">
        <v>2721</v>
      </c>
      <c r="G10" s="794" t="s">
        <v>50</v>
      </c>
      <c r="H10" s="1824"/>
      <c r="I10" s="796">
        <f>+'2.CT1A'!$D$10+'2.CT1A'!$D$15+'2.CT1A'!$D$28+'2.CT1A'!$D$29</f>
        <v>0</v>
      </c>
      <c r="J10" s="797">
        <f si="0" t="shared"/>
        <v>0</v>
      </c>
    </row>
    <row customHeight="1" ht="33.75" r="11" spans="1:10">
      <c r="A11" s="793"/>
      <c r="B11" s="895" t="s">
        <v>2723</v>
      </c>
      <c r="C11" s="794" t="s">
        <v>49</v>
      </c>
      <c r="D11" s="1824" t="s">
        <v>142</v>
      </c>
      <c r="E11" s="795">
        <f>+'2.CT1A'!$C$34</f>
        <v>0</v>
      </c>
      <c r="F11" s="1826" t="s">
        <v>2724</v>
      </c>
      <c r="G11" s="794" t="s">
        <v>49</v>
      </c>
      <c r="H11" s="1824" t="s">
        <v>2725</v>
      </c>
      <c r="I11" s="796">
        <f>+'2.CT1A'!$C$35+'2.CT1A'!$C$36+'2.CT1A'!$C$37+'2.CT1A'!$C$38+'2.CT1A'!$C$39+'2.CT1A'!$C$40+'2.CT1A'!$C$41+'2.CT1A'!$C$44</f>
        <v>0</v>
      </c>
      <c r="J11" s="797">
        <f si="0" t="shared"/>
        <v>0</v>
      </c>
    </row>
    <row customHeight="1" ht="49.5" r="12" spans="1:10">
      <c r="A12" s="793"/>
      <c r="B12" s="895" t="s">
        <v>2723</v>
      </c>
      <c r="C12" s="794" t="s">
        <v>50</v>
      </c>
      <c r="D12" s="1824"/>
      <c r="E12" s="795">
        <f>+'2.CT1A'!$D$34</f>
        <v>0</v>
      </c>
      <c r="F12" s="1826"/>
      <c r="G12" s="794" t="s">
        <v>50</v>
      </c>
      <c r="H12" s="1824"/>
      <c r="I12" s="796">
        <f>+'2.CT1A'!$D$35+'2.CT1A'!$D$36+'2.CT1A'!$D$37+'2.CT1A'!$D$38+'2.CT1A'!$D$39+'2.CT1A'!$D$40+'2.CT1A'!$D$41+'2.CT1A'!$D$44</f>
        <v>0</v>
      </c>
      <c r="J12" s="797">
        <f si="0" t="shared"/>
        <v>0</v>
      </c>
    </row>
    <row customHeight="1" ht="22.5" r="13" spans="1:10">
      <c r="A13" s="793"/>
      <c r="B13" s="1825" t="s">
        <v>2726</v>
      </c>
      <c r="C13" s="794" t="s">
        <v>49</v>
      </c>
      <c r="D13" s="1824" t="s">
        <v>159</v>
      </c>
      <c r="E13" s="795">
        <f>+'2.CT1A'!$C$55</f>
        <v>0</v>
      </c>
      <c r="F13" s="1826" t="s">
        <v>2727</v>
      </c>
      <c r="G13" s="794" t="s">
        <v>49</v>
      </c>
      <c r="H13" s="1824" t="s">
        <v>2728</v>
      </c>
      <c r="I13" s="796">
        <f>+'2.CT1A'!$C$56+'2.CT1A'!$C$57+'2.CT1A'!$C$58+'2.CT1A'!$C$59+'2.CT1A'!$C$60+'2.CT1A'!$C$61+'2.CT1A'!$C$62</f>
        <v>0</v>
      </c>
      <c r="J13" s="797">
        <f si="0" t="shared"/>
        <v>0</v>
      </c>
    </row>
    <row customHeight="1" ht="22.5" r="14" spans="1:10">
      <c r="A14" s="793"/>
      <c r="B14" s="1825"/>
      <c r="C14" s="794" t="s">
        <v>50</v>
      </c>
      <c r="D14" s="1824"/>
      <c r="E14" s="795">
        <f>+'2.CT1A'!$D$55</f>
        <v>0</v>
      </c>
      <c r="F14" s="1826"/>
      <c r="G14" s="794" t="s">
        <v>50</v>
      </c>
      <c r="H14" s="1824"/>
      <c r="I14" s="796">
        <f>+'2.CT1A'!$D$56+'2.CT1A'!$D$57+'2.CT1A'!$D$58+'2.CT1A'!$D$59+'2.CT1A'!$D$60+'2.CT1A'!$D$61+'2.CT1A'!$D$62</f>
        <v>0</v>
      </c>
      <c r="J14" s="797">
        <f si="0" t="shared"/>
        <v>0</v>
      </c>
    </row>
    <row customHeight="1" ht="22.5" r="15" spans="1:10">
      <c r="A15" s="793"/>
      <c r="B15" s="1825" t="s">
        <v>2729</v>
      </c>
      <c r="C15" s="794" t="s">
        <v>49</v>
      </c>
      <c r="D15" s="1824" t="s">
        <v>172</v>
      </c>
      <c r="E15" s="795">
        <f>+'2.CT1A'!$C$67</f>
        <v>0</v>
      </c>
      <c r="F15" s="1826" t="s">
        <v>2730</v>
      </c>
      <c r="G15" s="794" t="s">
        <v>49</v>
      </c>
      <c r="H15" s="1824" t="s">
        <v>2731</v>
      </c>
      <c r="I15" s="796">
        <f>+'2.CT1A'!$C$68+'2.CT1A'!$C$71+'2.CT1A'!$C$72+'2.CT1A'!$C$73+'2.CT1A'!$C$81+'2.CT1A'!$C$82</f>
        <v>0</v>
      </c>
      <c r="J15" s="797">
        <f si="0" t="shared"/>
        <v>0</v>
      </c>
    </row>
    <row customHeight="1" ht="22.5" r="16" spans="1:10">
      <c r="A16" s="793"/>
      <c r="B16" s="1825"/>
      <c r="C16" s="794" t="s">
        <v>50</v>
      </c>
      <c r="D16" s="1824"/>
      <c r="E16" s="795">
        <f>+'2.CT1A'!$D$67</f>
        <v>0</v>
      </c>
      <c r="F16" s="1826"/>
      <c r="G16" s="794" t="s">
        <v>50</v>
      </c>
      <c r="H16" s="1824"/>
      <c r="I16" s="796">
        <f>+'2.CT1A'!$D$68+'2.CT1A'!$D$71+'2.CT1A'!$D$72+'2.CT1A'!$D$73+'2.CT1A'!$D$81+'2.CT1A'!$D$82</f>
        <v>0</v>
      </c>
      <c r="J16" s="797">
        <f si="0" t="shared"/>
        <v>0</v>
      </c>
    </row>
    <row customHeight="1" ht="22.5" r="17" spans="1:10">
      <c r="A17" s="793"/>
      <c r="B17" s="1825" t="s">
        <v>2732</v>
      </c>
      <c r="C17" s="794" t="s">
        <v>49</v>
      </c>
      <c r="D17" s="1824" t="s">
        <v>201</v>
      </c>
      <c r="E17" s="795">
        <f>+'2.CT1A'!$C$83</f>
        <v>0</v>
      </c>
      <c r="F17" s="1826" t="s">
        <v>2733</v>
      </c>
      <c r="G17" s="794" t="s">
        <v>49</v>
      </c>
      <c r="H17" s="1824" t="s">
        <v>2734</v>
      </c>
      <c r="I17" s="796">
        <f>+'2.CT1A'!$C$84+'2.CT1A'!$C$85+'2.CT1A'!$C$86+'2.CT1A'!$C$87+'2.CT1A'!$C$88+'2.CT1A'!$C$89+'2.CT1A'!$C$90+'2.CT1A'!$C$91+'2.CT1A'!$C$92</f>
        <v>0</v>
      </c>
      <c r="J17" s="797">
        <f si="0" t="shared"/>
        <v>0</v>
      </c>
    </row>
    <row customHeight="1" ht="22.5" r="18" spans="1:10">
      <c r="A18" s="793"/>
      <c r="B18" s="1825"/>
      <c r="C18" s="794" t="s">
        <v>50</v>
      </c>
      <c r="D18" s="1824"/>
      <c r="E18" s="795">
        <f>+'2.CT1A'!$D$83</f>
        <v>0</v>
      </c>
      <c r="F18" s="1826"/>
      <c r="G18" s="794" t="s">
        <v>50</v>
      </c>
      <c r="H18" s="1824"/>
      <c r="I18" s="796">
        <f>+'2.CT1A'!$D$84+'2.CT1A'!$D$85+'2.CT1A'!$D$86+'2.CT1A'!$D$87+'2.CT1A'!$D$88+'2.CT1A'!$D$89+'2.CT1A'!$D$90+'2.CT1A'!$D$91+'2.CT1A'!$D$92</f>
        <v>0</v>
      </c>
      <c r="J18" s="797">
        <f si="0" t="shared"/>
        <v>0</v>
      </c>
    </row>
    <row customHeight="1" ht="22.5" r="19" spans="1:10">
      <c r="A19" s="793"/>
      <c r="B19" s="1825" t="s">
        <v>2735</v>
      </c>
      <c r="C19" s="794" t="s">
        <v>49</v>
      </c>
      <c r="D19" s="1824" t="s">
        <v>210</v>
      </c>
      <c r="E19" s="795">
        <f>+'2.CT1A'!$C$94</f>
        <v>0</v>
      </c>
      <c r="F19" s="1826" t="s">
        <v>2736</v>
      </c>
      <c r="G19" s="794" t="s">
        <v>49</v>
      </c>
      <c r="H19" s="1824" t="s">
        <v>2737</v>
      </c>
      <c r="I19" s="796">
        <f>+'2.CT1A'!$C$95+'2.CT1A'!$C$98+'2.CT1A'!$C$101</f>
        <v>0</v>
      </c>
      <c r="J19" s="797">
        <f si="0" t="shared"/>
        <v>0</v>
      </c>
    </row>
    <row customHeight="1" ht="22.5" r="20" spans="1:10">
      <c r="A20" s="793"/>
      <c r="B20" s="1825"/>
      <c r="C20" s="794" t="s">
        <v>50</v>
      </c>
      <c r="D20" s="1824"/>
      <c r="E20" s="795">
        <f>+'2.CT1A'!$D$94</f>
        <v>0</v>
      </c>
      <c r="F20" s="1826"/>
      <c r="G20" s="794" t="s">
        <v>50</v>
      </c>
      <c r="H20" s="1824"/>
      <c r="I20" s="796">
        <f>+'2.CT1A'!$D$95+'2.CT1A'!$D$98+'2.CT1A'!$D$101</f>
        <v>0</v>
      </c>
      <c r="J20" s="797">
        <f si="0" t="shared"/>
        <v>0</v>
      </c>
    </row>
    <row customHeight="1" ht="22.5" r="21" spans="1:10">
      <c r="A21" s="793"/>
      <c r="B21" s="1825" t="s">
        <v>2738</v>
      </c>
      <c r="C21" s="794" t="s">
        <v>49</v>
      </c>
      <c r="D21" s="1824" t="s">
        <v>2739</v>
      </c>
      <c r="E21" s="795">
        <f>+'2.CT1A'!$C$113</f>
        <v>0</v>
      </c>
      <c r="F21" s="1826" t="s">
        <v>2740</v>
      </c>
      <c r="G21" s="794" t="s">
        <v>49</v>
      </c>
      <c r="H21" s="1824" t="s">
        <v>2741</v>
      </c>
      <c r="I21" s="796">
        <f>+'2.CT1A'!$C$114+'2.CT1A'!$C$115+'2.CT1A'!$C$133+'2.CT1A'!$C$138</f>
        <v>0</v>
      </c>
      <c r="J21" s="797">
        <f si="0" t="shared"/>
        <v>0</v>
      </c>
    </row>
    <row customHeight="1" ht="22.5" r="22" spans="1:10">
      <c r="A22" s="793"/>
      <c r="B22" s="1825"/>
      <c r="C22" s="794" t="s">
        <v>50</v>
      </c>
      <c r="D22" s="1824"/>
      <c r="E22" s="795">
        <f>+'2.CT1A'!$D$113</f>
        <v>0</v>
      </c>
      <c r="F22" s="1826"/>
      <c r="G22" s="794" t="s">
        <v>50</v>
      </c>
      <c r="H22" s="1824"/>
      <c r="I22" s="796">
        <f>+'2.CT1A'!$D$114+'2.CT1A'!$D$115+'2.CT1A'!$D$133+'2.CT1A'!$D$138</f>
        <v>0</v>
      </c>
      <c r="J22" s="797">
        <f si="0" t="shared"/>
        <v>0</v>
      </c>
    </row>
    <row customHeight="1" ht="22.5" r="23" spans="1:10">
      <c r="A23" s="793"/>
      <c r="B23" s="1825" t="s">
        <v>243</v>
      </c>
      <c r="C23" s="794" t="s">
        <v>49</v>
      </c>
      <c r="D23" s="1824" t="s">
        <v>2742</v>
      </c>
      <c r="E23" s="795">
        <f>+'2.CT1A'!$C$145</f>
        <v>0</v>
      </c>
      <c r="F23" s="1826" t="s">
        <v>2743</v>
      </c>
      <c r="G23" s="794" t="s">
        <v>49</v>
      </c>
      <c r="H23" s="1824" t="s">
        <v>2744</v>
      </c>
      <c r="I23" s="796">
        <f>+'2.CT1A'!$C$146+'2.CT1A'!$C$190</f>
        <v>0</v>
      </c>
      <c r="J23" s="797">
        <f si="0" t="shared"/>
        <v>0</v>
      </c>
    </row>
    <row customHeight="1" ht="22.5" r="24" spans="1:10">
      <c r="A24" s="793"/>
      <c r="B24" s="1825"/>
      <c r="C24" s="794" t="s">
        <v>50</v>
      </c>
      <c r="D24" s="1824"/>
      <c r="E24" s="795">
        <f>+'2.CT1A'!$D$145</f>
        <v>0</v>
      </c>
      <c r="F24" s="1826"/>
      <c r="G24" s="794" t="s">
        <v>50</v>
      </c>
      <c r="H24" s="1824"/>
      <c r="I24" s="796">
        <f>+'2.CT1A'!$D$146+'2.CT1A'!$D$190</f>
        <v>0</v>
      </c>
      <c r="J24" s="797">
        <f si="0" t="shared"/>
        <v>0</v>
      </c>
    </row>
    <row customHeight="1" ht="22.5" r="25" spans="1:10">
      <c r="A25" s="793"/>
      <c r="B25" s="1825" t="s">
        <v>2745</v>
      </c>
      <c r="C25" s="794" t="s">
        <v>49</v>
      </c>
      <c r="D25" s="1824" t="s">
        <v>2746</v>
      </c>
      <c r="E25" s="795">
        <f>+'2.CT1A'!$C$146</f>
        <v>0</v>
      </c>
      <c r="F25" s="1826" t="s">
        <v>2747</v>
      </c>
      <c r="G25" s="794" t="s">
        <v>49</v>
      </c>
      <c r="H25" s="1824" t="s">
        <v>2748</v>
      </c>
      <c r="I25" s="796">
        <f>+'2.CT1A'!$C$147+'2.CT1A'!$C$156+'2.CT1A'!$C$171+'2.CT1A'!$C$184</f>
        <v>0</v>
      </c>
      <c r="J25" s="797">
        <f si="0" t="shared"/>
        <v>0</v>
      </c>
    </row>
    <row customHeight="1" ht="22.5" r="26" spans="1:10">
      <c r="A26" s="793"/>
      <c r="B26" s="1825"/>
      <c r="C26" s="794" t="s">
        <v>50</v>
      </c>
      <c r="D26" s="1824"/>
      <c r="E26" s="795">
        <f>+'2.CT1A'!$D$146</f>
        <v>0</v>
      </c>
      <c r="F26" s="1826"/>
      <c r="G26" s="794" t="s">
        <v>50</v>
      </c>
      <c r="H26" s="1824"/>
      <c r="I26" s="796">
        <f>+'2.CT1A'!$D$147+'2.CT1A'!$D$156+'2.CT1A'!$D$171+'2.CT1A'!$D$184</f>
        <v>0</v>
      </c>
      <c r="J26" s="797">
        <f si="0" t="shared"/>
        <v>0</v>
      </c>
    </row>
    <row customHeight="1" ht="22.5" r="27" spans="1:10">
      <c r="A27" s="793"/>
      <c r="B27" s="1825" t="s">
        <v>1237</v>
      </c>
      <c r="C27" s="794" t="s">
        <v>49</v>
      </c>
      <c r="D27" s="1824" t="s">
        <v>2749</v>
      </c>
      <c r="E27" s="795">
        <f>+'2.CT1A'!$C$147</f>
        <v>0</v>
      </c>
      <c r="F27" s="1826" t="s">
        <v>2750</v>
      </c>
      <c r="G27" s="794" t="s">
        <v>49</v>
      </c>
      <c r="H27" s="1824" t="s">
        <v>2751</v>
      </c>
      <c r="I27" s="796">
        <f>+'2.CT1A'!$C$148+'2.CT1A'!$C$152</f>
        <v>0</v>
      </c>
      <c r="J27" s="797">
        <f si="0" t="shared"/>
        <v>0</v>
      </c>
    </row>
    <row customHeight="1" ht="22.5" r="28" spans="1:10">
      <c r="A28" s="793"/>
      <c r="B28" s="1825"/>
      <c r="C28" s="794" t="s">
        <v>50</v>
      </c>
      <c r="D28" s="1824"/>
      <c r="E28" s="795">
        <f>+'2.CT1A'!$D$147</f>
        <v>0</v>
      </c>
      <c r="F28" s="1826"/>
      <c r="G28" s="794" t="s">
        <v>50</v>
      </c>
      <c r="H28" s="1824"/>
      <c r="I28" s="796">
        <f>+'2.CT1A'!$D$148+'2.CT1A'!$D$152</f>
        <v>0</v>
      </c>
      <c r="J28" s="797">
        <f si="0" t="shared"/>
        <v>0</v>
      </c>
    </row>
    <row customHeight="1" ht="22.5" r="29" spans="1:10">
      <c r="A29" s="793"/>
      <c r="B29" s="1825" t="s">
        <v>1238</v>
      </c>
      <c r="C29" s="794" t="s">
        <v>49</v>
      </c>
      <c r="D29" s="1824" t="s">
        <v>2752</v>
      </c>
      <c r="E29" s="795">
        <f>+'2.CT1A'!$C$156</f>
        <v>0</v>
      </c>
      <c r="F29" s="1826" t="s">
        <v>2750</v>
      </c>
      <c r="G29" s="794" t="s">
        <v>49</v>
      </c>
      <c r="H29" s="1824" t="s">
        <v>2753</v>
      </c>
      <c r="I29" s="796">
        <f>+'2.CT1A'!$C$157+'2.CT1A'!$C$165</f>
        <v>0</v>
      </c>
      <c r="J29" s="797">
        <f si="0" t="shared"/>
        <v>0</v>
      </c>
    </row>
    <row customHeight="1" ht="22.5" r="30" spans="1:10">
      <c r="A30" s="793"/>
      <c r="B30" s="1825"/>
      <c r="C30" s="794" t="s">
        <v>50</v>
      </c>
      <c r="D30" s="1824"/>
      <c r="E30" s="795">
        <f>+'2.CT1A'!$D$156</f>
        <v>0</v>
      </c>
      <c r="F30" s="1826"/>
      <c r="G30" s="794" t="s">
        <v>50</v>
      </c>
      <c r="H30" s="1824"/>
      <c r="I30" s="796">
        <f>+'2.CT1A'!$D$157+'2.CT1A'!$D$165</f>
        <v>0</v>
      </c>
      <c r="J30" s="797">
        <f si="0" t="shared"/>
        <v>0</v>
      </c>
    </row>
    <row customHeight="1" ht="22.5" r="31" spans="1:10">
      <c r="A31" s="793"/>
      <c r="B31" s="1825" t="s">
        <v>2754</v>
      </c>
      <c r="C31" s="794" t="s">
        <v>49</v>
      </c>
      <c r="D31" s="1824" t="s">
        <v>2755</v>
      </c>
      <c r="E31" s="795">
        <f>+'2.CT1A'!$C$190</f>
        <v>0</v>
      </c>
      <c r="F31" s="1826" t="s">
        <v>2756</v>
      </c>
      <c r="G31" s="794" t="s">
        <v>49</v>
      </c>
      <c r="H31" s="1824" t="s">
        <v>2757</v>
      </c>
      <c r="I31" s="796">
        <f>+'2.CT1A'!$C$191+'2.CT1A'!$C$200</f>
        <v>0</v>
      </c>
      <c r="J31" s="797">
        <f si="0" t="shared"/>
        <v>0</v>
      </c>
    </row>
    <row customHeight="1" ht="22.5" r="32" spans="1:10">
      <c r="A32" s="793"/>
      <c r="B32" s="1825"/>
      <c r="C32" s="794" t="s">
        <v>50</v>
      </c>
      <c r="D32" s="1824"/>
      <c r="E32" s="795">
        <f>+'2.CT1A'!$D$190</f>
        <v>0</v>
      </c>
      <c r="F32" s="1826"/>
      <c r="G32" s="794" t="s">
        <v>50</v>
      </c>
      <c r="H32" s="1824"/>
      <c r="I32" s="796">
        <f>+'2.CT1A'!$D$191+'2.CT1A'!$D$200</f>
        <v>0</v>
      </c>
      <c r="J32" s="797">
        <f si="0" t="shared"/>
        <v>0</v>
      </c>
    </row>
    <row customHeight="1" ht="22.5" r="33" spans="1:10">
      <c r="A33" s="793"/>
      <c r="B33" s="1825" t="s">
        <v>1239</v>
      </c>
      <c r="C33" s="794" t="s">
        <v>49</v>
      </c>
      <c r="D33" s="1824" t="s">
        <v>2758</v>
      </c>
      <c r="E33" s="795">
        <f>+'2.CT1A'!$C$191</f>
        <v>0</v>
      </c>
      <c r="F33" s="1826" t="s">
        <v>2750</v>
      </c>
      <c r="G33" s="794" t="s">
        <v>49</v>
      </c>
      <c r="H33" s="1824" t="s">
        <v>2759</v>
      </c>
      <c r="I33" s="796">
        <f>+'2.CT1A'!$C$192+'2.CT1A'!$C$196</f>
        <v>0</v>
      </c>
      <c r="J33" s="797">
        <f si="0" t="shared"/>
        <v>0</v>
      </c>
    </row>
    <row customHeight="1" ht="22.5" r="34" spans="1:10">
      <c r="A34" s="793"/>
      <c r="B34" s="1825"/>
      <c r="C34" s="794" t="s">
        <v>50</v>
      </c>
      <c r="D34" s="1824"/>
      <c r="E34" s="795">
        <f>+'2.CT1A'!$D$191</f>
        <v>0</v>
      </c>
      <c r="F34" s="1826"/>
      <c r="G34" s="794" t="s">
        <v>50</v>
      </c>
      <c r="H34" s="1824"/>
      <c r="I34" s="796">
        <f>+'2.CT1A'!$D$192+'2.CT1A'!$D$196</f>
        <v>0</v>
      </c>
      <c r="J34" s="797">
        <f si="0" t="shared"/>
        <v>0</v>
      </c>
    </row>
    <row customHeight="1" ht="22.5" r="35" spans="1:10">
      <c r="A35" s="793"/>
      <c r="B35" s="1825" t="s">
        <v>1240</v>
      </c>
      <c r="C35" s="794" t="s">
        <v>49</v>
      </c>
      <c r="D35" s="1824" t="s">
        <v>2760</v>
      </c>
      <c r="E35" s="795">
        <f>+'2.CT1A'!$C$200</f>
        <v>0</v>
      </c>
      <c r="F35" s="1826" t="s">
        <v>2750</v>
      </c>
      <c r="G35" s="794" t="s">
        <v>49</v>
      </c>
      <c r="H35" s="1824" t="s">
        <v>2761</v>
      </c>
      <c r="I35" s="796">
        <f>+'2.CT1A'!$C$201+'2.CT1A'!$C$209</f>
        <v>0</v>
      </c>
      <c r="J35" s="797">
        <f si="0" t="shared"/>
        <v>0</v>
      </c>
    </row>
    <row customHeight="1" ht="22.5" r="36" spans="1:10">
      <c r="A36" s="793"/>
      <c r="B36" s="1825"/>
      <c r="C36" s="794" t="s">
        <v>50</v>
      </c>
      <c r="D36" s="1824"/>
      <c r="E36" s="795">
        <f>+'2.CT1A'!$D$200</f>
        <v>0</v>
      </c>
      <c r="F36" s="1826"/>
      <c r="G36" s="794" t="s">
        <v>50</v>
      </c>
      <c r="H36" s="1824"/>
      <c r="I36" s="796">
        <f>+'2.CT1A'!$D$201+'2.CT1A'!$D$209</f>
        <v>0</v>
      </c>
      <c r="J36" s="797">
        <f si="0" t="shared"/>
        <v>0</v>
      </c>
    </row>
    <row customHeight="1" ht="22.5" r="37" spans="1:10">
      <c r="A37" s="793"/>
      <c r="B37" s="1825" t="s">
        <v>281</v>
      </c>
      <c r="C37" s="794" t="s">
        <v>49</v>
      </c>
      <c r="D37" s="1824" t="s">
        <v>2762</v>
      </c>
      <c r="E37" s="795">
        <f>+'2.CT1A'!$C$221</f>
        <v>0</v>
      </c>
      <c r="F37" s="1826" t="s">
        <v>2763</v>
      </c>
      <c r="G37" s="794" t="s">
        <v>49</v>
      </c>
      <c r="H37" s="1824" t="s">
        <v>2764</v>
      </c>
      <c r="I37" s="796">
        <f>+'2.CT1A'!$C$222</f>
        <v>0</v>
      </c>
      <c r="J37" s="797">
        <f si="0" t="shared"/>
        <v>0</v>
      </c>
    </row>
    <row customHeight="1" ht="22.5" r="38" spans="1:10">
      <c r="A38" s="793"/>
      <c r="B38" s="1825"/>
      <c r="C38" s="794" t="s">
        <v>50</v>
      </c>
      <c r="D38" s="1824"/>
      <c r="E38" s="795">
        <f>+'2.CT1A'!$D$221</f>
        <v>0</v>
      </c>
      <c r="F38" s="1826"/>
      <c r="G38" s="794" t="s">
        <v>50</v>
      </c>
      <c r="H38" s="1824"/>
      <c r="I38" s="796">
        <f>+'2.CT1A'!$D$222</f>
        <v>0</v>
      </c>
      <c r="J38" s="797">
        <f si="0" t="shared"/>
        <v>0</v>
      </c>
    </row>
    <row customHeight="1" ht="22.5" r="39" spans="1:10">
      <c r="A39" s="793"/>
      <c r="B39" s="1825" t="s">
        <v>2763</v>
      </c>
      <c r="C39" s="794" t="s">
        <v>49</v>
      </c>
      <c r="D39" s="1824" t="s">
        <v>2764</v>
      </c>
      <c r="E39" s="795">
        <f>+'2.CT1A'!$C$222</f>
        <v>0</v>
      </c>
      <c r="F39" s="1826" t="s">
        <v>2765</v>
      </c>
      <c r="G39" s="794" t="s">
        <v>49</v>
      </c>
      <c r="H39" s="1824" t="s">
        <v>2766</v>
      </c>
      <c r="I39" s="796">
        <f>+'2.CT1A'!$C$223+'2.CT1A'!$C$230+'2.CT1A'!$C$234+'2.CT1A'!$C$235+'2.CT1A'!$C$236+'2.CT1A'!$C$237</f>
        <v>0</v>
      </c>
      <c r="J39" s="797">
        <f si="0" t="shared"/>
        <v>0</v>
      </c>
    </row>
    <row customHeight="1" ht="22.5" r="40" spans="1:10">
      <c r="A40" s="793"/>
      <c r="B40" s="1825"/>
      <c r="C40" s="794" t="s">
        <v>50</v>
      </c>
      <c r="D40" s="1824"/>
      <c r="E40" s="795">
        <f>+'2.CT1A'!$D$222</f>
        <v>0</v>
      </c>
      <c r="F40" s="1826"/>
      <c r="G40" s="794" t="s">
        <v>50</v>
      </c>
      <c r="H40" s="1824"/>
      <c r="I40" s="796">
        <f>+'2.CT1A'!$D$223+'2.CT1A'!$D$230+'2.CT1A'!$D$234+'2.CT1A'!$D$235+'2.CT1A'!$D$236+'2.CT1A'!$D$237</f>
        <v>0</v>
      </c>
      <c r="J40" s="797">
        <f si="0" t="shared"/>
        <v>0</v>
      </c>
    </row>
    <row customHeight="1" ht="22.5" r="41" spans="1:10">
      <c r="A41" s="793"/>
      <c r="B41" s="1825" t="s">
        <v>2767</v>
      </c>
      <c r="C41" s="794" t="s">
        <v>49</v>
      </c>
      <c r="D41" s="1824" t="s">
        <v>2768</v>
      </c>
      <c r="E41" s="795">
        <f>+'2.CT1A'!$C$230</f>
        <v>0</v>
      </c>
      <c r="F41" s="1826" t="s">
        <v>2769</v>
      </c>
      <c r="G41" s="794" t="s">
        <v>49</v>
      </c>
      <c r="H41" s="1824" t="s">
        <v>2770</v>
      </c>
      <c r="I41" s="796">
        <f>+'2.CT1A'!$C$231+'2.CT1A'!$C$232+'2.CT1A'!$C$233</f>
        <v>0</v>
      </c>
      <c r="J41" s="797">
        <f si="0" t="shared"/>
        <v>0</v>
      </c>
    </row>
    <row customHeight="1" ht="22.5" r="42" spans="1:10">
      <c r="A42" s="793"/>
      <c r="B42" s="1825"/>
      <c r="C42" s="794" t="s">
        <v>50</v>
      </c>
      <c r="D42" s="1824"/>
      <c r="E42" s="795">
        <f>+'2.CT1A'!$D$230</f>
        <v>0</v>
      </c>
      <c r="F42" s="1826"/>
      <c r="G42" s="794" t="s">
        <v>50</v>
      </c>
      <c r="H42" s="1824"/>
      <c r="I42" s="796">
        <f>+'2.CT1A'!$D$231+'2.CT1A'!$D$232+'2.CT1A'!$D$233</f>
        <v>0</v>
      </c>
      <c r="J42" s="797">
        <f si="0" t="shared"/>
        <v>0</v>
      </c>
    </row>
    <row customHeight="1" ht="22.5" r="43" spans="1:10">
      <c r="A43" s="800" t="s">
        <v>2771</v>
      </c>
      <c r="B43" s="887"/>
      <c r="C43" s="801"/>
      <c r="D43" s="801"/>
      <c r="E43" s="801"/>
      <c r="F43" s="1499"/>
      <c r="G43" s="801"/>
      <c r="H43" s="801"/>
      <c r="I43" s="802"/>
      <c r="J43" s="802"/>
    </row>
    <row customHeight="1" ht="22.5" r="44" spans="1:10">
      <c r="A44" s="803"/>
      <c r="B44" s="888" t="s">
        <v>2772</v>
      </c>
      <c r="C44" s="799" t="s">
        <v>49</v>
      </c>
      <c r="D44" s="804" t="s">
        <v>2717</v>
      </c>
      <c r="E44" s="805">
        <f>+'3.CT2A'!$C$153</f>
        <v>0</v>
      </c>
      <c r="F44" s="1500" t="s">
        <v>2773</v>
      </c>
      <c r="G44" s="799" t="s">
        <v>49</v>
      </c>
      <c r="H44" s="804" t="s">
        <v>2774</v>
      </c>
      <c r="I44" s="806">
        <f>+'3.CT2A'!$C$154+'3.CT2A'!$C$259</f>
        <v>0</v>
      </c>
      <c r="J44" s="797">
        <f si="0" t="shared"/>
        <v>0</v>
      </c>
    </row>
    <row customHeight="1" ht="22.5" r="45" spans="1:10">
      <c r="A45" s="803"/>
      <c r="C45" s="799" t="s">
        <v>50</v>
      </c>
      <c r="D45" s="804"/>
      <c r="E45" s="805">
        <f>+'3.CT2A'!$D$153</f>
        <v>0</v>
      </c>
      <c r="G45" s="799" t="s">
        <v>50</v>
      </c>
      <c r="H45" s="804"/>
      <c r="I45" s="806">
        <f>+'3.CT2A'!$D$154+'3.CT2A'!$D$259</f>
        <v>0</v>
      </c>
      <c r="J45" s="797">
        <f si="0" t="shared"/>
        <v>0</v>
      </c>
    </row>
    <row customHeight="1" ht="22.5" r="46" spans="1:10">
      <c r="A46" s="803"/>
      <c r="B46" s="888" t="s">
        <v>2775</v>
      </c>
      <c r="C46" s="799" t="s">
        <v>49</v>
      </c>
      <c r="D46" s="804" t="s">
        <v>2501</v>
      </c>
      <c r="E46" s="805">
        <f>+'3.CT2A'!$C$274</f>
        <v>0</v>
      </c>
      <c r="F46" s="1500" t="s">
        <v>2776</v>
      </c>
      <c r="G46" s="799" t="s">
        <v>49</v>
      </c>
      <c r="H46" s="804" t="s">
        <v>2777</v>
      </c>
      <c r="I46" s="806">
        <f>+'3.CT2A'!$C$8-'3.CT2A'!$C$153</f>
        <v>0</v>
      </c>
      <c r="J46" s="797">
        <f si="0" t="shared"/>
        <v>0</v>
      </c>
    </row>
    <row customHeight="1" ht="22.5" r="47" spans="1:10">
      <c r="A47" s="803"/>
      <c r="C47" s="799" t="s">
        <v>50</v>
      </c>
      <c r="D47" s="804"/>
      <c r="E47" s="805">
        <f>+'3.CT2A'!$D$274</f>
        <v>0</v>
      </c>
      <c r="G47" s="799" t="s">
        <v>50</v>
      </c>
      <c r="H47" s="804"/>
      <c r="I47" s="806">
        <f>+'3.CT2A'!$D$8-'3.CT2A'!$D$153</f>
        <v>0</v>
      </c>
      <c r="J47" s="797">
        <f si="0" t="shared"/>
        <v>0</v>
      </c>
    </row>
    <row customHeight="1" ht="22.5" r="48" spans="1:10">
      <c r="A48" s="803"/>
      <c r="B48" s="888" t="s">
        <v>2778</v>
      </c>
      <c r="C48" s="799" t="s">
        <v>49</v>
      </c>
      <c r="D48" s="804" t="s">
        <v>2742</v>
      </c>
      <c r="E48" s="805">
        <f>+'3.CT2A'!$C$293</f>
        <v>0</v>
      </c>
      <c r="F48" s="1500" t="s">
        <v>2779</v>
      </c>
      <c r="G48" s="799" t="s">
        <v>49</v>
      </c>
      <c r="H48" s="804" t="s">
        <v>2780</v>
      </c>
      <c r="I48" s="806">
        <f>+'3.CT2A'!$C$275-'3.CT2A'!$C$282</f>
        <v>0</v>
      </c>
      <c r="J48" s="797">
        <f si="0" t="shared"/>
        <v>0</v>
      </c>
    </row>
    <row customHeight="1" ht="22.5" r="49" spans="1:10">
      <c r="A49" s="803"/>
      <c r="C49" s="799" t="s">
        <v>50</v>
      </c>
      <c r="D49" s="804"/>
      <c r="E49" s="805">
        <f>+'3.CT2A'!$D$293</f>
        <v>0</v>
      </c>
      <c r="G49" s="799" t="s">
        <v>50</v>
      </c>
      <c r="H49" s="804"/>
      <c r="I49" s="806">
        <f>+'3.CT2A'!$D$275-'3.CT2A'!$D$282</f>
        <v>0</v>
      </c>
      <c r="J49" s="797">
        <f si="0" t="shared"/>
        <v>0</v>
      </c>
    </row>
    <row customHeight="1" ht="22.5" r="50" spans="1:10">
      <c r="A50" s="803"/>
      <c r="B50" s="888" t="s">
        <v>2781</v>
      </c>
      <c r="C50" s="799" t="s">
        <v>49</v>
      </c>
      <c r="D50" s="804" t="s">
        <v>2762</v>
      </c>
      <c r="E50" s="805">
        <f>+'3.CT2A'!$C$294</f>
        <v>0</v>
      </c>
      <c r="F50" s="1500" t="s">
        <v>2782</v>
      </c>
      <c r="G50" s="799" t="s">
        <v>49</v>
      </c>
      <c r="H50" s="804" t="s">
        <v>2783</v>
      </c>
      <c r="I50" s="806">
        <f>+'3.CT2A'!$C$274+'3.CT2A'!$C$293</f>
        <v>0</v>
      </c>
      <c r="J50" s="797">
        <f si="0" t="shared"/>
        <v>0</v>
      </c>
    </row>
    <row customHeight="1" ht="22.5" r="51" spans="1:10">
      <c r="A51" s="803"/>
      <c r="C51" s="799" t="s">
        <v>50</v>
      </c>
      <c r="D51" s="804"/>
      <c r="E51" s="805">
        <f>+'3.CT2A'!$D$294</f>
        <v>0</v>
      </c>
      <c r="G51" s="799" t="s">
        <v>50</v>
      </c>
      <c r="H51" s="804"/>
      <c r="I51" s="806">
        <f>+'3.CT2A'!$D$274+'3.CT2A'!$D$293</f>
        <v>0</v>
      </c>
      <c r="J51" s="797">
        <f si="0" t="shared"/>
        <v>0</v>
      </c>
    </row>
    <row customHeight="1" ht="22.5" r="52" spans="1:10">
      <c r="A52" s="803"/>
      <c r="B52" s="888" t="s">
        <v>2784</v>
      </c>
      <c r="C52" s="799" t="s">
        <v>49</v>
      </c>
      <c r="D52" s="804" t="s">
        <v>2785</v>
      </c>
      <c r="E52" s="805">
        <f>+'3.CT2A'!$C$83</f>
        <v>0</v>
      </c>
      <c r="F52" s="1500" t="s">
        <v>2786</v>
      </c>
      <c r="G52" s="799" t="s">
        <v>49</v>
      </c>
      <c r="H52" s="804" t="s">
        <v>2787</v>
      </c>
      <c r="I52" s="806">
        <f>+'3.CT2A'!$C$84+'3.CT2A'!$C$102+'3.CT2A'!$C$105+'3.CT2A'!$C$108+'3.CT2A'!$C$113</f>
        <v>0</v>
      </c>
      <c r="J52" s="797">
        <f si="0" t="shared"/>
        <v>0</v>
      </c>
    </row>
    <row customHeight="1" ht="22.5" r="53" spans="1:10">
      <c r="A53" s="803"/>
      <c r="C53" s="799" t="s">
        <v>50</v>
      </c>
      <c r="D53" s="804"/>
      <c r="E53" s="805">
        <f>+'3.CT2A'!$D$83</f>
        <v>0</v>
      </c>
      <c r="G53" s="799" t="s">
        <v>50</v>
      </c>
      <c r="H53" s="804"/>
      <c r="I53" s="806">
        <f>+'3.CT2A'!$D$84+'3.CT2A'!$D$102+'3.CT2A'!$D$105+'3.CT2A'!$D$108+'3.CT2A'!$D$113</f>
        <v>0</v>
      </c>
      <c r="J53" s="797">
        <f si="0" t="shared"/>
        <v>0</v>
      </c>
    </row>
    <row customHeight="1" ht="22.5" r="54" spans="1:10">
      <c r="A54" s="803"/>
      <c r="B54" s="888" t="s">
        <v>2788</v>
      </c>
      <c r="C54" s="799" t="s">
        <v>49</v>
      </c>
      <c r="D54" s="804" t="s">
        <v>2789</v>
      </c>
      <c r="E54" s="805">
        <f>+'3.CT2A'!$C$88</f>
        <v>0</v>
      </c>
      <c r="F54" s="1500" t="s">
        <v>2790</v>
      </c>
      <c r="G54" s="799" t="s">
        <v>49</v>
      </c>
      <c r="H54" s="804" t="s">
        <v>2791</v>
      </c>
      <c r="I54" s="806">
        <f>+'3.CT2A'!$C$89+'3.CT2A'!$C$90+'3.CT2A'!$C$91+'3.CT2A'!$C$92+'3.CT2A'!$C$93</f>
        <v>0</v>
      </c>
      <c r="J54" s="797">
        <f si="0" t="shared"/>
        <v>0</v>
      </c>
    </row>
    <row customHeight="1" ht="22.5" r="55" spans="1:10">
      <c r="A55" s="803"/>
      <c r="C55" s="799" t="s">
        <v>50</v>
      </c>
      <c r="D55" s="804"/>
      <c r="E55" s="805">
        <f>+'3.CT2A'!$D$88</f>
        <v>0</v>
      </c>
      <c r="G55" s="799" t="s">
        <v>50</v>
      </c>
      <c r="H55" s="804"/>
      <c r="I55" s="806">
        <f>+'3.CT2A'!$D$89+'3.CT2A'!$D$90+'3.CT2A'!$D$91+'3.CT2A'!$D$92+'3.CT2A'!$D$93</f>
        <v>0</v>
      </c>
      <c r="J55" s="797">
        <f si="0" t="shared"/>
        <v>0</v>
      </c>
    </row>
    <row customHeight="1" ht="22.5" r="56" spans="1:10">
      <c r="A56" s="803"/>
      <c r="B56" s="888" t="s">
        <v>2792</v>
      </c>
      <c r="C56" s="799" t="s">
        <v>49</v>
      </c>
      <c r="D56" s="804" t="s">
        <v>2793</v>
      </c>
      <c r="E56" s="805">
        <f>+'3.CT2A'!$C$117</f>
        <v>0</v>
      </c>
      <c r="F56" s="1500" t="s">
        <v>2794</v>
      </c>
      <c r="G56" s="799" t="s">
        <v>49</v>
      </c>
      <c r="H56" s="804" t="s">
        <v>2795</v>
      </c>
      <c r="I56" s="806">
        <f>+'3.CT2A'!$C$118+'3.CT2A'!$C$128+'3.CT2A'!$C$135+'3.CT2A'!$C$143+'3.CT2A'!$C$149</f>
        <v>0</v>
      </c>
      <c r="J56" s="797">
        <f si="0" t="shared"/>
        <v>0</v>
      </c>
    </row>
    <row customHeight="1" ht="22.5" r="57" spans="1:10">
      <c r="A57" s="803"/>
      <c r="C57" s="799" t="s">
        <v>50</v>
      </c>
      <c r="D57" s="804"/>
      <c r="E57" s="805">
        <f>+'3.CT2A'!$D$117</f>
        <v>0</v>
      </c>
      <c r="G57" s="799" t="s">
        <v>50</v>
      </c>
      <c r="H57" s="804"/>
      <c r="I57" s="806">
        <f>+'3.CT2A'!$D$118+'3.CT2A'!$D$128+'3.CT2A'!$D$135+'3.CT2A'!$D$143+'3.CT2A'!$D$149</f>
        <v>0</v>
      </c>
      <c r="J57" s="797">
        <f si="0" t="shared"/>
        <v>0</v>
      </c>
    </row>
    <row customHeight="1" ht="22.5" r="58" spans="1:10">
      <c r="A58" s="803"/>
      <c r="B58" s="888" t="s">
        <v>93</v>
      </c>
      <c r="C58" s="799" t="s">
        <v>49</v>
      </c>
      <c r="D58" s="804" t="s">
        <v>329</v>
      </c>
      <c r="E58" s="805">
        <f>+'3.CT2A'!$C$154</f>
        <v>0</v>
      </c>
      <c r="F58" s="1500" t="s">
        <v>2796</v>
      </c>
      <c r="G58" s="799" t="s">
        <v>49</v>
      </c>
      <c r="H58" s="804" t="s">
        <v>2797</v>
      </c>
      <c r="I58" s="806">
        <f>+'3.CT2A'!$C$155+'3.CT2A'!$C$220+'3.CT2A'!$C$225+'3.CT2A'!$C$230</f>
        <v>0</v>
      </c>
      <c r="J58" s="797">
        <f si="0" t="shared"/>
        <v>0</v>
      </c>
    </row>
    <row customHeight="1" ht="22.5" r="59" spans="1:10">
      <c r="A59" s="803"/>
      <c r="C59" s="799" t="s">
        <v>50</v>
      </c>
      <c r="D59" s="804"/>
      <c r="E59" s="805">
        <f>+'3.CT2A'!$D$154</f>
        <v>0</v>
      </c>
      <c r="G59" s="799" t="s">
        <v>50</v>
      </c>
      <c r="H59" s="804"/>
      <c r="I59" s="806">
        <f>+'3.CT2A'!$D$155+'3.CT2A'!$D$220+'3.CT2A'!$D$225+'3.CT2A'!$D$230</f>
        <v>0</v>
      </c>
      <c r="J59" s="797">
        <f si="0" t="shared"/>
        <v>0</v>
      </c>
    </row>
    <row customHeight="1" ht="78" r="60" spans="1:10">
      <c r="A60" s="803"/>
      <c r="B60" s="888" t="s">
        <v>2798</v>
      </c>
      <c r="C60" s="799" t="s">
        <v>49</v>
      </c>
      <c r="D60" s="804" t="s">
        <v>331</v>
      </c>
      <c r="E60" s="805">
        <f>+'3.CT2A'!$C$155</f>
        <v>0</v>
      </c>
      <c r="F60" s="1500" t="s">
        <v>2799</v>
      </c>
      <c r="G60" s="799" t="s">
        <v>49</v>
      </c>
      <c r="H60" s="804" t="s">
        <v>2800</v>
      </c>
      <c r="I60" s="806">
        <f>+'3.CT2A'!$C$156+'3.CT2A'!$C$163+'3.CT2A'!$C$170+'3.CT2A'!$C$176+'3.CT2A'!$C$187+'3.CT2A'!$C$191+'3.CT2A'!$C$196+'3.CT2A'!$C$200+'3.CT2A'!$C$215</f>
        <v>0</v>
      </c>
      <c r="J60" s="797">
        <f si="0" t="shared"/>
        <v>0</v>
      </c>
    </row>
    <row customHeight="1" ht="22.5" r="61" spans="1:10">
      <c r="A61" s="803"/>
      <c r="C61" s="799" t="s">
        <v>50</v>
      </c>
      <c r="D61" s="804"/>
      <c r="E61" s="805">
        <f>+'3.CT2A'!$D$155</f>
        <v>0</v>
      </c>
      <c r="G61" s="799" t="s">
        <v>50</v>
      </c>
      <c r="H61" s="804"/>
      <c r="I61" s="806">
        <f>+'3.CT2A'!$D$156+'3.CT2A'!$D$163+'3.CT2A'!$D$170+'3.CT2A'!$D$176+'3.CT2A'!$D$187+'3.CT2A'!$D$191+'3.CT2A'!$D$196+'3.CT2A'!$D$200+'3.CT2A'!$D$215</f>
        <v>0</v>
      </c>
      <c r="J61" s="797">
        <f si="0" t="shared"/>
        <v>0</v>
      </c>
    </row>
    <row customHeight="1" ht="61.5" r="62" spans="1:10">
      <c r="A62" s="803"/>
      <c r="B62" s="888" t="s">
        <v>94</v>
      </c>
      <c r="C62" s="799" t="s">
        <v>49</v>
      </c>
      <c r="D62" s="804" t="s">
        <v>431</v>
      </c>
      <c r="E62" s="805">
        <f>+'3.CT2A'!$C$259</f>
        <v>0</v>
      </c>
      <c r="F62" s="1500" t="s">
        <v>2801</v>
      </c>
      <c r="G62" s="799" t="s">
        <v>49</v>
      </c>
      <c r="H62" s="804" t="s">
        <v>2802</v>
      </c>
      <c r="I62" s="806">
        <f>+'3.CT2A'!$C$260+'3.CT2A'!$C$272</f>
        <v>0</v>
      </c>
      <c r="J62" s="797">
        <f si="0" t="shared"/>
        <v>0</v>
      </c>
    </row>
    <row customHeight="1" ht="22.5" r="63" spans="1:10">
      <c r="A63" s="803"/>
      <c r="C63" s="799" t="s">
        <v>50</v>
      </c>
      <c r="D63" s="804"/>
      <c r="E63" s="805">
        <f>+'3.CT2A'!$D$259</f>
        <v>0</v>
      </c>
      <c r="G63" s="799" t="s">
        <v>50</v>
      </c>
      <c r="H63" s="804"/>
      <c r="I63" s="806">
        <f>+'3.CT2A'!$D$260+'3.CT2A'!$D$272</f>
        <v>0</v>
      </c>
      <c r="J63" s="797">
        <f si="0" t="shared"/>
        <v>0</v>
      </c>
    </row>
    <row customHeight="1" ht="53.25" r="64" spans="1:10">
      <c r="A64" s="803"/>
      <c r="B64" s="888" t="s">
        <v>2803</v>
      </c>
      <c r="C64" s="799" t="s">
        <v>49</v>
      </c>
      <c r="D64" s="804" t="s">
        <v>382</v>
      </c>
      <c r="E64" s="805">
        <f>+'3.CT2A'!$C$220</f>
        <v>0</v>
      </c>
      <c r="F64" s="1500" t="s">
        <v>2804</v>
      </c>
      <c r="G64" s="799" t="s">
        <v>49</v>
      </c>
      <c r="H64" s="804" t="s">
        <v>2805</v>
      </c>
      <c r="I64" s="806">
        <f>+'3.CT2A'!$C$221+'3.CT2A'!$C$223</f>
        <v>0</v>
      </c>
      <c r="J64" s="797">
        <f si="0" t="shared"/>
        <v>0</v>
      </c>
    </row>
    <row customHeight="1" ht="43.5" r="65" spans="1:10">
      <c r="A65" s="803"/>
      <c r="C65" s="799" t="s">
        <v>50</v>
      </c>
      <c r="D65" s="804"/>
      <c r="E65" s="805">
        <f>+'3.CT2A'!$D$220</f>
        <v>0</v>
      </c>
      <c r="G65" s="799" t="s">
        <v>50</v>
      </c>
      <c r="H65" s="804"/>
      <c r="I65" s="806">
        <f>+'3.CT2A'!$D$221+'3.CT2A'!$D$223</f>
        <v>0</v>
      </c>
      <c r="J65" s="797">
        <f si="0" t="shared"/>
        <v>0</v>
      </c>
    </row>
    <row customHeight="1" ht="48" r="66" spans="1:10">
      <c r="A66" s="803"/>
      <c r="B66" s="888" t="s">
        <v>2806</v>
      </c>
      <c r="C66" s="799" t="s">
        <v>49</v>
      </c>
      <c r="D66" s="804">
        <v>212</v>
      </c>
      <c r="E66" s="805">
        <f>+'3.CT2A'!$C$225</f>
        <v>0</v>
      </c>
      <c r="F66" s="1500" t="s">
        <v>2807</v>
      </c>
      <c r="G66" s="799" t="s">
        <v>49</v>
      </c>
      <c r="H66" s="804" t="s">
        <v>2808</v>
      </c>
      <c r="I66" s="806">
        <f>+'3.CT2A'!$C$226+'3.CT2A'!$C$228</f>
        <v>0</v>
      </c>
      <c r="J66" s="797">
        <f si="0" t="shared"/>
        <v>0</v>
      </c>
    </row>
    <row customHeight="1" ht="22.5" r="67" spans="1:10">
      <c r="A67" s="803"/>
      <c r="C67" s="799" t="s">
        <v>50</v>
      </c>
      <c r="D67" s="804"/>
      <c r="E67" s="805">
        <f>+'3.CT2A'!$D$225</f>
        <v>0</v>
      </c>
      <c r="G67" s="799" t="s">
        <v>50</v>
      </c>
      <c r="H67" s="804"/>
      <c r="I67" s="806">
        <f>+'3.CT2A'!$D$226+'3.CT2A'!$D$228</f>
        <v>0</v>
      </c>
      <c r="J67" s="797">
        <f si="0" t="shared"/>
        <v>0</v>
      </c>
    </row>
    <row customHeight="1" ht="46.5" r="68" spans="1:10">
      <c r="A68" s="803"/>
      <c r="B68" s="888" t="s">
        <v>2809</v>
      </c>
      <c r="C68" s="799" t="s">
        <v>49</v>
      </c>
      <c r="D68" s="804" t="s">
        <v>402</v>
      </c>
      <c r="E68" s="805">
        <f>+'3.CT2A'!$C$230</f>
        <v>0</v>
      </c>
      <c r="F68" s="1500" t="s">
        <v>2810</v>
      </c>
      <c r="G68" s="799" t="s">
        <v>49</v>
      </c>
      <c r="H68" s="804" t="s">
        <v>2811</v>
      </c>
      <c r="I68" s="806">
        <f>+'3.CT2A'!$C$231+'3.CT2A'!$C$234+'3.CT2A'!$C$243+'3.CT2A'!$C$248+'3.CT2A'!$C$253</f>
        <v>0</v>
      </c>
      <c r="J68" s="797">
        <f si="0" t="shared"/>
        <v>0</v>
      </c>
    </row>
    <row customHeight="1" ht="22.5" r="69" spans="1:10">
      <c r="A69" s="803"/>
      <c r="C69" s="799" t="s">
        <v>50</v>
      </c>
      <c r="D69" s="804"/>
      <c r="E69" s="805">
        <f>+'3.CT2A'!$D$230</f>
        <v>0</v>
      </c>
      <c r="G69" s="799" t="s">
        <v>50</v>
      </c>
      <c r="H69" s="804"/>
      <c r="I69" s="806">
        <f>+'3.CT2A'!$D$231+'3.CT2A'!$D$234+'3.CT2A'!$D$243+'3.CT2A'!$D$248+'3.CT2A'!$D$253</f>
        <v>0</v>
      </c>
      <c r="J69" s="797">
        <f ref="J69:J132" si="1" t="shared">+E69-I69</f>
        <v>0</v>
      </c>
    </row>
    <row customHeight="1" ht="22.5" r="70" spans="1:10">
      <c r="A70" s="807" t="s">
        <v>2812</v>
      </c>
      <c r="B70" s="889"/>
      <c r="C70" s="808"/>
      <c r="D70" s="808"/>
      <c r="E70" s="808"/>
      <c r="F70" s="1501"/>
      <c r="G70" s="808"/>
      <c r="H70" s="808"/>
      <c r="I70" s="809"/>
      <c r="J70" s="810"/>
    </row>
    <row customHeight="1" ht="45.75" r="71" spans="1:10">
      <c r="A71" s="803"/>
      <c r="B71" s="888" t="s">
        <v>2792</v>
      </c>
      <c r="C71" s="799" t="s">
        <v>49</v>
      </c>
      <c r="D71" s="804" t="s">
        <v>2793</v>
      </c>
      <c r="E71" s="805">
        <f>+'4.CT3A'!$C$116</f>
        <v>0</v>
      </c>
      <c r="F71" s="1500" t="s">
        <v>2813</v>
      </c>
      <c r="G71" s="799" t="s">
        <v>49</v>
      </c>
      <c r="H71" s="804" t="s">
        <v>2795</v>
      </c>
      <c r="I71" s="806">
        <f>+'4.CT3A'!$C$117+'4.CT3A'!$C$127+'4.CT3A'!$C$134+'4.CT3A'!$C$142+'4.CT3A'!$C$148</f>
        <v>0</v>
      </c>
      <c r="J71" s="797">
        <f si="1" t="shared"/>
        <v>0</v>
      </c>
    </row>
    <row customHeight="1" ht="22.5" r="72" spans="1:10">
      <c r="A72" s="803"/>
      <c r="C72" s="799" t="s">
        <v>50</v>
      </c>
      <c r="D72" s="804"/>
      <c r="E72" s="805">
        <f>+'4.CT3A'!$D$116</f>
        <v>0</v>
      </c>
      <c r="G72" s="799" t="s">
        <v>50</v>
      </c>
      <c r="H72" s="804"/>
      <c r="I72" s="806">
        <f>+'4.CT3A'!$D$117+'4.CT3A'!$D$127+'4.CT3A'!$D$134+'4.CT3A'!$D$142+'4.CT3A'!$D$148</f>
        <v>0</v>
      </c>
      <c r="J72" s="797">
        <f si="1" t="shared"/>
        <v>0</v>
      </c>
    </row>
    <row customHeight="1" ht="22.5" r="73" spans="1:10">
      <c r="A73" s="803"/>
      <c r="B73" s="888" t="s">
        <v>2814</v>
      </c>
      <c r="C73" s="799" t="s">
        <v>49</v>
      </c>
      <c r="D73" s="804" t="s">
        <v>2777</v>
      </c>
      <c r="E73" s="805">
        <f>+'4.CT3A'!$C$9-'4.CT3A'!$C$152</f>
        <v>0</v>
      </c>
      <c r="F73" s="1500" t="s">
        <v>2815</v>
      </c>
      <c r="G73" s="799" t="s">
        <v>49</v>
      </c>
      <c r="H73" s="804" t="s">
        <v>2501</v>
      </c>
      <c r="I73" s="806">
        <f>+'4.CT3A'!$C$255</f>
        <v>0</v>
      </c>
      <c r="J73" s="797">
        <f si="1" t="shared"/>
        <v>0</v>
      </c>
    </row>
    <row customHeight="1" ht="22.5" r="74" spans="1:10">
      <c r="A74" s="803"/>
      <c r="C74" s="799" t="s">
        <v>50</v>
      </c>
      <c r="D74" s="804"/>
      <c r="E74" s="805">
        <f>+'4.CT3A'!$D$9-'4.CT3A'!$D$152</f>
        <v>0</v>
      </c>
      <c r="G74" s="799" t="s">
        <v>50</v>
      </c>
      <c r="H74" s="804"/>
      <c r="I74" s="806">
        <f>+'4.CT3A'!$D$255</f>
        <v>0</v>
      </c>
      <c r="J74" s="797">
        <f si="1" t="shared"/>
        <v>0</v>
      </c>
    </row>
    <row customHeight="1" ht="22.5" r="75" spans="1:10">
      <c r="A75" s="803"/>
      <c r="B75" s="888" t="s">
        <v>2816</v>
      </c>
      <c r="C75" s="799" t="s">
        <v>49</v>
      </c>
      <c r="D75" s="804" t="s">
        <v>2817</v>
      </c>
      <c r="E75" s="805">
        <f>+'4.CT3A'!$C$255+'4.CT3A'!$C$282+'4.CT3A'!$C$305</f>
        <v>0</v>
      </c>
      <c r="F75" s="1500" t="s">
        <v>2818</v>
      </c>
      <c r="G75" s="799" t="s">
        <v>49</v>
      </c>
      <c r="H75" s="804" t="s">
        <v>2819</v>
      </c>
      <c r="I75" s="806">
        <f>+'4.CT3A'!$C$306</f>
        <v>0</v>
      </c>
      <c r="J75" s="797">
        <f si="1" t="shared"/>
        <v>0</v>
      </c>
    </row>
    <row customHeight="1" ht="22.5" r="76" spans="1:10">
      <c r="A76" s="803"/>
      <c r="C76" s="799" t="s">
        <v>50</v>
      </c>
      <c r="D76" s="804"/>
      <c r="E76" s="805">
        <f>+'4.CT3A'!$D$255+'4.CT3A'!$D$282+'4.CT3A'!$D$305</f>
        <v>0</v>
      </c>
      <c r="G76" s="799" t="s">
        <v>50</v>
      </c>
      <c r="H76" s="804"/>
      <c r="I76" s="806">
        <f>+'4.CT3A'!$D$306</f>
        <v>0</v>
      </c>
      <c r="J76" s="797">
        <f si="1" t="shared"/>
        <v>0</v>
      </c>
    </row>
    <row customHeight="1" ht="22.5" r="77" spans="1:10">
      <c r="A77" s="803"/>
      <c r="B77" s="888" t="s">
        <v>2820</v>
      </c>
      <c r="C77" s="799" t="s">
        <v>49</v>
      </c>
      <c r="D77" s="804" t="s">
        <v>2821</v>
      </c>
      <c r="E77" s="805">
        <f>+'4.CT3A'!$C$308-'4.CT3A'!$C$307</f>
        <v>0</v>
      </c>
      <c r="F77" s="1500" t="s">
        <v>2818</v>
      </c>
      <c r="G77" s="799" t="s">
        <v>49</v>
      </c>
      <c r="H77" s="804" t="s">
        <v>2819</v>
      </c>
      <c r="I77" s="806">
        <f>+'4.CT3A'!$C$306</f>
        <v>0</v>
      </c>
      <c r="J77" s="797">
        <f si="1" t="shared"/>
        <v>0</v>
      </c>
    </row>
    <row customHeight="1" ht="22.5" r="78" spans="1:10">
      <c r="A78" s="803"/>
      <c r="C78" s="799" t="s">
        <v>50</v>
      </c>
      <c r="D78" s="804"/>
      <c r="E78" s="805">
        <f>+'4.CT3A'!$D$308-'4.CT3A'!$D$307</f>
        <v>0</v>
      </c>
      <c r="G78" s="799" t="s">
        <v>50</v>
      </c>
      <c r="H78" s="804"/>
      <c r="I78" s="806">
        <f>+'4.CT3A'!$D$306</f>
        <v>0</v>
      </c>
      <c r="J78" s="797">
        <f si="1" t="shared"/>
        <v>0</v>
      </c>
    </row>
    <row customHeight="1" ht="22.5" r="79" spans="1:10">
      <c r="A79" s="803"/>
      <c r="B79" s="888" t="s">
        <v>2822</v>
      </c>
      <c r="C79" s="799" t="s">
        <v>49</v>
      </c>
      <c r="D79" s="804" t="s">
        <v>2823</v>
      </c>
      <c r="E79" s="805">
        <f>+'4.CT3A'!$C$284-'4.CT3A'!$C$291-'4.CT3A'!$C$295-'4.CT3A'!$C$299</f>
        <v>0</v>
      </c>
      <c r="F79" s="1500" t="s">
        <v>2824</v>
      </c>
      <c r="G79" s="799" t="s">
        <v>49</v>
      </c>
      <c r="H79" s="804" t="s">
        <v>2825</v>
      </c>
      <c r="I79" s="806">
        <f>+'4.CT3A'!$C$305</f>
        <v>0</v>
      </c>
      <c r="J79" s="797">
        <f si="1" t="shared"/>
        <v>0</v>
      </c>
    </row>
    <row customHeight="1" ht="22.5" r="80" spans="1:10">
      <c r="A80" s="803"/>
      <c r="C80" s="799" t="s">
        <v>50</v>
      </c>
      <c r="D80" s="804"/>
      <c r="E80" s="805">
        <f>+'4.CT3A'!$D$284-'4.CT3A'!$D$291-'4.CT3A'!$D$295-'4.CT3A'!$D$299</f>
        <v>0</v>
      </c>
      <c r="G80" s="799" t="s">
        <v>50</v>
      </c>
      <c r="H80" s="804"/>
      <c r="I80" s="806">
        <f>+'4.CT3A'!$D$305</f>
        <v>0</v>
      </c>
      <c r="J80" s="797">
        <f si="1" t="shared"/>
        <v>0</v>
      </c>
    </row>
    <row customHeight="1" ht="22.5" r="81" spans="1:10">
      <c r="A81" s="803"/>
      <c r="B81" s="888" t="s">
        <v>2826</v>
      </c>
      <c r="C81" s="799" t="s">
        <v>49</v>
      </c>
      <c r="D81" s="804" t="s">
        <v>2827</v>
      </c>
      <c r="E81" s="805">
        <f>+'4.CT3A'!$C$257-'4.CT3A'!$C$266</f>
        <v>0</v>
      </c>
      <c r="F81" s="1500" t="s">
        <v>2828</v>
      </c>
      <c r="G81" s="799" t="s">
        <v>49</v>
      </c>
      <c r="H81" s="804" t="s">
        <v>2712</v>
      </c>
      <c r="I81" s="806">
        <f>+'4.CT3A'!$C$282</f>
        <v>0</v>
      </c>
      <c r="J81" s="797">
        <f si="1" t="shared"/>
        <v>0</v>
      </c>
    </row>
    <row customHeight="1" ht="22.5" r="82" spans="1:10">
      <c r="A82" s="803"/>
      <c r="C82" s="799" t="s">
        <v>50</v>
      </c>
      <c r="D82" s="804"/>
      <c r="E82" s="805">
        <f>+'4.CT3A'!$D$257-'4.CT3A'!$D$266</f>
        <v>0</v>
      </c>
      <c r="G82" s="799" t="s">
        <v>50</v>
      </c>
      <c r="H82" s="804"/>
      <c r="I82" s="806">
        <f>+'4.CT3A'!$D$282</f>
        <v>0</v>
      </c>
      <c r="J82" s="797">
        <f si="1" t="shared"/>
        <v>0</v>
      </c>
    </row>
    <row customHeight="1" ht="22.5" r="83" spans="1:10">
      <c r="A83" s="803"/>
      <c r="B83" s="888" t="s">
        <v>94</v>
      </c>
      <c r="C83" s="799" t="s">
        <v>49</v>
      </c>
      <c r="D83" s="804" t="s">
        <v>431</v>
      </c>
      <c r="E83" s="805">
        <f>+'4.CT3A'!$C$267</f>
        <v>0</v>
      </c>
      <c r="F83" s="1500" t="s">
        <v>2829</v>
      </c>
      <c r="G83" s="799" t="s">
        <v>49</v>
      </c>
      <c r="H83" s="804" t="s">
        <v>2802</v>
      </c>
      <c r="I83" s="806">
        <f>+'4.CT3A'!$C$268+'4.CT3A'!$C$280</f>
        <v>0</v>
      </c>
      <c r="J83" s="797">
        <f si="1" t="shared"/>
        <v>0</v>
      </c>
    </row>
    <row customHeight="1" ht="22.5" r="84" spans="1:10">
      <c r="A84" s="803"/>
      <c r="C84" s="799" t="s">
        <v>50</v>
      </c>
      <c r="D84" s="804"/>
      <c r="E84" s="805">
        <f>+'4.CT3A'!$D$267</f>
        <v>0</v>
      </c>
      <c r="G84" s="799" t="s">
        <v>50</v>
      </c>
      <c r="H84" s="804"/>
      <c r="I84" s="806">
        <f>+'4.CT3A'!$D$268+'4.CT3A'!$D$280</f>
        <v>0</v>
      </c>
      <c r="J84" s="797">
        <f si="1" t="shared"/>
        <v>0</v>
      </c>
    </row>
    <row customHeight="1" ht="22.5" r="85" spans="1:10">
      <c r="A85" s="803"/>
      <c r="B85" s="888" t="s">
        <v>2809</v>
      </c>
      <c r="C85" s="799" t="s">
        <v>49</v>
      </c>
      <c r="D85" s="804" t="s">
        <v>402</v>
      </c>
      <c r="E85" s="805">
        <f>+'4.CT3A'!$C$226</f>
        <v>0</v>
      </c>
      <c r="F85" s="1500" t="s">
        <v>2830</v>
      </c>
      <c r="G85" s="799" t="s">
        <v>49</v>
      </c>
      <c r="H85" s="804" t="s">
        <v>2811</v>
      </c>
      <c r="I85" s="806">
        <f>+'4.CT3A'!$C$227+'4.CT3A'!$C$230+'4.CT3A'!$C$239+'4.CT3A'!$C$244+'4.CT3A'!$C$249</f>
        <v>0</v>
      </c>
      <c r="J85" s="797">
        <f si="1" t="shared"/>
        <v>0</v>
      </c>
    </row>
    <row customHeight="1" ht="22.5" r="86" spans="1:10">
      <c r="A86" s="803"/>
      <c r="C86" s="799" t="s">
        <v>50</v>
      </c>
      <c r="D86" s="804"/>
      <c r="E86" s="805">
        <f>+'4.CT3A'!$D$226</f>
        <v>0</v>
      </c>
      <c r="G86" s="799" t="s">
        <v>50</v>
      </c>
      <c r="H86" s="804"/>
      <c r="I86" s="806">
        <f>+'4.CT3A'!$D$227+'4.CT3A'!$D$230+'4.CT3A'!$D$239+'4.CT3A'!$D$244+'4.CT3A'!$D$249</f>
        <v>0</v>
      </c>
      <c r="J86" s="797">
        <f si="1" t="shared"/>
        <v>0</v>
      </c>
    </row>
    <row customHeight="1" ht="22.5" r="87" spans="1:10">
      <c r="A87" s="803"/>
      <c r="B87" s="888" t="s">
        <v>2806</v>
      </c>
      <c r="C87" s="799" t="s">
        <v>49</v>
      </c>
      <c r="D87" s="804" t="s">
        <v>392</v>
      </c>
      <c r="E87" s="805">
        <f>+'4.CT3A'!$C$221</f>
        <v>0</v>
      </c>
      <c r="F87" s="1500" t="s">
        <v>2807</v>
      </c>
      <c r="G87" s="799" t="s">
        <v>49</v>
      </c>
      <c r="H87" s="804" t="s">
        <v>2808</v>
      </c>
      <c r="I87" s="806">
        <f>+'4.CT3A'!$C$222+'4.CT3A'!$C$224</f>
        <v>0</v>
      </c>
      <c r="J87" s="797">
        <f si="1" t="shared"/>
        <v>0</v>
      </c>
    </row>
    <row customHeight="1" ht="22.5" r="88" spans="1:10">
      <c r="A88" s="803"/>
      <c r="C88" s="799" t="s">
        <v>50</v>
      </c>
      <c r="D88" s="804"/>
      <c r="E88" s="805">
        <f>+'4.CT3A'!$D$221</f>
        <v>0</v>
      </c>
      <c r="G88" s="799" t="s">
        <v>50</v>
      </c>
      <c r="H88" s="804"/>
      <c r="I88" s="806">
        <f>+'4.CT3A'!$D$222+'4.CT3A'!$D$224</f>
        <v>0</v>
      </c>
      <c r="J88" s="797">
        <f si="1" t="shared"/>
        <v>0</v>
      </c>
    </row>
    <row customHeight="1" ht="22.5" r="89" spans="1:10">
      <c r="A89" s="803"/>
      <c r="B89" s="888" t="s">
        <v>2803</v>
      </c>
      <c r="C89" s="799" t="s">
        <v>49</v>
      </c>
      <c r="D89" s="804" t="s">
        <v>382</v>
      </c>
      <c r="E89" s="805">
        <f>+'4.CT3A'!$C$216</f>
        <v>0</v>
      </c>
      <c r="F89" s="1500" t="s">
        <v>2831</v>
      </c>
      <c r="G89" s="799" t="s">
        <v>49</v>
      </c>
      <c r="H89" s="804" t="s">
        <v>2805</v>
      </c>
      <c r="I89" s="806">
        <f>+'4.CT3A'!$C$217+'4.CT3A'!$C$219</f>
        <v>0</v>
      </c>
      <c r="J89" s="797">
        <f si="1" t="shared"/>
        <v>0</v>
      </c>
    </row>
    <row customHeight="1" ht="22.5" r="90" spans="1:10">
      <c r="A90" s="803"/>
      <c r="C90" s="799" t="s">
        <v>50</v>
      </c>
      <c r="D90" s="804"/>
      <c r="E90" s="805">
        <f>+'4.CT3A'!$D$216</f>
        <v>0</v>
      </c>
      <c r="G90" s="799" t="s">
        <v>50</v>
      </c>
      <c r="H90" s="804"/>
      <c r="I90" s="806">
        <f>+'4.CT3A'!$D$217+'4.CT3A'!$D$219</f>
        <v>0</v>
      </c>
      <c r="J90" s="797">
        <f si="1" t="shared"/>
        <v>0</v>
      </c>
    </row>
    <row customHeight="1" ht="22.5" r="91" spans="1:10">
      <c r="A91" s="803"/>
      <c r="B91" s="888" t="s">
        <v>2798</v>
      </c>
      <c r="C91" s="799" t="s">
        <v>49</v>
      </c>
      <c r="D91" s="804" t="s">
        <v>331</v>
      </c>
      <c r="E91" s="805">
        <f>+'4.CT3A'!$C$154</f>
        <v>0</v>
      </c>
      <c r="F91" s="1500" t="s">
        <v>2832</v>
      </c>
      <c r="G91" s="799" t="s">
        <v>49</v>
      </c>
      <c r="H91" s="804" t="s">
        <v>2800</v>
      </c>
      <c r="I91" s="806">
        <f>+'4.CT3A'!$C$155+'4.CT3A'!$C$162+'4.CT3A'!$C$169+'4.CT3A'!$C$175+'4.CT3A'!$C$186+'4.CT3A'!$C$190+'4.CT3A'!$C$195+'4.CT3A'!$C$199+'4.CT3A'!$C$213</f>
        <v>0</v>
      </c>
      <c r="J91" s="797">
        <f>+E91-I91</f>
        <v>0</v>
      </c>
    </row>
    <row customHeight="1" ht="22.5" r="92" spans="1:10">
      <c r="A92" s="803"/>
      <c r="C92" s="799" t="s">
        <v>50</v>
      </c>
      <c r="D92" s="804"/>
      <c r="E92" s="805">
        <f>+'4.CT3A'!$D$154</f>
        <v>0</v>
      </c>
      <c r="G92" s="799" t="s">
        <v>50</v>
      </c>
      <c r="H92" s="804"/>
      <c r="I92" s="806">
        <f>+'4.CT3A'!$D$155+'4.CT3A'!$D$162+'4.CT3A'!$D$169+'4.CT3A'!$D$175+'4.CT3A'!$D$186+'4.CT3A'!$D$190+'4.CT3A'!$D$195+'4.CT3A'!$D$199+'4.CT3A'!$D$213</f>
        <v>0</v>
      </c>
      <c r="J92" s="797">
        <f si="1" t="shared"/>
        <v>0</v>
      </c>
    </row>
    <row customHeight="1" ht="22.5" r="93" spans="1:10">
      <c r="A93" s="803"/>
      <c r="B93" s="888" t="s">
        <v>93</v>
      </c>
      <c r="C93" s="799" t="s">
        <v>49</v>
      </c>
      <c r="D93" s="804" t="s">
        <v>329</v>
      </c>
      <c r="E93" s="805">
        <f>+'4.CT3A'!$C$153</f>
        <v>0</v>
      </c>
      <c r="F93" s="1500" t="s">
        <v>2833</v>
      </c>
      <c r="G93" s="799" t="s">
        <v>49</v>
      </c>
      <c r="H93" s="804" t="s">
        <v>2797</v>
      </c>
      <c r="I93" s="806">
        <f>+'4.CT3A'!$C$154+'4.CT3A'!$C$216+'4.CT3A'!$C$221+'4.CT3A'!$C$226</f>
        <v>0</v>
      </c>
      <c r="J93" s="797">
        <f si="1" t="shared"/>
        <v>0</v>
      </c>
    </row>
    <row customHeight="1" ht="22.5" r="94" spans="1:10">
      <c r="A94" s="803"/>
      <c r="C94" s="799" t="s">
        <v>50</v>
      </c>
      <c r="D94" s="804"/>
      <c r="E94" s="805">
        <f>+'4.CT3A'!$D$153</f>
        <v>0</v>
      </c>
      <c r="G94" s="799" t="s">
        <v>50</v>
      </c>
      <c r="H94" s="804"/>
      <c r="I94" s="806">
        <f>+'4.CT3A'!$D$154+'4.CT3A'!$D$216+'4.CT3A'!$D$221+'4.CT3A'!$D$226</f>
        <v>0</v>
      </c>
      <c r="J94" s="797">
        <f si="1" t="shared"/>
        <v>0</v>
      </c>
    </row>
    <row customHeight="1" ht="22.5" r="95" spans="1:10">
      <c r="A95" s="803"/>
      <c r="B95" s="888" t="s">
        <v>2834</v>
      </c>
      <c r="C95" s="799" t="s">
        <v>49</v>
      </c>
      <c r="D95" s="804" t="s">
        <v>1236</v>
      </c>
      <c r="E95" s="805">
        <f>+'4.CT3A'!$C$9</f>
        <v>0</v>
      </c>
      <c r="F95" s="1500" t="s">
        <v>2835</v>
      </c>
      <c r="G95" s="799" t="s">
        <v>49</v>
      </c>
      <c r="H95" s="804" t="s">
        <v>2836</v>
      </c>
      <c r="I95" s="806">
        <f>+'4.CT3A'!$C$10+'4.CT3A'!$C$84+'4.CT3A'!$C$116</f>
        <v>0</v>
      </c>
      <c r="J95" s="797">
        <f si="1" t="shared"/>
        <v>0</v>
      </c>
    </row>
    <row customHeight="1" ht="22.5" r="96" spans="1:10">
      <c r="A96" s="803"/>
      <c r="C96" s="799" t="s">
        <v>50</v>
      </c>
      <c r="D96" s="804"/>
      <c r="E96" s="805">
        <f>+'4.CT3A'!$D$9</f>
        <v>0</v>
      </c>
      <c r="G96" s="799" t="s">
        <v>50</v>
      </c>
      <c r="H96" s="804"/>
      <c r="I96" s="806">
        <f>+'4.CT3A'!$D$10+'4.CT3A'!$D$84+'4.CT3A'!$D$116</f>
        <v>0</v>
      </c>
      <c r="J96" s="797">
        <f si="1" t="shared"/>
        <v>0</v>
      </c>
    </row>
    <row customHeight="1" ht="22.5" r="97" spans="1:10">
      <c r="A97" s="803"/>
      <c r="B97" s="888" t="s">
        <v>2837</v>
      </c>
      <c r="C97" s="799" t="s">
        <v>49</v>
      </c>
      <c r="D97" s="804" t="s">
        <v>2838</v>
      </c>
      <c r="E97" s="805">
        <f>+'4.CT3A'!$C$10</f>
        <v>0</v>
      </c>
      <c r="F97" s="1500" t="s">
        <v>2839</v>
      </c>
      <c r="G97" s="799" t="s">
        <v>49</v>
      </c>
      <c r="H97" s="804" t="s">
        <v>2840</v>
      </c>
      <c r="I97" s="806">
        <f>+'4.CT3A'!$C$11+'4.CT3A'!$C$29+'4.CT3A'!$C$35+'4.CT3A'!$C$40+'4.CT3A'!$C$44+'4.CT3A'!$C$53+'4.CT3A'!$C$55+'4.CT3A'!$C$58</f>
        <v>0</v>
      </c>
      <c r="J97" s="797">
        <f si="1" t="shared"/>
        <v>0</v>
      </c>
    </row>
    <row customHeight="1" ht="22.5" r="98" spans="1:10">
      <c r="A98" s="803"/>
      <c r="C98" s="799" t="s">
        <v>50</v>
      </c>
      <c r="D98" s="804"/>
      <c r="E98" s="805">
        <f>+'4.CT3A'!$D$10</f>
        <v>0</v>
      </c>
      <c r="G98" s="799" t="s">
        <v>50</v>
      </c>
      <c r="H98" s="804"/>
      <c r="I98" s="806">
        <f>+'4.CT3A'!$D$11+'4.CT3A'!$D$29+'4.CT3A'!$D$35+'4.CT3A'!$D$40+'4.CT3A'!$D$44+'4.CT3A'!$D$53+'4.CT3A'!$D$55+'4.CT3A'!$D$58</f>
        <v>0</v>
      </c>
      <c r="J98" s="797">
        <f si="1" t="shared"/>
        <v>0</v>
      </c>
    </row>
    <row customHeight="1" ht="22.5" r="99" spans="1:10">
      <c r="A99" s="803"/>
      <c r="B99" s="888" t="s">
        <v>2784</v>
      </c>
      <c r="C99" s="799" t="s">
        <v>49</v>
      </c>
      <c r="D99" s="804" t="s">
        <v>2785</v>
      </c>
      <c r="E99" s="805">
        <f>+'4.CT3A'!$C$84</f>
        <v>0</v>
      </c>
      <c r="F99" s="1500" t="s">
        <v>2841</v>
      </c>
      <c r="G99" s="799" t="s">
        <v>49</v>
      </c>
      <c r="H99" s="804" t="s">
        <v>2787</v>
      </c>
      <c r="I99" s="806">
        <f>+'4.CT3A'!$C$85+'4.CT3A'!$C$103+'4.CT3A'!$C$106+'4.CT3A'!$C$109+'4.CT3A'!$C$114</f>
        <v>0</v>
      </c>
      <c r="J99" s="797">
        <f si="1" t="shared"/>
        <v>0</v>
      </c>
    </row>
    <row customHeight="1" ht="22.5" r="100" spans="1:10">
      <c r="A100" s="803"/>
      <c r="C100" s="799" t="s">
        <v>50</v>
      </c>
      <c r="D100" s="804"/>
      <c r="E100" s="805">
        <f>+'4.CT3A'!$D$84</f>
        <v>0</v>
      </c>
      <c r="G100" s="799" t="s">
        <v>50</v>
      </c>
      <c r="H100" s="804"/>
      <c r="I100" s="806">
        <f>+'4.CT3A'!$D$85+'4.CT3A'!$D$103+'4.CT3A'!$D$106+'4.CT3A'!$D$109+'4.CT3A'!$D$114</f>
        <v>0</v>
      </c>
      <c r="J100" s="797">
        <f si="1" t="shared"/>
        <v>0</v>
      </c>
    </row>
    <row customHeight="1" ht="22.5" r="101" spans="1:10">
      <c r="A101" s="811" t="s">
        <v>2842</v>
      </c>
      <c r="B101" s="890"/>
      <c r="C101" s="811"/>
      <c r="D101" s="811"/>
      <c r="E101" s="811"/>
      <c r="F101" s="1502"/>
      <c r="G101" s="811"/>
      <c r="H101" s="811"/>
      <c r="I101" s="812"/>
      <c r="J101" s="812"/>
    </row>
    <row customHeight="1" ht="22.5" r="102" spans="1:10">
      <c r="A102" s="803"/>
      <c r="B102" s="888" t="s">
        <v>2843</v>
      </c>
      <c r="C102" s="799" t="s">
        <v>49</v>
      </c>
      <c r="D102" s="813" t="s">
        <v>2844</v>
      </c>
      <c r="E102" s="814">
        <f>+'2.CT1A'!$C$223</f>
        <v>0</v>
      </c>
      <c r="F102" s="1500" t="s">
        <v>2845</v>
      </c>
      <c r="G102" s="799" t="s">
        <v>49</v>
      </c>
      <c r="H102" s="813" t="s">
        <v>1224</v>
      </c>
      <c r="I102" s="815">
        <f>+'5.CT4A'!$C$16</f>
        <v>0</v>
      </c>
      <c r="J102" s="797">
        <f si="1" t="shared"/>
        <v>0</v>
      </c>
    </row>
    <row customHeight="1" ht="22.5" r="103" spans="1:10">
      <c r="A103" s="803"/>
      <c r="B103" s="888" t="s">
        <v>2843</v>
      </c>
      <c r="C103" s="799" t="s">
        <v>50</v>
      </c>
      <c r="D103" s="813" t="s">
        <v>2844</v>
      </c>
      <c r="E103" s="814">
        <f>+'2.CT1A'!$D$223</f>
        <v>0</v>
      </c>
      <c r="F103" s="1500" t="s">
        <v>2845</v>
      </c>
      <c r="G103" s="799" t="s">
        <v>50</v>
      </c>
      <c r="H103" s="813" t="s">
        <v>1232</v>
      </c>
      <c r="I103" s="815">
        <f>+'5.CT4A'!$C$24</f>
        <v>0</v>
      </c>
      <c r="J103" s="797">
        <f si="1" t="shared"/>
        <v>0</v>
      </c>
    </row>
    <row customHeight="1" ht="22.5" r="104" spans="1:10">
      <c r="A104" s="803"/>
      <c r="B104" s="888" t="s">
        <v>2846</v>
      </c>
      <c r="C104" s="799" t="s">
        <v>49</v>
      </c>
      <c r="D104" s="813" t="s">
        <v>122</v>
      </c>
      <c r="E104" s="814">
        <f>+'2.CT1A'!$C$9</f>
        <v>0</v>
      </c>
      <c r="F104" s="1500" t="s">
        <v>2847</v>
      </c>
      <c r="G104" s="799" t="s">
        <v>49</v>
      </c>
      <c r="H104" s="813" t="s">
        <v>2848</v>
      </c>
      <c r="I104" s="806">
        <f>+'4.CT3A'!$D$307</f>
        <v>0</v>
      </c>
      <c r="J104" s="797">
        <f si="1" t="shared"/>
        <v>0</v>
      </c>
    </row>
    <row customHeight="1" ht="22.5" r="105" spans="1:10">
      <c r="A105" s="803"/>
      <c r="B105" s="888" t="s">
        <v>2849</v>
      </c>
      <c r="C105" s="799" t="s">
        <v>50</v>
      </c>
      <c r="D105" s="813" t="s">
        <v>122</v>
      </c>
      <c r="E105" s="814">
        <f>+'2.CT1A'!$D$9</f>
        <v>0</v>
      </c>
      <c r="F105" s="1500" t="s">
        <v>2850</v>
      </c>
      <c r="G105" s="799" t="s">
        <v>50</v>
      </c>
      <c r="H105" s="813" t="s">
        <v>2851</v>
      </c>
      <c r="I105" s="806">
        <f>+'4.CT3A'!$D$308</f>
        <v>0</v>
      </c>
      <c r="J105" s="797">
        <f si="1" t="shared"/>
        <v>0</v>
      </c>
    </row>
    <row customHeight="1" ht="22.5" r="106" spans="1:10">
      <c r="A106" s="803"/>
      <c r="B106" s="888" t="s">
        <v>2852</v>
      </c>
      <c r="C106" s="799" t="s">
        <v>49</v>
      </c>
      <c r="D106" s="804" t="s">
        <v>2762</v>
      </c>
      <c r="E106" s="805">
        <f>+'2.CT1A'!$C$221</f>
        <v>0</v>
      </c>
      <c r="F106" s="1500" t="s">
        <v>2853</v>
      </c>
      <c r="G106" s="799" t="s">
        <v>49</v>
      </c>
      <c r="H106" s="804" t="s">
        <v>1232</v>
      </c>
      <c r="I106" s="816">
        <f>+'5.CT4A'!$G$16</f>
        <v>0</v>
      </c>
      <c r="J106" s="797">
        <f si="1" t="shared"/>
        <v>0</v>
      </c>
    </row>
    <row customHeight="1" ht="22.5" r="107" spans="1:10">
      <c r="A107" s="803"/>
      <c r="C107" s="799" t="s">
        <v>50</v>
      </c>
      <c r="D107" s="804"/>
      <c r="E107" s="805">
        <f>+'2.CT1A'!$D$221</f>
        <v>0</v>
      </c>
      <c r="G107" s="799" t="s">
        <v>50</v>
      </c>
      <c r="H107" s="804"/>
      <c r="I107" s="815">
        <f>+'5.CT4A'!$G$24</f>
        <v>0</v>
      </c>
      <c r="J107" s="797">
        <f si="1" t="shared"/>
        <v>0</v>
      </c>
    </row>
    <row customHeight="1" ht="22.5" r="108" spans="1:10">
      <c r="A108" s="803"/>
      <c r="B108" s="888" t="s">
        <v>2854</v>
      </c>
      <c r="C108" s="799" t="s">
        <v>49</v>
      </c>
      <c r="D108" s="813" t="s">
        <v>2768</v>
      </c>
      <c r="E108" s="814">
        <f>+'2.CT1A'!$C$230</f>
        <v>0</v>
      </c>
      <c r="F108" s="1500" t="s">
        <v>2855</v>
      </c>
      <c r="G108" s="799" t="s">
        <v>49</v>
      </c>
      <c r="H108" s="813" t="s">
        <v>1224</v>
      </c>
      <c r="I108" s="815">
        <f>+'5.CT4A'!$E$16</f>
        <v>0</v>
      </c>
      <c r="J108" s="797">
        <f si="1" t="shared"/>
        <v>0</v>
      </c>
    </row>
    <row customHeight="1" ht="22.5" r="109" spans="1:10">
      <c r="A109" s="803"/>
      <c r="B109" s="888" t="s">
        <v>2854</v>
      </c>
      <c r="C109" s="799" t="s">
        <v>50</v>
      </c>
      <c r="D109" s="813" t="s">
        <v>2768</v>
      </c>
      <c r="E109" s="814">
        <f>+'2.CT1A'!$D$230</f>
        <v>0</v>
      </c>
      <c r="F109" s="1500" t="s">
        <v>2855</v>
      </c>
      <c r="G109" s="799" t="s">
        <v>50</v>
      </c>
      <c r="H109" s="813" t="s">
        <v>1232</v>
      </c>
      <c r="I109" s="815">
        <f>+'5.CT4A'!$E$24</f>
        <v>0</v>
      </c>
      <c r="J109" s="797">
        <f si="1" t="shared"/>
        <v>0</v>
      </c>
    </row>
    <row customHeight="1" ht="22.5" r="110" spans="1:10">
      <c r="A110" s="803"/>
      <c r="B110" s="888" t="s">
        <v>2856</v>
      </c>
      <c r="C110" s="799" t="s">
        <v>49</v>
      </c>
      <c r="D110" s="813" t="s">
        <v>2857</v>
      </c>
      <c r="E110" s="814">
        <f>+'2.CT1A'!$C$232</f>
        <v>0</v>
      </c>
      <c r="F110" s="1500" t="s">
        <v>2858</v>
      </c>
      <c r="G110" s="799" t="s">
        <v>49</v>
      </c>
      <c r="H110" s="813" t="s">
        <v>1222</v>
      </c>
      <c r="I110" s="817">
        <f>+'5.CT4A'!$E$14</f>
        <v>0</v>
      </c>
      <c r="J110" s="797">
        <f si="1" t="shared"/>
        <v>0</v>
      </c>
    </row>
    <row customHeight="1" ht="22.5" r="111" spans="1:10">
      <c r="A111" s="803"/>
      <c r="B111" s="888" t="s">
        <v>2859</v>
      </c>
      <c r="C111" s="799" t="s">
        <v>50</v>
      </c>
      <c r="D111" s="813" t="s">
        <v>2857</v>
      </c>
      <c r="E111" s="814">
        <f>+'2.CT1A'!$D$232</f>
        <v>0</v>
      </c>
      <c r="F111" s="1500" t="s">
        <v>2858</v>
      </c>
      <c r="G111" s="799" t="s">
        <v>50</v>
      </c>
      <c r="H111" s="813" t="s">
        <v>1231</v>
      </c>
      <c r="I111" s="817">
        <f>+'5.CT4A'!$E$23</f>
        <v>0</v>
      </c>
      <c r="J111" s="797">
        <f si="1" t="shared"/>
        <v>0</v>
      </c>
    </row>
    <row customHeight="1" ht="22.5" r="112" spans="1:10">
      <c r="A112" s="807" t="s">
        <v>2860</v>
      </c>
      <c r="B112" s="889"/>
      <c r="C112" s="808"/>
      <c r="D112" s="808"/>
      <c r="E112" s="808"/>
      <c r="F112" s="1501"/>
      <c r="G112" s="808"/>
      <c r="H112" s="808"/>
      <c r="J112" s="797">
        <f si="1" t="shared"/>
        <v>0</v>
      </c>
    </row>
    <row customHeight="1" ht="22.5" r="113" spans="1:10">
      <c r="A113" s="803"/>
      <c r="B113" s="1827" t="s">
        <v>2861</v>
      </c>
      <c r="C113" s="799" t="s">
        <v>49</v>
      </c>
      <c r="D113" s="804" t="s">
        <v>122</v>
      </c>
      <c r="E113" s="814">
        <f>+'2.CT1A'!$C$9</f>
        <v>0</v>
      </c>
      <c r="F113" s="1500" t="s">
        <v>2862</v>
      </c>
      <c r="G113" s="799" t="s">
        <v>49</v>
      </c>
      <c r="H113" s="804" t="s">
        <v>122</v>
      </c>
      <c r="I113" s="817">
        <f>+'6.CTT1'!$C$8</f>
        <v>0</v>
      </c>
      <c r="J113" s="797">
        <f si="1" t="shared"/>
        <v>0</v>
      </c>
    </row>
    <row customHeight="1" ht="22.5" r="114" spans="1:10">
      <c r="A114" s="803"/>
      <c r="B114" s="1827"/>
      <c r="C114" s="799" t="s">
        <v>50</v>
      </c>
      <c r="D114" s="804"/>
      <c r="E114" s="814">
        <f>+'2.CT1A'!$D$9</f>
        <v>0</v>
      </c>
      <c r="G114" s="799" t="s">
        <v>50</v>
      </c>
      <c r="H114" s="804"/>
      <c r="I114" s="817">
        <f>+'6.CTT1'!$F$8</f>
        <v>0</v>
      </c>
      <c r="J114" s="797">
        <f si="1" t="shared"/>
        <v>0</v>
      </c>
    </row>
    <row customHeight="1" ht="22.5" r="115" spans="1:10">
      <c r="A115" s="803"/>
      <c r="B115" s="1827" t="s">
        <v>2863</v>
      </c>
      <c r="C115" s="799" t="s">
        <v>49</v>
      </c>
      <c r="D115" s="804" t="s">
        <v>2864</v>
      </c>
      <c r="E115" s="805">
        <f>+'2.CT1A'!$C$10</f>
        <v>0</v>
      </c>
      <c r="F115" s="1500" t="s">
        <v>2865</v>
      </c>
      <c r="G115" s="799" t="s">
        <v>49</v>
      </c>
      <c r="H115" s="804" t="s">
        <v>2864</v>
      </c>
      <c r="I115" s="817">
        <f>+'6.CTT1'!$C$9</f>
        <v>0</v>
      </c>
      <c r="J115" s="797">
        <f si="1" t="shared"/>
        <v>0</v>
      </c>
    </row>
    <row customHeight="1" ht="22.5" r="116" spans="1:10">
      <c r="A116" s="803"/>
      <c r="B116" s="1827"/>
      <c r="C116" s="799" t="s">
        <v>50</v>
      </c>
      <c r="D116" s="804"/>
      <c r="E116" s="805">
        <f>+'2.CT1A'!$D$10</f>
        <v>0</v>
      </c>
      <c r="G116" s="799" t="s">
        <v>50</v>
      </c>
      <c r="H116" s="804"/>
      <c r="I116" s="817">
        <f>+'6.CTT1'!$F$9</f>
        <v>0</v>
      </c>
      <c r="J116" s="797">
        <f si="1" t="shared"/>
        <v>0</v>
      </c>
    </row>
    <row customHeight="1" ht="22.5" r="117" spans="1:10">
      <c r="A117" s="803"/>
      <c r="B117" s="1827" t="s">
        <v>2866</v>
      </c>
      <c r="C117" s="799" t="s">
        <v>49</v>
      </c>
      <c r="D117" s="804" t="s">
        <v>2867</v>
      </c>
      <c r="E117" s="805">
        <f>+'2.CT1A'!$C$15</f>
        <v>0</v>
      </c>
      <c r="F117" s="1500" t="s">
        <v>2868</v>
      </c>
      <c r="G117" s="799" t="s">
        <v>49</v>
      </c>
      <c r="H117" s="804" t="s">
        <v>2867</v>
      </c>
      <c r="I117" s="817">
        <f>+'6.CTT1'!$C$14</f>
        <v>0</v>
      </c>
      <c r="J117" s="797">
        <f si="1" t="shared"/>
        <v>0</v>
      </c>
    </row>
    <row customHeight="1" ht="22.5" r="118" spans="1:10">
      <c r="A118" s="803"/>
      <c r="B118" s="1827"/>
      <c r="C118" s="799" t="s">
        <v>50</v>
      </c>
      <c r="D118" s="804"/>
      <c r="E118" s="805">
        <f>+'2.CT1A'!$D$15</f>
        <v>0</v>
      </c>
      <c r="G118" s="799" t="s">
        <v>50</v>
      </c>
      <c r="H118" s="804"/>
      <c r="I118" s="817">
        <f>+'6.CTT1'!$F$14</f>
        <v>0</v>
      </c>
      <c r="J118" s="797">
        <f si="1" t="shared"/>
        <v>0</v>
      </c>
    </row>
    <row customHeight="1" ht="22.5" r="119" spans="1:10">
      <c r="A119" s="803"/>
      <c r="B119" s="1827" t="s">
        <v>2869</v>
      </c>
      <c r="C119" s="799" t="s">
        <v>49</v>
      </c>
      <c r="D119" s="818" t="s">
        <v>2870</v>
      </c>
      <c r="E119" s="805">
        <f>+'2.CT1A'!$C$28</f>
        <v>0</v>
      </c>
      <c r="F119" s="1500" t="s">
        <v>2871</v>
      </c>
      <c r="G119" s="799" t="s">
        <v>49</v>
      </c>
      <c r="H119" s="804" t="s">
        <v>2870</v>
      </c>
      <c r="I119" s="817">
        <f>+'6.CTT1'!$C$27</f>
        <v>0</v>
      </c>
      <c r="J119" s="797">
        <f si="1" t="shared"/>
        <v>0</v>
      </c>
    </row>
    <row customHeight="1" ht="22.5" r="120" spans="1:10">
      <c r="A120" s="803"/>
      <c r="B120" s="1827"/>
      <c r="C120" s="799" t="s">
        <v>50</v>
      </c>
      <c r="D120" s="804"/>
      <c r="E120" s="805">
        <f>+'2.CT1A'!$D$28</f>
        <v>0</v>
      </c>
      <c r="G120" s="799" t="s">
        <v>50</v>
      </c>
      <c r="H120" s="804"/>
      <c r="I120" s="817">
        <f>+'6.CTT1'!$F$27</f>
        <v>0</v>
      </c>
      <c r="J120" s="797">
        <f si="1" t="shared"/>
        <v>0</v>
      </c>
    </row>
    <row customHeight="1" ht="22.5" r="121" spans="1:10">
      <c r="A121" s="803"/>
      <c r="B121" s="1827" t="s">
        <v>2872</v>
      </c>
      <c r="C121" s="799" t="s">
        <v>49</v>
      </c>
      <c r="D121" s="818" t="s">
        <v>2873</v>
      </c>
      <c r="E121" s="805">
        <f>+'2.CT1A'!$C$29</f>
        <v>0</v>
      </c>
      <c r="F121" s="1500" t="s">
        <v>2874</v>
      </c>
      <c r="G121" s="799" t="s">
        <v>49</v>
      </c>
      <c r="H121" s="804" t="s">
        <v>2873</v>
      </c>
      <c r="I121" s="817">
        <f>+'6.CTT1'!$C$28</f>
        <v>0</v>
      </c>
      <c r="J121" s="797">
        <f si="1" t="shared"/>
        <v>0</v>
      </c>
    </row>
    <row customHeight="1" ht="22.5" r="122" spans="1:10">
      <c r="A122" s="803"/>
      <c r="B122" s="1827"/>
      <c r="C122" s="799" t="s">
        <v>50</v>
      </c>
      <c r="D122" s="804"/>
      <c r="E122" s="805">
        <f>+'2.CT1A'!$D$29</f>
        <v>0</v>
      </c>
      <c r="G122" s="799" t="s">
        <v>50</v>
      </c>
      <c r="H122" s="804"/>
      <c r="I122" s="817">
        <f>+'6.CTT1'!$F$28</f>
        <v>0</v>
      </c>
      <c r="J122" s="797">
        <f si="1" t="shared"/>
        <v>0</v>
      </c>
    </row>
    <row customHeight="1" ht="22.5" r="123" spans="1:10">
      <c r="A123" s="803"/>
      <c r="B123" s="1827" t="s">
        <v>2875</v>
      </c>
      <c r="C123" s="799" t="s">
        <v>49</v>
      </c>
      <c r="D123" s="804" t="s">
        <v>142</v>
      </c>
      <c r="E123" s="805">
        <f>+'2.CT1A'!$C$34</f>
        <v>0</v>
      </c>
      <c r="F123" s="1500" t="s">
        <v>2876</v>
      </c>
      <c r="G123" s="799" t="s">
        <v>49</v>
      </c>
      <c r="H123" s="804" t="s">
        <v>142</v>
      </c>
      <c r="I123" s="815">
        <f>+'8.CTT3'!$C$8</f>
        <v>0</v>
      </c>
      <c r="J123" s="797">
        <f si="1" t="shared"/>
        <v>0</v>
      </c>
    </row>
    <row customHeight="1" ht="22.5" r="124" spans="1:10">
      <c r="A124" s="803"/>
      <c r="B124" s="1827"/>
      <c r="C124" s="799" t="s">
        <v>50</v>
      </c>
      <c r="D124" s="804"/>
      <c r="E124" s="805">
        <f>+'2.CT1A'!$D$34</f>
        <v>0</v>
      </c>
      <c r="G124" s="799" t="s">
        <v>50</v>
      </c>
      <c r="H124" s="804"/>
      <c r="I124" s="815">
        <f>+'8.CTT3'!$F$8</f>
        <v>0</v>
      </c>
      <c r="J124" s="797">
        <f si="1" t="shared"/>
        <v>0</v>
      </c>
    </row>
    <row customHeight="1" ht="22.5" r="125" spans="1:10">
      <c r="A125" s="803"/>
      <c r="B125" s="1827" t="s">
        <v>2877</v>
      </c>
      <c r="C125" s="799" t="s">
        <v>49</v>
      </c>
      <c r="D125" s="804" t="s">
        <v>2878</v>
      </c>
      <c r="E125" s="805">
        <f>+'2.CT1A'!$C$41</f>
        <v>0</v>
      </c>
      <c r="F125" s="1500" t="s">
        <v>2879</v>
      </c>
      <c r="G125" s="799" t="s">
        <v>49</v>
      </c>
      <c r="H125" s="804" t="s">
        <v>2878</v>
      </c>
      <c r="I125" s="815">
        <f>+'8.CTT3'!$C$15</f>
        <v>0</v>
      </c>
      <c r="J125" s="797">
        <f si="1" t="shared"/>
        <v>0</v>
      </c>
    </row>
    <row customHeight="1" ht="22.5" r="126" spans="1:10">
      <c r="A126" s="803"/>
      <c r="B126" s="1827"/>
      <c r="C126" s="799" t="s">
        <v>50</v>
      </c>
      <c r="D126" s="804"/>
      <c r="E126" s="805">
        <f>+'2.CT1A'!$D$41</f>
        <v>0</v>
      </c>
      <c r="G126" s="799" t="s">
        <v>50</v>
      </c>
      <c r="H126" s="804"/>
      <c r="I126" s="815">
        <f>+'8.CTT3'!$F$15</f>
        <v>0</v>
      </c>
      <c r="J126" s="797">
        <f si="1" t="shared"/>
        <v>0</v>
      </c>
    </row>
    <row customHeight="1" ht="22.5" r="127" spans="1:10">
      <c r="A127" s="803"/>
      <c r="B127" s="1827" t="s">
        <v>2880</v>
      </c>
      <c r="C127" s="799" t="s">
        <v>49</v>
      </c>
      <c r="D127" s="804" t="s">
        <v>2881</v>
      </c>
      <c r="E127" s="805">
        <f>+'2.CT1A'!$C$44</f>
        <v>0</v>
      </c>
      <c r="F127" s="1500" t="s">
        <v>2882</v>
      </c>
      <c r="G127" s="799" t="s">
        <v>49</v>
      </c>
      <c r="H127" s="804" t="s">
        <v>2881</v>
      </c>
      <c r="I127" s="815">
        <f>+'8.CTT3'!$C$31</f>
        <v>0</v>
      </c>
      <c r="J127" s="797">
        <f si="1" t="shared"/>
        <v>0</v>
      </c>
    </row>
    <row customHeight="1" ht="22.5" r="128" spans="1:10">
      <c r="A128" s="803"/>
      <c r="B128" s="1827"/>
      <c r="C128" s="799" t="s">
        <v>50</v>
      </c>
      <c r="D128" s="804"/>
      <c r="E128" s="805">
        <f>+'2.CT1A'!$D$44</f>
        <v>0</v>
      </c>
      <c r="G128" s="799" t="s">
        <v>50</v>
      </c>
      <c r="H128" s="804"/>
      <c r="I128" s="815">
        <f>+'8.CTT3'!$F$31</f>
        <v>0</v>
      </c>
      <c r="J128" s="797">
        <f si="1" t="shared"/>
        <v>0</v>
      </c>
    </row>
    <row customHeight="1" ht="22.5" r="129" spans="1:10">
      <c r="A129" s="803"/>
      <c r="B129" s="1827" t="s">
        <v>2883</v>
      </c>
      <c r="C129" s="799" t="s">
        <v>49</v>
      </c>
      <c r="D129" s="804" t="s">
        <v>159</v>
      </c>
      <c r="E129" s="805">
        <f>+'2.CT1A'!$C$55</f>
        <v>0</v>
      </c>
      <c r="F129" s="1500" t="s">
        <v>2884</v>
      </c>
      <c r="G129" s="799" t="s">
        <v>49</v>
      </c>
      <c r="H129" s="804" t="s">
        <v>159</v>
      </c>
      <c r="I129" s="806">
        <f>+'9.CTT4'!$C$8</f>
        <v>0</v>
      </c>
      <c r="J129" s="797">
        <f si="1" t="shared"/>
        <v>0</v>
      </c>
    </row>
    <row customHeight="1" ht="22.5" r="130" spans="1:10">
      <c r="A130" s="803"/>
      <c r="B130" s="1827"/>
      <c r="C130" s="799" t="s">
        <v>50</v>
      </c>
      <c r="D130" s="804"/>
      <c r="E130" s="805">
        <f>+'2.CT1A'!$D$55</f>
        <v>0</v>
      </c>
      <c r="G130" s="799" t="s">
        <v>50</v>
      </c>
      <c r="H130" s="804"/>
      <c r="I130" s="806">
        <f>+'9.CTT4'!$F$8</f>
        <v>0</v>
      </c>
      <c r="J130" s="797">
        <f si="1" t="shared"/>
        <v>0</v>
      </c>
    </row>
    <row customHeight="1" ht="22.5" r="131" spans="1:10">
      <c r="A131" s="803"/>
      <c r="B131" s="1827" t="s">
        <v>2885</v>
      </c>
      <c r="C131" s="799" t="s">
        <v>49</v>
      </c>
      <c r="D131" s="804" t="s">
        <v>174</v>
      </c>
      <c r="E131" s="805">
        <f>+'2.CT1A'!$C$69</f>
        <v>0</v>
      </c>
      <c r="F131" s="1500" t="s">
        <v>2886</v>
      </c>
      <c r="G131" s="799" t="s">
        <v>49</v>
      </c>
      <c r="H131" s="804" t="s">
        <v>174</v>
      </c>
      <c r="I131" s="817">
        <f>+'10.CTT5'!$C$9</f>
        <v>0</v>
      </c>
      <c r="J131" s="797">
        <f si="1" t="shared"/>
        <v>0</v>
      </c>
    </row>
    <row customHeight="1" ht="22.5" r="132" spans="1:10">
      <c r="A132" s="803"/>
      <c r="B132" s="1827"/>
      <c r="C132" s="799" t="s">
        <v>50</v>
      </c>
      <c r="D132" s="804"/>
      <c r="E132" s="805">
        <f>+'2.CT1A'!$D$69</f>
        <v>0</v>
      </c>
      <c r="G132" s="799" t="s">
        <v>50</v>
      </c>
      <c r="H132" s="804"/>
      <c r="I132" s="815">
        <f>+'10.CTT5'!$C$21</f>
        <v>0</v>
      </c>
      <c r="J132" s="797">
        <f si="1" t="shared"/>
        <v>0</v>
      </c>
    </row>
    <row customHeight="1" ht="22.5" r="133" spans="1:10">
      <c r="A133" s="803"/>
      <c r="B133" s="1827" t="s">
        <v>2887</v>
      </c>
      <c r="C133" s="799" t="s">
        <v>49</v>
      </c>
      <c r="D133" s="804" t="s">
        <v>176</v>
      </c>
      <c r="E133" s="805">
        <f>+'2.CT1A'!$C$70</f>
        <v>0</v>
      </c>
      <c r="F133" s="1500" t="s">
        <v>2888</v>
      </c>
      <c r="G133" s="799" t="s">
        <v>49</v>
      </c>
      <c r="H133" s="804" t="s">
        <v>176</v>
      </c>
      <c r="I133" s="817">
        <f>+'10.CTT5'!$D$9</f>
        <v>0</v>
      </c>
      <c r="J133" s="797">
        <f ref="J133:J196" si="2" t="shared">+E133-I133</f>
        <v>0</v>
      </c>
    </row>
    <row customHeight="1" ht="22.5" r="134" spans="1:10">
      <c r="A134" s="803"/>
      <c r="B134" s="1827"/>
      <c r="C134" s="799" t="s">
        <v>50</v>
      </c>
      <c r="D134" s="804"/>
      <c r="E134" s="805">
        <f>+'2.CT1A'!$D$70</f>
        <v>0</v>
      </c>
      <c r="G134" s="799" t="s">
        <v>50</v>
      </c>
      <c r="H134" s="804"/>
      <c r="I134" s="815">
        <f>+'10.CTT5'!$D$21</f>
        <v>0</v>
      </c>
      <c r="J134" s="797">
        <f si="2" t="shared"/>
        <v>0</v>
      </c>
    </row>
    <row customHeight="1" ht="22.5" r="135" spans="1:10">
      <c r="A135" s="803"/>
      <c r="B135" s="1827" t="s">
        <v>2889</v>
      </c>
      <c r="C135" s="799" t="s">
        <v>49</v>
      </c>
      <c r="D135" s="804" t="s">
        <v>178</v>
      </c>
      <c r="E135" s="805">
        <f>+'2.CT1A'!$C$71</f>
        <v>0</v>
      </c>
      <c r="F135" s="1500" t="s">
        <v>2890</v>
      </c>
      <c r="G135" s="799" t="s">
        <v>49</v>
      </c>
      <c r="H135" s="804" t="s">
        <v>178</v>
      </c>
      <c r="I135" s="817">
        <f>+'10.CTT5'!$E$9</f>
        <v>0</v>
      </c>
      <c r="J135" s="797">
        <f si="2" t="shared"/>
        <v>0</v>
      </c>
    </row>
    <row customHeight="1" ht="22.5" r="136" spans="1:10">
      <c r="A136" s="803"/>
      <c r="B136" s="1827"/>
      <c r="C136" s="799" t="s">
        <v>50</v>
      </c>
      <c r="D136" s="804"/>
      <c r="E136" s="805">
        <f>+'2.CT1A'!$D$71</f>
        <v>0</v>
      </c>
      <c r="G136" s="799" t="s">
        <v>50</v>
      </c>
      <c r="H136" s="804"/>
      <c r="I136" s="815">
        <f>+'10.CTT5'!$E$21</f>
        <v>0</v>
      </c>
      <c r="J136" s="797">
        <f si="2" t="shared"/>
        <v>0</v>
      </c>
    </row>
    <row customHeight="1" ht="22.5" r="137" spans="1:10">
      <c r="A137" s="803"/>
      <c r="B137" s="1827" t="s">
        <v>2891</v>
      </c>
      <c r="C137" s="799" t="s">
        <v>49</v>
      </c>
      <c r="D137" s="804" t="s">
        <v>180</v>
      </c>
      <c r="E137" s="805">
        <f>+'2.CT1A'!$C$72</f>
        <v>0</v>
      </c>
      <c r="F137" s="1500" t="s">
        <v>2892</v>
      </c>
      <c r="G137" s="799" t="s">
        <v>49</v>
      </c>
      <c r="H137" s="804" t="s">
        <v>180</v>
      </c>
      <c r="I137" s="817">
        <f>+'10.CTT5'!$F$9</f>
        <v>0</v>
      </c>
      <c r="J137" s="797">
        <f si="2" t="shared"/>
        <v>0</v>
      </c>
    </row>
    <row customHeight="1" ht="22.5" r="138" spans="1:10">
      <c r="A138" s="803"/>
      <c r="B138" s="1827"/>
      <c r="C138" s="799" t="s">
        <v>50</v>
      </c>
      <c r="D138" s="804"/>
      <c r="E138" s="805">
        <f>+'2.CT1A'!$D$72</f>
        <v>0</v>
      </c>
      <c r="G138" s="799" t="s">
        <v>50</v>
      </c>
      <c r="H138" s="804"/>
      <c r="I138" s="815">
        <f>+'10.CTT5'!$F$21</f>
        <v>0</v>
      </c>
      <c r="J138" s="797">
        <f si="2" t="shared"/>
        <v>0</v>
      </c>
    </row>
    <row customHeight="1" ht="22.5" r="139" spans="1:10">
      <c r="A139" s="803"/>
      <c r="B139" s="1827" t="s">
        <v>2893</v>
      </c>
      <c r="C139" s="799" t="s">
        <v>49</v>
      </c>
      <c r="D139" s="804" t="s">
        <v>183</v>
      </c>
      <c r="E139" s="805">
        <f>+'2.CT1A'!$C$74</f>
        <v>0</v>
      </c>
      <c r="F139" s="1500" t="s">
        <v>2894</v>
      </c>
      <c r="G139" s="799" t="s">
        <v>49</v>
      </c>
      <c r="H139" s="804" t="s">
        <v>183</v>
      </c>
      <c r="I139" s="817">
        <f>+'10.CTT5'!$G$9</f>
        <v>0</v>
      </c>
      <c r="J139" s="797">
        <f si="2" t="shared"/>
        <v>0</v>
      </c>
    </row>
    <row customHeight="1" ht="22.5" r="140" spans="1:10">
      <c r="A140" s="803"/>
      <c r="B140" s="1827"/>
      <c r="C140" s="799" t="s">
        <v>50</v>
      </c>
      <c r="D140" s="804"/>
      <c r="E140" s="805">
        <f>+'2.CT1A'!$D$74</f>
        <v>0</v>
      </c>
      <c r="G140" s="799" t="s">
        <v>50</v>
      </c>
      <c r="H140" s="804"/>
      <c r="I140" s="815">
        <f>+'10.CTT5'!$G$21</f>
        <v>0</v>
      </c>
      <c r="J140" s="797">
        <f si="2" t="shared"/>
        <v>0</v>
      </c>
    </row>
    <row customHeight="1" ht="22.5" r="141" spans="1:10">
      <c r="A141" s="803"/>
      <c r="B141" s="1827" t="s">
        <v>2895</v>
      </c>
      <c r="C141" s="799" t="s">
        <v>49</v>
      </c>
      <c r="D141" s="804" t="s">
        <v>185</v>
      </c>
      <c r="E141" s="805">
        <f>+'2.CT1A'!$C$75</f>
        <v>0</v>
      </c>
      <c r="F141" s="1500" t="s">
        <v>2896</v>
      </c>
      <c r="G141" s="799" t="s">
        <v>49</v>
      </c>
      <c r="H141" s="804" t="s">
        <v>185</v>
      </c>
      <c r="I141" s="817">
        <f>+'10.CTT5'!$H$9</f>
        <v>0</v>
      </c>
      <c r="J141" s="797">
        <f si="2" t="shared"/>
        <v>0</v>
      </c>
    </row>
    <row customHeight="1" ht="22.5" r="142" spans="1:10">
      <c r="A142" s="803"/>
      <c r="B142" s="1827"/>
      <c r="C142" s="799" t="s">
        <v>50</v>
      </c>
      <c r="D142" s="804"/>
      <c r="E142" s="805">
        <f>+'2.CT1A'!$D$75</f>
        <v>0</v>
      </c>
      <c r="G142" s="799" t="s">
        <v>50</v>
      </c>
      <c r="H142" s="804"/>
      <c r="I142" s="815">
        <f>+'10.CTT5'!$H$21</f>
        <v>0</v>
      </c>
      <c r="J142" s="797">
        <f si="2" t="shared"/>
        <v>0</v>
      </c>
    </row>
    <row customHeight="1" ht="22.5" r="143" spans="1:10">
      <c r="A143" s="803"/>
      <c r="B143" s="1827" t="s">
        <v>2897</v>
      </c>
      <c r="C143" s="799" t="s">
        <v>49</v>
      </c>
      <c r="D143" s="804" t="s">
        <v>187</v>
      </c>
      <c r="E143" s="805">
        <f>+'2.CT1A'!$C$76</f>
        <v>0</v>
      </c>
      <c r="F143" s="1500" t="s">
        <v>2898</v>
      </c>
      <c r="G143" s="799" t="s">
        <v>49</v>
      </c>
      <c r="H143" s="804" t="s">
        <v>187</v>
      </c>
      <c r="I143" s="817">
        <f>+'10.CTT5'!$I$9</f>
        <v>0</v>
      </c>
      <c r="J143" s="797">
        <f si="2" t="shared"/>
        <v>0</v>
      </c>
    </row>
    <row customHeight="1" ht="22.5" r="144" spans="1:10">
      <c r="A144" s="803"/>
      <c r="B144" s="1827"/>
      <c r="C144" s="799" t="s">
        <v>50</v>
      </c>
      <c r="D144" s="804"/>
      <c r="E144" s="805">
        <f>+'2.CT1A'!$D$76</f>
        <v>0</v>
      </c>
      <c r="G144" s="799" t="s">
        <v>50</v>
      </c>
      <c r="H144" s="804"/>
      <c r="I144" s="815">
        <f>+'10.CTT5'!$I$21</f>
        <v>0</v>
      </c>
      <c r="J144" s="797">
        <f si="2" t="shared"/>
        <v>0</v>
      </c>
    </row>
    <row customHeight="1" ht="22.5" r="145" spans="1:10">
      <c r="A145" s="803"/>
      <c r="B145" s="1827" t="s">
        <v>2899</v>
      </c>
      <c r="C145" s="799" t="s">
        <v>49</v>
      </c>
      <c r="D145" s="804" t="s">
        <v>189</v>
      </c>
      <c r="E145" s="805">
        <f>+'2.CT1A'!$C$77</f>
        <v>0</v>
      </c>
      <c r="F145" s="1500" t="s">
        <v>2900</v>
      </c>
      <c r="G145" s="799" t="s">
        <v>49</v>
      </c>
      <c r="H145" s="804" t="s">
        <v>189</v>
      </c>
      <c r="I145" s="817">
        <f>+'10.CTT5'!$J$9</f>
        <v>0</v>
      </c>
      <c r="J145" s="797">
        <f si="2" t="shared"/>
        <v>0</v>
      </c>
    </row>
    <row customHeight="1" ht="22.5" r="146" spans="1:10">
      <c r="A146" s="803"/>
      <c r="B146" s="1827"/>
      <c r="C146" s="799" t="s">
        <v>50</v>
      </c>
      <c r="D146" s="804"/>
      <c r="E146" s="805">
        <f>+'2.CT1A'!$D$77</f>
        <v>0</v>
      </c>
      <c r="G146" s="799" t="s">
        <v>50</v>
      </c>
      <c r="H146" s="804"/>
      <c r="I146" s="815">
        <f>+'10.CTT5'!$J$21</f>
        <v>0</v>
      </c>
      <c r="J146" s="797">
        <f si="2" t="shared"/>
        <v>0</v>
      </c>
    </row>
    <row customHeight="1" ht="22.5" r="147" spans="1:10">
      <c r="A147" s="803"/>
      <c r="B147" s="1827" t="s">
        <v>2901</v>
      </c>
      <c r="C147" s="799" t="s">
        <v>49</v>
      </c>
      <c r="D147" s="804" t="s">
        <v>191</v>
      </c>
      <c r="E147" s="805">
        <f>+'2.CT1A'!$C$78</f>
        <v>0</v>
      </c>
      <c r="F147" s="1500" t="s">
        <v>2902</v>
      </c>
      <c r="G147" s="799" t="s">
        <v>49</v>
      </c>
      <c r="H147" s="804" t="s">
        <v>191</v>
      </c>
      <c r="I147" s="817">
        <f>+'10.CTT5'!$K$9</f>
        <v>0</v>
      </c>
      <c r="J147" s="797">
        <f si="2" t="shared"/>
        <v>0</v>
      </c>
    </row>
    <row customHeight="1" ht="22.5" r="148" spans="1:10">
      <c r="A148" s="803"/>
      <c r="B148" s="1827"/>
      <c r="C148" s="799" t="s">
        <v>50</v>
      </c>
      <c r="D148" s="804"/>
      <c r="E148" s="805">
        <f>+'2.CT1A'!$D$78</f>
        <v>0</v>
      </c>
      <c r="G148" s="799" t="s">
        <v>50</v>
      </c>
      <c r="H148" s="804"/>
      <c r="I148" s="815">
        <f>+'10.CTT5'!$K$21</f>
        <v>0</v>
      </c>
      <c r="J148" s="797">
        <f si="2" t="shared"/>
        <v>0</v>
      </c>
    </row>
    <row customHeight="1" ht="22.5" r="149" spans="1:10">
      <c r="A149" s="803"/>
      <c r="B149" s="1827" t="s">
        <v>2903</v>
      </c>
      <c r="C149" s="799" t="s">
        <v>49</v>
      </c>
      <c r="D149" s="804" t="s">
        <v>193</v>
      </c>
      <c r="E149" s="805">
        <f>+'2.CT1A'!$C$79</f>
        <v>0</v>
      </c>
      <c r="F149" s="1500" t="s">
        <v>2904</v>
      </c>
      <c r="G149" s="799" t="s">
        <v>49</v>
      </c>
      <c r="H149" s="804" t="s">
        <v>193</v>
      </c>
      <c r="I149" s="817">
        <f>+'10.CTT5'!$L$9</f>
        <v>0</v>
      </c>
      <c r="J149" s="797">
        <f si="2" t="shared"/>
        <v>0</v>
      </c>
    </row>
    <row customHeight="1" ht="22.5" r="150" spans="1:10">
      <c r="A150" s="803"/>
      <c r="B150" s="1827"/>
      <c r="C150" s="799" t="s">
        <v>50</v>
      </c>
      <c r="D150" s="804"/>
      <c r="E150" s="805">
        <f>+'2.CT1A'!$D$79</f>
        <v>0</v>
      </c>
      <c r="G150" s="799" t="s">
        <v>50</v>
      </c>
      <c r="H150" s="804"/>
      <c r="I150" s="815">
        <f>+'10.CTT5'!$L$21</f>
        <v>0</v>
      </c>
      <c r="J150" s="797">
        <f si="2" t="shared"/>
        <v>0</v>
      </c>
    </row>
    <row customHeight="1" ht="22.5" r="151" spans="1:10">
      <c r="A151" s="803"/>
      <c r="B151" s="1827" t="s">
        <v>2905</v>
      </c>
      <c r="C151" s="799" t="s">
        <v>49</v>
      </c>
      <c r="D151" s="804" t="s">
        <v>195</v>
      </c>
      <c r="E151" s="805">
        <f>+'2.CT1A'!$C$80</f>
        <v>0</v>
      </c>
      <c r="F151" s="1500" t="s">
        <v>2906</v>
      </c>
      <c r="G151" s="799" t="s">
        <v>49</v>
      </c>
      <c r="H151" s="804" t="s">
        <v>195</v>
      </c>
      <c r="I151" s="817">
        <f>+'10.CTT5'!$M$9</f>
        <v>0</v>
      </c>
      <c r="J151" s="797">
        <f si="2" t="shared"/>
        <v>0</v>
      </c>
    </row>
    <row customHeight="1" ht="22.5" r="152" spans="1:10">
      <c r="A152" s="803"/>
      <c r="B152" s="1827"/>
      <c r="C152" s="799" t="s">
        <v>50</v>
      </c>
      <c r="D152" s="804"/>
      <c r="E152" s="805">
        <f>+'2.CT1A'!$D$80</f>
        <v>0</v>
      </c>
      <c r="G152" s="799" t="s">
        <v>50</v>
      </c>
      <c r="H152" s="804"/>
      <c r="I152" s="815">
        <f>+'10.CTT5'!$M$21</f>
        <v>0</v>
      </c>
      <c r="J152" s="797">
        <f si="2" t="shared"/>
        <v>0</v>
      </c>
    </row>
    <row customHeight="1" ht="22.5" r="153" spans="1:10">
      <c r="A153" s="803"/>
      <c r="B153" s="1827" t="s">
        <v>2907</v>
      </c>
      <c r="C153" s="799" t="s">
        <v>49</v>
      </c>
      <c r="D153" s="804" t="s">
        <v>197</v>
      </c>
      <c r="E153" s="805">
        <f>+'2.CT1A'!$C$81</f>
        <v>0</v>
      </c>
      <c r="F153" s="1500" t="s">
        <v>2908</v>
      </c>
      <c r="G153" s="799" t="s">
        <v>49</v>
      </c>
      <c r="H153" s="804" t="s">
        <v>197</v>
      </c>
      <c r="I153" s="815">
        <f>+'10.CTT5'!$N$9</f>
        <v>0</v>
      </c>
      <c r="J153" s="819">
        <f>+E153-I153</f>
        <v>0</v>
      </c>
    </row>
    <row customHeight="1" ht="22.5" r="154" spans="1:10">
      <c r="A154" s="803"/>
      <c r="B154" s="1827"/>
      <c r="C154" s="799" t="s">
        <v>50</v>
      </c>
      <c r="D154" s="804"/>
      <c r="E154" s="805">
        <f>+'2.CT1A'!$D$81</f>
        <v>0</v>
      </c>
      <c r="G154" s="799" t="s">
        <v>50</v>
      </c>
      <c r="H154" s="804"/>
      <c r="I154" s="815">
        <f>+'10.CTT5'!$N$21</f>
        <v>0</v>
      </c>
      <c r="J154" s="797">
        <f si="2" t="shared"/>
        <v>0</v>
      </c>
    </row>
    <row customHeight="1" ht="22.5" r="155" spans="1:10">
      <c r="A155" s="803"/>
      <c r="B155" s="1827" t="s">
        <v>2909</v>
      </c>
      <c r="C155" s="799" t="s">
        <v>49</v>
      </c>
      <c r="D155" s="804" t="s">
        <v>199</v>
      </c>
      <c r="E155" s="805">
        <f>+'2.CT1A'!$C$82</f>
        <v>0</v>
      </c>
      <c r="F155" s="1500" t="s">
        <v>2910</v>
      </c>
      <c r="G155" s="799" t="s">
        <v>49</v>
      </c>
      <c r="H155" s="804" t="s">
        <v>199</v>
      </c>
      <c r="I155" s="817">
        <f>+'10.CTT5'!$O$9</f>
        <v>0</v>
      </c>
      <c r="J155" s="797">
        <f si="2" t="shared"/>
        <v>0</v>
      </c>
    </row>
    <row customHeight="1" ht="22.5" r="156" spans="1:10">
      <c r="A156" s="803"/>
      <c r="B156" s="1827"/>
      <c r="C156" s="799" t="s">
        <v>50</v>
      </c>
      <c r="D156" s="804"/>
      <c r="E156" s="805">
        <f>+'2.CT1A'!$D$82</f>
        <v>0</v>
      </c>
      <c r="G156" s="799" t="s">
        <v>50</v>
      </c>
      <c r="H156" s="804"/>
      <c r="I156" s="815">
        <f>+'10.CTT5'!$O$21</f>
        <v>0</v>
      </c>
      <c r="J156" s="797">
        <f si="2" t="shared"/>
        <v>0</v>
      </c>
    </row>
    <row customHeight="1" ht="22.5" r="157" spans="1:10">
      <c r="A157" s="803"/>
      <c r="B157" s="1827" t="s">
        <v>2911</v>
      </c>
      <c r="C157" s="799" t="s">
        <v>49</v>
      </c>
      <c r="D157" s="804" t="s">
        <v>201</v>
      </c>
      <c r="E157" s="805">
        <f>+'2.CT1A'!$C$83</f>
        <v>0</v>
      </c>
      <c r="F157" s="1500" t="s">
        <v>2912</v>
      </c>
      <c r="G157" s="799" t="s">
        <v>49</v>
      </c>
      <c r="H157" s="804" t="s">
        <v>201</v>
      </c>
      <c r="I157" s="817">
        <f>+'10.CTT5'!$P$9</f>
        <v>0</v>
      </c>
      <c r="J157" s="797">
        <f si="2" t="shared"/>
        <v>0</v>
      </c>
    </row>
    <row customHeight="1" ht="22.5" r="158" spans="1:10">
      <c r="A158" s="803"/>
      <c r="B158" s="1827"/>
      <c r="C158" s="799" t="s">
        <v>50</v>
      </c>
      <c r="D158" s="804"/>
      <c r="E158" s="805">
        <f>+'2.CT1A'!$D$83</f>
        <v>0</v>
      </c>
      <c r="G158" s="799" t="s">
        <v>50</v>
      </c>
      <c r="H158" s="804"/>
      <c r="I158" s="815">
        <f>+'10.CTT5'!$P$21</f>
        <v>0</v>
      </c>
      <c r="J158" s="797">
        <f si="2" t="shared"/>
        <v>0</v>
      </c>
    </row>
    <row customHeight="1" ht="22.5" r="159" spans="1:10">
      <c r="A159" s="803"/>
      <c r="B159" s="1827" t="s">
        <v>2913</v>
      </c>
      <c r="C159" s="799" t="s">
        <v>49</v>
      </c>
      <c r="D159" s="804" t="s">
        <v>218</v>
      </c>
      <c r="E159" s="805">
        <f>+'2.CT1A'!$C$116</f>
        <v>0</v>
      </c>
      <c r="F159" s="1500" t="s">
        <v>2914</v>
      </c>
      <c r="G159" s="799" t="s">
        <v>49</v>
      </c>
      <c r="H159" s="804" t="s">
        <v>218</v>
      </c>
      <c r="I159" s="817">
        <f>+'12.CTT7'!$C$10</f>
        <v>0</v>
      </c>
      <c r="J159" s="797">
        <f si="2" t="shared"/>
        <v>0</v>
      </c>
    </row>
    <row customHeight="1" ht="22.5" r="160" spans="1:10">
      <c r="A160" s="803"/>
      <c r="B160" s="1827"/>
      <c r="C160" s="799" t="s">
        <v>50</v>
      </c>
      <c r="D160" s="804"/>
      <c r="E160" s="805">
        <f>+'2.CT1A'!$D$116</f>
        <v>0</v>
      </c>
      <c r="G160" s="799" t="s">
        <v>50</v>
      </c>
      <c r="H160" s="804"/>
      <c r="I160" s="815">
        <f>+'12.CTT7'!$C$25</f>
        <v>0</v>
      </c>
      <c r="J160" s="797">
        <f si="2" t="shared"/>
        <v>0</v>
      </c>
    </row>
    <row customHeight="1" ht="22.5" r="161" spans="1:10">
      <c r="A161" s="803"/>
      <c r="B161" s="1827" t="s">
        <v>2915</v>
      </c>
      <c r="C161" s="799" t="s">
        <v>49</v>
      </c>
      <c r="D161" s="804" t="s">
        <v>221</v>
      </c>
      <c r="E161" s="805">
        <f>+'2.CT1A'!$C$118:$C$118</f>
        <v>0</v>
      </c>
      <c r="F161" s="1500" t="s">
        <v>2916</v>
      </c>
      <c r="G161" s="799" t="s">
        <v>49</v>
      </c>
      <c r="H161" s="804" t="s">
        <v>221</v>
      </c>
      <c r="I161" s="817">
        <f>+'12.CTT7'!$D$10</f>
        <v>0</v>
      </c>
      <c r="J161" s="797">
        <f si="2" t="shared"/>
        <v>0</v>
      </c>
    </row>
    <row customHeight="1" ht="22.5" r="162" spans="1:10">
      <c r="A162" s="803"/>
      <c r="B162" s="1827"/>
      <c r="C162" s="799" t="s">
        <v>50</v>
      </c>
      <c r="D162" s="804"/>
      <c r="E162" s="805">
        <f>+'2.CT1A'!$D$118</f>
        <v>0</v>
      </c>
      <c r="G162" s="799" t="s">
        <v>50</v>
      </c>
      <c r="H162" s="804"/>
      <c r="I162" s="815">
        <f>+'12.CTT7'!$D$25</f>
        <v>0</v>
      </c>
      <c r="J162" s="797">
        <f si="2" t="shared"/>
        <v>0</v>
      </c>
    </row>
    <row customHeight="1" ht="22.5" r="163" spans="1:10">
      <c r="A163" s="803"/>
      <c r="B163" s="1827" t="s">
        <v>2917</v>
      </c>
      <c r="C163" s="799" t="s">
        <v>49</v>
      </c>
      <c r="D163" s="804" t="s">
        <v>223</v>
      </c>
      <c r="E163" s="805">
        <f>+'2.CT1A'!$C$120</f>
        <v>0</v>
      </c>
      <c r="F163" s="1500" t="s">
        <v>2918</v>
      </c>
      <c r="G163" s="799" t="s">
        <v>49</v>
      </c>
      <c r="H163" s="804" t="s">
        <v>223</v>
      </c>
      <c r="I163" s="815">
        <f>+'12.CTT7'!$E$10</f>
        <v>0</v>
      </c>
      <c r="J163" s="797">
        <f si="2" t="shared"/>
        <v>0</v>
      </c>
    </row>
    <row customHeight="1" ht="22.5" r="164" spans="1:10">
      <c r="A164" s="803"/>
      <c r="B164" s="1827"/>
      <c r="C164" s="799" t="s">
        <v>50</v>
      </c>
      <c r="D164" s="804"/>
      <c r="E164" s="805">
        <f>+'2.CT1A'!$D$120</f>
        <v>0</v>
      </c>
      <c r="G164" s="799" t="s">
        <v>50</v>
      </c>
      <c r="H164" s="804"/>
      <c r="I164" s="815">
        <f>+'12.CTT7'!$E$25</f>
        <v>0</v>
      </c>
      <c r="J164" s="797">
        <f si="2" t="shared"/>
        <v>0</v>
      </c>
    </row>
    <row customHeight="1" ht="22.5" r="165" spans="1:10">
      <c r="A165" s="803"/>
      <c r="B165" s="1827" t="s">
        <v>2919</v>
      </c>
      <c r="C165" s="799" t="s">
        <v>49</v>
      </c>
      <c r="D165" s="804" t="s">
        <v>224</v>
      </c>
      <c r="E165" s="805">
        <f>+'2.CT1A'!$C$122</f>
        <v>0</v>
      </c>
      <c r="F165" s="1500" t="s">
        <v>2920</v>
      </c>
      <c r="G165" s="799" t="s">
        <v>49</v>
      </c>
      <c r="H165" s="804" t="s">
        <v>224</v>
      </c>
      <c r="I165" s="815">
        <f>+'12.CTT7'!$F$10</f>
        <v>0</v>
      </c>
      <c r="J165" s="797">
        <f si="2" t="shared"/>
        <v>0</v>
      </c>
    </row>
    <row customHeight="1" ht="22.5" r="166" spans="1:10">
      <c r="A166" s="803"/>
      <c r="B166" s="1827"/>
      <c r="C166" s="799" t="s">
        <v>50</v>
      </c>
      <c r="D166" s="804"/>
      <c r="E166" s="805">
        <f>+'2.CT1A'!$D$122</f>
        <v>0</v>
      </c>
      <c r="G166" s="799" t="s">
        <v>50</v>
      </c>
      <c r="H166" s="804"/>
      <c r="I166" s="815">
        <f>+'12.CTT7'!$F$25</f>
        <v>0</v>
      </c>
      <c r="J166" s="797">
        <f si="2" t="shared"/>
        <v>0</v>
      </c>
    </row>
    <row customHeight="1" ht="22.5" r="167" spans="1:10">
      <c r="A167" s="803"/>
      <c r="B167" s="1827" t="s">
        <v>2921</v>
      </c>
      <c r="C167" s="799" t="s">
        <v>49</v>
      </c>
      <c r="D167" s="1828" t="s">
        <v>226</v>
      </c>
      <c r="E167" s="805">
        <f>+'2.CT1A'!$C$124</f>
        <v>0</v>
      </c>
      <c r="F167" s="1829" t="s">
        <v>2922</v>
      </c>
      <c r="G167" s="799" t="s">
        <v>49</v>
      </c>
      <c r="H167" s="1828" t="s">
        <v>226</v>
      </c>
      <c r="I167" s="817">
        <f>+'12.CTT7'!$G$10</f>
        <v>0</v>
      </c>
      <c r="J167" s="797">
        <f si="2" t="shared"/>
        <v>0</v>
      </c>
    </row>
    <row customHeight="1" ht="22.5" r="168" spans="1:10">
      <c r="A168" s="803"/>
      <c r="B168" s="1827"/>
      <c r="C168" s="799" t="s">
        <v>50</v>
      </c>
      <c r="D168" s="1828"/>
      <c r="E168" s="805">
        <f>+'2.CT1A'!$D$124</f>
        <v>0</v>
      </c>
      <c r="F168" s="1829"/>
      <c r="G168" s="799" t="s">
        <v>50</v>
      </c>
      <c r="H168" s="1828"/>
      <c r="I168" s="815">
        <f>+'12.CTT7'!$G$25</f>
        <v>0</v>
      </c>
      <c r="J168" s="797">
        <f si="2" t="shared"/>
        <v>0</v>
      </c>
    </row>
    <row customHeight="1" ht="22.5" r="169" spans="1:10">
      <c r="A169" s="803"/>
      <c r="B169" s="1827" t="s">
        <v>2923</v>
      </c>
      <c r="C169" s="799" t="s">
        <v>49</v>
      </c>
      <c r="D169" s="1828" t="s">
        <v>228</v>
      </c>
      <c r="E169" s="805">
        <f>+'2.CT1A'!$C$126</f>
        <v>0</v>
      </c>
      <c r="F169" s="1829" t="s">
        <v>2924</v>
      </c>
      <c r="G169" s="799" t="s">
        <v>49</v>
      </c>
      <c r="H169" s="1828" t="s">
        <v>228</v>
      </c>
      <c r="I169" s="817">
        <f>+'12.CTT7'!$H$10</f>
        <v>0</v>
      </c>
      <c r="J169" s="797">
        <f si="2" t="shared"/>
        <v>0</v>
      </c>
    </row>
    <row customHeight="1" ht="22.5" r="170" spans="1:10">
      <c r="A170" s="803"/>
      <c r="B170" s="1827"/>
      <c r="C170" s="799" t="s">
        <v>50</v>
      </c>
      <c r="D170" s="1828"/>
      <c r="E170" s="805">
        <f>+'2.CT1A'!$D$126</f>
        <v>0</v>
      </c>
      <c r="F170" s="1829"/>
      <c r="G170" s="799" t="s">
        <v>50</v>
      </c>
      <c r="H170" s="1828"/>
      <c r="I170" s="815">
        <f>+'12.CTT7'!$H$25</f>
        <v>0</v>
      </c>
      <c r="J170" s="797">
        <f si="2" t="shared"/>
        <v>0</v>
      </c>
    </row>
    <row customHeight="1" ht="22.5" r="171" spans="1:10">
      <c r="A171" s="803"/>
      <c r="B171" s="1827" t="s">
        <v>2925</v>
      </c>
      <c r="C171" s="799" t="s">
        <v>49</v>
      </c>
      <c r="D171" s="1828" t="s">
        <v>230</v>
      </c>
      <c r="E171" s="805">
        <f>+'2.CT1A'!$C$128</f>
        <v>0</v>
      </c>
      <c r="F171" s="1829" t="s">
        <v>2926</v>
      </c>
      <c r="G171" s="799" t="s">
        <v>49</v>
      </c>
      <c r="H171" s="1828" t="s">
        <v>230</v>
      </c>
      <c r="I171" s="817">
        <f>+'12.CTT7'!$I$10</f>
        <v>0</v>
      </c>
      <c r="J171" s="797">
        <f si="2" t="shared"/>
        <v>0</v>
      </c>
    </row>
    <row customHeight="1" ht="22.5" r="172" spans="1:10">
      <c r="A172" s="803"/>
      <c r="B172" s="1827"/>
      <c r="C172" s="799" t="s">
        <v>50</v>
      </c>
      <c r="D172" s="1828"/>
      <c r="E172" s="805">
        <f>+'2.CT1A'!$D$128</f>
        <v>0</v>
      </c>
      <c r="F172" s="1829"/>
      <c r="G172" s="799" t="s">
        <v>50</v>
      </c>
      <c r="H172" s="1828"/>
      <c r="I172" s="815">
        <f>+'12.CTT7'!$I$25</f>
        <v>0</v>
      </c>
      <c r="J172" s="797">
        <f si="2" t="shared"/>
        <v>0</v>
      </c>
    </row>
    <row customHeight="1" ht="22.5" r="173" spans="1:10">
      <c r="A173" s="803"/>
      <c r="B173" s="1827" t="s">
        <v>2927</v>
      </c>
      <c r="C173" s="799" t="s">
        <v>49</v>
      </c>
      <c r="D173" s="1828" t="s">
        <v>234</v>
      </c>
      <c r="E173" s="805">
        <f>+'2.CT1A'!$C$131</f>
        <v>0</v>
      </c>
      <c r="F173" s="1829" t="s">
        <v>2928</v>
      </c>
      <c r="G173" s="799" t="s">
        <v>49</v>
      </c>
      <c r="H173" s="1828" t="s">
        <v>234</v>
      </c>
      <c r="I173" s="817">
        <f>+'12.CTT7'!$J$10</f>
        <v>0</v>
      </c>
      <c r="J173" s="797">
        <f si="2" t="shared"/>
        <v>0</v>
      </c>
    </row>
    <row customHeight="1" ht="22.5" r="174" spans="1:10">
      <c r="A174" s="803"/>
      <c r="B174" s="1827"/>
      <c r="C174" s="799" t="s">
        <v>50</v>
      </c>
      <c r="D174" s="1828"/>
      <c r="E174" s="805">
        <f>+'2.CT1A'!$D$131</f>
        <v>0</v>
      </c>
      <c r="F174" s="1829"/>
      <c r="G174" s="799" t="s">
        <v>50</v>
      </c>
      <c r="H174" s="1828"/>
      <c r="I174" s="815">
        <f>+'12.CTT7'!$J$25</f>
        <v>0</v>
      </c>
      <c r="J174" s="797">
        <f si="2" t="shared"/>
        <v>0</v>
      </c>
    </row>
    <row customHeight="1" ht="22.5" r="175" spans="1:10">
      <c r="A175" s="803"/>
      <c r="B175" s="1827" t="s">
        <v>2929</v>
      </c>
      <c r="C175" s="799" t="s">
        <v>49</v>
      </c>
      <c r="D175" s="1828" t="s">
        <v>236</v>
      </c>
      <c r="E175" s="805">
        <f>+'2.CT1A'!$C$132</f>
        <v>0</v>
      </c>
      <c r="F175" s="1829" t="s">
        <v>2930</v>
      </c>
      <c r="G175" s="799" t="s">
        <v>49</v>
      </c>
      <c r="H175" s="1828" t="s">
        <v>236</v>
      </c>
      <c r="I175" s="817">
        <f>+'12.CTT7'!$K$10</f>
        <v>0</v>
      </c>
      <c r="J175" s="797">
        <f si="2" t="shared"/>
        <v>0</v>
      </c>
    </row>
    <row customHeight="1" ht="22.5" r="176" spans="1:10">
      <c r="A176" s="803"/>
      <c r="B176" s="1827"/>
      <c r="C176" s="799" t="s">
        <v>50</v>
      </c>
      <c r="D176" s="1828"/>
      <c r="E176" s="805">
        <f>+'2.CT1A'!$D$132</f>
        <v>0</v>
      </c>
      <c r="F176" s="1829"/>
      <c r="G176" s="799" t="s">
        <v>50</v>
      </c>
      <c r="H176" s="1828"/>
      <c r="I176" s="815">
        <f>+'12.CTT7'!$K$25</f>
        <v>0</v>
      </c>
      <c r="J176" s="797">
        <f si="2" t="shared"/>
        <v>0</v>
      </c>
    </row>
    <row customHeight="1" ht="22.5" r="177" spans="1:10">
      <c r="A177" s="803"/>
      <c r="B177" s="1827" t="s">
        <v>2931</v>
      </c>
      <c r="C177" s="799" t="s">
        <v>49</v>
      </c>
      <c r="D177" s="1828" t="s">
        <v>232</v>
      </c>
      <c r="E177" s="805">
        <f>+'2.CT1A'!$C$129</f>
        <v>0</v>
      </c>
      <c r="F177" s="1829" t="s">
        <v>2932</v>
      </c>
      <c r="G177" s="799" t="s">
        <v>49</v>
      </c>
      <c r="H177" s="1828" t="s">
        <v>232</v>
      </c>
      <c r="I177" s="817">
        <f>+'12.CTT7'!$L$10</f>
        <v>0</v>
      </c>
      <c r="J177" s="797">
        <f si="2" t="shared"/>
        <v>0</v>
      </c>
    </row>
    <row customHeight="1" ht="22.5" r="178" spans="1:10">
      <c r="A178" s="803"/>
      <c r="B178" s="1827"/>
      <c r="C178" s="799" t="s">
        <v>50</v>
      </c>
      <c r="D178" s="1828"/>
      <c r="E178" s="805">
        <f>+'2.CT1A'!$D$129</f>
        <v>0</v>
      </c>
      <c r="F178" s="1829"/>
      <c r="G178" s="799" t="s">
        <v>50</v>
      </c>
      <c r="H178" s="1828"/>
      <c r="I178" s="815">
        <f>+'12.CTT7'!$L$25</f>
        <v>0</v>
      </c>
      <c r="J178" s="797">
        <f si="2" t="shared"/>
        <v>0</v>
      </c>
    </row>
    <row customHeight="1" ht="22.5" r="179" spans="1:10">
      <c r="A179" s="803"/>
      <c r="B179" s="1827" t="s">
        <v>2933</v>
      </c>
      <c r="C179" s="799" t="s">
        <v>49</v>
      </c>
      <c r="D179" s="1828" t="s">
        <v>239</v>
      </c>
      <c r="E179" s="805">
        <f>+'2.CT1A'!$C$134</f>
        <v>0</v>
      </c>
      <c r="F179" s="1829" t="s">
        <v>2934</v>
      </c>
      <c r="G179" s="799" t="s">
        <v>49</v>
      </c>
      <c r="H179" s="1828" t="s">
        <v>239</v>
      </c>
      <c r="I179" s="817">
        <f>+'12.CTT7'!$M$10</f>
        <v>0</v>
      </c>
      <c r="J179" s="797">
        <f si="2" t="shared"/>
        <v>0</v>
      </c>
    </row>
    <row customHeight="1" ht="22.5" r="180" spans="1:10">
      <c r="A180" s="803"/>
      <c r="B180" s="1827"/>
      <c r="C180" s="799" t="s">
        <v>50</v>
      </c>
      <c r="D180" s="1828"/>
      <c r="E180" s="805">
        <f>+'2.CT1A'!$D$134</f>
        <v>0</v>
      </c>
      <c r="F180" s="1829"/>
      <c r="G180" s="799" t="s">
        <v>50</v>
      </c>
      <c r="H180" s="1828"/>
      <c r="I180" s="815">
        <f>+'12.CTT7'!$M$25</f>
        <v>0</v>
      </c>
      <c r="J180" s="797">
        <f si="2" t="shared"/>
        <v>0</v>
      </c>
    </row>
    <row customHeight="1" ht="22.5" r="181" spans="1:10">
      <c r="A181" s="803"/>
      <c r="B181" s="1827" t="s">
        <v>2935</v>
      </c>
      <c r="C181" s="799" t="s">
        <v>49</v>
      </c>
      <c r="D181" s="1828" t="s">
        <v>241</v>
      </c>
      <c r="E181" s="805">
        <f>+'2.CT1A'!$C$136</f>
        <v>0</v>
      </c>
      <c r="F181" s="1829" t="s">
        <v>2936</v>
      </c>
      <c r="G181" s="799" t="s">
        <v>49</v>
      </c>
      <c r="H181" s="1828" t="s">
        <v>241</v>
      </c>
      <c r="I181" s="817">
        <f>+'12.CTT7'!$N$10</f>
        <v>0</v>
      </c>
      <c r="J181" s="797">
        <f si="2" t="shared"/>
        <v>0</v>
      </c>
    </row>
    <row customHeight="1" ht="22.5" r="182" spans="1:10">
      <c r="A182" s="803"/>
      <c r="B182" s="1827"/>
      <c r="C182" s="799" t="s">
        <v>50</v>
      </c>
      <c r="D182" s="1828"/>
      <c r="E182" s="805">
        <f>+'2.CT1A'!$D$136</f>
        <v>0</v>
      </c>
      <c r="F182" s="1829"/>
      <c r="G182" s="799" t="s">
        <v>50</v>
      </c>
      <c r="H182" s="1828"/>
      <c r="I182" s="815">
        <f>+'12.CTT7'!$N$25</f>
        <v>0</v>
      </c>
      <c r="J182" s="797">
        <f si="2" t="shared"/>
        <v>0</v>
      </c>
    </row>
    <row customHeight="1" ht="22.5" r="183" spans="1:10">
      <c r="A183" s="803"/>
      <c r="B183" s="1827" t="s">
        <v>2937</v>
      </c>
      <c r="C183" s="799" t="s">
        <v>49</v>
      </c>
      <c r="D183" s="1828" t="s">
        <v>2938</v>
      </c>
      <c r="E183" s="805">
        <f>+'2.CT1A'!$C$138</f>
        <v>0</v>
      </c>
      <c r="F183" s="1829" t="s">
        <v>2939</v>
      </c>
      <c r="G183" s="799" t="s">
        <v>49</v>
      </c>
      <c r="H183" s="1828" t="s">
        <v>2938</v>
      </c>
      <c r="I183" s="815">
        <f>+'12.CTT7'!$O$10</f>
        <v>0</v>
      </c>
      <c r="J183" s="797">
        <f si="2" t="shared"/>
        <v>0</v>
      </c>
    </row>
    <row customHeight="1" ht="22.5" r="184" spans="1:10">
      <c r="A184" s="803"/>
      <c r="B184" s="1827"/>
      <c r="C184" s="799" t="s">
        <v>50</v>
      </c>
      <c r="D184" s="1828"/>
      <c r="E184" s="805">
        <f>+'2.CT1A'!$D$138</f>
        <v>0</v>
      </c>
      <c r="F184" s="1829"/>
      <c r="G184" s="799" t="s">
        <v>50</v>
      </c>
      <c r="H184" s="1828"/>
      <c r="I184" s="815">
        <f>+'12.CTT7'!$O$25</f>
        <v>0</v>
      </c>
      <c r="J184" s="797">
        <f si="2" t="shared"/>
        <v>0</v>
      </c>
    </row>
    <row customHeight="1" ht="22.5" r="185" spans="1:10">
      <c r="A185" s="803"/>
      <c r="B185" s="1827" t="s">
        <v>2940</v>
      </c>
      <c r="C185" s="799" t="s">
        <v>49</v>
      </c>
      <c r="D185" s="1828" t="s">
        <v>2755</v>
      </c>
      <c r="E185" s="805">
        <f>+'2.CT1A'!$C$190</f>
        <v>0</v>
      </c>
      <c r="F185" s="1829" t="s">
        <v>2941</v>
      </c>
      <c r="G185" s="799" t="s">
        <v>49</v>
      </c>
      <c r="H185" s="1828" t="s">
        <v>2755</v>
      </c>
      <c r="I185" s="806">
        <f>+'14.CTT9'!$C$8</f>
        <v>0</v>
      </c>
      <c r="J185" s="797">
        <f si="2" t="shared"/>
        <v>0</v>
      </c>
    </row>
    <row customHeight="1" ht="22.5" r="186" spans="1:10">
      <c r="A186" s="803"/>
      <c r="B186" s="1827"/>
      <c r="C186" s="799" t="s">
        <v>50</v>
      </c>
      <c r="D186" s="1828"/>
      <c r="E186" s="805">
        <f>+'2.CT1A'!$D$190</f>
        <v>0</v>
      </c>
      <c r="F186" s="1829"/>
      <c r="G186" s="799" t="s">
        <v>50</v>
      </c>
      <c r="H186" s="1828"/>
      <c r="I186" s="806">
        <f>+'14.CTT9'!$F$8</f>
        <v>0</v>
      </c>
      <c r="J186" s="797">
        <f si="2" t="shared"/>
        <v>0</v>
      </c>
    </row>
    <row customHeight="1" ht="22.5" r="187" spans="1:10">
      <c r="A187" s="803"/>
      <c r="B187" s="1827" t="s">
        <v>2942</v>
      </c>
      <c r="C187" s="799" t="s">
        <v>49</v>
      </c>
      <c r="D187" s="1828" t="s">
        <v>2758</v>
      </c>
      <c r="E187" s="805">
        <f>+'2.CT1A'!$C$191</f>
        <v>0</v>
      </c>
      <c r="F187" s="1829" t="s">
        <v>2943</v>
      </c>
      <c r="G187" s="799" t="s">
        <v>49</v>
      </c>
      <c r="H187" s="1828" t="s">
        <v>2758</v>
      </c>
      <c r="I187" s="806">
        <f>+'14.CTT9'!$C$9</f>
        <v>0</v>
      </c>
      <c r="J187" s="797">
        <f si="2" t="shared"/>
        <v>0</v>
      </c>
    </row>
    <row customHeight="1" ht="22.5" r="188" spans="1:10">
      <c r="A188" s="803"/>
      <c r="B188" s="1827"/>
      <c r="C188" s="799" t="s">
        <v>50</v>
      </c>
      <c r="D188" s="1828"/>
      <c r="E188" s="805">
        <f>+'2.CT1A'!$D$191</f>
        <v>0</v>
      </c>
      <c r="F188" s="1829"/>
      <c r="G188" s="799" t="s">
        <v>50</v>
      </c>
      <c r="H188" s="1828"/>
      <c r="I188" s="806">
        <f>+'14.CTT9'!$F$9</f>
        <v>0</v>
      </c>
      <c r="J188" s="797">
        <f si="2" t="shared"/>
        <v>0</v>
      </c>
    </row>
    <row customHeight="1" ht="22.5" r="189" spans="1:10">
      <c r="A189" s="803"/>
      <c r="B189" s="1827" t="s">
        <v>2944</v>
      </c>
      <c r="C189" s="799" t="s">
        <v>49</v>
      </c>
      <c r="D189" s="1828" t="s">
        <v>2760</v>
      </c>
      <c r="E189" s="805">
        <f>+'2.CT1A'!$C$200</f>
        <v>0</v>
      </c>
      <c r="F189" s="1829" t="s">
        <v>2945</v>
      </c>
      <c r="G189" s="799" t="s">
        <v>49</v>
      </c>
      <c r="H189" s="1828" t="s">
        <v>2760</v>
      </c>
      <c r="I189" s="806">
        <f>+'14.CTT9'!$C$18</f>
        <v>0</v>
      </c>
      <c r="J189" s="797">
        <f si="2" t="shared"/>
        <v>0</v>
      </c>
    </row>
    <row customHeight="1" ht="22.5" r="190" spans="1:10">
      <c r="A190" s="803"/>
      <c r="B190" s="1827"/>
      <c r="C190" s="799" t="s">
        <v>50</v>
      </c>
      <c r="D190" s="1828"/>
      <c r="E190" s="805">
        <f>+'2.CT1A'!$D$200</f>
        <v>0</v>
      </c>
      <c r="F190" s="1829"/>
      <c r="G190" s="799" t="s">
        <v>50</v>
      </c>
      <c r="H190" s="1828"/>
      <c r="I190" s="806">
        <f>+'14.CTT9'!$F$18</f>
        <v>0</v>
      </c>
      <c r="J190" s="797">
        <f si="2" t="shared"/>
        <v>0</v>
      </c>
    </row>
    <row customHeight="1" ht="22.5" r="191" spans="1:10">
      <c r="A191" s="803"/>
      <c r="B191" s="1827" t="s">
        <v>2946</v>
      </c>
      <c r="C191" s="799" t="s">
        <v>49</v>
      </c>
      <c r="D191" s="1828" t="s">
        <v>2746</v>
      </c>
      <c r="E191" s="805">
        <f>+'2.CT1A'!$C$146</f>
        <v>0</v>
      </c>
      <c r="F191" s="1829" t="s">
        <v>2947</v>
      </c>
      <c r="G191" s="799" t="s">
        <v>49</v>
      </c>
      <c r="H191" s="1828" t="s">
        <v>2746</v>
      </c>
      <c r="I191" s="815">
        <f>+'13.CTT8'!$C$8</f>
        <v>0</v>
      </c>
      <c r="J191" s="797">
        <f si="2" t="shared"/>
        <v>0</v>
      </c>
    </row>
    <row customHeight="1" ht="22.5" r="192" spans="1:10">
      <c r="A192" s="803"/>
      <c r="B192" s="1827"/>
      <c r="C192" s="799" t="s">
        <v>50</v>
      </c>
      <c r="D192" s="1828"/>
      <c r="E192" s="805">
        <f>+'2.CT1A'!$D$146</f>
        <v>0</v>
      </c>
      <c r="F192" s="1829"/>
      <c r="G192" s="799" t="s">
        <v>50</v>
      </c>
      <c r="H192" s="1828"/>
      <c r="I192" s="815">
        <f>+'13.CTT8'!$F$8</f>
        <v>0</v>
      </c>
      <c r="J192" s="797">
        <f si="2" t="shared"/>
        <v>0</v>
      </c>
    </row>
    <row customHeight="1" ht="22.5" r="193" spans="1:10">
      <c r="A193" s="803"/>
      <c r="B193" s="1827" t="s">
        <v>2948</v>
      </c>
      <c r="C193" s="799" t="s">
        <v>49</v>
      </c>
      <c r="D193" s="1828" t="s">
        <v>2752</v>
      </c>
      <c r="E193" s="805">
        <f>+'2.CT1A'!$C$156</f>
        <v>0</v>
      </c>
      <c r="F193" s="1829" t="s">
        <v>2949</v>
      </c>
      <c r="G193" s="799" t="s">
        <v>49</v>
      </c>
      <c r="H193" s="1828" t="s">
        <v>2752</v>
      </c>
      <c r="I193" s="815">
        <f>+'13.CTT8'!$C$18</f>
        <v>0</v>
      </c>
      <c r="J193" s="797">
        <f si="2" t="shared"/>
        <v>0</v>
      </c>
    </row>
    <row customHeight="1" ht="22.5" r="194" spans="1:10">
      <c r="A194" s="803"/>
      <c r="B194" s="1827"/>
      <c r="C194" s="799" t="s">
        <v>50</v>
      </c>
      <c r="D194" s="1828"/>
      <c r="E194" s="805">
        <f>+'2.CT1A'!$D$156</f>
        <v>0</v>
      </c>
      <c r="F194" s="1829"/>
      <c r="G194" s="799" t="s">
        <v>50</v>
      </c>
      <c r="H194" s="1828"/>
      <c r="I194" s="815">
        <f>+'13.CTT8'!$F$18</f>
        <v>0</v>
      </c>
      <c r="J194" s="797">
        <f si="2" t="shared"/>
        <v>0</v>
      </c>
    </row>
    <row customHeight="1" ht="22.5" r="195" spans="1:10">
      <c r="A195" s="803"/>
      <c r="B195" s="1827" t="s">
        <v>2950</v>
      </c>
      <c r="C195" s="799" t="s">
        <v>49</v>
      </c>
      <c r="D195" s="1828" t="s">
        <v>2951</v>
      </c>
      <c r="E195" s="805">
        <f>+'2.CT1A'!$C$171</f>
        <v>0</v>
      </c>
      <c r="F195" s="1829" t="s">
        <v>2952</v>
      </c>
      <c r="G195" s="799" t="s">
        <v>49</v>
      </c>
      <c r="H195" s="1828" t="s">
        <v>2951</v>
      </c>
      <c r="I195" s="815">
        <f>+'13.CTT8'!$C$33</f>
        <v>0</v>
      </c>
      <c r="J195" s="797">
        <f si="2" t="shared"/>
        <v>0</v>
      </c>
    </row>
    <row customHeight="1" ht="22.5" r="196" spans="1:10">
      <c r="A196" s="803"/>
      <c r="B196" s="1827"/>
      <c r="C196" s="799" t="s">
        <v>50</v>
      </c>
      <c r="D196" s="1828"/>
      <c r="E196" s="805">
        <f>+'2.CT1A'!$D$171</f>
        <v>0</v>
      </c>
      <c r="F196" s="1829"/>
      <c r="G196" s="799" t="s">
        <v>50</v>
      </c>
      <c r="H196" s="1828"/>
      <c r="I196" s="815">
        <f>+'13.CTT8'!$F$33</f>
        <v>0</v>
      </c>
      <c r="J196" s="797">
        <f si="2" t="shared"/>
        <v>0</v>
      </c>
    </row>
    <row customHeight="1" ht="22.5" r="197" spans="1:10">
      <c r="A197" s="803"/>
      <c r="B197" s="1827" t="s">
        <v>2953</v>
      </c>
      <c r="C197" s="799" t="s">
        <v>49</v>
      </c>
      <c r="D197" s="1828" t="s">
        <v>2954</v>
      </c>
      <c r="E197" s="805">
        <f>+'2.CT1A'!$C$184</f>
        <v>0</v>
      </c>
      <c r="F197" s="1829" t="s">
        <v>2955</v>
      </c>
      <c r="G197" s="799" t="s">
        <v>49</v>
      </c>
      <c r="H197" s="1828" t="s">
        <v>2954</v>
      </c>
      <c r="I197" s="806">
        <f>+'13.CTT8'!$C$63</f>
        <v>0</v>
      </c>
      <c r="J197" s="797">
        <f>+E197-I197</f>
        <v>0</v>
      </c>
    </row>
    <row customHeight="1" ht="22.5" r="198" spans="1:10">
      <c r="A198" s="803"/>
      <c r="B198" s="1827"/>
      <c r="C198" s="799" t="s">
        <v>50</v>
      </c>
      <c r="D198" s="1828"/>
      <c r="E198" s="805">
        <f>+'2.CT1A'!$D$184</f>
        <v>0</v>
      </c>
      <c r="F198" s="1829"/>
      <c r="G198" s="799" t="s">
        <v>50</v>
      </c>
      <c r="H198" s="1828"/>
      <c r="I198" s="806">
        <f>+'13.CTT8'!$F$63</f>
        <v>0</v>
      </c>
      <c r="J198" s="797">
        <f>+E198-I198</f>
        <v>0</v>
      </c>
    </row>
    <row customHeight="1" ht="22.5" r="199" spans="1:10">
      <c r="A199" s="813"/>
      <c r="B199" s="813"/>
      <c r="C199" s="813"/>
    </row>
  </sheetData>
  <mergeCells count="162">
    <mergeCell ref="B197:B198"/>
    <mergeCell ref="D197:D198"/>
    <mergeCell ref="F197:F198"/>
    <mergeCell ref="H197:H198"/>
    <mergeCell ref="B193:B194"/>
    <mergeCell ref="D193:D194"/>
    <mergeCell ref="F193:F194"/>
    <mergeCell ref="H193:H194"/>
    <mergeCell ref="B195:B196"/>
    <mergeCell ref="D195:D196"/>
    <mergeCell ref="F195:F196"/>
    <mergeCell ref="H195:H196"/>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13:B114"/>
    <mergeCell ref="B115:B116"/>
    <mergeCell ref="B117:B118"/>
    <mergeCell ref="B119:B120"/>
    <mergeCell ref="B121:B122"/>
    <mergeCell ref="B123:B124"/>
    <mergeCell ref="B39:B40"/>
    <mergeCell ref="D39:D40"/>
    <mergeCell ref="F39:F40"/>
    <mergeCell ref="H39:H40"/>
    <mergeCell ref="B41:B42"/>
    <mergeCell ref="D41:D42"/>
    <mergeCell ref="F41:F42"/>
    <mergeCell ref="H41:H42"/>
    <mergeCell ref="B35:B36"/>
    <mergeCell ref="D35:D36"/>
    <mergeCell ref="F35:F36"/>
    <mergeCell ref="H35:H36"/>
    <mergeCell ref="B37:B38"/>
    <mergeCell ref="D37:D38"/>
    <mergeCell ref="F37:F38"/>
    <mergeCell ref="H37:H38"/>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17:B18"/>
    <mergeCell ref="D17:D18"/>
    <mergeCell ref="F17:F18"/>
    <mergeCell ref="H17:H18"/>
    <mergeCell ref="D11:D12"/>
    <mergeCell ref="F11:F12"/>
    <mergeCell ref="H11:H12"/>
    <mergeCell ref="B13:B14"/>
    <mergeCell ref="D13:D14"/>
    <mergeCell ref="F13:F14"/>
    <mergeCell ref="H13:H14"/>
    <mergeCell ref="D7:D8"/>
    <mergeCell ref="H7:H8"/>
    <mergeCell ref="D9:D10"/>
    <mergeCell ref="H9:H10"/>
    <mergeCell ref="D3:D4"/>
    <mergeCell ref="H3:H4"/>
    <mergeCell ref="D5:D6"/>
    <mergeCell ref="H5:H6"/>
    <mergeCell ref="B15:B16"/>
    <mergeCell ref="D15:D16"/>
    <mergeCell ref="F15:F16"/>
    <mergeCell ref="H15:H16"/>
  </mergeCells>
  <printOptions horizontalCentered="1"/>
  <pageMargins bottom="0.75" footer="0.3" header="0.3" left="0.7" right="0.2" top="0.75"/>
  <pageSetup orientation="landscape" paperSize="9" r:id="rId1" scale="95"/>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L273"/>
  <sheetViews>
    <sheetView workbookViewId="0">
      <selection activeCell="D8" sqref="D8"/>
    </sheetView>
  </sheetViews>
  <sheetFormatPr defaultRowHeight="12.75"/>
  <cols>
    <col min="1" max="1" bestFit="true" customWidth="true" style="297" width="8.0" collapsed="true"/>
    <col min="2" max="2" customWidth="true" style="297" width="50.42578125" collapsed="true"/>
    <col min="3" max="3" customWidth="true" style="1603" width="29.28515625" collapsed="true"/>
    <col min="4" max="4" customWidth="true" style="1604" width="25.28515625" collapsed="true"/>
    <col min="5" max="5" customWidth="true" style="1603" width="18.7109375" collapsed="true"/>
    <col min="6" max="6" customWidth="true" style="1602" width="17.0" collapsed="true"/>
    <col min="7" max="12" style="1602" width="9.140625" collapsed="false"/>
    <col min="13" max="16384" style="1602" width="9.140625" collapsed="true"/>
  </cols>
  <sheetData>
    <row r="1" spans="1:6">
      <c r="B1" s="1809" t="str">
        <f>"Байгууллагын нэр: "&amp;ЧХ!$C$7</f>
        <v xml:space="preserve">Байгууллагын нэр: </v>
      </c>
      <c r="C1" s="1809"/>
      <c r="D1" s="1809"/>
      <c r="E1" s="1600"/>
      <c r="F1" s="1601"/>
    </row>
    <row r="2" spans="1:6">
      <c r="B2" s="1598" t="str">
        <f>"Тайлант он: "&amp;ЧХ!$C$8</f>
        <v xml:space="preserve">Тайлант он: </v>
      </c>
    </row>
    <row r="3" spans="1:6">
      <c r="B3" s="1605"/>
      <c r="C3" s="1606"/>
      <c r="D3" s="1607"/>
      <c r="E3" s="1830"/>
      <c r="F3" s="1830"/>
    </row>
    <row customHeight="1" ht="36" r="4" spans="1:6">
      <c r="A4" s="1602"/>
      <c r="B4" s="1831" t="s">
        <v>3594</v>
      </c>
      <c r="C4" s="1831"/>
      <c r="D4" s="1831"/>
      <c r="E4" s="1831"/>
      <c r="F4" s="1608"/>
    </row>
    <row ht="15" r="5" spans="1:6">
      <c r="A5" s="1609"/>
      <c r="B5" s="820"/>
      <c r="C5" s="1610"/>
      <c r="D5" s="1611"/>
      <c r="E5" s="1612"/>
      <c r="F5" s="1613"/>
    </row>
    <row ht="15" r="6" spans="1:6">
      <c r="A6" s="1609"/>
      <c r="B6" s="1614"/>
      <c r="C6" s="1612"/>
      <c r="D6" s="1611"/>
      <c r="E6" s="1612"/>
      <c r="F6" s="1615" t="s">
        <v>794</v>
      </c>
    </row>
    <row customFormat="1" ht="45" r="7" s="297" spans="1:6">
      <c r="A7" s="1616" t="s">
        <v>64</v>
      </c>
      <c r="B7" s="1616" t="s">
        <v>12</v>
      </c>
      <c r="C7" s="1617" t="s">
        <v>6</v>
      </c>
      <c r="D7" s="1617" t="s">
        <v>7</v>
      </c>
      <c r="E7" s="1617" t="s">
        <v>1234</v>
      </c>
      <c r="F7" s="1616" t="s">
        <v>701</v>
      </c>
    </row>
    <row ht="15" r="8" spans="1:6">
      <c r="A8" s="822">
        <f>'3.CT2A'!A8</f>
        <v>1</v>
      </c>
      <c r="B8" s="822" t="str">
        <f>'3.CT2A'!B8</f>
        <v>YЙЛ АЖИЛЛАГААНЫ ОРЛОГЫН ДYН (I)</v>
      </c>
      <c r="C8" s="1618">
        <f>'3.CT2A'!D8</f>
        <v>0</v>
      </c>
      <c r="D8" s="1619">
        <f>VLOOKUP(A8,'4.CT3A'!$A$9:$D$311,4,FALSE)</f>
        <v>0</v>
      </c>
      <c r="E8" s="1619">
        <f ref="E8:E71" si="0" t="shared">+C8-D8</f>
        <v>0</v>
      </c>
      <c r="F8" s="821"/>
    </row>
    <row ht="15" r="9" spans="1:6">
      <c r="A9" s="822">
        <f>'3.CT2A'!A9</f>
        <v>11</v>
      </c>
      <c r="B9" s="822" t="str">
        <f>'3.CT2A'!B9</f>
        <v xml:space="preserve"> ТАТВАРЫН ОРЛОГО</v>
      </c>
      <c r="C9" s="1618">
        <f>'3.CT2A'!D9</f>
        <v>0</v>
      </c>
      <c r="D9" s="1619">
        <f>VLOOKUP(A9,'4.CT3A'!$A$9:$D$311,4,FALSE)</f>
        <v>0</v>
      </c>
      <c r="E9" s="1619">
        <f si="0" t="shared"/>
        <v>0</v>
      </c>
      <c r="F9" s="821"/>
    </row>
    <row ht="15" r="10" spans="1:6">
      <c r="A10" s="822">
        <f>'3.CT2A'!A10</f>
        <v>110</v>
      </c>
      <c r="B10" s="822" t="str">
        <f>'3.CT2A'!B10</f>
        <v xml:space="preserve">   Орлогын албан татвар</v>
      </c>
      <c r="C10" s="1618">
        <f>'3.CT2A'!D10</f>
        <v>0</v>
      </c>
      <c r="D10" s="1619">
        <f>VLOOKUP(A10,'4.CT3A'!$A$9:$D$311,4,FALSE)</f>
        <v>0</v>
      </c>
      <c r="E10" s="1619">
        <f si="0" t="shared"/>
        <v>0</v>
      </c>
      <c r="F10" s="821"/>
    </row>
    <row ht="15" r="11" spans="1:6">
      <c r="A11" s="822">
        <f>'3.CT2A'!A11</f>
        <v>1100</v>
      </c>
      <c r="B11" s="822" t="str">
        <f>'3.CT2A'!B11</f>
        <v xml:space="preserve">     Хувь хүний орлогын албан татвар</v>
      </c>
      <c r="C11" s="1618">
        <f>'3.CT2A'!D11</f>
        <v>0</v>
      </c>
      <c r="D11" s="1619">
        <f>VLOOKUP(A11,'4.CT3A'!$A$9:$D$311,4,FALSE)</f>
        <v>0</v>
      </c>
      <c r="E11" s="1619">
        <f si="0" t="shared"/>
        <v>0</v>
      </c>
      <c r="F11" s="821"/>
    </row>
    <row ht="30" r="12" spans="1:6">
      <c r="A12" s="822">
        <f>'3.CT2A'!A12</f>
        <v>110001</v>
      </c>
      <c r="B12" s="822" t="str">
        <f>'3.CT2A'!B12</f>
        <v xml:space="preserve">       Цалин, хөдөлмөрийн хөлс, шагнал, урамшуулал болон тэдгээртэй адилтгах хөдөлмөр эрх</v>
      </c>
      <c r="C12" s="1618">
        <f>'3.CT2A'!D12</f>
        <v>0</v>
      </c>
      <c r="D12" s="1619">
        <f>VLOOKUP(A12,'4.CT3A'!$A$9:$D$311,4,FALSE)</f>
        <v>0</v>
      </c>
      <c r="E12" s="1619">
        <f si="0" t="shared"/>
        <v>0</v>
      </c>
      <c r="F12" s="821"/>
    </row>
    <row ht="15" r="13" spans="1:6">
      <c r="A13" s="822">
        <f>'3.CT2A'!A13</f>
        <v>110002</v>
      </c>
      <c r="B13" s="822" t="str">
        <f>'3.CT2A'!B13</f>
        <v xml:space="preserve">       Үйл ажиллагааны орлого</v>
      </c>
      <c r="C13" s="1618">
        <f>'3.CT2A'!D13</f>
        <v>0</v>
      </c>
      <c r="D13" s="1619">
        <f>VLOOKUP(A13,'4.CT3A'!$A$9:$D$311,4,FALSE)</f>
        <v>0</v>
      </c>
      <c r="E13" s="1619">
        <f si="0" t="shared"/>
        <v>0</v>
      </c>
      <c r="F13" s="821"/>
    </row>
    <row ht="15" r="14" spans="1:6">
      <c r="A14" s="822">
        <f>'3.CT2A'!A14</f>
        <v>110003</v>
      </c>
      <c r="B14" s="822" t="str">
        <f>'3.CT2A'!B14</f>
        <v xml:space="preserve">       Хөрөнгийн орлого</v>
      </c>
      <c r="C14" s="1618">
        <f>'3.CT2A'!D14</f>
        <v>0</v>
      </c>
      <c r="D14" s="1619">
        <f>VLOOKUP(A14,'4.CT3A'!$A$9:$D$311,4,FALSE)</f>
        <v>0</v>
      </c>
      <c r="E14" s="1619">
        <f si="0" t="shared"/>
        <v>0</v>
      </c>
      <c r="F14" s="821"/>
    </row>
    <row ht="15" r="15" spans="1:6">
      <c r="A15" s="822">
        <f>'3.CT2A'!A15</f>
        <v>110004</v>
      </c>
      <c r="B15" s="822" t="str">
        <f>'3.CT2A'!B15</f>
        <v xml:space="preserve">       Хөрөнгө борлуулсны орлого</v>
      </c>
      <c r="C15" s="1618">
        <f>'3.CT2A'!D15</f>
        <v>0</v>
      </c>
      <c r="D15" s="1619">
        <f>VLOOKUP(A15,'4.CT3A'!$A$9:$D$311,4,FALSE)</f>
        <v>0</v>
      </c>
      <c r="E15" s="1619">
        <f si="0" t="shared"/>
        <v>0</v>
      </c>
      <c r="F15" s="821"/>
    </row>
    <row ht="75" r="16" spans="1:6">
      <c r="A16" s="822">
        <f>'3.CT2A'!A16</f>
        <v>110005</v>
      </c>
      <c r="B16" s="82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18">
        <f>'3.CT2A'!D16</f>
        <v>0</v>
      </c>
      <c r="D16" s="1619">
        <f>VLOOKUP(A16,'4.CT3A'!$A$9:$D$311,4,FALSE)</f>
        <v>0</v>
      </c>
      <c r="E16" s="1619">
        <f si="0" t="shared"/>
        <v>0</v>
      </c>
      <c r="F16" s="821"/>
    </row>
    <row ht="30" r="17" spans="1:6">
      <c r="A17" s="822">
        <f>'3.CT2A'!A17</f>
        <v>110006</v>
      </c>
      <c r="B17" s="822" t="str">
        <f>'3.CT2A'!B17</f>
        <v xml:space="preserve">        Урлагийн тоглолт, спортын тэмцээний шагнал, наадмын бай шагнал</v>
      </c>
      <c r="C17" s="1618">
        <f>'3.CT2A'!D17</f>
        <v>0</v>
      </c>
      <c r="D17" s="1619">
        <f>VLOOKUP(A17,'4.CT3A'!$A$9:$D$311,4,FALSE)</f>
        <v>0</v>
      </c>
      <c r="E17" s="1619">
        <f si="0" t="shared"/>
        <v>0</v>
      </c>
      <c r="F17" s="821"/>
    </row>
    <row ht="30" r="18" spans="1:6">
      <c r="A18" s="822">
        <f>'3.CT2A'!A18</f>
        <v>110007</v>
      </c>
      <c r="B18" s="822" t="str">
        <f>'3.CT2A'!B18</f>
        <v xml:space="preserve">        Төлбөрт таавар, бооцоот тоглоом, эд мөнгөний хонжворт сугалааны орлого</v>
      </c>
      <c r="C18" s="1618">
        <f>'3.CT2A'!D18</f>
        <v>0</v>
      </c>
      <c r="D18" s="1619">
        <f>VLOOKUP(A18,'4.CT3A'!$A$9:$D$311,4,FALSE)</f>
        <v>0</v>
      </c>
      <c r="E18" s="1619">
        <f si="0" t="shared"/>
        <v>0</v>
      </c>
      <c r="F18" s="821"/>
    </row>
    <row ht="15" r="19" spans="1:6">
      <c r="A19" s="822">
        <f>'3.CT2A'!A19</f>
        <v>110008</v>
      </c>
      <c r="B19" s="822" t="str">
        <f>'3.CT2A'!B19</f>
        <v xml:space="preserve">        Шууд бус орлого</v>
      </c>
      <c r="C19" s="1618">
        <f>'3.CT2A'!D19</f>
        <v>0</v>
      </c>
      <c r="D19" s="1619">
        <f>VLOOKUP(A19,'4.CT3A'!$A$9:$D$311,4,FALSE)</f>
        <v>0</v>
      </c>
      <c r="E19" s="1619">
        <f si="0" t="shared"/>
        <v>0</v>
      </c>
      <c r="F19" s="821"/>
    </row>
    <row ht="30" r="20" spans="1:6">
      <c r="A20" s="822">
        <f>'3.CT2A'!A20</f>
        <v>1101</v>
      </c>
      <c r="B20" s="822" t="str">
        <f>'3.CT2A'!B20</f>
        <v xml:space="preserve">     Хувь хүний орлогын албан татварын буцаан олголт</v>
      </c>
      <c r="C20" s="1618">
        <f>'3.CT2A'!D20</f>
        <v>0</v>
      </c>
      <c r="D20" s="1619">
        <f>VLOOKUP(A20,'4.CT3A'!$A$9:$D$311,4,FALSE)</f>
        <v>0</v>
      </c>
      <c r="E20" s="1619">
        <f si="0" t="shared"/>
        <v>0</v>
      </c>
      <c r="F20" s="821"/>
    </row>
    <row ht="30" r="21" spans="1:6">
      <c r="A21" s="822">
        <f>'3.CT2A'!A21</f>
        <v>110101</v>
      </c>
      <c r="B21" s="822" t="str">
        <f>'3.CT2A'!B21</f>
        <v xml:space="preserve">        Хувь хүний орлогын албан татварын буцаан олголт</v>
      </c>
      <c r="C21" s="1618">
        <f>'3.CT2A'!D21</f>
        <v>0</v>
      </c>
      <c r="D21" s="1619">
        <f>VLOOKUP(A21,'4.CT3A'!$A$9:$D$311,4,FALSE)</f>
        <v>0</v>
      </c>
      <c r="E21" s="1619">
        <f si="0" t="shared"/>
        <v>0</v>
      </c>
      <c r="F21" s="821"/>
    </row>
    <row ht="30" r="22" spans="1:6">
      <c r="A22" s="822">
        <f>'3.CT2A'!A22</f>
        <v>1102</v>
      </c>
      <c r="B22" s="822" t="str">
        <f>'3.CT2A'!B22</f>
        <v xml:space="preserve">     Орлогыг нь тухай бүр тодорхойлох боломжгүй ажил, үйлчилгээ хувиараа эрхлэгч</v>
      </c>
      <c r="C22" s="1618">
        <f>'3.CT2A'!D22</f>
        <v>0</v>
      </c>
      <c r="D22" s="1619">
        <f>VLOOKUP(A22,'4.CT3A'!$A$9:$D$311,4,FALSE)</f>
        <v>0</v>
      </c>
      <c r="E22" s="1619">
        <f si="0" t="shared"/>
        <v>0</v>
      </c>
      <c r="F22" s="821"/>
    </row>
    <row ht="45" r="23" spans="1:6">
      <c r="A23" s="822">
        <f>'3.CT2A'!A23</f>
        <v>110201</v>
      </c>
      <c r="B23" s="822" t="str">
        <f>'3.CT2A'!B23</f>
        <v xml:space="preserve">       Орлогыг нь тухай бүр тодорхойлох боломжгүй ажил, үйлчилгээ хувиараа эрхлэгч иргэний орлогын албан татвар</v>
      </c>
      <c r="C23" s="1618">
        <f>'3.CT2A'!D23</f>
        <v>0</v>
      </c>
      <c r="D23" s="1619">
        <f>VLOOKUP(A23,'4.CT3A'!$A$9:$D$311,4,FALSE)</f>
        <v>0</v>
      </c>
      <c r="E23" s="1619">
        <f si="0" t="shared"/>
        <v>0</v>
      </c>
      <c r="F23" s="821"/>
    </row>
    <row ht="15" r="24" spans="1:6">
      <c r="A24" s="822">
        <f>'3.CT2A'!A24</f>
        <v>1103</v>
      </c>
      <c r="B24" s="822" t="str">
        <f>'3.CT2A'!B24</f>
        <v xml:space="preserve">     ААН-ын орлогын албан татвар</v>
      </c>
      <c r="C24" s="1618">
        <f>'3.CT2A'!D24</f>
        <v>0</v>
      </c>
      <c r="D24" s="1619">
        <f>VLOOKUP(A24,'4.CT3A'!$A$9:$D$311,4,FALSE)</f>
        <v>0</v>
      </c>
      <c r="E24" s="1619">
        <f si="0" t="shared"/>
        <v>0</v>
      </c>
      <c r="F24" s="821"/>
    </row>
    <row ht="15" r="25" spans="1:6">
      <c r="A25" s="822">
        <f>'3.CT2A'!A25</f>
        <v>110301</v>
      </c>
      <c r="B25" s="822" t="str">
        <f>'3.CT2A'!B25</f>
        <v xml:space="preserve">        ААН-ын орлогын албан татвар</v>
      </c>
      <c r="C25" s="1618">
        <f>'3.CT2A'!D25</f>
        <v>0</v>
      </c>
      <c r="D25" s="1619">
        <f>VLOOKUP(A25,'4.CT3A'!$A$9:$D$311,4,FALSE)</f>
        <v>0</v>
      </c>
      <c r="E25" s="1619">
        <f si="0" t="shared"/>
        <v>0</v>
      </c>
      <c r="F25" s="821"/>
    </row>
    <row ht="30" r="26" spans="1:6">
      <c r="A26" s="822">
        <f>'3.CT2A'!A26</f>
        <v>1104</v>
      </c>
      <c r="B26" s="822" t="str">
        <f>'3.CT2A'!B26</f>
        <v xml:space="preserve">     Зарим бүтээгдэхүүний үнийн өсөлтийн албан татвар</v>
      </c>
      <c r="C26" s="1618">
        <f>'3.CT2A'!D26</f>
        <v>0</v>
      </c>
      <c r="D26" s="1619">
        <f>VLOOKUP(A26,'4.CT3A'!$A$9:$D$311,4,FALSE)</f>
        <v>0</v>
      </c>
      <c r="E26" s="1619">
        <f si="0" t="shared"/>
        <v>0</v>
      </c>
      <c r="F26" s="821"/>
    </row>
    <row ht="30" r="27" spans="1:6">
      <c r="A27" s="822">
        <f>'3.CT2A'!A27</f>
        <v>110401</v>
      </c>
      <c r="B27" s="822" t="str">
        <f>'3.CT2A'!B27</f>
        <v xml:space="preserve">               Зарим бүтээгдэхүүний үнийн өсөлтийн албан татвар</v>
      </c>
      <c r="C27" s="1618">
        <f>'3.CT2A'!D27</f>
        <v>0</v>
      </c>
      <c r="D27" s="1619">
        <f>VLOOKUP(A27,'4.CT3A'!$A$9:$D$311,4,FALSE)</f>
        <v>0</v>
      </c>
      <c r="E27" s="1619">
        <f si="0" t="shared"/>
        <v>0</v>
      </c>
      <c r="F27" s="821"/>
    </row>
    <row ht="15" r="28" spans="1:6">
      <c r="A28" s="822">
        <f>'3.CT2A'!A28</f>
        <v>112</v>
      </c>
      <c r="B28" s="822" t="str">
        <f>'3.CT2A'!B28</f>
        <v xml:space="preserve">  Нийгмийн даатгалын шимтгэлийн орлого</v>
      </c>
      <c r="C28" s="1618">
        <f>'3.CT2A'!D28</f>
        <v>0</v>
      </c>
      <c r="D28" s="1619">
        <f>VLOOKUP(A28,'4.CT3A'!$A$9:$D$311,4,FALSE)</f>
        <v>0</v>
      </c>
      <c r="E28" s="1619">
        <f si="0" t="shared"/>
        <v>0</v>
      </c>
      <c r="F28" s="821"/>
    </row>
    <row ht="15" r="29" spans="1:6">
      <c r="A29" s="822">
        <f>'3.CT2A'!A29</f>
        <v>112001</v>
      </c>
      <c r="B29" s="822" t="str">
        <f>'3.CT2A'!B29</f>
        <v xml:space="preserve">    Тэтгэврийн даатгалын шимтгэл</v>
      </c>
      <c r="C29" s="1618">
        <f>'3.CT2A'!D29</f>
        <v>0</v>
      </c>
      <c r="D29" s="1619">
        <f>VLOOKUP(A29,'4.CT3A'!$A$9:$D$311,4,FALSE)</f>
        <v>0</v>
      </c>
      <c r="E29" s="1619">
        <f si="0" t="shared"/>
        <v>0</v>
      </c>
      <c r="F29" s="821"/>
    </row>
    <row ht="15" r="30" spans="1:6">
      <c r="A30" s="822">
        <f>'3.CT2A'!A30</f>
        <v>112002</v>
      </c>
      <c r="B30" s="822" t="str">
        <f>'3.CT2A'!B30</f>
        <v xml:space="preserve">    Тэтгэмжийн даатгалын шимтгэл</v>
      </c>
      <c r="C30" s="1618">
        <f>'3.CT2A'!D30</f>
        <v>0</v>
      </c>
      <c r="D30" s="1619">
        <f>VLOOKUP(A30,'4.CT3A'!$A$9:$D$311,4,FALSE)</f>
        <v>0</v>
      </c>
      <c r="E30" s="1619">
        <f si="0" t="shared"/>
        <v>0</v>
      </c>
      <c r="F30" s="821"/>
    </row>
    <row ht="15" r="31" spans="1:6">
      <c r="A31" s="822">
        <f>'3.CT2A'!A31</f>
        <v>112003</v>
      </c>
      <c r="B31" s="822" t="str">
        <f>'3.CT2A'!B31</f>
        <v xml:space="preserve">    ҮОМШ өвчний даатгалын шимтгэл</v>
      </c>
      <c r="C31" s="1618">
        <f>'3.CT2A'!D31</f>
        <v>0</v>
      </c>
      <c r="D31" s="1619">
        <f>VLOOKUP(A31,'4.CT3A'!$A$9:$D$311,4,FALSE)</f>
        <v>0</v>
      </c>
      <c r="E31" s="1619">
        <f si="0" t="shared"/>
        <v>0</v>
      </c>
      <c r="F31" s="821"/>
    </row>
    <row ht="15" r="32" spans="1:6">
      <c r="A32" s="822">
        <f>'3.CT2A'!A32</f>
        <v>112004</v>
      </c>
      <c r="B32" s="822" t="str">
        <f>'3.CT2A'!B32</f>
        <v xml:space="preserve">    Ажилгүйдлийн даатгалын шимтгэл</v>
      </c>
      <c r="C32" s="1618">
        <f>'3.CT2A'!D32</f>
        <v>0</v>
      </c>
      <c r="D32" s="1619">
        <f>VLOOKUP(A32,'4.CT3A'!$A$9:$D$311,4,FALSE)</f>
        <v>0</v>
      </c>
      <c r="E32" s="1619">
        <f si="0" t="shared"/>
        <v>0</v>
      </c>
      <c r="F32" s="821"/>
    </row>
    <row ht="15" r="33" spans="1:6">
      <c r="A33" s="822">
        <f>'3.CT2A'!A33</f>
        <v>112005</v>
      </c>
      <c r="B33" s="822" t="str">
        <f>'3.CT2A'!B33</f>
        <v xml:space="preserve">    Эрүүл мэндийн даатгалын шимтгэл</v>
      </c>
      <c r="C33" s="1618">
        <f>'3.CT2A'!D33</f>
        <v>0</v>
      </c>
      <c r="D33" s="1619">
        <f>VLOOKUP(A33,'4.CT3A'!$A$9:$D$311,4,FALSE)</f>
        <v>0</v>
      </c>
      <c r="E33" s="1619">
        <f si="0" t="shared"/>
        <v>0</v>
      </c>
      <c r="F33" s="821"/>
    </row>
    <row ht="15" r="34" spans="1:6">
      <c r="A34" s="822">
        <f>'3.CT2A'!A34</f>
        <v>113</v>
      </c>
      <c r="B34" s="822" t="str">
        <f>'3.CT2A'!B34</f>
        <v xml:space="preserve">  Хөрөнгийн албан татвар</v>
      </c>
      <c r="C34" s="1618">
        <f>'3.CT2A'!D34</f>
        <v>0</v>
      </c>
      <c r="D34" s="1619">
        <f>VLOOKUP(A34,'4.CT3A'!$A$9:$D$311,4,FALSE)</f>
        <v>0</v>
      </c>
      <c r="E34" s="1619">
        <f si="0" t="shared"/>
        <v>0</v>
      </c>
      <c r="F34" s="821"/>
    </row>
    <row ht="15" r="35" spans="1:6">
      <c r="A35" s="822">
        <f>'3.CT2A'!A35</f>
        <v>113001</v>
      </c>
      <c r="B35" s="822" t="str">
        <f>'3.CT2A'!B35</f>
        <v xml:space="preserve">    Үл хөдлөх эд хөрөнгийн албан татвар</v>
      </c>
      <c r="C35" s="1618">
        <f>'3.CT2A'!D35</f>
        <v>0</v>
      </c>
      <c r="D35" s="1619">
        <f>VLOOKUP(A35,'4.CT3A'!$A$9:$D$311,4,FALSE)</f>
        <v>0</v>
      </c>
      <c r="E35" s="1619">
        <f si="0" t="shared"/>
        <v>0</v>
      </c>
      <c r="F35" s="821"/>
    </row>
    <row ht="15" r="36" spans="1:6">
      <c r="A36" s="822">
        <f>'3.CT2A'!A36</f>
        <v>113002</v>
      </c>
      <c r="B36" s="822" t="str">
        <f>'3.CT2A'!B36</f>
        <v xml:space="preserve">    Бууны албан татвар</v>
      </c>
      <c r="C36" s="1618">
        <f>'3.CT2A'!D36</f>
        <v>0</v>
      </c>
      <c r="D36" s="1619">
        <f>VLOOKUP(A36,'4.CT3A'!$A$9:$D$311,4,FALSE)</f>
        <v>0</v>
      </c>
      <c r="E36" s="1619">
        <f si="0" t="shared"/>
        <v>0</v>
      </c>
      <c r="F36" s="821"/>
    </row>
    <row ht="30" r="37" spans="1:6">
      <c r="A37" s="822">
        <f>'3.CT2A'!A37</f>
        <v>113003</v>
      </c>
      <c r="B37" s="822" t="str">
        <f>'3.CT2A'!B37</f>
        <v xml:space="preserve">    Автотээврийн болон өөрөө явагч хэрэгслийн албан татвар</v>
      </c>
      <c r="C37" s="1618">
        <f>'3.CT2A'!D37</f>
        <v>0</v>
      </c>
      <c r="D37" s="1619">
        <f>VLOOKUP(A37,'4.CT3A'!$A$9:$D$311,4,FALSE)</f>
        <v>0</v>
      </c>
      <c r="E37" s="1619">
        <f si="0" t="shared"/>
        <v>0</v>
      </c>
      <c r="F37" s="821"/>
    </row>
    <row ht="15" r="38" spans="1:6">
      <c r="A38" s="822">
        <f>'3.CT2A'!A38</f>
        <v>113004</v>
      </c>
      <c r="B38" s="822" t="str">
        <f>'3.CT2A'!B38</f>
        <v xml:space="preserve">    Малд ногдуулах албан татвар</v>
      </c>
      <c r="C38" s="1618">
        <f>'3.CT2A'!D38</f>
        <v>0</v>
      </c>
      <c r="D38" s="1619">
        <f>VLOOKUP(A38,'4.CT3A'!$A$9:$D$311,4,FALSE)</f>
        <v>0</v>
      </c>
      <c r="E38" s="1619">
        <f si="0" t="shared"/>
        <v>0</v>
      </c>
      <c r="F38" s="821"/>
    </row>
    <row ht="15" r="39" spans="1:6">
      <c r="A39" s="822">
        <f>'3.CT2A'!A39</f>
        <v>114</v>
      </c>
      <c r="B39" s="822" t="str">
        <f>'3.CT2A'!B39</f>
        <v xml:space="preserve">  Нэмэгдсэн өртгийн албан татвар</v>
      </c>
      <c r="C39" s="1618">
        <f>'3.CT2A'!D39</f>
        <v>0</v>
      </c>
      <c r="D39" s="1619">
        <f>VLOOKUP(A39,'4.CT3A'!$A$9:$D$311,4,FALSE)</f>
        <v>0</v>
      </c>
      <c r="E39" s="1619">
        <f si="0" t="shared"/>
        <v>0</v>
      </c>
      <c r="F39" s="821"/>
    </row>
    <row ht="15" r="40" spans="1:6">
      <c r="A40" s="822">
        <f>'3.CT2A'!A40</f>
        <v>114001</v>
      </c>
      <c r="B40" s="822" t="str">
        <f>'3.CT2A'!B40</f>
        <v xml:space="preserve">    Дотоодын барааны НӨАТ</v>
      </c>
      <c r="C40" s="1618">
        <f>'3.CT2A'!D40</f>
        <v>0</v>
      </c>
      <c r="D40" s="1619">
        <f>VLOOKUP(A40,'4.CT3A'!$A$9:$D$311,4,FALSE)</f>
        <v>0</v>
      </c>
      <c r="E40" s="1619">
        <f si="0" t="shared"/>
        <v>0</v>
      </c>
      <c r="F40" s="821"/>
    </row>
    <row ht="15" r="41" spans="1:6">
      <c r="A41" s="822">
        <f>'3.CT2A'!A41</f>
        <v>114002</v>
      </c>
      <c r="B41" s="822" t="str">
        <f>'3.CT2A'!B41</f>
        <v xml:space="preserve">    Импортын барааны НӨАТ</v>
      </c>
      <c r="C41" s="1618">
        <f>'3.CT2A'!D41</f>
        <v>0</v>
      </c>
      <c r="D41" s="1619">
        <f>VLOOKUP(A41,'4.CT3A'!$A$9:$D$311,4,FALSE)</f>
        <v>0</v>
      </c>
      <c r="E41" s="1619">
        <f si="0" t="shared"/>
        <v>0</v>
      </c>
      <c r="F41" s="821"/>
    </row>
    <row ht="15" r="42" spans="1:6">
      <c r="A42" s="822">
        <f>'3.CT2A'!A42</f>
        <v>114003</v>
      </c>
      <c r="B42" s="822" t="str">
        <f>'3.CT2A'!B42</f>
        <v xml:space="preserve">    НӨАТ-ын буцаан олголт</v>
      </c>
      <c r="C42" s="1618">
        <f>'3.CT2A'!D42</f>
        <v>0</v>
      </c>
      <c r="D42" s="1619">
        <f>VLOOKUP(A42,'4.CT3A'!$A$9:$D$311,4,FALSE)</f>
        <v>0</v>
      </c>
      <c r="E42" s="1619">
        <f si="0" t="shared"/>
        <v>0</v>
      </c>
      <c r="F42" s="821"/>
    </row>
    <row ht="15" r="43" spans="1:6">
      <c r="A43" s="822">
        <f>'3.CT2A'!A43</f>
        <v>115</v>
      </c>
      <c r="B43" s="822" t="str">
        <f>'3.CT2A'!B43</f>
        <v xml:space="preserve">  Онцгой албан татвар</v>
      </c>
      <c r="C43" s="1618">
        <f>'3.CT2A'!D43</f>
        <v>0</v>
      </c>
      <c r="D43" s="1619">
        <f>VLOOKUP(A43,'4.CT3A'!$A$9:$D$311,4,FALSE)</f>
        <v>0</v>
      </c>
      <c r="E43" s="1619">
        <f si="0" t="shared"/>
        <v>0</v>
      </c>
      <c r="F43" s="821"/>
    </row>
    <row ht="15" r="44" spans="1:6">
      <c r="A44" s="822">
        <f>'3.CT2A'!A44</f>
        <v>115001</v>
      </c>
      <c r="B44" s="822" t="str">
        <f>'3.CT2A'!B44</f>
        <v xml:space="preserve">    Дотоодын архи, дарсны онцгой албан татвар</v>
      </c>
      <c r="C44" s="1618">
        <f>'3.CT2A'!D44</f>
        <v>0</v>
      </c>
      <c r="D44" s="1619">
        <f>VLOOKUP(A44,'4.CT3A'!$A$9:$D$311,4,FALSE)</f>
        <v>0</v>
      </c>
      <c r="E44" s="1619">
        <f si="0" t="shared"/>
        <v>0</v>
      </c>
      <c r="F44" s="821"/>
    </row>
    <row ht="15" r="45" spans="1:6">
      <c r="A45" s="822">
        <f>'3.CT2A'!A45</f>
        <v>115002</v>
      </c>
      <c r="B45" s="822" t="str">
        <f>'3.CT2A'!B45</f>
        <v xml:space="preserve">    Дотоодын тамхины онцгой албан татвар</v>
      </c>
      <c r="C45" s="1618">
        <f>'3.CT2A'!D45</f>
        <v>0</v>
      </c>
      <c r="D45" s="1619">
        <f>VLOOKUP(A45,'4.CT3A'!$A$9:$D$311,4,FALSE)</f>
        <v>0</v>
      </c>
      <c r="E45" s="1619">
        <f si="0" t="shared"/>
        <v>0</v>
      </c>
      <c r="F45" s="821"/>
    </row>
    <row ht="15" r="46" spans="1:6">
      <c r="A46" s="822">
        <f>'3.CT2A'!A46</f>
        <v>115003</v>
      </c>
      <c r="B46" s="822" t="str">
        <f>'3.CT2A'!B46</f>
        <v xml:space="preserve">    Дотоодын пивоны онцгой албан татвар</v>
      </c>
      <c r="C46" s="1618">
        <f>'3.CT2A'!D46</f>
        <v>0</v>
      </c>
      <c r="D46" s="1619">
        <f>VLOOKUP(A46,'4.CT3A'!$A$9:$D$311,4,FALSE)</f>
        <v>0</v>
      </c>
      <c r="E46" s="1619">
        <f si="0" t="shared"/>
        <v>0</v>
      </c>
      <c r="F46" s="821"/>
    </row>
    <row ht="15" r="47" spans="1:6">
      <c r="A47" s="822">
        <f>'3.CT2A'!A47</f>
        <v>115004</v>
      </c>
      <c r="B47" s="822" t="str">
        <f>'3.CT2A'!B47</f>
        <v xml:space="preserve">    Имтортын архи, дарсны онцгой албан татвар</v>
      </c>
      <c r="C47" s="1618">
        <f>'3.CT2A'!D47</f>
        <v>0</v>
      </c>
      <c r="D47" s="1619">
        <f>VLOOKUP(A47,'4.CT3A'!$A$9:$D$311,4,FALSE)</f>
        <v>0</v>
      </c>
      <c r="E47" s="1619">
        <f si="0" t="shared"/>
        <v>0</v>
      </c>
      <c r="F47" s="821"/>
    </row>
    <row ht="15" r="48" spans="1:6">
      <c r="A48" s="822">
        <f>'3.CT2A'!A48</f>
        <v>115005</v>
      </c>
      <c r="B48" s="822" t="str">
        <f>'3.CT2A'!B48</f>
        <v xml:space="preserve">    Имтортын тамхины онцгой албан татвар</v>
      </c>
      <c r="C48" s="1618">
        <f>'3.CT2A'!D48</f>
        <v>0</v>
      </c>
      <c r="D48" s="1619">
        <f>VLOOKUP(A48,'4.CT3A'!$A$9:$D$311,4,FALSE)</f>
        <v>0</v>
      </c>
      <c r="E48" s="1619">
        <f si="0" t="shared"/>
        <v>0</v>
      </c>
      <c r="F48" s="821"/>
    </row>
    <row ht="15" r="49" spans="1:6">
      <c r="A49" s="822">
        <f>'3.CT2A'!A49</f>
        <v>115006</v>
      </c>
      <c r="B49" s="822" t="str">
        <f>'3.CT2A'!B49</f>
        <v xml:space="preserve">    Имтортын пивоны онцгой албан татвар</v>
      </c>
      <c r="C49" s="1618">
        <f>'3.CT2A'!D49</f>
        <v>0</v>
      </c>
      <c r="D49" s="1619">
        <f>VLOOKUP(A49,'4.CT3A'!$A$9:$D$311,4,FALSE)</f>
        <v>0</v>
      </c>
      <c r="E49" s="1619">
        <f si="0" t="shared"/>
        <v>0</v>
      </c>
      <c r="F49" s="821"/>
    </row>
    <row ht="15" r="50" spans="1:6">
      <c r="A50" s="822">
        <f>'3.CT2A'!A50</f>
        <v>115007</v>
      </c>
      <c r="B50" s="822" t="str">
        <f>'3.CT2A'!B50</f>
        <v xml:space="preserve">    Суудлын автомашины онцгой албан татвар</v>
      </c>
      <c r="C50" s="1618">
        <f>'3.CT2A'!D50</f>
        <v>0</v>
      </c>
      <c r="D50" s="1619">
        <f>VLOOKUP(A50,'4.CT3A'!$A$9:$D$311,4,FALSE)</f>
        <v>0</v>
      </c>
      <c r="E50" s="1619">
        <f si="0" t="shared"/>
        <v>0</v>
      </c>
      <c r="F50" s="821"/>
    </row>
    <row ht="30" r="51" spans="1:6">
      <c r="A51" s="822">
        <f>'3.CT2A'!A51</f>
        <v>115008</v>
      </c>
      <c r="B51" s="822" t="str">
        <f>'3.CT2A'!B51</f>
        <v xml:space="preserve">    Автобензин, дизелийн түлшний онцгой албан татвар</v>
      </c>
      <c r="C51" s="1618">
        <f>'3.CT2A'!D51</f>
        <v>0</v>
      </c>
      <c r="D51" s="1619">
        <f>VLOOKUP(A51,'4.CT3A'!$A$9:$D$311,4,FALSE)</f>
        <v>0</v>
      </c>
      <c r="E51" s="1619">
        <f si="0" t="shared"/>
        <v>0</v>
      </c>
      <c r="F51" s="821"/>
    </row>
    <row ht="15" r="52" spans="1:6">
      <c r="A52" s="822">
        <f>'3.CT2A'!A52</f>
        <v>116</v>
      </c>
      <c r="B52" s="822" t="str">
        <f>'3.CT2A'!B52</f>
        <v xml:space="preserve">  Тусгай зориулалтын орлого</v>
      </c>
      <c r="C52" s="1618">
        <f>'3.CT2A'!D52</f>
        <v>0</v>
      </c>
      <c r="D52" s="1619">
        <f>VLOOKUP(A52,'4.CT3A'!$A$9:$D$311,4,FALSE)</f>
        <v>0</v>
      </c>
      <c r="E52" s="1619">
        <f si="0" t="shared"/>
        <v>0</v>
      </c>
      <c r="F52" s="821"/>
    </row>
    <row ht="15" r="53" spans="1:6">
      <c r="A53" s="822">
        <f>'3.CT2A'!A53</f>
        <v>116001</v>
      </c>
      <c r="B53" s="822" t="str">
        <f>'3.CT2A'!B53</f>
        <v xml:space="preserve">    Автобензин, дизелийн түлшний албан татвар</v>
      </c>
      <c r="C53" s="1618">
        <f>'3.CT2A'!D53</f>
        <v>0</v>
      </c>
      <c r="D53" s="1619">
        <f>VLOOKUP(A53,'4.CT3A'!$A$9:$D$311,4,FALSE)</f>
        <v>0</v>
      </c>
      <c r="E53" s="1619">
        <f si="0" t="shared"/>
        <v>0</v>
      </c>
      <c r="F53" s="821"/>
    </row>
    <row ht="15" r="54" spans="1:6">
      <c r="A54" s="822">
        <f>'3.CT2A'!A54</f>
        <v>117</v>
      </c>
      <c r="B54" s="822" t="str">
        <f>'3.CT2A'!B54</f>
        <v xml:space="preserve">  Гадаад үйл ажиллагааны орлого</v>
      </c>
      <c r="C54" s="1618">
        <f>'3.CT2A'!D54</f>
        <v>0</v>
      </c>
      <c r="D54" s="1619">
        <f>VLOOKUP(A54,'4.CT3A'!$A$9:$D$311,4,FALSE)</f>
        <v>0</v>
      </c>
      <c r="E54" s="1619">
        <f si="0" t="shared"/>
        <v>0</v>
      </c>
      <c r="F54" s="821"/>
    </row>
    <row ht="15" r="55" spans="1:6">
      <c r="A55" s="822">
        <f>'3.CT2A'!A55</f>
        <v>117001</v>
      </c>
      <c r="B55" s="822" t="str">
        <f>'3.CT2A'!B55</f>
        <v xml:space="preserve">    Импортын гаалийн албан татвар</v>
      </c>
      <c r="C55" s="1618">
        <f>'3.CT2A'!D55</f>
        <v>0</v>
      </c>
      <c r="D55" s="1619">
        <f>VLOOKUP(A55,'4.CT3A'!$A$9:$D$311,4,FALSE)</f>
        <v>0</v>
      </c>
      <c r="E55" s="1619">
        <f si="0" t="shared"/>
        <v>0</v>
      </c>
      <c r="F55" s="821"/>
    </row>
    <row ht="15" r="56" spans="1:6">
      <c r="A56" s="822">
        <f>'3.CT2A'!A56</f>
        <v>117002</v>
      </c>
      <c r="B56" s="822" t="str">
        <f>'3.CT2A'!B56</f>
        <v xml:space="preserve">    Экспортын гаалийн албан татвар</v>
      </c>
      <c r="C56" s="1618">
        <f>'3.CT2A'!D56</f>
        <v>0</v>
      </c>
      <c r="D56" s="1619">
        <f>VLOOKUP(A56,'4.CT3A'!$A$9:$D$311,4,FALSE)</f>
        <v>0</v>
      </c>
      <c r="E56" s="1619">
        <f si="0" t="shared"/>
        <v>0</v>
      </c>
      <c r="F56" s="821"/>
    </row>
    <row ht="15" r="57" spans="1:6">
      <c r="A57" s="822">
        <f>'3.CT2A'!A57</f>
        <v>118</v>
      </c>
      <c r="B57" s="822" t="str">
        <f>'3.CT2A'!B57</f>
        <v xml:space="preserve">  Бусад татвар, төлбөр, хураамж</v>
      </c>
      <c r="C57" s="1618">
        <f>'3.CT2A'!D57</f>
        <v>0</v>
      </c>
      <c r="D57" s="1619">
        <f>VLOOKUP(A57,'4.CT3A'!$A$9:$D$311,4,FALSE)</f>
        <v>0</v>
      </c>
      <c r="E57" s="1619">
        <f si="0" t="shared"/>
        <v>0</v>
      </c>
      <c r="F57" s="821"/>
    </row>
    <row ht="15" r="58" spans="1:6">
      <c r="A58" s="822">
        <f>'3.CT2A'!A58</f>
        <v>1180</v>
      </c>
      <c r="B58" s="822" t="str">
        <f>'3.CT2A'!B58</f>
        <v xml:space="preserve">    Бусад нийтлэг төлбөр, хураамж</v>
      </c>
      <c r="C58" s="1618">
        <f>'3.CT2A'!D58</f>
        <v>0</v>
      </c>
      <c r="D58" s="1619">
        <f>VLOOKUP(A58,'4.CT3A'!$A$9:$D$311,4,FALSE)</f>
        <v>0</v>
      </c>
      <c r="E58" s="1619">
        <f si="0" t="shared"/>
        <v>0</v>
      </c>
      <c r="F58" s="821"/>
    </row>
    <row ht="15" r="59" spans="1:6">
      <c r="A59" s="822">
        <f>'3.CT2A'!A59</f>
        <v>118001</v>
      </c>
      <c r="B59" s="822" t="str">
        <f>'3.CT2A'!B59</f>
        <v xml:space="preserve">      Улсын тэмдэгтийн хураамж</v>
      </c>
      <c r="C59" s="1618">
        <f>'3.CT2A'!D59</f>
        <v>0</v>
      </c>
      <c r="D59" s="1619">
        <f>VLOOKUP(A59,'4.CT3A'!$A$9:$D$311,4,FALSE)</f>
        <v>0</v>
      </c>
      <c r="E59" s="1619">
        <f si="0" t="shared"/>
        <v>0</v>
      </c>
      <c r="F59" s="821"/>
    </row>
    <row ht="30" r="60" spans="1:6">
      <c r="A60" s="822">
        <f>'3.CT2A'!A60</f>
        <v>118002</v>
      </c>
      <c r="B60" s="822" t="str">
        <f>'3.CT2A'!B60</f>
        <v xml:space="preserve">      Ашигт малтмалын хайгуулын болон ашиглалтын тусгай зөвшөөрлийн төлбөр</v>
      </c>
      <c r="C60" s="1618">
        <f>'3.CT2A'!D60</f>
        <v>0</v>
      </c>
      <c r="D60" s="1619">
        <f>VLOOKUP(A60,'4.CT3A'!$A$9:$D$311,4,FALSE)</f>
        <v>0</v>
      </c>
      <c r="E60" s="1619">
        <f si="0" t="shared"/>
        <v>0</v>
      </c>
      <c r="F60" s="821"/>
    </row>
    <row ht="30" r="61" spans="1:6">
      <c r="A61" s="822">
        <f>'3.CT2A'!A61</f>
        <v>118003</v>
      </c>
      <c r="B61" s="822" t="str">
        <f>'3.CT2A'!B61</f>
        <v xml:space="preserve">      Улсын төсвийн хөрөнгөөр хайгуул хийсэн ордын нөхөн төлбөр</v>
      </c>
      <c r="C61" s="1618">
        <f>'3.CT2A'!D61</f>
        <v>0</v>
      </c>
      <c r="D61" s="1619">
        <f>VLOOKUP(A61,'4.CT3A'!$A$9:$D$311,4,FALSE)</f>
        <v>0</v>
      </c>
      <c r="E61" s="1619">
        <f si="0" t="shared"/>
        <v>0</v>
      </c>
      <c r="F61" s="821"/>
    </row>
    <row ht="15" r="62" spans="1:6">
      <c r="A62" s="822">
        <f>'3.CT2A'!A62</f>
        <v>118004</v>
      </c>
      <c r="B62" s="822" t="str">
        <f>'3.CT2A'!B62</f>
        <v xml:space="preserve">      Ашигт малтмалын нөөц ашигласны төлбөр</v>
      </c>
      <c r="C62" s="1618">
        <f>'3.CT2A'!D62</f>
        <v>0</v>
      </c>
      <c r="D62" s="1619">
        <f>VLOOKUP(A62,'4.CT3A'!$A$9:$D$311,4,FALSE)</f>
        <v>0</v>
      </c>
      <c r="E62" s="1619">
        <f si="0" t="shared"/>
        <v>0</v>
      </c>
      <c r="F62" s="821"/>
    </row>
    <row ht="15" r="63" spans="1:6">
      <c r="A63" s="822">
        <f>'3.CT2A'!A63</f>
        <v>118005</v>
      </c>
      <c r="B63" s="822" t="str">
        <f>'3.CT2A'!B63</f>
        <v xml:space="preserve">      Агаарын бохирдлын төлбөр</v>
      </c>
      <c r="C63" s="1618">
        <f>'3.CT2A'!D63</f>
        <v>0</v>
      </c>
      <c r="D63" s="1619">
        <f>VLOOKUP(A63,'4.CT3A'!$A$9:$D$311,4,FALSE)</f>
        <v>0</v>
      </c>
      <c r="E63" s="1619">
        <f si="0" t="shared"/>
        <v>0</v>
      </c>
      <c r="F63" s="821"/>
    </row>
    <row ht="30" r="64" spans="1:6">
      <c r="A64" s="822">
        <f>'3.CT2A'!A64</f>
        <v>118006</v>
      </c>
      <c r="B64" s="822" t="str">
        <f>'3.CT2A'!B64</f>
        <v xml:space="preserve">      Түгээмэл тархацтай ашигт малтмал ашигласны төлбөр</v>
      </c>
      <c r="C64" s="1618">
        <f>'3.CT2A'!D64</f>
        <v>0</v>
      </c>
      <c r="D64" s="1619">
        <f>VLOOKUP(A64,'4.CT3A'!$A$9:$D$311,4,FALSE)</f>
        <v>0</v>
      </c>
      <c r="E64" s="1619">
        <f si="0" t="shared"/>
        <v>0</v>
      </c>
      <c r="F64" s="821"/>
    </row>
    <row ht="15" r="65" spans="1:6">
      <c r="A65" s="822">
        <f>'3.CT2A'!A65</f>
        <v>118007</v>
      </c>
      <c r="B65" s="822" t="str">
        <f>'3.CT2A'!B65</f>
        <v xml:space="preserve">      Ус бохирдлын төлбөр</v>
      </c>
      <c r="C65" s="1618">
        <f>'3.CT2A'!D65</f>
        <v>0</v>
      </c>
      <c r="D65" s="1619">
        <f>VLOOKUP(A65,'4.CT3A'!$A$9:$D$311,4,FALSE)</f>
        <v>0</v>
      </c>
      <c r="E65" s="1619">
        <f si="0" t="shared"/>
        <v>0</v>
      </c>
      <c r="F65" s="821"/>
    </row>
    <row ht="30" r="66" spans="1:6">
      <c r="A66" s="822">
        <f>'3.CT2A'!A66</f>
        <v>118008</v>
      </c>
      <c r="B66" s="822" t="str">
        <f>'3.CT2A'!B66</f>
        <v xml:space="preserve">      Улсын төсвийн хөрөнгөөр тогтоосон усны нөөцийн зардлын нөхөн төлбөр</v>
      </c>
      <c r="C66" s="1618">
        <f>'3.CT2A'!D66</f>
        <v>0</v>
      </c>
      <c r="D66" s="1619">
        <f>VLOOKUP(A66,'4.CT3A'!$A$9:$D$311,4,FALSE)</f>
        <v>0</v>
      </c>
      <c r="E66" s="1619">
        <f si="0" t="shared"/>
        <v>0</v>
      </c>
      <c r="F66" s="821"/>
    </row>
    <row ht="15" r="67" spans="1:6">
      <c r="A67" s="822">
        <f>'3.CT2A'!A67</f>
        <v>118009</v>
      </c>
      <c r="B67" s="822" t="str">
        <f>'3.CT2A'!B67</f>
        <v xml:space="preserve">      Хог хаягдлын үйлчилгээний хураамж</v>
      </c>
      <c r="C67" s="1618">
        <f>'3.CT2A'!D67</f>
        <v>0</v>
      </c>
      <c r="D67" s="1619">
        <f>VLOOKUP(A67,'4.CT3A'!$A$9:$D$311,4,FALSE)</f>
        <v>0</v>
      </c>
      <c r="E67" s="1619">
        <f si="0" t="shared"/>
        <v>0</v>
      </c>
      <c r="F67" s="821"/>
    </row>
    <row ht="30" r="68" spans="1:6">
      <c r="A68" s="822">
        <f>'3.CT2A'!A68</f>
        <v>118010</v>
      </c>
      <c r="B68" s="822" t="str">
        <f>'3.CT2A'!B68</f>
        <v xml:space="preserve">      Ашигт малтмалаас бусад байгалийн баялаг ашиглахад олгох эрхийн зөвшөөрлийн хураамж</v>
      </c>
      <c r="C68" s="1618">
        <f>'3.CT2A'!D68</f>
        <v>0</v>
      </c>
      <c r="D68" s="1619">
        <f>VLOOKUP(A68,'4.CT3A'!$A$9:$D$311,4,FALSE)</f>
        <v>0</v>
      </c>
      <c r="E68" s="1619">
        <f si="0" t="shared"/>
        <v>0</v>
      </c>
      <c r="F68" s="821"/>
    </row>
    <row ht="15" r="69" spans="1:6">
      <c r="A69" s="822">
        <f>'3.CT2A'!A69</f>
        <v>118011</v>
      </c>
      <c r="B69" s="822" t="str">
        <f>'3.CT2A'!B69</f>
        <v xml:space="preserve">      Бусад татвар</v>
      </c>
      <c r="C69" s="1618">
        <f>'3.CT2A'!D69</f>
        <v>0</v>
      </c>
      <c r="D69" s="1619">
        <f>VLOOKUP(A69,'4.CT3A'!$A$9:$D$311,4,FALSE)</f>
        <v>0</v>
      </c>
      <c r="E69" s="1619">
        <f si="0" t="shared"/>
        <v>0</v>
      </c>
      <c r="F69" s="821"/>
    </row>
    <row ht="15" r="70" spans="1:6">
      <c r="A70" s="822">
        <f>'3.CT2A'!A70</f>
        <v>1181</v>
      </c>
      <c r="B70" s="822" t="str">
        <f>'3.CT2A'!B70</f>
        <v xml:space="preserve">    Газрын төлбөр</v>
      </c>
      <c r="C70" s="1618">
        <f>'3.CT2A'!D70</f>
        <v>0</v>
      </c>
      <c r="D70" s="1619">
        <f>VLOOKUP(A70,'4.CT3A'!$A$9:$D$311,4,FALSE)</f>
        <v>0</v>
      </c>
      <c r="E70" s="1619">
        <f si="0" t="shared"/>
        <v>0</v>
      </c>
      <c r="F70" s="821"/>
    </row>
    <row ht="15" r="71" spans="1:6">
      <c r="A71" s="822">
        <f>'3.CT2A'!A71</f>
        <v>118101</v>
      </c>
      <c r="B71" s="822" t="str">
        <f>'3.CT2A'!B71</f>
        <v xml:space="preserve">      Газрын төлбөр</v>
      </c>
      <c r="C71" s="1618">
        <f>'3.CT2A'!D71</f>
        <v>0</v>
      </c>
      <c r="D71" s="1619">
        <f>VLOOKUP(A71,'4.CT3A'!$A$9:$D$311,4,FALSE)</f>
        <v>0</v>
      </c>
      <c r="E71" s="1619">
        <f si="0" t="shared"/>
        <v>0</v>
      </c>
      <c r="F71" s="821"/>
    </row>
    <row ht="15" r="72" spans="1:6">
      <c r="A72" s="822">
        <f>'3.CT2A'!A72</f>
        <v>118102</v>
      </c>
      <c r="B72" s="822" t="str">
        <f>'3.CT2A'!B72</f>
        <v xml:space="preserve">      Дуудлага худалдаа</v>
      </c>
      <c r="C72" s="1618">
        <f>'3.CT2A'!D72</f>
        <v>0</v>
      </c>
      <c r="D72" s="1619">
        <f>VLOOKUP(A72,'4.CT3A'!$A$9:$D$311,4,FALSE)</f>
        <v>0</v>
      </c>
      <c r="E72" s="1619">
        <f ref="E72:E135" si="1" t="shared">+C72-D72</f>
        <v>0</v>
      </c>
      <c r="F72" s="821"/>
    </row>
    <row ht="15" r="73" spans="1:6">
      <c r="A73" s="822">
        <f>'3.CT2A'!A73</f>
        <v>1182</v>
      </c>
      <c r="B73" s="822" t="str">
        <f>'3.CT2A'!B73</f>
        <v xml:space="preserve">    Байгалийн нөөц ашигласны төлбөр</v>
      </c>
      <c r="C73" s="1618">
        <f>'3.CT2A'!D73</f>
        <v>0</v>
      </c>
      <c r="D73" s="1619">
        <f>VLOOKUP(A73,'4.CT3A'!$A$9:$D$311,4,FALSE)</f>
        <v>0</v>
      </c>
      <c r="E73" s="1619">
        <f si="1" t="shared"/>
        <v>0</v>
      </c>
      <c r="F73" s="821"/>
    </row>
    <row ht="15" r="74" spans="1:6">
      <c r="A74" s="822">
        <f>'3.CT2A'!A74</f>
        <v>118201</v>
      </c>
      <c r="B74" s="822" t="str">
        <f>'3.CT2A'!B74</f>
        <v xml:space="preserve">      Ойн нөөц ашигласны төлбөр</v>
      </c>
      <c r="C74" s="1618">
        <f>'3.CT2A'!D74</f>
        <v>0</v>
      </c>
      <c r="D74" s="1619">
        <f>VLOOKUP(A74,'4.CT3A'!$A$9:$D$311,4,FALSE)</f>
        <v>0</v>
      </c>
      <c r="E74" s="1619">
        <f si="1" t="shared"/>
        <v>0</v>
      </c>
      <c r="F74" s="821"/>
    </row>
    <row ht="15" r="75" spans="1:6">
      <c r="A75" s="822">
        <f>'3.CT2A'!A75</f>
        <v>118202</v>
      </c>
      <c r="B75" s="822" t="str">
        <f>'3.CT2A'!B75</f>
        <v xml:space="preserve">      Ан амьтны нөөц ашигласны төлбөр</v>
      </c>
      <c r="C75" s="1618">
        <f>'3.CT2A'!D75</f>
        <v>0</v>
      </c>
      <c r="D75" s="1619">
        <f>VLOOKUP(A75,'4.CT3A'!$A$9:$D$311,4,FALSE)</f>
        <v>0</v>
      </c>
      <c r="E75" s="1619">
        <f si="1" t="shared"/>
        <v>0</v>
      </c>
      <c r="F75" s="821"/>
    </row>
    <row ht="15" r="76" spans="1:6">
      <c r="A76" s="822">
        <f>'3.CT2A'!A76</f>
        <v>118203</v>
      </c>
      <c r="B76" s="822" t="str">
        <f>'3.CT2A'!B76</f>
        <v xml:space="preserve">      Ус, рашааны нөөц ашигласны төлбөр</v>
      </c>
      <c r="C76" s="1618">
        <f>'3.CT2A'!D76</f>
        <v>0</v>
      </c>
      <c r="D76" s="1619">
        <f>VLOOKUP(A76,'4.CT3A'!$A$9:$D$311,4,FALSE)</f>
        <v>0</v>
      </c>
      <c r="E76" s="1619">
        <f si="1" t="shared"/>
        <v>0</v>
      </c>
      <c r="F76" s="821"/>
    </row>
    <row ht="15" r="77" spans="1:6">
      <c r="A77" s="822">
        <f>'3.CT2A'!A77</f>
        <v>118204</v>
      </c>
      <c r="B77" s="822" t="str">
        <f>'3.CT2A'!B77</f>
        <v xml:space="preserve">      Байгалийн ургамлын нөөц ашигласны төлбөр</v>
      </c>
      <c r="C77" s="1618">
        <f>'3.CT2A'!D77</f>
        <v>0</v>
      </c>
      <c r="D77" s="1619">
        <f>VLOOKUP(A77,'4.CT3A'!$A$9:$D$311,4,FALSE)</f>
        <v>0</v>
      </c>
      <c r="E77" s="1619">
        <f si="1" t="shared"/>
        <v>0</v>
      </c>
      <c r="F77" s="821"/>
    </row>
    <row ht="15" r="78" spans="1:6">
      <c r="A78" s="822">
        <f>'3.CT2A'!A78</f>
        <v>1183</v>
      </c>
      <c r="B78" s="822" t="str">
        <f>'3.CT2A'!B78</f>
        <v xml:space="preserve">   Бусад татвар</v>
      </c>
      <c r="C78" s="1618">
        <f>'3.CT2A'!D78</f>
        <v>0</v>
      </c>
      <c r="D78" s="1619">
        <f>VLOOKUP(A78,'4.CT3A'!$A$9:$D$311,4,FALSE)</f>
        <v>0</v>
      </c>
      <c r="E78" s="1619">
        <f si="1" t="shared"/>
        <v>0</v>
      </c>
      <c r="F78" s="821"/>
    </row>
    <row ht="15" r="79" spans="1:6">
      <c r="A79" s="822">
        <f>'3.CT2A'!A79</f>
        <v>118301</v>
      </c>
      <c r="B79" s="822" t="str">
        <f>'3.CT2A'!B79</f>
        <v xml:space="preserve">      Бусад татвар</v>
      </c>
      <c r="C79" s="1618">
        <f>'3.CT2A'!D79</f>
        <v>0</v>
      </c>
      <c r="D79" s="1619">
        <f>VLOOKUP(A79,'4.CT3A'!$A$9:$D$311,4,FALSE)</f>
        <v>0</v>
      </c>
      <c r="E79" s="1619">
        <f si="1" t="shared"/>
        <v>0</v>
      </c>
      <c r="F79" s="821"/>
    </row>
    <row ht="15" r="80" spans="1:6">
      <c r="A80" s="822">
        <f>'3.CT2A'!A80</f>
        <v>118302</v>
      </c>
      <c r="B80" s="822" t="str">
        <f>'3.CT2A'!B80</f>
        <v xml:space="preserve">      Нийслэл хотын албан татвар</v>
      </c>
      <c r="C80" s="1618">
        <f>'3.CT2A'!D80</f>
        <v>0</v>
      </c>
      <c r="D80" s="1619">
        <f>VLOOKUP(A80,'4.CT3A'!$A$9:$D$311,4,FALSE)</f>
        <v>0</v>
      </c>
      <c r="E80" s="1619">
        <f si="1" t="shared"/>
        <v>0</v>
      </c>
      <c r="F80" s="821"/>
    </row>
    <row ht="15" r="81" spans="1:6">
      <c r="A81" s="822">
        <f>'3.CT2A'!A81</f>
        <v>118303</v>
      </c>
      <c r="B81" s="822" t="str">
        <f>'3.CT2A'!B81</f>
        <v xml:space="preserve">      Өв, залгамжлал, бэлэглэлийн албан татвар</v>
      </c>
      <c r="C81" s="1618">
        <f>'3.CT2A'!D81</f>
        <v>0</v>
      </c>
      <c r="D81" s="1619">
        <f>VLOOKUP(A81,'4.CT3A'!$A$9:$D$311,4,FALSE)</f>
        <v>0</v>
      </c>
      <c r="E81" s="1619">
        <f si="1" t="shared"/>
        <v>0</v>
      </c>
      <c r="F81" s="821"/>
    </row>
    <row ht="15" r="82" spans="1:6">
      <c r="A82" s="822">
        <f>'3.CT2A'!A82</f>
        <v>118304</v>
      </c>
      <c r="B82" s="822" t="str">
        <f>'3.CT2A'!B82</f>
        <v xml:space="preserve">      Нохойны албан татвар</v>
      </c>
      <c r="C82" s="1618">
        <f>'3.CT2A'!D82</f>
        <v>0</v>
      </c>
      <c r="D82" s="1619">
        <f>VLOOKUP(A82,'4.CT3A'!$A$9:$D$311,4,FALSE)</f>
        <v>0</v>
      </c>
      <c r="E82" s="1619">
        <f si="1" t="shared"/>
        <v>0</v>
      </c>
      <c r="F82" s="821"/>
    </row>
    <row ht="15" r="83" spans="1:6">
      <c r="A83" s="822">
        <f>'3.CT2A'!A83</f>
        <v>12</v>
      </c>
      <c r="B83" s="822" t="str">
        <f>'3.CT2A'!B83</f>
        <v xml:space="preserve"> ТАТВАРЫН БУС ОРЛОГО</v>
      </c>
      <c r="C83" s="1618">
        <f>'3.CT2A'!D83</f>
        <v>0</v>
      </c>
      <c r="D83" s="1619">
        <f>VLOOKUP(A83,'4.CT3A'!$A$9:$D$311,4,FALSE)</f>
        <v>0</v>
      </c>
      <c r="E83" s="1619">
        <f si="1" t="shared"/>
        <v>0</v>
      </c>
      <c r="F83" s="821"/>
    </row>
    <row ht="15" r="84" spans="1:6">
      <c r="A84" s="822">
        <f>'3.CT2A'!A84</f>
        <v>120</v>
      </c>
      <c r="B84" s="822" t="str">
        <f>'3.CT2A'!B84</f>
        <v xml:space="preserve">    Нийтлэг татварын бус орлого</v>
      </c>
      <c r="C84" s="1618">
        <f>'3.CT2A'!D84</f>
        <v>0</v>
      </c>
      <c r="D84" s="1619">
        <f>VLOOKUP(A84,'4.CT3A'!$A$9:$D$311,4,FALSE)</f>
        <v>0</v>
      </c>
      <c r="E84" s="1619">
        <f si="1" t="shared"/>
        <v>0</v>
      </c>
      <c r="F84" s="821"/>
    </row>
    <row ht="15" r="85" spans="1:6">
      <c r="A85" s="822">
        <f>'3.CT2A'!A85</f>
        <v>120001</v>
      </c>
      <c r="B85" s="822" t="str">
        <f>'3.CT2A'!B85</f>
        <v xml:space="preserve">       Хувьцааны ногдол ашиг</v>
      </c>
      <c r="C85" s="1618">
        <f>'3.CT2A'!D85</f>
        <v>0</v>
      </c>
      <c r="D85" s="1619">
        <f>VLOOKUP(A85,'4.CT3A'!$A$9:$D$311,4,FALSE)</f>
        <v>0</v>
      </c>
      <c r="E85" s="1619">
        <f si="1" t="shared"/>
        <v>0</v>
      </c>
      <c r="F85" s="821"/>
    </row>
    <row ht="15" r="86" spans="1:6">
      <c r="A86" s="822">
        <f>'3.CT2A'!A86</f>
        <v>120002</v>
      </c>
      <c r="B86" s="822" t="str">
        <f>'3.CT2A'!B86</f>
        <v xml:space="preserve">       Хүүгийн орлого</v>
      </c>
      <c r="C86" s="1618">
        <f>'3.CT2A'!D86</f>
        <v>0</v>
      </c>
      <c r="D86" s="1619">
        <f>VLOOKUP(A86,'4.CT3A'!$A$9:$D$311,4,FALSE)</f>
        <v>0</v>
      </c>
      <c r="E86" s="1619">
        <f si="1" t="shared"/>
        <v>0</v>
      </c>
      <c r="F86" s="821"/>
    </row>
    <row ht="15" r="87" spans="1:6">
      <c r="A87" s="822">
        <f>'3.CT2A'!A87</f>
        <v>120003</v>
      </c>
      <c r="B87" s="822" t="str">
        <f>'3.CT2A'!B87</f>
        <v xml:space="preserve">       Торгуулийн орлого</v>
      </c>
      <c r="C87" s="1618">
        <f>'3.CT2A'!D87</f>
        <v>0</v>
      </c>
      <c r="D87" s="1619">
        <f>VLOOKUP(A87,'4.CT3A'!$A$9:$D$311,4,FALSE)</f>
        <v>0</v>
      </c>
      <c r="E87" s="1619">
        <f si="1" t="shared"/>
        <v>0</v>
      </c>
      <c r="F87" s="821"/>
    </row>
    <row ht="15" r="88" spans="1:6">
      <c r="A88" s="822">
        <f>'3.CT2A'!A88</f>
        <v>120004</v>
      </c>
      <c r="B88" s="822" t="str">
        <f>'3.CT2A'!B88</f>
        <v xml:space="preserve">       Төсөвт байгууллагын өөрийн орлого</v>
      </c>
      <c r="C88" s="1618">
        <f>'3.CT2A'!D88</f>
        <v>0</v>
      </c>
      <c r="D88" s="1619">
        <f>VLOOKUP(A88,'4.CT3A'!$A$9:$D$311,4,FALSE)</f>
        <v>0</v>
      </c>
      <c r="E88" s="1619">
        <f si="1" t="shared"/>
        <v>0</v>
      </c>
      <c r="F88" s="821"/>
    </row>
    <row ht="30" r="89" spans="1:6">
      <c r="A89" s="822">
        <f>'3.CT2A'!A89</f>
        <v>1200041</v>
      </c>
      <c r="B89" s="822" t="str">
        <f>'3.CT2A'!B89</f>
        <v xml:space="preserve">            Үндсэн үйл ажиллагааны орлогоос санхүүжих</v>
      </c>
      <c r="C89" s="1618">
        <f>'3.CT2A'!D89</f>
        <v>0</v>
      </c>
      <c r="D89" s="1619">
        <f>VLOOKUP(A89,'4.CT3A'!$A$9:$D$311,4,FALSE)</f>
        <v>0</v>
      </c>
      <c r="E89" s="1619">
        <f si="1" t="shared"/>
        <v>0</v>
      </c>
      <c r="F89" s="821"/>
    </row>
    <row ht="15" r="90" spans="1:6">
      <c r="A90" s="822">
        <f>'3.CT2A'!A90</f>
        <v>1200042</v>
      </c>
      <c r="B90" s="822" t="str">
        <f>'3.CT2A'!B90</f>
        <v xml:space="preserve">            Туслах үйл ажиллагааны орлогоос санхүүжих</v>
      </c>
      <c r="C90" s="1618">
        <f>'3.CT2A'!D90</f>
        <v>0</v>
      </c>
      <c r="D90" s="1619">
        <f>VLOOKUP(A90,'4.CT3A'!$A$9:$D$311,4,FALSE)</f>
        <v>0</v>
      </c>
      <c r="E90" s="1619">
        <f si="1" t="shared"/>
        <v>0</v>
      </c>
      <c r="F90" s="821"/>
    </row>
    <row ht="15" r="91" spans="1:6">
      <c r="A91" s="822">
        <f>'3.CT2A'!A91</f>
        <v>1200043</v>
      </c>
      <c r="B91" s="822" t="str">
        <f>'3.CT2A'!B91</f>
        <v xml:space="preserve">            Урьд оны үлдэгдэлээс санхүүжих</v>
      </c>
      <c r="C91" s="1618">
        <f>'3.CT2A'!D91</f>
        <v>0</v>
      </c>
      <c r="D91" s="1619">
        <f>VLOOKUP(A91,'4.CT3A'!$A$9:$D$311,4,FALSE)</f>
        <v>0</v>
      </c>
      <c r="E91" s="1619">
        <f si="1" t="shared"/>
        <v>0</v>
      </c>
      <c r="F91" s="821"/>
    </row>
    <row ht="15" r="92" spans="1:6">
      <c r="A92" s="822">
        <f>'3.CT2A'!A92</f>
        <v>1200044</v>
      </c>
      <c r="B92" s="822" t="str">
        <f>'3.CT2A'!B92</f>
        <v xml:space="preserve">             Гадаадын эх үүсвэрээс санхүүжих</v>
      </c>
      <c r="C92" s="1618">
        <f>'3.CT2A'!D92</f>
        <v>0</v>
      </c>
      <c r="D92" s="1619">
        <f>VLOOKUP(A92,'4.CT3A'!$A$9:$D$311,4,FALSE)</f>
        <v>0</v>
      </c>
      <c r="E92" s="1619">
        <f si="1" t="shared"/>
        <v>0</v>
      </c>
      <c r="F92" s="821"/>
    </row>
    <row ht="15" r="93" spans="1:6">
      <c r="A93" s="822">
        <f>'3.CT2A'!A93</f>
        <v>1200045</v>
      </c>
      <c r="B93" s="822" t="str">
        <f>'3.CT2A'!B93</f>
        <v xml:space="preserve">             Үнэ төлбөргүй хүлээн авсан орлого</v>
      </c>
      <c r="C93" s="1618">
        <f>'3.CT2A'!D93</f>
        <v>0</v>
      </c>
      <c r="D93" s="1619"/>
      <c r="E93" s="1619">
        <f si="1" t="shared"/>
        <v>0</v>
      </c>
      <c r="F93" s="821"/>
    </row>
    <row ht="15" r="94" spans="1:6">
      <c r="A94" s="822">
        <f>'3.CT2A'!A94</f>
        <v>120005</v>
      </c>
      <c r="B94" s="822" t="str">
        <f>'3.CT2A'!B94</f>
        <v xml:space="preserve">       Түрээсийн орлого</v>
      </c>
      <c r="C94" s="1618">
        <f>'3.CT2A'!D94</f>
        <v>0</v>
      </c>
      <c r="D94" s="1619">
        <f>VLOOKUP(A94,'4.CT3A'!$A$9:$D$311,4,FALSE)</f>
        <v>0</v>
      </c>
      <c r="E94" s="1619">
        <f si="1" t="shared"/>
        <v>0</v>
      </c>
      <c r="F94" s="821"/>
    </row>
    <row ht="15" r="95" spans="1:6">
      <c r="A95" s="822">
        <f>'3.CT2A'!A95</f>
        <v>120006</v>
      </c>
      <c r="B95" s="822" t="str">
        <f>'3.CT2A'!B95</f>
        <v xml:space="preserve">       Газрын тосны орлого</v>
      </c>
      <c r="C95" s="1618">
        <f>'3.CT2A'!D95</f>
        <v>0</v>
      </c>
      <c r="D95" s="1619">
        <f>VLOOKUP(A95,'4.CT3A'!$A$9:$D$311,4,FALSE)</f>
        <v>0</v>
      </c>
      <c r="E95" s="1619">
        <f si="1" t="shared"/>
        <v>0</v>
      </c>
      <c r="F95" s="821"/>
    </row>
    <row ht="15" r="96" spans="1:6">
      <c r="A96" s="822">
        <f>'3.CT2A'!A96</f>
        <v>120007</v>
      </c>
      <c r="B96" s="822" t="str">
        <f>'3.CT2A'!B96</f>
        <v xml:space="preserve">       Навигацийн орлого</v>
      </c>
      <c r="C96" s="1618">
        <f>'3.CT2A'!D96</f>
        <v>0</v>
      </c>
      <c r="D96" s="1619">
        <f>VLOOKUP(A96,'4.CT3A'!$A$9:$D$311,4,FALSE)</f>
        <v>0</v>
      </c>
      <c r="E96" s="1619">
        <f si="1" t="shared"/>
        <v>0</v>
      </c>
      <c r="F96" s="821"/>
    </row>
    <row ht="15" r="97" spans="1:6">
      <c r="A97" s="822">
        <f>'3.CT2A'!A97</f>
        <v>120008</v>
      </c>
      <c r="B97" s="822" t="str">
        <f>'3.CT2A'!B97</f>
        <v xml:space="preserve">       Монгол банкны ашиг</v>
      </c>
      <c r="C97" s="1618">
        <f>'3.CT2A'!D97</f>
        <v>0</v>
      </c>
      <c r="D97" s="1619">
        <f>VLOOKUP(A97,'4.CT3A'!$A$9:$D$311,4,FALSE)</f>
        <v>0</v>
      </c>
      <c r="E97" s="1619">
        <f si="1" t="shared"/>
        <v>0</v>
      </c>
      <c r="F97" s="821"/>
    </row>
    <row ht="15" r="98" spans="1:6">
      <c r="A98" s="822">
        <f>'3.CT2A'!A98</f>
        <v>120009</v>
      </c>
      <c r="B98" s="822" t="str">
        <f>'3.CT2A'!B98</f>
        <v xml:space="preserve">       Бусад орлого</v>
      </c>
      <c r="C98" s="1618">
        <f>'3.CT2A'!D98</f>
        <v>0</v>
      </c>
      <c r="D98" s="1619">
        <f>VLOOKUP(A98,'4.CT3A'!$A$9:$D$311,4,FALSE)</f>
        <v>0</v>
      </c>
      <c r="E98" s="1619">
        <f si="1" t="shared"/>
        <v>0</v>
      </c>
      <c r="F98" s="821"/>
    </row>
    <row ht="15" r="99" spans="1:6">
      <c r="A99" s="822">
        <f>'3.CT2A'!A99</f>
        <v>120010</v>
      </c>
      <c r="B99" s="822" t="str">
        <f>'3.CT2A'!B99</f>
        <v xml:space="preserve">       Борлуулалтын орлого (цэвэр)  /ТӨҮГ/</v>
      </c>
      <c r="C99" s="1618">
        <f>'3.CT2A'!D99</f>
        <v>0</v>
      </c>
      <c r="D99" s="1619"/>
      <c r="E99" s="1619">
        <f si="1" t="shared"/>
        <v>0</v>
      </c>
      <c r="F99" s="821"/>
    </row>
    <row ht="15" r="100" spans="1:6">
      <c r="A100" s="822">
        <f>'3.CT2A'!A100</f>
        <v>120011</v>
      </c>
      <c r="B100" s="822" t="str">
        <f>'3.CT2A'!B100</f>
        <v xml:space="preserve">       Борлуулалтын өртөг   /ТӨҮГ/</v>
      </c>
      <c r="C100" s="1618">
        <f>'3.CT2A'!D100</f>
        <v>0</v>
      </c>
      <c r="D100" s="1619"/>
      <c r="E100" s="1619">
        <f si="1" t="shared"/>
        <v>0</v>
      </c>
      <c r="F100" s="821"/>
    </row>
    <row ht="15" r="101" spans="1:6">
      <c r="A101" s="822">
        <f>'3.CT2A'!A101</f>
        <v>120012</v>
      </c>
      <c r="B101" s="822" t="str">
        <f>'3.CT2A'!B101</f>
        <v xml:space="preserve">       Эрхийн шимтгэлийн орлого   /ТӨҮГ/</v>
      </c>
      <c r="C101" s="1618">
        <f>'3.CT2A'!D101</f>
        <v>0</v>
      </c>
      <c r="D101" s="1619"/>
      <c r="E101" s="1619">
        <f si="1" t="shared"/>
        <v>0</v>
      </c>
      <c r="F101" s="821"/>
    </row>
    <row ht="15" r="102" spans="1:6">
      <c r="A102" s="822">
        <f>'3.CT2A'!A102</f>
        <v>121</v>
      </c>
      <c r="B102" s="822" t="str">
        <f>'3.CT2A'!B102</f>
        <v xml:space="preserve">    Хөрөнгийн орлого</v>
      </c>
      <c r="C102" s="1618">
        <f>'3.CT2A'!D102</f>
        <v>0</v>
      </c>
      <c r="D102" s="1619">
        <f>VLOOKUP(A102,'4.CT3A'!$A$9:$D$311,4,FALSE)</f>
        <v>0</v>
      </c>
      <c r="E102" s="1619">
        <f si="1" t="shared"/>
        <v>0</v>
      </c>
      <c r="F102" s="821"/>
    </row>
    <row ht="30" r="103" spans="1:6">
      <c r="A103" s="822">
        <f>'3.CT2A'!A103</f>
        <v>121001</v>
      </c>
      <c r="B103" s="822" t="str">
        <f>'3.CT2A'!B103</f>
        <v xml:space="preserve">     Төрийн болон орон нутгийн өмчид бүртгэлтэй хөрөнгө борлуулсны орлого</v>
      </c>
      <c r="C103" s="1618">
        <f>'3.CT2A'!D103</f>
        <v>0</v>
      </c>
      <c r="D103" s="1619">
        <f>VLOOKUP(A103,'4.CT3A'!$A$9:$D$311,4,FALSE)</f>
        <v>0</v>
      </c>
      <c r="E103" s="1619">
        <f si="1" t="shared"/>
        <v>0</v>
      </c>
      <c r="F103" s="821"/>
    </row>
    <row ht="15" r="104" spans="1:6">
      <c r="A104" s="822">
        <f>'3.CT2A'!A104</f>
        <v>121002</v>
      </c>
      <c r="B104" s="822" t="str">
        <f>'3.CT2A'!B104</f>
        <v xml:space="preserve">     Өмч хувьчлалын орлого</v>
      </c>
      <c r="C104" s="1618">
        <f>'3.CT2A'!D104</f>
        <v>0</v>
      </c>
      <c r="D104" s="1619">
        <f>VLOOKUP(A104,'4.CT3A'!$A$9:$D$311,4,FALSE)</f>
        <v>0</v>
      </c>
      <c r="E104" s="1619">
        <f si="1" t="shared"/>
        <v>0</v>
      </c>
      <c r="F104" s="821"/>
    </row>
    <row ht="15" r="105" spans="1:6">
      <c r="A105" s="822">
        <f>'3.CT2A'!A105</f>
        <v>122</v>
      </c>
      <c r="B105" s="822" t="str">
        <f>'3.CT2A'!B105</f>
        <v xml:space="preserve">      Тусламжийн орлого</v>
      </c>
      <c r="C105" s="1618">
        <f>'3.CT2A'!D105</f>
        <v>0</v>
      </c>
      <c r="D105" s="1619">
        <f>VLOOKUP(A105,'4.CT3A'!$A$9:$D$311,4,FALSE)</f>
        <v>0</v>
      </c>
      <c r="E105" s="1619">
        <f si="1" t="shared"/>
        <v>0</v>
      </c>
      <c r="F105" s="821"/>
    </row>
    <row ht="15" r="106" spans="1:6">
      <c r="A106" s="822">
        <f>'3.CT2A'!A106</f>
        <v>122001</v>
      </c>
      <c r="B106" s="822" t="str">
        <f>'3.CT2A'!B106</f>
        <v xml:space="preserve">               Хандив тусламж /дотоод/</v>
      </c>
      <c r="C106" s="1618">
        <f>'3.CT2A'!D106</f>
        <v>0</v>
      </c>
      <c r="D106" s="1619">
        <f>VLOOKUP(A106,'4.CT3A'!$A$9:$D$311,4,FALSE)</f>
        <v>0</v>
      </c>
      <c r="E106" s="1619">
        <f si="1" t="shared"/>
        <v>0</v>
      </c>
      <c r="F106" s="821"/>
    </row>
    <row ht="15" r="107" spans="1:6">
      <c r="A107" s="822">
        <f>'3.CT2A'!A107</f>
        <v>122002</v>
      </c>
      <c r="B107" s="822" t="str">
        <f>'3.CT2A'!B107</f>
        <v xml:space="preserve">               Хандив тусламж /гадаад/</v>
      </c>
      <c r="C107" s="1618">
        <f>'3.CT2A'!D107</f>
        <v>0</v>
      </c>
      <c r="D107" s="1619">
        <f>VLOOKUP(A107,'4.CT3A'!$A$9:$D$311,4,FALSE)</f>
        <v>0</v>
      </c>
      <c r="E107" s="1619">
        <f si="1" t="shared"/>
        <v>0</v>
      </c>
      <c r="F107" s="821"/>
    </row>
    <row ht="30" r="108" spans="1:6">
      <c r="A108" s="822">
        <f>'3.CT2A'!A108</f>
        <v>123</v>
      </c>
      <c r="B108" s="822" t="str">
        <f>'3.CT2A'!B108</f>
        <v xml:space="preserve">      Улсын төсөв орон нутгийн төсөв хоорондын шилжүүлэг</v>
      </c>
      <c r="C108" s="1618">
        <f>'3.CT2A'!D108</f>
        <v>0</v>
      </c>
      <c r="D108" s="1619">
        <f>VLOOKUP(A108,'4.CT3A'!$A$9:$D$311,4,FALSE)</f>
        <v>0</v>
      </c>
      <c r="E108" s="1619">
        <f si="1" t="shared"/>
        <v>0</v>
      </c>
      <c r="F108" s="821"/>
    </row>
    <row ht="15" r="109" spans="1:6">
      <c r="A109" s="822">
        <f>'3.CT2A'!A109</f>
        <v>123001</v>
      </c>
      <c r="B109" s="822" t="str">
        <f>'3.CT2A'!B109</f>
        <v xml:space="preserve">               Тусгай зориулалтын шилжүүлгийн орлого</v>
      </c>
      <c r="C109" s="1618">
        <f>'3.CT2A'!D109</f>
        <v>0</v>
      </c>
      <c r="D109" s="1619">
        <f>VLOOKUP(A109,'4.CT3A'!$A$9:$D$311,4,FALSE)</f>
        <v>0</v>
      </c>
      <c r="E109" s="1619">
        <f si="1" t="shared"/>
        <v>0</v>
      </c>
      <c r="F109" s="821"/>
    </row>
    <row ht="30" r="110" spans="1:6">
      <c r="A110" s="822">
        <f>'3.CT2A'!A110</f>
        <v>123002</v>
      </c>
      <c r="B110" s="822" t="str">
        <f>'3.CT2A'!B110</f>
        <v xml:space="preserve">               Орон нутгийн хөгжлийн нэгдсэн сангаас шилжүүлсэн орлого</v>
      </c>
      <c r="C110" s="1618">
        <f>'3.CT2A'!D110</f>
        <v>0</v>
      </c>
      <c r="D110" s="1619">
        <f>VLOOKUP(A110,'4.CT3A'!$A$9:$D$311,4,FALSE)</f>
        <v>0</v>
      </c>
      <c r="E110" s="1619">
        <f si="1" t="shared"/>
        <v>0</v>
      </c>
      <c r="F110" s="821"/>
    </row>
    <row ht="30" r="111" spans="1:6">
      <c r="A111" s="822">
        <f>'3.CT2A'!A111</f>
        <v>123003</v>
      </c>
      <c r="B111" s="822" t="str">
        <f>'3.CT2A'!B111</f>
        <v xml:space="preserve">               Улсын төсвөөс орон нутгийн төсөвт олгох санхүүгийн дэмжлэг</v>
      </c>
      <c r="C111" s="1618">
        <f>'3.CT2A'!D111</f>
        <v>0</v>
      </c>
      <c r="D111" s="1619">
        <f>VLOOKUP(A111,'4.CT3A'!$A$9:$D$311,4,FALSE)</f>
        <v>0</v>
      </c>
      <c r="E111" s="1619">
        <f si="1" t="shared"/>
        <v>0</v>
      </c>
      <c r="F111" s="821"/>
    </row>
    <row ht="30" r="112" spans="1:6">
      <c r="A112" s="822">
        <f>'3.CT2A'!A112</f>
        <v>123004</v>
      </c>
      <c r="B112" s="822" t="str">
        <f>'3.CT2A'!B112</f>
        <v xml:space="preserve">               Улсын төсвөөс орон нутгийн төсвөөс төвлөрүүлэх шилжүүлэг</v>
      </c>
      <c r="C112" s="1618">
        <f>'3.CT2A'!D112</f>
        <v>0</v>
      </c>
      <c r="D112" s="1619">
        <f>VLOOKUP(A112,'4.CT3A'!$A$9:$D$311,4,FALSE)</f>
        <v>0</v>
      </c>
      <c r="E112" s="1619">
        <f si="1" t="shared"/>
        <v>0</v>
      </c>
      <c r="F112" s="821"/>
    </row>
    <row ht="15" r="113" spans="1:6">
      <c r="A113" s="822">
        <f>'3.CT2A'!A113</f>
        <v>124</v>
      </c>
      <c r="B113" s="822" t="str">
        <f>'3.CT2A'!B113</f>
        <v xml:space="preserve">       Зээлийн орлого</v>
      </c>
      <c r="C113" s="1618">
        <f>'3.CT2A'!D113</f>
        <v>0</v>
      </c>
      <c r="D113" s="1619">
        <f>VLOOKUP(A113,'4.CT3A'!$A$9:$D$311,4,FALSE)</f>
        <v>0</v>
      </c>
      <c r="E113" s="1619">
        <f si="1" t="shared"/>
        <v>0</v>
      </c>
      <c r="F113" s="823"/>
    </row>
    <row ht="15" r="114" spans="1:6">
      <c r="A114" s="822">
        <f>'3.CT2A'!A114</f>
        <v>140002</v>
      </c>
      <c r="B114" s="822" t="str">
        <f>'3.CT2A'!B114</f>
        <v xml:space="preserve">               Улсын төсвөөс олгосон зээл</v>
      </c>
      <c r="C114" s="1618">
        <f>'3.CT2A'!D114</f>
        <v>0</v>
      </c>
      <c r="D114" s="1619">
        <f>VLOOKUP(A114,'4.CT3A'!$A$9:$D$311,4,FALSE)</f>
        <v>0</v>
      </c>
      <c r="E114" s="1619">
        <f si="1" t="shared"/>
        <v>0</v>
      </c>
      <c r="F114" s="821"/>
    </row>
    <row ht="30" r="115" spans="1:6">
      <c r="A115" s="822">
        <f>'3.CT2A'!A115</f>
        <v>140003</v>
      </c>
      <c r="B115" s="822" t="str">
        <f>'3.CT2A'!B115</f>
        <v xml:space="preserve">               Бусдад олгосон зээл болон урьдчилгааны эргэн төлөлт</v>
      </c>
      <c r="C115" s="1618">
        <f>'3.CT2A'!D115</f>
        <v>0</v>
      </c>
      <c r="D115" s="1619">
        <f>VLOOKUP(A115,'4.CT3A'!$A$9:$D$311,4,FALSE)</f>
        <v>0</v>
      </c>
      <c r="E115" s="1619">
        <f si="1" t="shared"/>
        <v>0</v>
      </c>
      <c r="F115" s="821"/>
    </row>
    <row ht="15" r="116" spans="1:6">
      <c r="A116" s="822">
        <f>'3.CT2A'!A116</f>
        <v>141001</v>
      </c>
      <c r="B116" s="822" t="str">
        <f>'3.CT2A'!B116</f>
        <v xml:space="preserve">               Гадаадын санхүүгийн зээлийн эх үүсвэр</v>
      </c>
      <c r="C116" s="1618">
        <f>'3.CT2A'!D116</f>
        <v>0</v>
      </c>
      <c r="D116" s="1619">
        <f>VLOOKUP(A116,'4.CT3A'!$A$9:$D$311,4,FALSE)</f>
        <v>0</v>
      </c>
      <c r="E116" s="1619">
        <f si="1" t="shared"/>
        <v>0</v>
      </c>
      <c r="F116" s="821"/>
    </row>
    <row ht="15" r="117" spans="1:6">
      <c r="A117" s="822">
        <f>'3.CT2A'!A117</f>
        <v>13</v>
      </c>
      <c r="B117" s="822" t="str">
        <f>'3.CT2A'!B117</f>
        <v xml:space="preserve"> ТУСЛАМЖ, САНХҮҮЖИЛТИЙН ОРЛОГО</v>
      </c>
      <c r="C117" s="1618">
        <f>'3.CT2A'!D117</f>
        <v>0</v>
      </c>
      <c r="D117" s="1619">
        <f>VLOOKUP(A117,'4.CT3A'!$A$9:$D$311,4,FALSE)</f>
        <v>0</v>
      </c>
      <c r="E117" s="1619">
        <f si="1" t="shared"/>
        <v>0</v>
      </c>
      <c r="F117" s="821"/>
    </row>
    <row ht="15" r="118" spans="1:6">
      <c r="A118" s="822">
        <f>'3.CT2A'!A118</f>
        <v>1310</v>
      </c>
      <c r="B118" s="822" t="str">
        <f>'3.CT2A'!B118</f>
        <v xml:space="preserve">    Улсын төвлөрсөн төсвөөс</v>
      </c>
      <c r="C118" s="1618">
        <f>'3.CT2A'!D118</f>
        <v>0</v>
      </c>
      <c r="D118" s="1619">
        <f>VLOOKUP(A118,'4.CT3A'!$A$9:$D$311,4,FALSE)</f>
        <v>0</v>
      </c>
      <c r="E118" s="1619">
        <f si="1" t="shared"/>
        <v>0</v>
      </c>
      <c r="F118" s="821"/>
    </row>
    <row ht="15" r="119" spans="1:6">
      <c r="A119" s="822">
        <f>'3.CT2A'!A119</f>
        <v>131001</v>
      </c>
      <c r="B119" s="822" t="str">
        <f>'3.CT2A'!B119</f>
        <v xml:space="preserve">      Урсгал үйл ажиллагааны санхүүжилт</v>
      </c>
      <c r="C119" s="1618">
        <f>'3.CT2A'!D119</f>
        <v>0</v>
      </c>
      <c r="D119" s="1619">
        <f>VLOOKUP(A119,'4.CT3A'!$A$9:$D$311,4,FALSE)</f>
        <v>0</v>
      </c>
      <c r="E119" s="1619">
        <f si="1" t="shared"/>
        <v>0</v>
      </c>
      <c r="F119" s="821"/>
    </row>
    <row ht="30" r="120" spans="1:6">
      <c r="A120" s="822">
        <f>'3.CT2A'!A120</f>
        <v>131002</v>
      </c>
      <c r="B120" s="822" t="str">
        <f>'3.CT2A'!B120</f>
        <v xml:space="preserve">      Засгийн газрын, Засаг даргын нөөц хөрөнгийн санхүүжилт</v>
      </c>
      <c r="C120" s="1618">
        <f>'3.CT2A'!D120</f>
        <v>0</v>
      </c>
      <c r="D120" s="1619">
        <f>VLOOKUP(A120,'4.CT3A'!$A$9:$D$311,4,FALSE)</f>
        <v>0</v>
      </c>
      <c r="E120" s="1619">
        <f si="1" t="shared"/>
        <v>0</v>
      </c>
      <c r="F120" s="821"/>
    </row>
    <row ht="15" r="121" spans="1:6">
      <c r="A121" s="822">
        <f>'3.CT2A'!A121</f>
        <v>131003</v>
      </c>
      <c r="B121" s="822" t="str">
        <f>'3.CT2A'!B121</f>
        <v xml:space="preserve">      Төвлөрүүлэх шилжүүлэг</v>
      </c>
      <c r="C121" s="1618">
        <f>'3.CT2A'!D121</f>
        <v>0</v>
      </c>
      <c r="D121" s="1619">
        <f>VLOOKUP(A121,'4.CT3A'!$A$9:$D$311,4,FALSE)</f>
        <v>0</v>
      </c>
      <c r="E121" s="1619">
        <f si="1" t="shared"/>
        <v>0</v>
      </c>
      <c r="F121" s="821"/>
    </row>
    <row ht="30" r="122" spans="1:6">
      <c r="A122" s="822">
        <f>'3.CT2A'!A122</f>
        <v>131004</v>
      </c>
      <c r="B122" s="822" t="str">
        <f>'3.CT2A'!B122</f>
        <v xml:space="preserve">      Төсөв болон дамжуулан зээлдүүлсэн зээлээс эргэж төлөгдөх	</v>
      </c>
      <c r="C122" s="1618">
        <f>'3.CT2A'!D122</f>
        <v>0</v>
      </c>
      <c r="D122" s="1619">
        <f>VLOOKUP(A122,'4.CT3A'!$A$9:$D$311,4,FALSE)</f>
        <v>0</v>
      </c>
      <c r="E122" s="1619">
        <f si="1" t="shared"/>
        <v>0</v>
      </c>
      <c r="F122" s="821"/>
    </row>
    <row ht="15" r="123" spans="1:6">
      <c r="A123" s="822">
        <f>'3.CT2A'!A123</f>
        <v>131005</v>
      </c>
      <c r="B123" s="822" t="str">
        <f>'3.CT2A'!B123</f>
        <v xml:space="preserve">      Хөрөнгийн санхүүжилт</v>
      </c>
      <c r="C123" s="1618">
        <f>'3.CT2A'!D123</f>
        <v>0</v>
      </c>
      <c r="D123" s="1619">
        <f>VLOOKUP(A123,'4.CT3A'!$A$9:$D$311,4,FALSE)</f>
        <v>0</v>
      </c>
      <c r="E123" s="1619">
        <f si="1" t="shared"/>
        <v>0</v>
      </c>
      <c r="F123" s="821"/>
    </row>
    <row ht="15" r="124" spans="1:6">
      <c r="A124" s="822">
        <f>'3.CT2A'!A124</f>
        <v>131006</v>
      </c>
      <c r="B124" s="822" t="str">
        <f>'3.CT2A'!B124</f>
        <v xml:space="preserve">      Засгийн газрын тусгай сангаас санхүүжих</v>
      </c>
      <c r="C124" s="1618">
        <f>'3.CT2A'!D124</f>
        <v>0</v>
      </c>
      <c r="D124" s="1619">
        <f>VLOOKUP(A124,'4.CT3A'!$A$9:$D$311,4,FALSE)</f>
        <v>0</v>
      </c>
      <c r="E124" s="1619">
        <f si="1" t="shared"/>
        <v>0</v>
      </c>
      <c r="F124" s="821"/>
    </row>
    <row ht="15" r="125" spans="1:6">
      <c r="A125" s="822">
        <f>'3.CT2A'!A125</f>
        <v>131007</v>
      </c>
      <c r="B125" s="822" t="str">
        <f>'3.CT2A'!B125</f>
        <v xml:space="preserve">      Тусгай зориулалтын шилжүүлгээс санхүүжих</v>
      </c>
      <c r="C125" s="1618">
        <f>'3.CT2A'!D125</f>
        <v>0</v>
      </c>
      <c r="D125" s="1619">
        <f>VLOOKUP(A125,'4.CT3A'!$A$9:$D$311,4,FALSE)</f>
        <v>0</v>
      </c>
      <c r="E125" s="1619">
        <f si="1" t="shared"/>
        <v>0</v>
      </c>
      <c r="F125" s="821"/>
    </row>
    <row ht="30" r="126" spans="1:6">
      <c r="A126" s="822">
        <f>'3.CT2A'!A126</f>
        <v>131008</v>
      </c>
      <c r="B126" s="822" t="str">
        <f>'3.CT2A'!B126</f>
        <v xml:space="preserve">      Орон нутгийн хөгжлийн нэгдсэн сангаас санхүүжих</v>
      </c>
      <c r="C126" s="1618">
        <f>'3.CT2A'!D126</f>
        <v>0</v>
      </c>
      <c r="D126" s="1619">
        <f>VLOOKUP(A126,'4.CT3A'!$A$9:$D$311,4,FALSE)</f>
        <v>0</v>
      </c>
      <c r="E126" s="1619">
        <f si="1" t="shared"/>
        <v>0</v>
      </c>
      <c r="F126" s="821"/>
    </row>
    <row ht="15" r="127" spans="1:6">
      <c r="A127" s="822">
        <f>'3.CT2A'!A127</f>
        <v>131009</v>
      </c>
      <c r="B127" s="822" t="str">
        <f>'3.CT2A'!B127</f>
        <v xml:space="preserve">     Оны эхний үлдэгдлээс санхүүжих</v>
      </c>
      <c r="C127" s="1618">
        <f>'3.CT2A'!D127</f>
        <v>0</v>
      </c>
      <c r="D127" s="1619">
        <f>VLOOKUP(A127,'4.CT3A'!$A$9:$D$311,4,FALSE)</f>
        <v>0</v>
      </c>
      <c r="E127" s="1619">
        <f si="1" t="shared"/>
        <v>0</v>
      </c>
      <c r="F127" s="821"/>
    </row>
    <row ht="15" r="128" spans="1:6">
      <c r="A128" s="822">
        <f>'3.CT2A'!A128</f>
        <v>1311</v>
      </c>
      <c r="B128" s="822" t="str">
        <f>'3.CT2A'!B128</f>
        <v xml:space="preserve">   Нэмэлт санхүүжилтийн орлого</v>
      </c>
      <c r="C128" s="1618">
        <f>'3.CT2A'!D128</f>
        <v>0</v>
      </c>
      <c r="D128" s="1619">
        <f>VLOOKUP(A128,'4.CT3A'!$A$9:$D$311,4,FALSE)</f>
        <v>0</v>
      </c>
      <c r="E128" s="1619">
        <f si="1" t="shared"/>
        <v>0</v>
      </c>
      <c r="F128" s="821"/>
    </row>
    <row ht="30" r="129" spans="1:6">
      <c r="A129" s="822">
        <f>'3.CT2A'!A129</f>
        <v>131101</v>
      </c>
      <c r="B129" s="822" t="str">
        <f>'3.CT2A'!B129</f>
        <v xml:space="preserve">      Төрийн болон орон нутгийн өмчит бус этгээдээс авсан хандив, тусламж</v>
      </c>
      <c r="C129" s="1618">
        <f>'3.CT2A'!D129</f>
        <v>0</v>
      </c>
      <c r="D129" s="1619">
        <f>VLOOKUP(A129,'4.CT3A'!$A$9:$D$311,4,FALSE)</f>
        <v>0</v>
      </c>
      <c r="E129" s="1619">
        <f si="1" t="shared"/>
        <v>0</v>
      </c>
      <c r="F129" s="821"/>
    </row>
    <row ht="45" r="130" spans="1:6">
      <c r="A130" s="822">
        <f>'3.CT2A'!A130</f>
        <v>131102</v>
      </c>
      <c r="B130" s="822" t="str">
        <f>'3.CT2A'!B130</f>
        <v xml:space="preserve">      Төсвийн жилийн явцад УИХ-аас соёрхон баталсан, ЗГ хоорондын гэрээ болон ОУ байгууллагаас авах хөнгөлөлттэй зээл</v>
      </c>
      <c r="C130" s="1618">
        <f>'3.CT2A'!D130</f>
        <v>0</v>
      </c>
      <c r="D130" s="1619">
        <f>VLOOKUP(A130,'4.CT3A'!$A$9:$D$311,4,FALSE)</f>
        <v>0</v>
      </c>
      <c r="E130" s="1619">
        <f si="1" t="shared"/>
        <v>0</v>
      </c>
      <c r="F130" s="821"/>
    </row>
    <row ht="45" r="131" spans="1:6">
      <c r="A131" s="822">
        <f>'3.CT2A'!A131</f>
        <v>131103</v>
      </c>
      <c r="B131" s="822" t="str">
        <f>'3.CT2A'!B131</f>
        <v xml:space="preserve">      ЗГНХ,ЗДНХөрөнгө,түүнтэй адилтгах ангилагдаагүй нөөц хөрөнгөөс тухайн төсвийн захирагчид хуваарилсан хөрөнгө</v>
      </c>
      <c r="C131" s="1618">
        <f>'3.CT2A'!D131</f>
        <v>0</v>
      </c>
      <c r="D131" s="1619">
        <f>VLOOKUP(A131,'4.CT3A'!$A$9:$D$311,4,FALSE)</f>
        <v>0</v>
      </c>
      <c r="E131" s="1619">
        <f si="1" t="shared"/>
        <v>0</v>
      </c>
      <c r="F131" s="821"/>
    </row>
    <row ht="45" r="132" spans="1:6">
      <c r="A132" s="822">
        <f>'3.CT2A'!A132</f>
        <v>131104</v>
      </c>
      <c r="B132" s="822" t="str">
        <f>'3.CT2A'!B132</f>
        <v xml:space="preserve">      Дээд шатны төсвийн захирагчийн төсөвт тусгагдсан төсвөөс доод шатны төсвийн захирагчид хуваарилсан хөрөнгө</v>
      </c>
      <c r="C132" s="1618">
        <f>'3.CT2A'!D132</f>
        <v>0</v>
      </c>
      <c r="D132" s="1619">
        <f>VLOOKUP(A132,'4.CT3A'!$A$9:$D$311,4,FALSE)</f>
        <v>0</v>
      </c>
      <c r="E132" s="1619">
        <f si="1" t="shared"/>
        <v>0</v>
      </c>
      <c r="F132" s="821"/>
    </row>
    <row ht="30" r="133" spans="1:6">
      <c r="A133" s="822">
        <f>'3.CT2A'!A133</f>
        <v>131105</v>
      </c>
      <c r="B133" s="822" t="str">
        <f>'3.CT2A'!B133</f>
        <v xml:space="preserve">      Төсвийн байгууллагын үндсэн үйл ажиллагааны хүрээнд бий болсон нэмэлт орлого</v>
      </c>
      <c r="C133" s="1618">
        <f>'3.CT2A'!D133</f>
        <v>0</v>
      </c>
      <c r="D133" s="1619">
        <f>VLOOKUP(A133,'4.CT3A'!$A$9:$D$311,4,FALSE)</f>
        <v>0</v>
      </c>
      <c r="E133" s="1619">
        <f si="1" t="shared"/>
        <v>0</v>
      </c>
      <c r="F133" s="821"/>
    </row>
    <row ht="15" r="134" spans="1:6">
      <c r="A134" s="822">
        <f>'3.CT2A'!A134</f>
        <v>131106</v>
      </c>
      <c r="B134" s="822" t="str">
        <f>'3.CT2A'!B134</f>
        <v xml:space="preserve">      Төсвийн урамшуулал</v>
      </c>
      <c r="C134" s="1618">
        <f>'3.CT2A'!D134</f>
        <v>0</v>
      </c>
      <c r="D134" s="1619">
        <f>VLOOKUP(A134,'4.CT3A'!$A$9:$D$311,4,FALSE)</f>
        <v>0</v>
      </c>
      <c r="E134" s="1619">
        <f si="1" t="shared"/>
        <v>0</v>
      </c>
      <c r="F134" s="821"/>
    </row>
    <row ht="15" r="135" spans="1:6">
      <c r="A135" s="822">
        <f>'3.CT2A'!A135</f>
        <v>1320</v>
      </c>
      <c r="B135" s="822" t="str">
        <f>'3.CT2A'!B135</f>
        <v xml:space="preserve">   Орон нутгийн төсвөөс санхүүжих</v>
      </c>
      <c r="C135" s="1618">
        <f>'3.CT2A'!D135</f>
        <v>0</v>
      </c>
      <c r="D135" s="1619">
        <f>VLOOKUP(A135,'4.CT3A'!$A$9:$D$311,4,FALSE)</f>
        <v>0</v>
      </c>
      <c r="E135" s="1619">
        <f si="1" t="shared"/>
        <v>0</v>
      </c>
      <c r="F135" s="821"/>
    </row>
    <row ht="30" r="136" spans="1:6">
      <c r="A136" s="822">
        <f>'3.CT2A'!A136</f>
        <v>132001</v>
      </c>
      <c r="B136" s="822" t="str">
        <f>'3.CT2A'!B136</f>
        <v xml:space="preserve">      Урсгал үйл ажиллагааны санхүүжилт /орон нутгийн төсөвт байгууллага/</v>
      </c>
      <c r="C136" s="1618">
        <f>'3.CT2A'!D136</f>
        <v>0</v>
      </c>
      <c r="D136" s="1619">
        <f>VLOOKUP(A136,'4.CT3A'!$A$9:$D$311,4,FALSE)</f>
        <v>0</v>
      </c>
      <c r="E136" s="1619">
        <f ref="E136:E199" si="2" t="shared">+C136-D136</f>
        <v>0</v>
      </c>
      <c r="F136" s="821"/>
    </row>
    <row ht="30" r="137" spans="1:6">
      <c r="A137" s="822">
        <f>'3.CT2A'!A137</f>
        <v>132002</v>
      </c>
      <c r="B137" s="822" t="str">
        <f>'3.CT2A'!B137</f>
        <v xml:space="preserve">      Засгийн газрын, Засаг даргын нөөц хөрөнгийн санхүүжилт</v>
      </c>
      <c r="C137" s="1618">
        <f>'3.CT2A'!D137</f>
        <v>0</v>
      </c>
      <c r="D137" s="1619">
        <f>VLOOKUP(A137,'4.CT3A'!$A$9:$D$311,4,FALSE)</f>
        <v>0</v>
      </c>
      <c r="E137" s="1619">
        <f si="2" t="shared"/>
        <v>0</v>
      </c>
      <c r="F137" s="821"/>
    </row>
    <row ht="30" r="138" spans="1:6">
      <c r="A138" s="822">
        <f>'3.CT2A'!A138</f>
        <v>132003</v>
      </c>
      <c r="B138" s="822" t="str">
        <f>'3.CT2A'!B138</f>
        <v xml:space="preserve">      Төвлөрүүлэх шилжүүлэг /орон нутгийн төсөвт байгууллага улсад төвлөрүүлэх орлого/</v>
      </c>
      <c r="C138" s="1618">
        <f>'3.CT2A'!D138</f>
        <v>0</v>
      </c>
      <c r="D138" s="1619">
        <f>VLOOKUP(A138,'4.CT3A'!$A$9:$D$311,4,FALSE)</f>
        <v>0</v>
      </c>
      <c r="E138" s="1619">
        <f si="2" t="shared"/>
        <v>0</v>
      </c>
      <c r="F138" s="821"/>
    </row>
    <row ht="30" r="139" spans="1:6">
      <c r="A139" s="822">
        <f>'3.CT2A'!A139</f>
        <v>132004</v>
      </c>
      <c r="B139" s="822" t="str">
        <f>'3.CT2A'!B139</f>
        <v xml:space="preserve">      Оны эхний үлдэгдлээс санхүүжих / орон нутгийн төсөв/</v>
      </c>
      <c r="C139" s="1618">
        <f>'3.CT2A'!D139</f>
        <v>0</v>
      </c>
      <c r="D139" s="1619">
        <f>VLOOKUP(A139,'4.CT3A'!$A$9:$D$311,4,FALSE)</f>
        <v>0</v>
      </c>
      <c r="E139" s="1619">
        <f si="2" t="shared"/>
        <v>0</v>
      </c>
      <c r="F139" s="821"/>
    </row>
    <row ht="30" r="140" spans="1:6">
      <c r="A140" s="822">
        <f>'3.CT2A'!A140</f>
        <v>132005</v>
      </c>
      <c r="B140" s="822" t="str">
        <f>'3.CT2A'!B140</f>
        <v xml:space="preserve">      Хөрөнгийн санхүүжилт / орон нутгийн төсөвт байгууллага/</v>
      </c>
      <c r="C140" s="1618">
        <f>'3.CT2A'!D140</f>
        <v>0</v>
      </c>
      <c r="D140" s="1619">
        <f>VLOOKUP(A140,'4.CT3A'!$A$9:$D$311,4,FALSE)</f>
        <v>0</v>
      </c>
      <c r="E140" s="1619">
        <f si="2" t="shared"/>
        <v>0</v>
      </c>
      <c r="F140" s="821"/>
    </row>
    <row ht="30" r="141" spans="1:6">
      <c r="A141" s="822">
        <f>'3.CT2A'!A141</f>
        <v>132006</v>
      </c>
      <c r="B141" s="822" t="str">
        <f>'3.CT2A'!B141</f>
        <v xml:space="preserve">      Урсгал үйл ажиллагааны санхүүжилт / аймгаас авсан санхүүгийн дэмжлэг/</v>
      </c>
      <c r="C141" s="1618">
        <f>'3.CT2A'!D141</f>
        <v>0</v>
      </c>
      <c r="D141" s="1619">
        <f>VLOOKUP(A141,'4.CT3A'!$A$9:$D$311,4,FALSE)</f>
        <v>0</v>
      </c>
      <c r="E141" s="1619">
        <f si="2" t="shared"/>
        <v>0</v>
      </c>
      <c r="F141" s="821"/>
    </row>
    <row ht="15" r="142" spans="1:6">
      <c r="A142" s="822">
        <f>'3.CT2A'!A142</f>
        <v>132007</v>
      </c>
      <c r="B142" s="822" t="str">
        <f>'3.CT2A'!B142</f>
        <v xml:space="preserve">      Орон нутгийн хөгжлийн сангаас санхүүжих</v>
      </c>
      <c r="C142" s="1618">
        <f>'3.CT2A'!D142</f>
        <v>0</v>
      </c>
      <c r="D142" s="1619">
        <f>VLOOKUP(A142,'4.CT3A'!$A$9:$D$311,4,FALSE)</f>
        <v>0</v>
      </c>
      <c r="E142" s="1619">
        <f si="2" t="shared"/>
        <v>0</v>
      </c>
      <c r="F142" s="821"/>
    </row>
    <row ht="15" r="143" spans="1:6">
      <c r="A143" s="822">
        <f>'3.CT2A'!A143</f>
        <v>1330</v>
      </c>
      <c r="B143" s="822" t="str">
        <f>'3.CT2A'!B143</f>
        <v xml:space="preserve">   Төсвийн захирагчдаас </v>
      </c>
      <c r="C143" s="1618">
        <f>'3.CT2A'!D143</f>
        <v>0</v>
      </c>
      <c r="D143" s="1619">
        <f>VLOOKUP(A143,'4.CT3A'!$A$9:$D$311,4,FALSE)</f>
        <v>0</v>
      </c>
      <c r="E143" s="1619">
        <f si="2" t="shared"/>
        <v>0</v>
      </c>
      <c r="F143" s="821"/>
    </row>
    <row ht="15" r="144" spans="1:6">
      <c r="A144" s="822">
        <f>'3.CT2A'!A144</f>
        <v>133001</v>
      </c>
      <c r="B144" s="822" t="str">
        <f>'3.CT2A'!B144</f>
        <v xml:space="preserve">      Урсгал үйл ажиллагааны санхүүжилт</v>
      </c>
      <c r="C144" s="1618">
        <f>'3.CT2A'!D144</f>
        <v>0</v>
      </c>
      <c r="D144" s="1619">
        <f>VLOOKUP(A144,'4.CT3A'!$A$9:$D$311,4,FALSE)</f>
        <v>0</v>
      </c>
      <c r="E144" s="1619">
        <f si="2" t="shared"/>
        <v>0</v>
      </c>
      <c r="F144" s="821"/>
    </row>
    <row ht="15" r="145" spans="1:6">
      <c r="A145" s="822">
        <f>'3.CT2A'!A145</f>
        <v>133002</v>
      </c>
      <c r="B145" s="822" t="str">
        <f>'3.CT2A'!B145</f>
        <v xml:space="preserve">      Төвлөрүүлэх шилжүүлэг</v>
      </c>
      <c r="C145" s="1618">
        <f>'3.CT2A'!D145</f>
        <v>0</v>
      </c>
      <c r="D145" s="1619">
        <f>VLOOKUP(A145,'4.CT3A'!$A$9:$D$311,4,FALSE)</f>
        <v>0</v>
      </c>
      <c r="E145" s="1619">
        <f si="2" t="shared"/>
        <v>0</v>
      </c>
      <c r="F145" s="821"/>
    </row>
    <row ht="15" r="146" spans="1:6">
      <c r="A146" s="822">
        <f>'3.CT2A'!A146</f>
        <v>133003</v>
      </c>
      <c r="B146" s="822" t="str">
        <f>'3.CT2A'!B146</f>
        <v xml:space="preserve">      Хөрөнгийн</v>
      </c>
      <c r="C146" s="1618">
        <f>'3.CT2A'!D146</f>
        <v>0</v>
      </c>
      <c r="D146" s="1619">
        <f>VLOOKUP(A146,'4.CT3A'!$A$9:$D$311,4,FALSE)</f>
        <v>0</v>
      </c>
      <c r="E146" s="1619">
        <f si="2" t="shared"/>
        <v>0</v>
      </c>
      <c r="F146" s="821"/>
    </row>
    <row ht="30" r="147" spans="1:6">
      <c r="A147" s="822">
        <f>'3.CT2A'!A147</f>
        <v>133004</v>
      </c>
      <c r="B147" s="822" t="str">
        <f>'3.CT2A'!B147</f>
        <v xml:space="preserve">      Төсвийн ерөнхийлөн захирагчаас олгосон санхүүжилт</v>
      </c>
      <c r="C147" s="1618">
        <f>'3.CT2A'!D147</f>
        <v>0</v>
      </c>
      <c r="D147" s="1619">
        <f>VLOOKUP(A147,'4.CT3A'!$A$9:$D$311,4,FALSE)</f>
        <v>0</v>
      </c>
      <c r="E147" s="1619">
        <f si="2" t="shared"/>
        <v>0</v>
      </c>
      <c r="F147" s="821"/>
    </row>
    <row ht="30" r="148" spans="1:6">
      <c r="A148" s="822">
        <f>'3.CT2A'!A148</f>
        <v>133005</v>
      </c>
      <c r="B148" s="822" t="str">
        <f>'3.CT2A'!B148</f>
        <v xml:space="preserve">      Төсвийн ерөнхийлөн захирагч хооронд хийсэн санхүүжилт</v>
      </c>
      <c r="C148" s="1618">
        <f>'3.CT2A'!D148</f>
        <v>0</v>
      </c>
      <c r="D148" s="1619">
        <f>VLOOKUP(A148,'4.CT3A'!$A$9:$D$311,4,FALSE)</f>
        <v>0</v>
      </c>
      <c r="E148" s="1619">
        <f si="2" t="shared"/>
        <v>0</v>
      </c>
      <c r="F148" s="821"/>
    </row>
    <row ht="15" r="149" spans="1:6">
      <c r="A149" s="822">
        <f>'3.CT2A'!A149</f>
        <v>1340</v>
      </c>
      <c r="B149" s="822" t="str">
        <f>'3.CT2A'!B149</f>
        <v xml:space="preserve">   Нийгмийн даатгалын сангийн төсвөөс санхүүжих</v>
      </c>
      <c r="C149" s="1618">
        <f>'3.CT2A'!D149</f>
        <v>0</v>
      </c>
      <c r="D149" s="1619">
        <f>VLOOKUP(A149,'4.CT3A'!$A$9:$D$311,4,FALSE)</f>
        <v>0</v>
      </c>
      <c r="E149" s="1619">
        <f si="2" t="shared"/>
        <v>0</v>
      </c>
      <c r="F149" s="821"/>
    </row>
    <row ht="15" r="150" spans="1:6">
      <c r="A150" s="822">
        <f>'3.CT2A'!A150</f>
        <v>134001</v>
      </c>
      <c r="B150" s="822" t="str">
        <f>'3.CT2A'!B150</f>
        <v xml:space="preserve">      Нийгмийн даатгалын сангаас санхүүжих</v>
      </c>
      <c r="C150" s="1618">
        <f>'3.CT2A'!D150</f>
        <v>0</v>
      </c>
      <c r="D150" s="1619">
        <f>VLOOKUP(A150,'4.CT3A'!$A$9:$D$311,4,FALSE)</f>
        <v>0</v>
      </c>
      <c r="E150" s="1619">
        <f si="2" t="shared"/>
        <v>0</v>
      </c>
      <c r="F150" s="821"/>
    </row>
    <row ht="15" r="151" spans="1:6">
      <c r="A151" s="822">
        <f>'3.CT2A'!A151</f>
        <v>134002</v>
      </c>
      <c r="B151" s="822" t="str">
        <f>'3.CT2A'!B151</f>
        <v xml:space="preserve">       Эрүүл мэндийн даатгалын сангаас санхүүжих</v>
      </c>
      <c r="C151" s="1618">
        <f>'3.CT2A'!D151</f>
        <v>0</v>
      </c>
      <c r="D151" s="1619">
        <f>VLOOKUP(A151,'4.CT3A'!$A$9:$D$311,4,FALSE)</f>
        <v>0</v>
      </c>
      <c r="E151" s="1619">
        <f si="2" t="shared"/>
        <v>0</v>
      </c>
      <c r="F151" s="821"/>
    </row>
    <row ht="30" r="152" spans="1:6">
      <c r="A152" s="822">
        <f>'3.CT2A'!A152</f>
        <v>134003</v>
      </c>
      <c r="B152" s="822" t="str">
        <f>'3.CT2A'!B152</f>
        <v xml:space="preserve">       Нийгмийн даатгалын сангаас эмнэлгүүдэд олгох санхүүжилт</v>
      </c>
      <c r="C152" s="1618">
        <f>'3.CT2A'!D152</f>
        <v>0</v>
      </c>
      <c r="D152" s="1619">
        <f>VLOOKUP(A152,'4.CT3A'!$A$9:$D$311,4,FALSE)</f>
        <v>0</v>
      </c>
      <c r="E152" s="1619">
        <f si="2" t="shared"/>
        <v>0</v>
      </c>
      <c r="F152" s="821"/>
    </row>
    <row ht="15" r="153" spans="1:6">
      <c r="A153" s="822">
        <f>'3.CT2A'!A153</f>
        <v>2</v>
      </c>
      <c r="B153" s="822" t="str">
        <f>'3.CT2A'!B153</f>
        <v>ҮЙЛ АЖИЛЛАГААНЫ ЗАРДЛЫН ДҮН</v>
      </c>
      <c r="C153" s="1618">
        <f>'3.CT2A'!D153</f>
        <v>0</v>
      </c>
      <c r="D153" s="1619">
        <f>VLOOKUP(A153,'4.CT3A'!$A$9:$D$311,4,FALSE)</f>
        <v>0</v>
      </c>
      <c r="E153" s="1619">
        <f si="2" t="shared"/>
        <v>0</v>
      </c>
      <c r="F153" s="821"/>
    </row>
    <row ht="15" r="154" spans="1:6">
      <c r="A154" s="822">
        <f>'3.CT2A'!A154</f>
        <v>21</v>
      </c>
      <c r="B154" s="822" t="str">
        <f>'3.CT2A'!B154</f>
        <v xml:space="preserve">  УРСГАЛ ЗАРДАЛ </v>
      </c>
      <c r="C154" s="1618">
        <f>'3.CT2A'!D154</f>
        <v>0</v>
      </c>
      <c r="D154" s="1619">
        <f>VLOOKUP(A154,'4.CT3A'!$A$9:$D$311,4,FALSE)</f>
        <v>0</v>
      </c>
      <c r="E154" s="1619">
        <f si="2" t="shared"/>
        <v>0</v>
      </c>
      <c r="F154" s="821"/>
    </row>
    <row ht="15" r="155" spans="1:6">
      <c r="A155" s="822">
        <f>'3.CT2A'!A155</f>
        <v>210</v>
      </c>
      <c r="B155" s="822" t="str">
        <f>'3.CT2A'!B155</f>
        <v xml:space="preserve">    БАРАА, АЖИЛ ҮЙЛЧИЛГЭЭНИЙ ЗАРДАЛ</v>
      </c>
      <c r="C155" s="1618">
        <f>'3.CT2A'!D155</f>
        <v>0</v>
      </c>
      <c r="D155" s="1619">
        <f>VLOOKUP(A155,'4.CT3A'!$A$9:$D$311,4,FALSE)</f>
        <v>0</v>
      </c>
      <c r="E155" s="1619">
        <f si="2" t="shared"/>
        <v>0</v>
      </c>
      <c r="F155" s="821"/>
    </row>
    <row ht="15" r="156" spans="1:6">
      <c r="A156" s="822">
        <f>'3.CT2A'!A156</f>
        <v>2101</v>
      </c>
      <c r="B156" s="822" t="str">
        <f>'3.CT2A'!B156</f>
        <v xml:space="preserve">      Цалин хөлс болон нэмэгдэл урамшил</v>
      </c>
      <c r="C156" s="1618">
        <f>'3.CT2A'!D156</f>
        <v>0</v>
      </c>
      <c r="D156" s="1619">
        <f>VLOOKUP(A156,'4.CT3A'!$A$9:$D$311,4,FALSE)</f>
        <v>0</v>
      </c>
      <c r="E156" s="1619">
        <f si="2" t="shared"/>
        <v>0</v>
      </c>
      <c r="F156" s="821"/>
    </row>
    <row ht="15" r="157" spans="1:6">
      <c r="A157" s="822">
        <f>'3.CT2A'!A157</f>
        <v>210101</v>
      </c>
      <c r="B157" s="822" t="str">
        <f>'3.CT2A'!B157</f>
        <v xml:space="preserve">          Үндсэн цалин</v>
      </c>
      <c r="C157" s="1618">
        <f>'3.CT2A'!D157</f>
        <v>0</v>
      </c>
      <c r="D157" s="1619">
        <f>VLOOKUP(A157,'4.CT3A'!$A$9:$D$311,4,FALSE)</f>
        <v>0</v>
      </c>
      <c r="E157" s="1619">
        <f si="2" t="shared"/>
        <v>0</v>
      </c>
      <c r="F157" s="821"/>
    </row>
    <row ht="15" r="158" spans="1:6">
      <c r="A158" s="822">
        <f>'3.CT2A'!A158</f>
        <v>210102</v>
      </c>
      <c r="B158" s="822" t="str">
        <f>'3.CT2A'!B158</f>
        <v xml:space="preserve">          Нэмэгдэл</v>
      </c>
      <c r="C158" s="1618">
        <f>'3.CT2A'!D158</f>
        <v>0</v>
      </c>
      <c r="D158" s="1619">
        <f>VLOOKUP(A158,'4.CT3A'!$A$9:$D$311,4,FALSE)</f>
        <v>0</v>
      </c>
      <c r="E158" s="1619">
        <f si="2" t="shared"/>
        <v>0</v>
      </c>
      <c r="F158" s="821"/>
    </row>
    <row ht="15" r="159" spans="1:6">
      <c r="A159" s="822">
        <f>'3.CT2A'!A159</f>
        <v>210103</v>
      </c>
      <c r="B159" s="822" t="str">
        <f>'3.CT2A'!B159</f>
        <v xml:space="preserve">          Унаа хоолны хөнгөлөлт</v>
      </c>
      <c r="C159" s="1618">
        <f>'3.CT2A'!D159</f>
        <v>0</v>
      </c>
      <c r="D159" s="1619">
        <f>VLOOKUP(A159,'4.CT3A'!$A$9:$D$311,4,FALSE)</f>
        <v>0</v>
      </c>
      <c r="E159" s="1619">
        <f si="2" t="shared"/>
        <v>0</v>
      </c>
      <c r="F159" s="821"/>
    </row>
    <row ht="15" r="160" spans="1:6">
      <c r="A160" s="822">
        <f>'3.CT2A'!A160</f>
        <v>210104</v>
      </c>
      <c r="B160" s="822" t="str">
        <f>'3.CT2A'!B160</f>
        <v xml:space="preserve">          Урамшуулал</v>
      </c>
      <c r="C160" s="1618">
        <f>'3.CT2A'!D160</f>
        <v>0</v>
      </c>
      <c r="D160" s="1619">
        <f>VLOOKUP(A160,'4.CT3A'!$A$9:$D$311,4,FALSE)</f>
        <v>0</v>
      </c>
      <c r="E160" s="1619">
        <f si="2" t="shared"/>
        <v>0</v>
      </c>
      <c r="F160" s="821"/>
    </row>
    <row ht="15" r="161" spans="1:6">
      <c r="A161" s="822">
        <f>'3.CT2A'!A161</f>
        <v>210105</v>
      </c>
      <c r="B161" s="822" t="str">
        <f>'3.CT2A'!B161</f>
        <v xml:space="preserve">          Гэрээт ажлын хөлс</v>
      </c>
      <c r="C161" s="1618">
        <f>'3.CT2A'!D161</f>
        <v>0</v>
      </c>
      <c r="D161" s="1619">
        <f>VLOOKUP(A161,'4.CT3A'!$A$9:$D$311,4,FALSE)</f>
        <v>0</v>
      </c>
      <c r="E161" s="1619">
        <f si="2" t="shared"/>
        <v>0</v>
      </c>
      <c r="F161" s="821"/>
    </row>
    <row ht="15" r="162" spans="1:6">
      <c r="A162" s="822">
        <f>'3.CT2A'!A162</f>
        <v>210106</v>
      </c>
      <c r="B162" s="822" t="str">
        <f>'3.CT2A'!B162</f>
        <v xml:space="preserve">         Ажиллагчдад төлсөн   /ТӨҮГ/</v>
      </c>
      <c r="C162" s="1618">
        <f>'3.CT2A'!D162</f>
        <v>0</v>
      </c>
      <c r="D162" s="1619">
        <f>VLOOKUP(A162,'4.CT3A'!$A$9:$D$311,4,FALSE)</f>
        <v>0</v>
      </c>
      <c r="E162" s="1619">
        <f si="2" t="shared"/>
        <v>0</v>
      </c>
      <c r="F162" s="821"/>
    </row>
    <row customHeight="1" ht="20.25" r="163" spans="1:6">
      <c r="A163" s="822">
        <f>'3.CT2A'!A163</f>
        <v>2102</v>
      </c>
      <c r="B163" s="822" t="str">
        <f>'3.CT2A'!B163</f>
        <v xml:space="preserve">      Ажил олгогчоос нийгмийн даатгалд төлөх шимтгэл</v>
      </c>
      <c r="C163" s="1618">
        <f>'3.CT2A'!D163</f>
        <v>0</v>
      </c>
      <c r="D163" s="1619">
        <f>VLOOKUP(A163,'4.CT3A'!$A$9:$D$311,4,FALSE)</f>
        <v>0</v>
      </c>
      <c r="E163" s="1619">
        <f si="2" t="shared"/>
        <v>0</v>
      </c>
      <c r="F163" s="821"/>
    </row>
    <row ht="15" r="164" spans="1:6">
      <c r="A164" s="822">
        <f>'3.CT2A'!A164</f>
        <v>210201</v>
      </c>
      <c r="B164" s="822" t="str">
        <f>'3.CT2A'!B164</f>
        <v xml:space="preserve">          Тэтгэврийн даатгал</v>
      </c>
      <c r="C164" s="1618">
        <f>'3.CT2A'!D164</f>
        <v>0</v>
      </c>
      <c r="D164" s="1619">
        <f>VLOOKUP(A164,'4.CT3A'!$A$9:$D$311,4,FALSE)</f>
        <v>0</v>
      </c>
      <c r="E164" s="1619">
        <f si="2" t="shared"/>
        <v>0</v>
      </c>
      <c r="F164" s="821"/>
    </row>
    <row ht="15" r="165" spans="1:6">
      <c r="A165" s="822">
        <f>'3.CT2A'!A165</f>
        <v>210202</v>
      </c>
      <c r="B165" s="822" t="str">
        <f>'3.CT2A'!B165</f>
        <v xml:space="preserve">          Тэтгэмжийн даатгал</v>
      </c>
      <c r="C165" s="1618">
        <f>'3.CT2A'!D165</f>
        <v>0</v>
      </c>
      <c r="D165" s="1619">
        <f>VLOOKUP(A165,'4.CT3A'!$A$9:$D$311,4,FALSE)</f>
        <v>0</v>
      </c>
      <c r="E165" s="1619">
        <f si="2" t="shared"/>
        <v>0</v>
      </c>
      <c r="F165" s="821"/>
    </row>
    <row ht="15" r="166" spans="1:6">
      <c r="A166" s="822">
        <f>'3.CT2A'!A166</f>
        <v>210203</v>
      </c>
      <c r="B166" s="822" t="str">
        <f>'3.CT2A'!B166</f>
        <v xml:space="preserve">          ҮОМШӨ-ний даатгал</v>
      </c>
      <c r="C166" s="1618">
        <f>'3.CT2A'!D166</f>
        <v>0</v>
      </c>
      <c r="D166" s="1619">
        <f>VLOOKUP(A166,'4.CT3A'!$A$9:$D$311,4,FALSE)</f>
        <v>0</v>
      </c>
      <c r="E166" s="1619">
        <f si="2" t="shared"/>
        <v>0</v>
      </c>
      <c r="F166" s="821"/>
    </row>
    <row ht="15" r="167" spans="1:6">
      <c r="A167" s="822">
        <f>'3.CT2A'!A167</f>
        <v>210204</v>
      </c>
      <c r="B167" s="822" t="str">
        <f>'3.CT2A'!B167</f>
        <v xml:space="preserve">          Ажилгүйдлийн даатгал</v>
      </c>
      <c r="C167" s="1618">
        <f>'3.CT2A'!D167</f>
        <v>0</v>
      </c>
      <c r="D167" s="1619">
        <f>VLOOKUP(A167,'4.CT3A'!$A$9:$D$311,4,FALSE)</f>
        <v>0</v>
      </c>
      <c r="E167" s="1619">
        <f si="2" t="shared"/>
        <v>0</v>
      </c>
      <c r="F167" s="821"/>
    </row>
    <row ht="15" r="168" spans="1:6">
      <c r="A168" s="822">
        <f>'3.CT2A'!A168</f>
        <v>210205</v>
      </c>
      <c r="B168" s="822" t="str">
        <f>'3.CT2A'!B168</f>
        <v xml:space="preserve">          Эрүүл мэндийн даатгал</v>
      </c>
      <c r="C168" s="1618">
        <f>'3.CT2A'!D168</f>
        <v>0</v>
      </c>
      <c r="D168" s="1619">
        <f>VLOOKUP(A168,'4.CT3A'!$A$9:$D$311,4,FALSE)</f>
        <v>0</v>
      </c>
      <c r="E168" s="1619">
        <f si="2" t="shared"/>
        <v>0</v>
      </c>
      <c r="F168" s="821"/>
    </row>
    <row ht="30" r="169" spans="1:6">
      <c r="A169" s="822">
        <f>'3.CT2A'!A169</f>
        <v>210206</v>
      </c>
      <c r="B169" s="822" t="str">
        <f>'3.CT2A'!B169</f>
        <v xml:space="preserve">          Нийгмийн даатгалын байгууллагад төлсөн   /ТӨҮГ/</v>
      </c>
      <c r="C169" s="1618">
        <f>'3.CT2A'!D169</f>
        <v>0</v>
      </c>
      <c r="D169" s="1619">
        <f>VLOOKUP(A169,'4.CT3A'!$A$9:$D$311,4,FALSE)</f>
        <v>0</v>
      </c>
      <c r="E169" s="1619">
        <f si="2" t="shared"/>
        <v>0</v>
      </c>
      <c r="F169" s="821"/>
    </row>
    <row ht="15" r="170" spans="1:6">
      <c r="A170" s="822">
        <f>'3.CT2A'!A170</f>
        <v>2103</v>
      </c>
      <c r="B170" s="822" t="str">
        <f>'3.CT2A'!B170</f>
        <v xml:space="preserve">      Байр ашиглалттай холбоотой тогтмол зардал</v>
      </c>
      <c r="C170" s="1618">
        <f>'3.CT2A'!D170</f>
        <v>0</v>
      </c>
      <c r="D170" s="1619">
        <f>VLOOKUP(A170,'4.CT3A'!$A$9:$D$311,4,FALSE)</f>
        <v>0</v>
      </c>
      <c r="E170" s="1619">
        <f si="2" t="shared"/>
        <v>0</v>
      </c>
      <c r="F170" s="821"/>
    </row>
    <row ht="15" r="171" spans="1:6">
      <c r="A171" s="822">
        <f>'3.CT2A'!A171</f>
        <v>210301</v>
      </c>
      <c r="B171" s="822" t="str">
        <f>'3.CT2A'!B171</f>
        <v xml:space="preserve">        Гэрэл, цахилгаан</v>
      </c>
      <c r="C171" s="1618">
        <f>'3.CT2A'!D171</f>
        <v>0</v>
      </c>
      <c r="D171" s="1619">
        <f>VLOOKUP(A171,'4.CT3A'!$A$9:$D$311,4,FALSE)</f>
        <v>0</v>
      </c>
      <c r="E171" s="1619">
        <f si="2" t="shared"/>
        <v>0</v>
      </c>
      <c r="F171" s="821"/>
    </row>
    <row ht="15" r="172" spans="1:6">
      <c r="A172" s="822">
        <f>'3.CT2A'!A172</f>
        <v>210302</v>
      </c>
      <c r="B172" s="822" t="str">
        <f>'3.CT2A'!B172</f>
        <v xml:space="preserve">        Түлш, халаалт</v>
      </c>
      <c r="C172" s="1618">
        <f>'3.CT2A'!D172</f>
        <v>0</v>
      </c>
      <c r="D172" s="1619">
        <f>VLOOKUP(A172,'4.CT3A'!$A$9:$D$311,4,FALSE)</f>
        <v>0</v>
      </c>
      <c r="E172" s="1619">
        <f si="2" t="shared"/>
        <v>0</v>
      </c>
      <c r="F172" s="821"/>
    </row>
    <row ht="15" r="173" spans="1:6">
      <c r="A173" s="822">
        <f>'3.CT2A'!A173</f>
        <v>210303</v>
      </c>
      <c r="B173" s="822" t="str">
        <f>'3.CT2A'!B173</f>
        <v xml:space="preserve">        Цэвэр, бохир ус</v>
      </c>
      <c r="C173" s="1618">
        <f>'3.CT2A'!D173</f>
        <v>0</v>
      </c>
      <c r="D173" s="1619">
        <f>VLOOKUP(A173,'4.CT3A'!$A$9:$D$311,4,FALSE)</f>
        <v>0</v>
      </c>
      <c r="E173" s="1619">
        <f si="2" t="shared"/>
        <v>0</v>
      </c>
      <c r="F173" s="821"/>
    </row>
    <row ht="15" r="174" spans="1:6">
      <c r="A174" s="822">
        <f>'3.CT2A'!A174</f>
        <v>210304</v>
      </c>
      <c r="B174" s="822" t="str">
        <f>'3.CT2A'!B174</f>
        <v xml:space="preserve">        Байрны түрээс</v>
      </c>
      <c r="C174" s="1618">
        <f>'3.CT2A'!D174</f>
        <v>0</v>
      </c>
      <c r="D174" s="1619">
        <f>VLOOKUP(A174,'4.CT3A'!$A$9:$D$311,4,FALSE)</f>
        <v>0</v>
      </c>
      <c r="E174" s="1619">
        <f si="2" t="shared"/>
        <v>0</v>
      </c>
      <c r="F174" s="821"/>
    </row>
    <row ht="15" r="175" spans="1:6">
      <c r="A175" s="822">
        <f>'3.CT2A'!A175</f>
        <v>210305</v>
      </c>
      <c r="B175" s="822" t="str">
        <f>'3.CT2A'!B175</f>
        <v xml:space="preserve">        Ашиглалтын зардалд төлсөн   /ТӨҮГ/</v>
      </c>
      <c r="C175" s="1618">
        <f>'3.CT2A'!D175</f>
        <v>0</v>
      </c>
      <c r="D175" s="1619">
        <f>VLOOKUP(A175,'4.CT3A'!$A$9:$D$311,4,FALSE)</f>
        <v>0</v>
      </c>
      <c r="E175" s="1619">
        <f si="2" t="shared"/>
        <v>0</v>
      </c>
      <c r="F175" s="821"/>
    </row>
    <row ht="15" r="176" spans="1:6">
      <c r="A176" s="822">
        <f>'3.CT2A'!A176</f>
        <v>2104</v>
      </c>
      <c r="B176" s="822" t="str">
        <f>'3.CT2A'!B176</f>
        <v xml:space="preserve">      Хангамж, бараа материалын зардал</v>
      </c>
      <c r="C176" s="1618">
        <f>'3.CT2A'!D176</f>
        <v>0</v>
      </c>
      <c r="D176" s="1619">
        <f>VLOOKUP(A176,'4.CT3A'!$A$9:$D$311,4,FALSE)</f>
        <v>0</v>
      </c>
      <c r="E176" s="1619">
        <f si="2" t="shared"/>
        <v>0</v>
      </c>
      <c r="F176" s="821"/>
    </row>
    <row ht="15" r="177" spans="1:6">
      <c r="A177" s="822">
        <f>'3.CT2A'!A177</f>
        <v>210401</v>
      </c>
      <c r="B177" s="822" t="str">
        <f>'3.CT2A'!B177</f>
        <v xml:space="preserve">        Бичиг хэрэг</v>
      </c>
      <c r="C177" s="1618">
        <f>'3.CT2A'!D177</f>
        <v>0</v>
      </c>
      <c r="D177" s="1619">
        <f>VLOOKUP(A177,'4.CT3A'!$A$9:$D$311,4,FALSE)</f>
        <v>0</v>
      </c>
      <c r="E177" s="1619">
        <f si="2" t="shared"/>
        <v>0</v>
      </c>
      <c r="F177" s="821"/>
    </row>
    <row ht="15" r="178" spans="1:6">
      <c r="A178" s="822">
        <f>'3.CT2A'!A178</f>
        <v>210402</v>
      </c>
      <c r="B178" s="822" t="str">
        <f>'3.CT2A'!B178</f>
        <v xml:space="preserve">        Тээвэр, шатахуун</v>
      </c>
      <c r="C178" s="1618">
        <f>'3.CT2A'!D178</f>
        <v>0</v>
      </c>
      <c r="D178" s="1619">
        <f>VLOOKUP(A178,'4.CT3A'!$A$9:$D$311,4,FALSE)</f>
        <v>0</v>
      </c>
      <c r="E178" s="1619">
        <f si="2" t="shared"/>
        <v>0</v>
      </c>
      <c r="F178" s="821"/>
    </row>
    <row ht="15" r="179" spans="1:6">
      <c r="A179" s="822">
        <f>'3.CT2A'!A179</f>
        <v>210403</v>
      </c>
      <c r="B179" s="822" t="str">
        <f>'3.CT2A'!B179</f>
        <v xml:space="preserve">        Шуудан, холбоо, интернэтийн төлбөр</v>
      </c>
      <c r="C179" s="1618">
        <f>'3.CT2A'!D179</f>
        <v>0</v>
      </c>
      <c r="D179" s="1619">
        <f>VLOOKUP(A179,'4.CT3A'!$A$9:$D$311,4,FALSE)</f>
        <v>0</v>
      </c>
      <c r="E179" s="1619">
        <f si="2" t="shared"/>
        <v>0</v>
      </c>
      <c r="F179" s="821"/>
    </row>
    <row ht="15" r="180" spans="1:6">
      <c r="A180" s="822">
        <f>'3.CT2A'!A180</f>
        <v>210404</v>
      </c>
      <c r="B180" s="822" t="str">
        <f>'3.CT2A'!B180</f>
        <v xml:space="preserve">        Ном, хэвлэл</v>
      </c>
      <c r="C180" s="1618">
        <f>'3.CT2A'!D180</f>
        <v>0</v>
      </c>
      <c r="D180" s="1619">
        <f>VLOOKUP(A180,'4.CT3A'!$A$9:$D$311,4,FALSE)</f>
        <v>0</v>
      </c>
      <c r="E180" s="1619">
        <f si="2" t="shared"/>
        <v>0</v>
      </c>
      <c r="F180" s="821"/>
    </row>
    <row ht="30" r="181" spans="1:6">
      <c r="A181" s="822">
        <f>'3.CT2A'!A181</f>
        <v>210405</v>
      </c>
      <c r="B181" s="822" t="str">
        <f>'3.CT2A'!B181</f>
        <v xml:space="preserve">        Хог хаягдал зайлуулах, хортон мэрэгчдийн устгал, ариутгал</v>
      </c>
      <c r="C181" s="1618">
        <f>'3.CT2A'!D181</f>
        <v>0</v>
      </c>
      <c r="D181" s="1619">
        <f>VLOOKUP(A181,'4.CT3A'!$A$9:$D$311,4,FALSE)</f>
        <v>0</v>
      </c>
      <c r="E181" s="1619">
        <f si="2" t="shared"/>
        <v>0</v>
      </c>
      <c r="F181" s="821"/>
    </row>
    <row ht="15" r="182" spans="1:6">
      <c r="A182" s="822">
        <f>'3.CT2A'!A182</f>
        <v>210406</v>
      </c>
      <c r="B182" s="822" t="str">
        <f>'3.CT2A'!B182</f>
        <v xml:space="preserve">         Бага үнэтэй, түргэн элэгдэх, ахуйн эд зүйлс</v>
      </c>
      <c r="C182" s="1618">
        <f>'3.CT2A'!D182</f>
        <v>0</v>
      </c>
      <c r="D182" s="1619">
        <f>VLOOKUP(A182,'4.CT3A'!$A$9:$D$311,4,FALSE)</f>
        <v>0</v>
      </c>
      <c r="E182" s="1619">
        <f si="2" t="shared"/>
        <v>0</v>
      </c>
      <c r="F182" s="821"/>
    </row>
    <row ht="15" r="183" spans="1:6">
      <c r="A183" s="822">
        <f>'3.CT2A'!A183</f>
        <v>210407</v>
      </c>
      <c r="B183" s="822" t="str">
        <f>'3.CT2A'!B183</f>
        <v xml:space="preserve">         Аж ахуйн материал худалдан авах зардал</v>
      </c>
      <c r="C183" s="1618">
        <f>'3.CT2A'!D183</f>
        <v>0</v>
      </c>
      <c r="D183" s="1619">
        <f>VLOOKUP(A183,'4.CT3A'!$A$9:$D$311,4,FALSE)</f>
        <v>0</v>
      </c>
      <c r="E183" s="1619">
        <f si="2" t="shared"/>
        <v>0</v>
      </c>
      <c r="F183" s="821"/>
    </row>
    <row ht="15" r="184" spans="1:6">
      <c r="A184" s="822">
        <f>'3.CT2A'!A184</f>
        <v>210408</v>
      </c>
      <c r="B184" s="822" t="str">
        <f>'3.CT2A'!B184</f>
        <v xml:space="preserve">         Бараа материал акталсны зардал</v>
      </c>
      <c r="C184" s="1618">
        <f>'3.CT2A'!D184</f>
        <v>0</v>
      </c>
      <c r="D184" s="1619">
        <f>VLOOKUP(A184,'4.CT3A'!$A$9:$D$311,4,FALSE)</f>
        <v>0</v>
      </c>
      <c r="E184" s="1619">
        <f si="2" t="shared"/>
        <v>0</v>
      </c>
      <c r="F184" s="821"/>
    </row>
    <row ht="30" r="185" spans="1:6">
      <c r="A185" s="822">
        <f>'3.CT2A'!A185</f>
        <v>210409</v>
      </c>
      <c r="B185" s="822" t="str">
        <f>'3.CT2A'!B185</f>
        <v xml:space="preserve">         Түлш шатахуун, тээврийн хөлс, сэлбэг хэрэгсэлд төлсөн  /ТӨҮГ/</v>
      </c>
      <c r="C185" s="1618">
        <f>'3.CT2A'!D185</f>
        <v>0</v>
      </c>
      <c r="D185" s="1619">
        <f>VLOOKUP(A185,'4.CT3A'!$A$9:$D$311,4,FALSE)</f>
        <v>0</v>
      </c>
      <c r="E185" s="1619">
        <f si="2" t="shared"/>
        <v>0</v>
      </c>
      <c r="F185" s="821"/>
    </row>
    <row ht="30" r="186" spans="1:6">
      <c r="A186" s="822">
        <f>'3.CT2A'!A186</f>
        <v>210410</v>
      </c>
      <c r="B186" s="822" t="str">
        <f>'3.CT2A'!B186</f>
        <v xml:space="preserve">         Бараа материал худалдан авахад төлсөн    /ТӨҮГ/</v>
      </c>
      <c r="C186" s="1618">
        <f>'3.CT2A'!D186</f>
        <v>0</v>
      </c>
      <c r="D186" s="1619">
        <f>VLOOKUP(A186,'4.CT3A'!$A$9:$D$311,4,FALSE)</f>
        <v>0</v>
      </c>
      <c r="E186" s="1619">
        <f si="2" t="shared"/>
        <v>0</v>
      </c>
      <c r="F186" s="821"/>
    </row>
    <row ht="15" r="187" spans="1:6">
      <c r="A187" s="822">
        <f>'3.CT2A'!A187</f>
        <v>2105</v>
      </c>
      <c r="B187" s="822" t="str">
        <f>'3.CT2A'!B187</f>
        <v xml:space="preserve">     Нормативт зардал</v>
      </c>
      <c r="C187" s="1618">
        <f>'3.CT2A'!D187</f>
        <v>0</v>
      </c>
      <c r="D187" s="1619">
        <f>VLOOKUP(A187,'4.CT3A'!$A$9:$D$311,4,FALSE)</f>
        <v>0</v>
      </c>
      <c r="E187" s="1619">
        <f si="2" t="shared"/>
        <v>0</v>
      </c>
      <c r="F187" s="821"/>
    </row>
    <row ht="15" r="188" spans="1:6">
      <c r="A188" s="822">
        <f>'3.CT2A'!A188</f>
        <v>210501</v>
      </c>
      <c r="B188" s="822" t="str">
        <f>'3.CT2A'!B188</f>
        <v xml:space="preserve">         Эм, бэлдмэл, эмнэлгийн хэрэгсэл</v>
      </c>
      <c r="C188" s="1618">
        <f>'3.CT2A'!D188</f>
        <v>0</v>
      </c>
      <c r="D188" s="1619">
        <f>VLOOKUP(A188,'4.CT3A'!$A$9:$D$311,4,FALSE)</f>
        <v>0</v>
      </c>
      <c r="E188" s="1619">
        <f si="2" t="shared"/>
        <v>0</v>
      </c>
      <c r="F188" s="821"/>
    </row>
    <row ht="15" r="189" spans="1:6">
      <c r="A189" s="822">
        <f>'3.CT2A'!A189</f>
        <v>210502</v>
      </c>
      <c r="B189" s="822" t="str">
        <f>'3.CT2A'!B189</f>
        <v xml:space="preserve">         Хоол, хүнс</v>
      </c>
      <c r="C189" s="1618">
        <f>'3.CT2A'!D189</f>
        <v>0</v>
      </c>
      <c r="D189" s="1619">
        <f>VLOOKUP(A189,'4.CT3A'!$A$9:$D$311,4,FALSE)</f>
        <v>0</v>
      </c>
      <c r="E189" s="1619">
        <f si="2" t="shared"/>
        <v>0</v>
      </c>
      <c r="F189" s="821"/>
    </row>
    <row ht="15" r="190" spans="1:6">
      <c r="A190" s="822">
        <f>'3.CT2A'!A190</f>
        <v>210503</v>
      </c>
      <c r="B190" s="822" t="str">
        <f>'3.CT2A'!B190</f>
        <v xml:space="preserve">         Нормын хувцас, зөөлөн эдлэл</v>
      </c>
      <c r="C190" s="1618">
        <f>'3.CT2A'!D190</f>
        <v>0</v>
      </c>
      <c r="D190" s="1619">
        <f>VLOOKUP(A190,'4.CT3A'!$A$9:$D$311,4,FALSE)</f>
        <v>0</v>
      </c>
      <c r="E190" s="1619">
        <f si="2" t="shared"/>
        <v>0</v>
      </c>
      <c r="F190" s="821"/>
    </row>
    <row ht="15" r="191" spans="1:6">
      <c r="A191" s="822">
        <f>'3.CT2A'!A191</f>
        <v>2106</v>
      </c>
      <c r="B191" s="822" t="str">
        <f>'3.CT2A'!B191</f>
        <v xml:space="preserve">     Эд хогшил, урсгал засварын зардал</v>
      </c>
      <c r="C191" s="1618">
        <f>'3.CT2A'!D191</f>
        <v>0</v>
      </c>
      <c r="D191" s="1619">
        <f>VLOOKUP(A191,'4.CT3A'!$A$9:$D$311,4,FALSE)</f>
        <v>0</v>
      </c>
      <c r="E191" s="1619">
        <f si="2" t="shared"/>
        <v>0</v>
      </c>
      <c r="F191" s="821"/>
    </row>
    <row ht="15" r="192" spans="1:6">
      <c r="A192" s="822">
        <f>'3.CT2A'!A192</f>
        <v>210601</v>
      </c>
      <c r="B192" s="822" t="str">
        <f>'3.CT2A'!B192</f>
        <v xml:space="preserve">         Багаж, техник, хэрэгсэл</v>
      </c>
      <c r="C192" s="1618">
        <f>'3.CT2A'!D192</f>
        <v>0</v>
      </c>
      <c r="D192" s="1619">
        <f>VLOOKUP(A192,'4.CT3A'!$A$9:$D$311,4,FALSE)</f>
        <v>0</v>
      </c>
      <c r="E192" s="1619">
        <f si="2" t="shared"/>
        <v>0</v>
      </c>
      <c r="F192" s="821"/>
    </row>
    <row ht="15" r="193" spans="1:6">
      <c r="A193" s="822">
        <f>'3.CT2A'!A193</f>
        <v>210602</v>
      </c>
      <c r="B193" s="822" t="str">
        <f>'3.CT2A'!B193</f>
        <v xml:space="preserve">         Тавилга</v>
      </c>
      <c r="C193" s="1618">
        <f>'3.CT2A'!D193</f>
        <v>0</v>
      </c>
      <c r="D193" s="1619">
        <f>VLOOKUP(A193,'4.CT3A'!$A$9:$D$311,4,FALSE)</f>
        <v>0</v>
      </c>
      <c r="E193" s="1619">
        <f si="2" t="shared"/>
        <v>0</v>
      </c>
      <c r="F193" s="821"/>
    </row>
    <row ht="15" r="194" spans="1:6">
      <c r="A194" s="822">
        <f>'3.CT2A'!A194</f>
        <v>210603</v>
      </c>
      <c r="B194" s="822" t="str">
        <f>'3.CT2A'!B194</f>
        <v xml:space="preserve">         Хөдөлмөр хамгааллын хэрэглэл</v>
      </c>
      <c r="C194" s="1618">
        <f>'3.CT2A'!D194</f>
        <v>0</v>
      </c>
      <c r="D194" s="1619">
        <f>VLOOKUP(A194,'4.CT3A'!$A$9:$D$311,4,FALSE)</f>
        <v>0</v>
      </c>
      <c r="E194" s="1619">
        <f si="2" t="shared"/>
        <v>0</v>
      </c>
      <c r="F194" s="821"/>
    </row>
    <row ht="15" r="195" spans="1:6">
      <c r="A195" s="822">
        <f>'3.CT2A'!A195</f>
        <v>210604</v>
      </c>
      <c r="B195" s="822" t="str">
        <f>'3.CT2A'!B195</f>
        <v xml:space="preserve">         Урсгал засвар</v>
      </c>
      <c r="C195" s="1618">
        <f>'3.CT2A'!D195</f>
        <v>0</v>
      </c>
      <c r="D195" s="1619">
        <f>VLOOKUP(A195,'4.CT3A'!$A$9:$D$311,4,FALSE)</f>
        <v>0</v>
      </c>
      <c r="E195" s="1619">
        <f si="2" t="shared"/>
        <v>0</v>
      </c>
      <c r="F195" s="821"/>
    </row>
    <row ht="15" r="196" spans="1:6">
      <c r="A196" s="822">
        <f>'3.CT2A'!A196</f>
        <v>2107</v>
      </c>
      <c r="B196" s="822" t="str">
        <f>'3.CT2A'!B196</f>
        <v xml:space="preserve">     Томилолт, зочны зардал</v>
      </c>
      <c r="C196" s="1618">
        <f>'3.CT2A'!D196</f>
        <v>0</v>
      </c>
      <c r="D196" s="1619">
        <f>VLOOKUP(A196,'4.CT3A'!$A$9:$D$311,4,FALSE)</f>
        <v>0</v>
      </c>
      <c r="E196" s="1619">
        <f si="2" t="shared"/>
        <v>0</v>
      </c>
      <c r="F196" s="821"/>
    </row>
    <row ht="15" r="197" spans="1:6">
      <c r="A197" s="822">
        <f>'3.CT2A'!A197</f>
        <v>210701</v>
      </c>
      <c r="B197" s="822" t="str">
        <f>'3.CT2A'!B197</f>
        <v xml:space="preserve">         Гадаад албан томилолт</v>
      </c>
      <c r="C197" s="1618">
        <f>'3.CT2A'!D197</f>
        <v>0</v>
      </c>
      <c r="D197" s="1619">
        <f>VLOOKUP(A197,'4.CT3A'!$A$9:$D$311,4,FALSE)</f>
        <v>0</v>
      </c>
      <c r="E197" s="1619">
        <f si="2" t="shared"/>
        <v>0</v>
      </c>
      <c r="F197" s="821"/>
    </row>
    <row ht="15" r="198" spans="1:6">
      <c r="A198" s="822">
        <f>'3.CT2A'!A198</f>
        <v>210702</v>
      </c>
      <c r="B198" s="822" t="str">
        <f>'3.CT2A'!B198</f>
        <v xml:space="preserve">         Дотоод албан томилолт</v>
      </c>
      <c r="C198" s="1618">
        <f>'3.CT2A'!D198</f>
        <v>0</v>
      </c>
      <c r="D198" s="1619">
        <f>VLOOKUP(A198,'4.CT3A'!$A$9:$D$311,4,FALSE)</f>
        <v>0</v>
      </c>
      <c r="E198" s="1619">
        <f si="2" t="shared"/>
        <v>0</v>
      </c>
      <c r="F198" s="821"/>
    </row>
    <row ht="15" r="199" spans="1:6">
      <c r="A199" s="822">
        <f>'3.CT2A'!A199</f>
        <v>210703</v>
      </c>
      <c r="B199" s="822" t="str">
        <f>'3.CT2A'!B199</f>
        <v xml:space="preserve">          Зочин төлөөлөгч хүлээн авах</v>
      </c>
      <c r="C199" s="1618">
        <f>'3.CT2A'!D199</f>
        <v>0</v>
      </c>
      <c r="D199" s="1619">
        <f>VLOOKUP(A199,'4.CT3A'!$A$9:$D$311,4,FALSE)</f>
        <v>0</v>
      </c>
      <c r="E199" s="1619">
        <f si="2" t="shared"/>
        <v>0</v>
      </c>
      <c r="F199" s="821"/>
    </row>
    <row ht="30" r="200" spans="1:6">
      <c r="A200" s="822">
        <f>'3.CT2A'!A200</f>
        <v>2108</v>
      </c>
      <c r="B200" s="822" t="str">
        <f>'3.CT2A'!B200</f>
        <v xml:space="preserve">     Бусдаар гүйцэтгүүлсэн ажил, үйлчилгээний төлбөр, хураамж</v>
      </c>
      <c r="C200" s="1618">
        <f>'3.CT2A'!D200</f>
        <v>0</v>
      </c>
      <c r="D200" s="1619">
        <f>VLOOKUP(A200,'4.CT3A'!$A$9:$D$311,4,FALSE)</f>
        <v>0</v>
      </c>
      <c r="E200" s="1619">
        <f ref="E200:E263" si="3" t="shared">+C200-D200</f>
        <v>0</v>
      </c>
      <c r="F200" s="821"/>
    </row>
    <row ht="30" r="201" spans="1:6">
      <c r="A201" s="822">
        <f>'3.CT2A'!A201</f>
        <v>210801</v>
      </c>
      <c r="B201" s="822" t="str">
        <f>'3.CT2A'!B201</f>
        <v xml:space="preserve">         Бусдаар гүйцэтгүүлсэн бусад нийтлэг ажил үйлчилгээний төлбөр хураамж</v>
      </c>
      <c r="C201" s="1618">
        <f>'3.CT2A'!D201</f>
        <v>0</v>
      </c>
      <c r="D201" s="1619">
        <f>VLOOKUP(A201,'4.CT3A'!$A$9:$D$311,4,FALSE)</f>
        <v>0</v>
      </c>
      <c r="E201" s="1619">
        <f si="3" t="shared"/>
        <v>0</v>
      </c>
      <c r="F201" s="821"/>
    </row>
    <row ht="15" r="202" spans="1:6">
      <c r="A202" s="822">
        <f>'3.CT2A'!A202</f>
        <v>210802</v>
      </c>
      <c r="B202" s="822" t="str">
        <f>'3.CT2A'!B202</f>
        <v xml:space="preserve">         Аудит, баталгаажуулалт, зэрэглэл тогтоох</v>
      </c>
      <c r="C202" s="1618">
        <f>'3.CT2A'!D202</f>
        <v>0</v>
      </c>
      <c r="D202" s="1619">
        <f>VLOOKUP(A202,'4.CT3A'!$A$9:$D$311,4,FALSE)</f>
        <v>0</v>
      </c>
      <c r="E202" s="1619">
        <f si="3" t="shared"/>
        <v>0</v>
      </c>
      <c r="F202" s="821"/>
    </row>
    <row ht="15" r="203" spans="1:6">
      <c r="A203" s="822">
        <f>'3.CT2A'!A203</f>
        <v>210803</v>
      </c>
      <c r="B203" s="822" t="str">
        <f>'3.CT2A'!B203</f>
        <v xml:space="preserve">         Даатгалын үйлчилгээ</v>
      </c>
      <c r="C203" s="1618">
        <f>'3.CT2A'!D203</f>
        <v>0</v>
      </c>
      <c r="D203" s="1619">
        <f>VLOOKUP(A203,'4.CT3A'!$A$9:$D$311,4,FALSE)</f>
        <v>0</v>
      </c>
      <c r="E203" s="1619">
        <f si="3" t="shared"/>
        <v>0</v>
      </c>
      <c r="F203" s="821"/>
    </row>
    <row ht="15" r="204" spans="1:6">
      <c r="A204" s="822">
        <f>'3.CT2A'!A204</f>
        <v>210804</v>
      </c>
      <c r="B204" s="822" t="str">
        <f>'3.CT2A'!B204</f>
        <v xml:space="preserve">         Тээврийн хэрэгслийн татвар</v>
      </c>
      <c r="C204" s="1618">
        <f>'3.CT2A'!D204</f>
        <v>0</v>
      </c>
      <c r="D204" s="1619">
        <f>VLOOKUP(A204,'4.CT3A'!$A$9:$D$311,4,FALSE)</f>
        <v>0</v>
      </c>
      <c r="E204" s="1619">
        <f si="3" t="shared"/>
        <v>0</v>
      </c>
      <c r="F204" s="821"/>
    </row>
    <row ht="15" r="205" spans="1:6">
      <c r="A205" s="822">
        <f>'3.CT2A'!A205</f>
        <v>210805</v>
      </c>
      <c r="B205" s="822" t="str">
        <f>'3.CT2A'!B205</f>
        <v xml:space="preserve">         Тээврийн хэрэгслийн оношлогоо</v>
      </c>
      <c r="C205" s="1618">
        <f>'3.CT2A'!D205</f>
        <v>0</v>
      </c>
      <c r="D205" s="1619">
        <f>VLOOKUP(A205,'4.CT3A'!$A$9:$D$311,4,FALSE)</f>
        <v>0</v>
      </c>
      <c r="E205" s="1619">
        <f si="3" t="shared"/>
        <v>0</v>
      </c>
      <c r="F205" s="821"/>
    </row>
    <row ht="15" r="206" spans="1:6">
      <c r="A206" s="822">
        <f>'3.CT2A'!A206</f>
        <v>210806</v>
      </c>
      <c r="B206" s="822" t="str">
        <f>'3.CT2A'!B206</f>
        <v xml:space="preserve">         Мэдээлэл, технологийн үйлчилгээ</v>
      </c>
      <c r="C206" s="1618">
        <f>'3.CT2A'!D206</f>
        <v>0</v>
      </c>
      <c r="D206" s="1619">
        <f>VLOOKUP(A206,'4.CT3A'!$A$9:$D$311,4,FALSE)</f>
        <v>0</v>
      </c>
      <c r="E206" s="1619">
        <f si="3" t="shared"/>
        <v>0</v>
      </c>
      <c r="F206" s="821"/>
    </row>
    <row ht="15" r="207" spans="1:6">
      <c r="A207" s="822">
        <f>'3.CT2A'!A207</f>
        <v>210807</v>
      </c>
      <c r="B207" s="822" t="str">
        <f>'3.CT2A'!B207</f>
        <v xml:space="preserve">         Газрын төлбөр</v>
      </c>
      <c r="C207" s="1618">
        <f>'3.CT2A'!D207</f>
        <v>0</v>
      </c>
      <c r="D207" s="1619">
        <f>VLOOKUP(A207,'4.CT3A'!$A$9:$D$311,4,FALSE)</f>
        <v>0</v>
      </c>
      <c r="E207" s="1619">
        <f si="3" t="shared"/>
        <v>0</v>
      </c>
      <c r="F207" s="821"/>
    </row>
    <row ht="30" r="208" spans="1:6">
      <c r="A208" s="822">
        <f>'3.CT2A'!A208</f>
        <v>210808</v>
      </c>
      <c r="B208" s="822" t="str">
        <f>'3.CT2A'!B208</f>
        <v xml:space="preserve">         Банк, санхүүгийн байгууллагын үйлчилгээний хураамж</v>
      </c>
      <c r="C208" s="1618">
        <f>'3.CT2A'!D208</f>
        <v>0</v>
      </c>
      <c r="D208" s="1619">
        <f>VLOOKUP(A208,'4.CT3A'!$A$9:$D$311,4,FALSE)</f>
        <v>0</v>
      </c>
      <c r="E208" s="1619">
        <f si="3" t="shared"/>
        <v>0</v>
      </c>
      <c r="F208" s="821"/>
    </row>
    <row ht="15" r="209" spans="1:6">
      <c r="A209" s="822">
        <f>'3.CT2A'!A209</f>
        <v>210809</v>
      </c>
      <c r="B209" s="822" t="str">
        <f>'3.CT2A'!B209</f>
        <v xml:space="preserve">         Улсын мэдээллийн маягт хэвлэх, бэлтгэх</v>
      </c>
      <c r="C209" s="1618">
        <f>'3.CT2A'!D209</f>
        <v>0</v>
      </c>
      <c r="D209" s="1619">
        <f>VLOOKUP(A209,'4.CT3A'!$A$9:$D$311,4,FALSE)</f>
        <v>0</v>
      </c>
      <c r="E209" s="1619">
        <f si="3" t="shared"/>
        <v>0</v>
      </c>
      <c r="F209" s="821"/>
    </row>
    <row ht="15" r="210" spans="1:6">
      <c r="A210" s="822">
        <f>'3.CT2A'!A210</f>
        <v>210810</v>
      </c>
      <c r="B210" s="822" t="str">
        <f>'3.CT2A'!B210</f>
        <v xml:space="preserve">         Борлуулалт, маркетингийн зардал   /ТӨҮГ/</v>
      </c>
      <c r="C210" s="1618">
        <f>'3.CT2A'!D210</f>
        <v>0</v>
      </c>
      <c r="D210" s="1619"/>
      <c r="E210" s="1619">
        <f si="3" t="shared"/>
        <v>0</v>
      </c>
      <c r="F210" s="821"/>
    </row>
    <row ht="15" r="211" spans="1:6">
      <c r="A211" s="822">
        <f>'3.CT2A'!A211</f>
        <v>210811</v>
      </c>
      <c r="B211" s="822" t="str">
        <f>'3.CT2A'!B211</f>
        <v xml:space="preserve">         Ерөнхий ба удирдлагын зардал     /ТӨҮГ/</v>
      </c>
      <c r="C211" s="1618">
        <f>'3.CT2A'!D211</f>
        <v>0</v>
      </c>
      <c r="D211" s="1619"/>
      <c r="E211" s="1619">
        <f si="3" t="shared"/>
        <v>0</v>
      </c>
      <c r="F211" s="821"/>
    </row>
    <row ht="15" r="212" spans="1:6">
      <c r="A212" s="822">
        <f>'3.CT2A'!A212</f>
        <v>210812</v>
      </c>
      <c r="B212" s="822" t="str">
        <f>'3.CT2A'!B212</f>
        <v xml:space="preserve">         Санхүүгийн зардал     /ТӨҮГ/</v>
      </c>
      <c r="C212" s="1618">
        <f>'3.CT2A'!D212</f>
        <v>0</v>
      </c>
      <c r="D212" s="1619"/>
      <c r="E212" s="1619">
        <f si="3" t="shared"/>
        <v>0</v>
      </c>
      <c r="F212" s="821"/>
    </row>
    <row ht="15" r="213" spans="1:6">
      <c r="A213" s="822">
        <f>'3.CT2A'!A213</f>
        <v>210813</v>
      </c>
      <c r="B213" s="822" t="str">
        <f>'3.CT2A'!B213</f>
        <v xml:space="preserve">         Бусад зардал  /ТӨҮГ/</v>
      </c>
      <c r="C213" s="1618">
        <f>'3.CT2A'!D213</f>
        <v>0</v>
      </c>
      <c r="D213" s="1619"/>
      <c r="E213" s="1619">
        <f si="3" t="shared"/>
        <v>0</v>
      </c>
      <c r="F213" s="821"/>
    </row>
    <row ht="15" r="214" spans="1:6">
      <c r="A214" s="822">
        <f>'3.CT2A'!A214</f>
        <v>210814</v>
      </c>
      <c r="B214" s="822" t="str">
        <f>'3.CT2A'!B214</f>
        <v xml:space="preserve">         Орлогын татварын зардал   /ТӨҮГ/</v>
      </c>
      <c r="C214" s="1618">
        <f>'3.CT2A'!D214</f>
        <v>0</v>
      </c>
      <c r="D214" s="1619"/>
      <c r="E214" s="1619">
        <f si="3" t="shared"/>
        <v>0</v>
      </c>
      <c r="F214" s="821"/>
    </row>
    <row ht="15" r="215" spans="1:6">
      <c r="A215" s="822">
        <f>'3.CT2A'!A215</f>
        <v>2109</v>
      </c>
      <c r="B215" s="822" t="str">
        <f>'3.CT2A'!B215</f>
        <v xml:space="preserve">     Бараа үйлчилгээний бусад зардал</v>
      </c>
      <c r="C215" s="1618">
        <f>'3.CT2A'!D215</f>
        <v>0</v>
      </c>
      <c r="D215" s="1619">
        <f>VLOOKUP(A215,'4.CT3A'!$A$9:$D$311,4,FALSE)</f>
        <v>0</v>
      </c>
      <c r="E215" s="1619">
        <f si="3" t="shared"/>
        <v>0</v>
      </c>
      <c r="F215" s="821"/>
    </row>
    <row ht="15" r="216" spans="1:6">
      <c r="A216" s="822">
        <f>'3.CT2A'!A216</f>
        <v>210901</v>
      </c>
      <c r="B216" s="822" t="str">
        <f>'3.CT2A'!B216</f>
        <v xml:space="preserve">         Бараа үйлчилгээний бусад зардал</v>
      </c>
      <c r="C216" s="1618">
        <f>'3.CT2A'!D216</f>
        <v>0</v>
      </c>
      <c r="D216" s="1619">
        <f>VLOOKUP(A216,'4.CT3A'!$A$9:$D$311,4,FALSE)</f>
        <v>0</v>
      </c>
      <c r="E216" s="1619">
        <f si="3" t="shared"/>
        <v>0</v>
      </c>
      <c r="F216" s="821"/>
    </row>
    <row ht="15" r="217" spans="1:6">
      <c r="A217" s="822">
        <f>'3.CT2A'!A217</f>
        <v>210902</v>
      </c>
      <c r="B217" s="822" t="str">
        <f>'3.CT2A'!B217</f>
        <v xml:space="preserve">         Хичээл үйлдвэрлэлийн дадлага хийх</v>
      </c>
      <c r="C217" s="1618">
        <f>'3.CT2A'!D217</f>
        <v>0</v>
      </c>
      <c r="D217" s="1619">
        <f>VLOOKUP(A217,'4.CT3A'!$A$9:$D$311,4,FALSE)</f>
        <v>0</v>
      </c>
      <c r="E217" s="1619">
        <f si="3" t="shared"/>
        <v>0</v>
      </c>
      <c r="F217" s="821"/>
    </row>
    <row ht="15" r="218" spans="1:6">
      <c r="A218" s="822">
        <f>'3.CT2A'!A218</f>
        <v>210903</v>
      </c>
      <c r="B218" s="822" t="str">
        <f>'3.CT2A'!B218</f>
        <v xml:space="preserve">         Yндсэн хөрөнгийн элэгдэл, хорогдол</v>
      </c>
      <c r="C218" s="1618">
        <f>'3.CT2A'!D218</f>
        <v>0</v>
      </c>
      <c r="D218" s="1619"/>
      <c r="E218" s="1619">
        <f si="3" t="shared"/>
        <v>0</v>
      </c>
      <c r="F218" s="821"/>
    </row>
    <row ht="15" r="219" spans="1:6">
      <c r="A219" s="822">
        <f>'3.CT2A'!A219</f>
        <v>210904</v>
      </c>
      <c r="B219" s="822" t="str">
        <f>'3.CT2A'!B219</f>
        <v xml:space="preserve">         Найдваргүй авлагын алдагдал</v>
      </c>
      <c r="C219" s="1618">
        <f>'3.CT2A'!D219</f>
        <v>0</v>
      </c>
      <c r="D219" s="1619"/>
      <c r="E219" s="1619">
        <f si="3" t="shared"/>
        <v>0</v>
      </c>
      <c r="F219" s="821"/>
    </row>
    <row ht="15" r="220" spans="1:6">
      <c r="A220" s="822">
        <f>'3.CT2A'!A220</f>
        <v>211</v>
      </c>
      <c r="B220" s="822" t="str">
        <f>'3.CT2A'!B220</f>
        <v xml:space="preserve">   ХҮҮ</v>
      </c>
      <c r="C220" s="1618">
        <f>'3.CT2A'!D220</f>
        <v>0</v>
      </c>
      <c r="D220" s="1619">
        <f>VLOOKUP(A220,'4.CT3A'!$A$9:$D$311,4,FALSE)</f>
        <v>0</v>
      </c>
      <c r="E220" s="1619">
        <f si="3" t="shared"/>
        <v>0</v>
      </c>
      <c r="F220" s="821"/>
    </row>
    <row ht="15" r="221" spans="1:6">
      <c r="A221" s="822">
        <f>'3.CT2A'!A221</f>
        <v>2111</v>
      </c>
      <c r="B221" s="822" t="str">
        <f>'3.CT2A'!B221</f>
        <v xml:space="preserve">      Гадаад зээлийн үйлчилгээний төлбөр</v>
      </c>
      <c r="C221" s="1618">
        <f>'3.CT2A'!D221</f>
        <v>0</v>
      </c>
      <c r="D221" s="1619">
        <f>VLOOKUP(A221,'4.CT3A'!$A$9:$D$311,4,FALSE)</f>
        <v>0</v>
      </c>
      <c r="E221" s="1619">
        <f si="3" t="shared"/>
        <v>0</v>
      </c>
      <c r="F221" s="821"/>
    </row>
    <row ht="15" r="222" spans="1:6">
      <c r="A222" s="822">
        <f>'3.CT2A'!A222</f>
        <v>211101</v>
      </c>
      <c r="B222" s="822" t="str">
        <f>'3.CT2A'!B222</f>
        <v xml:space="preserve">          Гадаад зээлийн үйлчилгээний төлбөр</v>
      </c>
      <c r="C222" s="1618">
        <f>'3.CT2A'!D222</f>
        <v>0</v>
      </c>
      <c r="D222" s="1619">
        <f>VLOOKUP(A222,'4.CT3A'!$A$9:$D$311,4,FALSE)</f>
        <v>0</v>
      </c>
      <c r="E222" s="1619">
        <f si="3" t="shared"/>
        <v>0</v>
      </c>
      <c r="F222" s="821"/>
    </row>
    <row ht="15" r="223" spans="1:6">
      <c r="A223" s="822">
        <f>'3.CT2A'!A223</f>
        <v>2112</v>
      </c>
      <c r="B223" s="822" t="str">
        <f>'3.CT2A'!B223</f>
        <v xml:space="preserve">     Дотоод зээлийн үйлчилгээний төлбөр</v>
      </c>
      <c r="C223" s="1618">
        <f>'3.CT2A'!D223</f>
        <v>0</v>
      </c>
      <c r="D223" s="1619">
        <f>VLOOKUP(A223,'4.CT3A'!$A$9:$D$311,4,FALSE)</f>
        <v>0</v>
      </c>
      <c r="E223" s="1619">
        <f si="3" t="shared"/>
        <v>0</v>
      </c>
      <c r="F223" s="821"/>
    </row>
    <row ht="15" r="224" spans="1:6">
      <c r="A224" s="822">
        <f>'3.CT2A'!A224</f>
        <v>211201</v>
      </c>
      <c r="B224" s="822" t="str">
        <f>'3.CT2A'!B224</f>
        <v xml:space="preserve">          Дотоод зээлийн үйлчилгээний төлбөр</v>
      </c>
      <c r="C224" s="1618">
        <f>'3.CT2A'!D224</f>
        <v>0</v>
      </c>
      <c r="D224" s="1619">
        <f>VLOOKUP(A224,'4.CT3A'!$A$9:$D$311,4,FALSE)</f>
        <v>0</v>
      </c>
      <c r="E224" s="1619">
        <f si="3" t="shared"/>
        <v>0</v>
      </c>
      <c r="F224" s="821"/>
    </row>
    <row ht="15" r="225" spans="1:6">
      <c r="A225" s="822">
        <f>'3.CT2A'!A225</f>
        <v>212</v>
      </c>
      <c r="B225" s="822" t="str">
        <f>'3.CT2A'!B225</f>
        <v xml:space="preserve">  ТАТААС</v>
      </c>
      <c r="C225" s="1618">
        <f>'3.CT2A'!D225</f>
        <v>0</v>
      </c>
      <c r="D225" s="1619">
        <f>VLOOKUP(A225,'4.CT3A'!$A$9:$D$311,4,FALSE)</f>
        <v>0</v>
      </c>
      <c r="E225" s="1619">
        <f si="3" t="shared"/>
        <v>0</v>
      </c>
      <c r="F225" s="821"/>
    </row>
    <row ht="15" r="226" spans="1:6">
      <c r="A226" s="822">
        <f>'3.CT2A'!A226</f>
        <v>2121</v>
      </c>
      <c r="B226" s="822" t="str">
        <f>'3.CT2A'!B226</f>
        <v xml:space="preserve">     Төрийн өмчит байгууллагад олгох татаас</v>
      </c>
      <c r="C226" s="1618">
        <f>'3.CT2A'!D226</f>
        <v>0</v>
      </c>
      <c r="D226" s="1619">
        <f>VLOOKUP(A226,'4.CT3A'!$A$9:$D$311,4,FALSE)</f>
        <v>0</v>
      </c>
      <c r="E226" s="1619">
        <f si="3" t="shared"/>
        <v>0</v>
      </c>
      <c r="F226" s="821"/>
    </row>
    <row ht="15" r="227" spans="1:6">
      <c r="A227" s="822">
        <f>'3.CT2A'!A227</f>
        <v>212101</v>
      </c>
      <c r="B227" s="822" t="str">
        <f>'3.CT2A'!B227</f>
        <v xml:space="preserve">         Төрийн өмчит байгууллагад олгох татаас</v>
      </c>
      <c r="C227" s="1618">
        <f>'3.CT2A'!D227</f>
        <v>0</v>
      </c>
      <c r="D227" s="1619">
        <f>VLOOKUP(A227,'4.CT3A'!$A$9:$D$311,4,FALSE)</f>
        <v>0</v>
      </c>
      <c r="E227" s="1619">
        <f si="3" t="shared"/>
        <v>0</v>
      </c>
      <c r="F227" s="821"/>
    </row>
    <row ht="15" r="228" spans="1:6">
      <c r="A228" s="822">
        <f>'3.CT2A'!A228</f>
        <v>2122</v>
      </c>
      <c r="B228" s="822" t="str">
        <f>'3.CT2A'!B228</f>
        <v xml:space="preserve">     Хувийн хэвшлийн байгууллагад олгох татаас</v>
      </c>
      <c r="C228" s="1618">
        <f>'3.CT2A'!D228</f>
        <v>0</v>
      </c>
      <c r="D228" s="1619">
        <f>VLOOKUP(A228,'4.CT3A'!$A$9:$D$311,4,FALSE)</f>
        <v>0</v>
      </c>
      <c r="E228" s="1619">
        <f si="3" t="shared"/>
        <v>0</v>
      </c>
      <c r="F228" s="821"/>
    </row>
    <row ht="15" r="229" spans="1:6">
      <c r="A229" s="822">
        <f>'3.CT2A'!A229</f>
        <v>212201</v>
      </c>
      <c r="B229" s="822" t="str">
        <f>'3.CT2A'!B229</f>
        <v xml:space="preserve">         Хувийн хэвшлийн байгууллагад олгох татаас</v>
      </c>
      <c r="C229" s="1618">
        <f>'3.CT2A'!D229</f>
        <v>0</v>
      </c>
      <c r="D229" s="1619">
        <f>VLOOKUP(A229,'4.CT3A'!$A$9:$D$311,4,FALSE)</f>
        <v>0</v>
      </c>
      <c r="E229" s="1619">
        <f si="3" t="shared"/>
        <v>0</v>
      </c>
      <c r="F229" s="821"/>
    </row>
    <row ht="15" r="230" spans="1:6">
      <c r="A230" s="822">
        <f>'3.CT2A'!A230</f>
        <v>213</v>
      </c>
      <c r="B230" s="822" t="str">
        <f>'3.CT2A'!B230</f>
        <v xml:space="preserve">  УРСГАЛ ШИЛЖҮҮЛЭГ</v>
      </c>
      <c r="C230" s="1618">
        <f>'3.CT2A'!D230</f>
        <v>0</v>
      </c>
      <c r="D230" s="1619">
        <f>VLOOKUP(A230,'4.CT3A'!$A$9:$D$311,4,FALSE)</f>
        <v>0</v>
      </c>
      <c r="E230" s="1619">
        <f si="3" t="shared"/>
        <v>0</v>
      </c>
      <c r="F230" s="821"/>
    </row>
    <row ht="15" r="231" spans="1:6">
      <c r="A231" s="822">
        <f>'3.CT2A'!A231</f>
        <v>2131</v>
      </c>
      <c r="B231" s="822" t="str">
        <f>'3.CT2A'!B231</f>
        <v xml:space="preserve">     Засгийн газрын урсгал шилжүүлэг</v>
      </c>
      <c r="C231" s="1618">
        <f>'3.CT2A'!D231</f>
        <v>0</v>
      </c>
      <c r="D231" s="1619">
        <f>VLOOKUP(A231,'4.CT3A'!$A$9:$D$311,4,FALSE)</f>
        <v>0</v>
      </c>
      <c r="E231" s="1619">
        <f si="3" t="shared"/>
        <v>0</v>
      </c>
      <c r="F231" s="821"/>
    </row>
    <row ht="15" r="232" spans="1:6">
      <c r="A232" s="822">
        <f>'3.CT2A'!A232</f>
        <v>213101</v>
      </c>
      <c r="B232" s="822" t="str">
        <f>'3.CT2A'!B232</f>
        <v xml:space="preserve">       Засгийн газрын дотоод шилжүүлэг</v>
      </c>
      <c r="C232" s="1618">
        <f>'3.CT2A'!D232</f>
        <v>0</v>
      </c>
      <c r="D232" s="1619">
        <f>VLOOKUP(A232,'4.CT3A'!$A$9:$D$311,4,FALSE)</f>
        <v>0</v>
      </c>
      <c r="E232" s="1619">
        <f si="3" t="shared"/>
        <v>0</v>
      </c>
      <c r="F232" s="821"/>
    </row>
    <row ht="15" r="233" spans="1:6">
      <c r="A233" s="822">
        <f>'3.CT2A'!A233</f>
        <v>213102</v>
      </c>
      <c r="B233" s="822" t="str">
        <f>'3.CT2A'!B233</f>
        <v xml:space="preserve">       Засгийн газрын гадаад шилжүүлэг</v>
      </c>
      <c r="C233" s="1618">
        <f>'3.CT2A'!D233</f>
        <v>0</v>
      </c>
      <c r="D233" s="1619">
        <f>VLOOKUP(A233,'4.CT3A'!$A$9:$D$311,4,FALSE)</f>
        <v>0</v>
      </c>
      <c r="E233" s="1619">
        <f si="3" t="shared"/>
        <v>0</v>
      </c>
      <c r="F233" s="821"/>
    </row>
    <row ht="15" r="234" spans="1:6">
      <c r="A234" s="822">
        <f>'3.CT2A'!A234</f>
        <v>2132</v>
      </c>
      <c r="B234" s="822" t="str">
        <f>'3.CT2A'!B234</f>
        <v xml:space="preserve">     Бусад урсгал шилжүүлэг</v>
      </c>
      <c r="C234" s="1618">
        <f>'3.CT2A'!D234</f>
        <v>0</v>
      </c>
      <c r="D234" s="1619">
        <f>VLOOKUP(A234,'4.CT3A'!$A$9:$D$311,4,FALSE)</f>
        <v>0</v>
      </c>
      <c r="E234" s="1619">
        <f si="3" t="shared"/>
        <v>0</v>
      </c>
      <c r="F234" s="821"/>
    </row>
    <row ht="15" r="235" spans="1:6">
      <c r="A235" s="822">
        <f>'3.CT2A'!A235</f>
        <v>213202</v>
      </c>
      <c r="B235" s="822" t="str">
        <f>'3.CT2A'!B235</f>
        <v xml:space="preserve">       Нийгмийн даатгалын тэтгэвэр, тэтгэмж</v>
      </c>
      <c r="C235" s="1618">
        <f>'3.CT2A'!D235</f>
        <v>0</v>
      </c>
      <c r="D235" s="1619">
        <f>VLOOKUP(A235,'4.CT3A'!$A$9:$D$311,4,FALSE)</f>
        <v>0</v>
      </c>
      <c r="E235" s="1619">
        <f si="3" t="shared"/>
        <v>0</v>
      </c>
      <c r="F235" s="821"/>
    </row>
    <row ht="15" r="236" spans="1:6">
      <c r="A236" s="822">
        <f>'3.CT2A'!A236</f>
        <v>213203</v>
      </c>
      <c r="B236" s="822" t="str">
        <f>'3.CT2A'!B236</f>
        <v xml:space="preserve">       Нийгмийн халамжийн тэтгэвэр, тэтгэмж</v>
      </c>
      <c r="C236" s="1618">
        <f>'3.CT2A'!D236</f>
        <v>0</v>
      </c>
      <c r="D236" s="1619">
        <f>VLOOKUP(A236,'4.CT3A'!$A$9:$D$311,4,FALSE)</f>
        <v>0</v>
      </c>
      <c r="E236" s="1619">
        <f si="3" t="shared"/>
        <v>0</v>
      </c>
      <c r="F236" s="821"/>
    </row>
    <row ht="30" r="237" spans="1:6">
      <c r="A237" s="822">
        <f>'3.CT2A'!A237</f>
        <v>213204</v>
      </c>
      <c r="B237" s="822" t="str">
        <f>'3.CT2A'!B237</f>
        <v xml:space="preserve">       Ажил олгогчоос олгох бусад тэтгэмж, урамшуулал</v>
      </c>
      <c r="C237" s="1618">
        <f>'3.CT2A'!D237</f>
        <v>0</v>
      </c>
      <c r="D237" s="1619">
        <f>VLOOKUP(A237,'4.CT3A'!$A$9:$D$311,4,FALSE)</f>
        <v>0</v>
      </c>
      <c r="E237" s="1619">
        <f si="3" t="shared"/>
        <v>0</v>
      </c>
      <c r="F237" s="821"/>
    </row>
    <row ht="15" r="238" spans="1:6">
      <c r="A238" s="822">
        <f>'3.CT2A'!A238</f>
        <v>213205</v>
      </c>
      <c r="B238" s="822" t="str">
        <f>'3.CT2A'!B238</f>
        <v xml:space="preserve">       Төрөөс иргэдэд олгох тэтгэмж, урамшуулал</v>
      </c>
      <c r="C238" s="1618">
        <f>'3.CT2A'!D238</f>
        <v>0</v>
      </c>
      <c r="D238" s="1619">
        <f>VLOOKUP(A238,'4.CT3A'!$A$9:$D$311,4,FALSE)</f>
        <v>0</v>
      </c>
      <c r="E238" s="1619">
        <f si="3" t="shared"/>
        <v>0</v>
      </c>
      <c r="F238" s="821"/>
    </row>
    <row ht="30" r="239" spans="1:6">
      <c r="A239" s="822">
        <f>'3.CT2A'!A239</f>
        <v>213206</v>
      </c>
      <c r="B239" s="822" t="str">
        <f>'3.CT2A'!B239</f>
        <v xml:space="preserve">       Ээлжийн амралтаар нутаг явах унааны хөнгөлөлт</v>
      </c>
      <c r="C239" s="1618">
        <f>'3.CT2A'!D239</f>
        <v>0</v>
      </c>
      <c r="D239" s="1619">
        <f>VLOOKUP(A239,'4.CT3A'!$A$9:$D$311,4,FALSE)</f>
        <v>0</v>
      </c>
      <c r="E239" s="1619">
        <f si="3" t="shared"/>
        <v>0</v>
      </c>
      <c r="F239" s="821"/>
    </row>
    <row ht="30" r="240" spans="1:6">
      <c r="A240" s="822">
        <f>'3.CT2A'!A240</f>
        <v>213207</v>
      </c>
      <c r="B240" s="822" t="str">
        <f>'3.CT2A'!B240</f>
        <v xml:space="preserve">       Тэтгэвэрт гарахад олгох нэг удаагийн мөнгөн тэтгэмж</v>
      </c>
      <c r="C240" s="1618">
        <f>'3.CT2A'!D240</f>
        <v>0</v>
      </c>
      <c r="D240" s="1619">
        <f>VLOOKUP(A240,'4.CT3A'!$A$9:$D$311,4,FALSE)</f>
        <v>0</v>
      </c>
      <c r="E240" s="1619">
        <f si="3" t="shared"/>
        <v>0</v>
      </c>
      <c r="F240" s="821"/>
    </row>
    <row ht="30" r="241" spans="1:6">
      <c r="A241" s="822">
        <f>'3.CT2A'!A241</f>
        <v>213208</v>
      </c>
      <c r="B241" s="822" t="str">
        <f>'3.CT2A'!B241</f>
        <v xml:space="preserve">       Хөдөө орон нутагт тогтвор суурьшилтай ажилласан албан хаагчдад төрөөс үзүүлэх дэмжлэг</v>
      </c>
      <c r="C241" s="1618">
        <f>'3.CT2A'!D241</f>
        <v>0</v>
      </c>
      <c r="D241" s="1619">
        <f>VLOOKUP(A241,'4.CT3A'!$A$9:$D$311,4,FALSE)</f>
        <v>0</v>
      </c>
      <c r="E241" s="1619">
        <f si="3" t="shared"/>
        <v>0</v>
      </c>
      <c r="F241" s="821"/>
    </row>
    <row ht="15" r="242" spans="1:6">
      <c r="A242" s="822">
        <f>'3.CT2A'!A242</f>
        <v>213209</v>
      </c>
      <c r="B242" s="822" t="str">
        <f>'3.CT2A'!B242</f>
        <v xml:space="preserve">       Нэг удаагийн тэтгэмж, шагнал урамшуулал</v>
      </c>
      <c r="C242" s="1618">
        <f>'3.CT2A'!D242</f>
        <v>0</v>
      </c>
      <c r="D242" s="1619">
        <f>VLOOKUP(A242,'4.CT3A'!$A$9:$D$311,4,FALSE)</f>
        <v>0</v>
      </c>
      <c r="E242" s="1619">
        <f si="3" t="shared"/>
        <v>0</v>
      </c>
      <c r="F242" s="821"/>
    </row>
    <row ht="15" r="243" spans="1:6">
      <c r="A243" s="822">
        <f>'3.CT2A'!A243</f>
        <v>2133</v>
      </c>
      <c r="B243" s="822" t="str">
        <f>'3.CT2A'!B243</f>
        <v xml:space="preserve">     Улсын төсвөөс олгосон санхүүжилт, шилжүүлэг</v>
      </c>
      <c r="C243" s="1618">
        <f>'3.CT2A'!D243</f>
        <v>0</v>
      </c>
      <c r="D243" s="1619">
        <f>VLOOKUP(A243,'4.CT3A'!$A$9:$D$311,4,FALSE)</f>
        <v>0</v>
      </c>
      <c r="E243" s="1619">
        <f si="3" t="shared"/>
        <v>0</v>
      </c>
      <c r="F243" s="821"/>
    </row>
    <row ht="15" r="244" spans="1:6">
      <c r="A244" s="822">
        <f>'3.CT2A'!A244</f>
        <v>213301</v>
      </c>
      <c r="B244" s="822" t="str">
        <f>'3.CT2A'!B244</f>
        <v xml:space="preserve">       Урсгал үйл ажиллагааны санхүүжилт</v>
      </c>
      <c r="C244" s="1618">
        <f>'3.CT2A'!D244</f>
        <v>0</v>
      </c>
      <c r="D244" s="1619">
        <f>VLOOKUP(A244,'4.CT3A'!$A$9:$D$311,4,FALSE)</f>
        <v>0</v>
      </c>
      <c r="E244" s="1619">
        <f si="3" t="shared"/>
        <v>0</v>
      </c>
      <c r="F244" s="821"/>
    </row>
    <row ht="15" r="245" spans="1:6">
      <c r="A245" s="822">
        <f>'3.CT2A'!A245</f>
        <v>213302</v>
      </c>
      <c r="B245" s="822" t="str">
        <f>'3.CT2A'!B245</f>
        <v xml:space="preserve">       Засгийн газрын, Засаг даргын нөөц хөрөнгө</v>
      </c>
      <c r="C245" s="1618">
        <f>'3.CT2A'!D245</f>
        <v>0</v>
      </c>
      <c r="D245" s="1619">
        <f>VLOOKUP(A245,'4.CT3A'!$A$9:$D$311,4,FALSE)</f>
        <v>0</v>
      </c>
      <c r="E245" s="1619">
        <f si="3" t="shared"/>
        <v>0</v>
      </c>
      <c r="F245" s="821"/>
    </row>
    <row ht="15" r="246" spans="1:6">
      <c r="A246" s="822">
        <f>'3.CT2A'!A246</f>
        <v>213303</v>
      </c>
      <c r="B246" s="822" t="str">
        <f>'3.CT2A'!B246</f>
        <v xml:space="preserve">       Төвлөрүүлэх шилжүүлэг</v>
      </c>
      <c r="C246" s="1618">
        <f>'3.CT2A'!D246</f>
        <v>0</v>
      </c>
      <c r="D246" s="1619">
        <f>VLOOKUP(A246,'4.CT3A'!$A$9:$D$311,4,FALSE)</f>
        <v>0</v>
      </c>
      <c r="E246" s="1619">
        <f si="3" t="shared"/>
        <v>0</v>
      </c>
      <c r="F246" s="821"/>
    </row>
    <row ht="15" r="247" spans="1:6">
      <c r="A247" s="822">
        <f>'3.CT2A'!A247</f>
        <v>213304</v>
      </c>
      <c r="B247" s="822" t="str">
        <f>'3.CT2A'!B247</f>
        <v xml:space="preserve">       Хөрөнгийн</v>
      </c>
      <c r="C247" s="1618">
        <f>'3.CT2A'!D247</f>
        <v>0</v>
      </c>
      <c r="D247" s="1619">
        <f>VLOOKUP(A247,'4.CT3A'!$A$9:$D$311,4,FALSE)</f>
        <v>0</v>
      </c>
      <c r="E247" s="1619">
        <f si="3" t="shared"/>
        <v>0</v>
      </c>
      <c r="F247" s="821"/>
    </row>
    <row ht="30" r="248" spans="1:6">
      <c r="A248" s="822">
        <f>'3.CT2A'!A248</f>
        <v>2134</v>
      </c>
      <c r="B248" s="822" t="str">
        <f>'3.CT2A'!B248</f>
        <v xml:space="preserve">    Орон нутгийн төсвийн ерөнхийлөн захирагчдад олгох татаас, санхүүжилт</v>
      </c>
      <c r="C248" s="1618">
        <f>'3.CT2A'!D248</f>
        <v>0</v>
      </c>
      <c r="D248" s="1619">
        <f>VLOOKUP(A248,'4.CT3A'!$A$9:$D$311,4,FALSE)</f>
        <v>0</v>
      </c>
      <c r="E248" s="1619">
        <f si="3" t="shared"/>
        <v>0</v>
      </c>
      <c r="F248" s="821"/>
    </row>
    <row ht="30" r="249" spans="1:6">
      <c r="A249" s="822">
        <f>'3.CT2A'!A249</f>
        <v>213401</v>
      </c>
      <c r="B249" s="822" t="str">
        <f>'3.CT2A'!B249</f>
        <v xml:space="preserve">       Урсгал үйл ажиллагааны санхүүжилт төсөвт байгууллага</v>
      </c>
      <c r="C249" s="1618">
        <f>'3.CT2A'!D249</f>
        <v>0</v>
      </c>
      <c r="D249" s="1619">
        <f>VLOOKUP(A249,'4.CT3A'!$A$9:$D$311,4,FALSE)</f>
        <v>0</v>
      </c>
      <c r="E249" s="1619">
        <f si="3" t="shared"/>
        <v>0</v>
      </c>
      <c r="F249" s="821"/>
    </row>
    <row ht="15" r="250" spans="1:6">
      <c r="A250" s="822">
        <f>'3.CT2A'!A250</f>
        <v>213402</v>
      </c>
      <c r="B250" s="822" t="str">
        <f>'3.CT2A'!B250</f>
        <v xml:space="preserve">       Урсгал үйл ажиллагааны санхүүжилт сумдад</v>
      </c>
      <c r="C250" s="1618">
        <f>'3.CT2A'!D250</f>
        <v>0</v>
      </c>
      <c r="D250" s="1619">
        <f>VLOOKUP(A250,'4.CT3A'!$A$9:$D$311,4,FALSE)</f>
        <v>0</v>
      </c>
      <c r="E250" s="1619">
        <f si="3" t="shared"/>
        <v>0</v>
      </c>
      <c r="F250" s="821"/>
    </row>
    <row ht="15" r="251" spans="1:6">
      <c r="A251" s="822">
        <f>'3.CT2A'!A251</f>
        <v>213403</v>
      </c>
      <c r="B251" s="822" t="str">
        <f>'3.CT2A'!B251</f>
        <v xml:space="preserve">       Төвлөрүүлэх шилжүүлэг</v>
      </c>
      <c r="C251" s="1618">
        <f>'3.CT2A'!D251</f>
        <v>0</v>
      </c>
      <c r="D251" s="1619">
        <f>VLOOKUP(A251,'4.CT3A'!$A$9:$D$311,4,FALSE)</f>
        <v>0</v>
      </c>
      <c r="E251" s="1619">
        <f si="3" t="shared"/>
        <v>0</v>
      </c>
      <c r="F251" s="821"/>
    </row>
    <row ht="15" r="252" spans="1:6">
      <c r="A252" s="822">
        <f>'3.CT2A'!A252</f>
        <v>213404</v>
      </c>
      <c r="B252" s="822" t="str">
        <f>'3.CT2A'!B252</f>
        <v xml:space="preserve">       Хөрөнгийн</v>
      </c>
      <c r="C252" s="1618">
        <f>'3.CT2A'!D252</f>
        <v>0</v>
      </c>
      <c r="D252" s="1619">
        <f>VLOOKUP(A252,'4.CT3A'!$A$9:$D$311,4,FALSE)</f>
        <v>0</v>
      </c>
      <c r="E252" s="1619">
        <f si="3" t="shared"/>
        <v>0</v>
      </c>
      <c r="F252" s="821"/>
    </row>
    <row ht="30" r="253" spans="1:6">
      <c r="A253" s="822">
        <f>'3.CT2A'!A253</f>
        <v>2135</v>
      </c>
      <c r="B253" s="822" t="str">
        <f>'3.CT2A'!B253</f>
        <v xml:space="preserve">    Төсвийн захирагчдаас олгосон санхүүжилт, шилжүүлэг</v>
      </c>
      <c r="C253" s="1618">
        <f>'3.CT2A'!D253</f>
        <v>0</v>
      </c>
      <c r="D253" s="1619">
        <f>VLOOKUP(A253,'4.CT3A'!$A$9:$D$311,4,FALSE)</f>
        <v>0</v>
      </c>
      <c r="E253" s="1619">
        <f si="3" t="shared"/>
        <v>0</v>
      </c>
      <c r="F253" s="821"/>
    </row>
    <row ht="15" r="254" spans="1:6">
      <c r="A254" s="822">
        <f>'3.CT2A'!A254</f>
        <v>213501</v>
      </c>
      <c r="B254" s="822" t="str">
        <f>'3.CT2A'!B254</f>
        <v xml:space="preserve">        Урсгал үйл ажиллагааны санхүүжилт</v>
      </c>
      <c r="C254" s="1618">
        <f>'3.CT2A'!D254</f>
        <v>0</v>
      </c>
      <c r="D254" s="1619">
        <f>VLOOKUP(A254,'4.CT3A'!$A$9:$D$311,4,FALSE)</f>
        <v>0</v>
      </c>
      <c r="E254" s="1619">
        <f si="3" t="shared"/>
        <v>0</v>
      </c>
      <c r="F254" s="821"/>
    </row>
    <row ht="15" r="255" spans="1:6">
      <c r="A255" s="822">
        <f>'3.CT2A'!A255</f>
        <v>213502</v>
      </c>
      <c r="B255" s="822" t="str">
        <f>'3.CT2A'!B255</f>
        <v xml:space="preserve">        Засгийн газрын, Засаг даргын нөөц хөрөнгө</v>
      </c>
      <c r="C255" s="1618">
        <f>'3.CT2A'!D255</f>
        <v>0</v>
      </c>
      <c r="D255" s="1619">
        <f>VLOOKUP(A255,'4.CT3A'!$A$9:$D$311,4,FALSE)</f>
        <v>0</v>
      </c>
      <c r="E255" s="1619">
        <f si="3" t="shared"/>
        <v>0</v>
      </c>
      <c r="F255" s="821"/>
    </row>
    <row ht="15" r="256" spans="1:6">
      <c r="A256" s="822">
        <f>'3.CT2A'!A256</f>
        <v>213503</v>
      </c>
      <c r="B256" s="822" t="str">
        <f>'3.CT2A'!B256</f>
        <v xml:space="preserve">         Төвлөрүүлэх шилжүүлэг</v>
      </c>
      <c r="C256" s="1618">
        <f>'3.CT2A'!D256</f>
        <v>0</v>
      </c>
      <c r="D256" s="1619">
        <f>VLOOKUP(A256,'4.CT3A'!$A$9:$D$311,4,FALSE)</f>
        <v>0</v>
      </c>
      <c r="E256" s="1619">
        <f si="3" t="shared"/>
        <v>0</v>
      </c>
      <c r="F256" s="821"/>
    </row>
    <row ht="15" r="257" spans="1:6">
      <c r="A257" s="822">
        <f>'3.CT2A'!A257</f>
        <v>213504</v>
      </c>
      <c r="B257" s="822" t="str">
        <f>'3.CT2A'!B257</f>
        <v xml:space="preserve">         Хөрөнгийн</v>
      </c>
      <c r="C257" s="1618">
        <f>'3.CT2A'!D257</f>
        <v>0</v>
      </c>
      <c r="D257" s="1619">
        <f>VLOOKUP(A257,'4.CT3A'!$A$9:$D$311,4,FALSE)</f>
        <v>0</v>
      </c>
      <c r="E257" s="1619">
        <f si="3" t="shared"/>
        <v>0</v>
      </c>
      <c r="F257" s="821"/>
    </row>
    <row ht="30" r="258" spans="1:6">
      <c r="A258" s="822">
        <f>'3.CT2A'!A258</f>
        <v>213505</v>
      </c>
      <c r="B258" s="822" t="str">
        <f>'3.CT2A'!B258</f>
        <v xml:space="preserve">        Төсвийн ерөнхийлөн захирагч хооронд хийсэн санхүүжилт</v>
      </c>
      <c r="C258" s="1618">
        <f>'3.CT2A'!D258</f>
        <v>0</v>
      </c>
      <c r="D258" s="1619">
        <f>VLOOKUP(A258,'4.CT3A'!$A$9:$D$311,4,FALSE)</f>
        <v>0</v>
      </c>
      <c r="E258" s="1619">
        <f si="3" t="shared"/>
        <v>0</v>
      </c>
      <c r="F258" s="821"/>
    </row>
    <row ht="15" r="259" spans="1:6">
      <c r="A259" s="822">
        <f>'3.CT2A'!A259</f>
        <v>22</v>
      </c>
      <c r="B259" s="822" t="str">
        <f>'3.CT2A'!B259</f>
        <v xml:space="preserve">  ХӨРӨНГИЙН ЗАРДАЛ</v>
      </c>
      <c r="C259" s="1618">
        <f>'3.CT2A'!D259</f>
        <v>0</v>
      </c>
      <c r="D259" s="1619">
        <f>VLOOKUP(A259,'4.CT3A'!$A$9:$D$311,4,FALSE)</f>
        <v>0</v>
      </c>
      <c r="E259" s="1619">
        <f si="3" t="shared"/>
        <v>0</v>
      </c>
      <c r="F259" s="821"/>
    </row>
    <row ht="15" r="260" spans="1:6">
      <c r="A260" s="822">
        <f>'3.CT2A'!A260</f>
        <v>2200</v>
      </c>
      <c r="B260" s="822" t="str">
        <f>'3.CT2A'!B260</f>
        <v xml:space="preserve">     Дотоод эх үүсвэрээр</v>
      </c>
      <c r="C260" s="1618">
        <f>'3.CT2A'!D260</f>
        <v>0</v>
      </c>
      <c r="D260" s="1619">
        <f>VLOOKUP(A260,'4.CT3A'!$A$9:$D$311,4,FALSE)</f>
        <v>0</v>
      </c>
      <c r="E260" s="1619">
        <f si="3" t="shared"/>
        <v>0</v>
      </c>
      <c r="F260" s="821"/>
    </row>
    <row ht="15" r="261" spans="1:6">
      <c r="A261" s="822">
        <f>'3.CT2A'!A261</f>
        <v>220001</v>
      </c>
      <c r="B261" s="822" t="str">
        <f>'3.CT2A'!B261</f>
        <v xml:space="preserve">        Барилга байгууламж</v>
      </c>
      <c r="C261" s="1618">
        <f>'3.CT2A'!D261</f>
        <v>0</v>
      </c>
      <c r="D261" s="1619">
        <f>VLOOKUP(A261,'4.CT3A'!$A$9:$D$311,4,FALSE)</f>
        <v>0</v>
      </c>
      <c r="E261" s="1619">
        <f si="3" t="shared"/>
        <v>0</v>
      </c>
      <c r="F261" s="821"/>
    </row>
    <row ht="15" r="262" spans="1:6">
      <c r="A262" s="822">
        <f>'3.CT2A'!A262</f>
        <v>221001</v>
      </c>
      <c r="B262" s="822" t="str">
        <f>'3.CT2A'!B262</f>
        <v xml:space="preserve">        Их засвар</v>
      </c>
      <c r="C262" s="1618">
        <f>'3.CT2A'!D262</f>
        <v>0</v>
      </c>
      <c r="D262" s="1619">
        <f>VLOOKUP(A262,'4.CT3A'!$A$9:$D$311,4,FALSE)</f>
        <v>0</v>
      </c>
      <c r="E262" s="1619">
        <f si="3" t="shared"/>
        <v>0</v>
      </c>
      <c r="F262" s="821"/>
    </row>
    <row ht="15" r="263" spans="1:6">
      <c r="A263" s="822">
        <f>'3.CT2A'!A263</f>
        <v>222001</v>
      </c>
      <c r="B263" s="822" t="str">
        <f>'3.CT2A'!B263</f>
        <v xml:space="preserve">        Тоног төхөөрөмж</v>
      </c>
      <c r="C263" s="1618">
        <f>'3.CT2A'!D263</f>
        <v>0</v>
      </c>
      <c r="D263" s="1619">
        <f>VLOOKUP(A263,'4.CT3A'!$A$9:$D$311,4,FALSE)</f>
        <v>0</v>
      </c>
      <c r="E263" s="1619">
        <f si="3" t="shared"/>
        <v>0</v>
      </c>
      <c r="F263" s="821"/>
    </row>
    <row ht="15" r="264" spans="1:6">
      <c r="A264" s="822">
        <f>'3.CT2A'!A264</f>
        <v>223001</v>
      </c>
      <c r="B264" s="822" t="str">
        <f>'3.CT2A'!B264</f>
        <v xml:space="preserve">        Бусад хөрөнгө</v>
      </c>
      <c r="C264" s="1618">
        <f>'3.CT2A'!D264</f>
        <v>0</v>
      </c>
      <c r="D264" s="1619">
        <f>VLOOKUP(A264,'4.CT3A'!$A$9:$D$311,4,FALSE)</f>
        <v>0</v>
      </c>
      <c r="E264" s="1619">
        <f ref="E264:E273" si="4" t="shared">+C264-D264</f>
        <v>0</v>
      </c>
      <c r="F264" s="821"/>
    </row>
    <row ht="15" r="265" spans="1:6">
      <c r="A265" s="822">
        <f>'3.CT2A'!A265</f>
        <v>224001</v>
      </c>
      <c r="B265" s="822" t="str">
        <f>'3.CT2A'!B265</f>
        <v xml:space="preserve">        Стратегийн нөөц хөрөнгө</v>
      </c>
      <c r="C265" s="1618">
        <f>'3.CT2A'!D265</f>
        <v>0</v>
      </c>
      <c r="D265" s="1619">
        <f>VLOOKUP(A265,'4.CT3A'!$A$9:$D$311,4,FALSE)</f>
        <v>0</v>
      </c>
      <c r="E265" s="1619">
        <f si="4" t="shared"/>
        <v>0</v>
      </c>
      <c r="F265" s="821"/>
    </row>
    <row ht="30" r="266" spans="1:6">
      <c r="A266" s="822">
        <f>'3.CT2A'!A266</f>
        <v>225101</v>
      </c>
      <c r="B266" s="822" t="str">
        <f>'3.CT2A'!B266</f>
        <v xml:space="preserve">        Үндсэн хөрөнгө данснаас хассаны олз (гарз) /ТӨҮГ/</v>
      </c>
      <c r="C266" s="1618">
        <f>'3.CT2A'!D266</f>
        <v>0</v>
      </c>
      <c r="D266" s="1619">
        <f>VLOOKUP(A266,'4.CT3A'!$A$9:$D$311,4,FALSE)</f>
        <v>0</v>
      </c>
      <c r="E266" s="1619">
        <f si="4" t="shared"/>
        <v>0</v>
      </c>
      <c r="F266" s="821"/>
    </row>
    <row ht="30" r="267" spans="1:6">
      <c r="A267" s="822">
        <f>'3.CT2A'!A267</f>
        <v>225102</v>
      </c>
      <c r="B267" s="822" t="str">
        <f>'3.CT2A'!B267</f>
        <v xml:space="preserve">         Биет бус хөрөнгө данснаас хассаны олз (гарз) /ТӨҮГ/</v>
      </c>
      <c r="C267" s="1618">
        <f>'3.CT2A'!D267</f>
        <v>0</v>
      </c>
      <c r="D267" s="1619">
        <f>VLOOKUP(A267,'4.CT3A'!$A$9:$D$311,4,FALSE)</f>
        <v>0</v>
      </c>
      <c r="E267" s="1619">
        <f si="4" t="shared"/>
        <v>0</v>
      </c>
      <c r="F267" s="821"/>
    </row>
    <row ht="30" r="268" spans="1:6">
      <c r="A268" s="822">
        <f>'3.CT2A'!A268</f>
        <v>225103</v>
      </c>
      <c r="B268" s="822" t="str">
        <f>'3.CT2A'!B268</f>
        <v xml:space="preserve">         Хөрөнгө оруулалт борлуулснаас үүссэн олз (гарз) /ТӨҮГ/</v>
      </c>
      <c r="C268" s="1618">
        <f>'3.CT2A'!D268</f>
        <v>0</v>
      </c>
      <c r="D268" s="1619">
        <f>VLOOKUP(A268,'4.CT3A'!$A$9:$D$311,4,FALSE)</f>
        <v>0</v>
      </c>
      <c r="E268" s="1619">
        <f si="4" t="shared"/>
        <v>0</v>
      </c>
      <c r="F268" s="821"/>
    </row>
    <row ht="30" r="269" spans="1:6">
      <c r="A269" s="822">
        <f>'3.CT2A'!A269</f>
        <v>225104</v>
      </c>
      <c r="B269" s="822" t="str">
        <f>'3.CT2A'!B269</f>
        <v xml:space="preserve">         Бусад урт хугацаат хөрөнгө борлуулсанаас үүссэн олз (гарз) /ТӨҮГ/</v>
      </c>
      <c r="C269" s="1618">
        <f>'3.CT2A'!D269</f>
        <v>0</v>
      </c>
      <c r="D269" s="1619">
        <f>VLOOKUP(A269,'4.CT3A'!$A$9:$D$311,4,FALSE)</f>
        <v>0</v>
      </c>
      <c r="E269" s="1619">
        <f si="4" t="shared"/>
        <v>0</v>
      </c>
      <c r="F269" s="821"/>
    </row>
    <row ht="15" r="270" spans="1:6">
      <c r="A270" s="822">
        <f>'3.CT2A'!A270</f>
        <v>225105</v>
      </c>
      <c r="B270" s="822" t="str">
        <f>'3.CT2A'!B270</f>
        <v xml:space="preserve">         Бусад ашиг (алдагдал)   /ТӨҮГ/</v>
      </c>
      <c r="C270" s="1618">
        <f>'3.CT2A'!D270</f>
        <v>0</v>
      </c>
      <c r="D270" s="1619">
        <f>VLOOKUP(A270,'4.CT3A'!$A$9:$D$311,4,FALSE)</f>
        <v>0</v>
      </c>
      <c r="E270" s="1619">
        <f si="4" t="shared"/>
        <v>0</v>
      </c>
      <c r="F270" s="821"/>
    </row>
    <row customHeight="1" ht="15" r="271" spans="1:6">
      <c r="A271" s="822">
        <f>'3.CT2A'!A271</f>
        <v>225106</v>
      </c>
      <c r="B271" s="822" t="str">
        <f>'3.CT2A'!B271</f>
        <v xml:space="preserve">         Биет ба биет бус хөрөнгө худалдан авсан зардал</v>
      </c>
      <c r="C271" s="1618">
        <f>'3.CT2A'!D271</f>
        <v>0</v>
      </c>
      <c r="D271" s="1619">
        <f>VLOOKUP(A271,'4.CT3A'!$A$9:$D$311,4,FALSE)</f>
        <v>0</v>
      </c>
      <c r="E271" s="1619">
        <f si="4" t="shared"/>
        <v>0</v>
      </c>
      <c r="F271" s="821"/>
    </row>
    <row ht="15" r="272" spans="1:6">
      <c r="A272" s="822">
        <f>'3.CT2A'!A272</f>
        <v>2260</v>
      </c>
      <c r="B272" s="822" t="str">
        <f>'3.CT2A'!B272</f>
        <v xml:space="preserve">     Гадаад эх үүсвэрээр</v>
      </c>
      <c r="C272" s="1618">
        <f>'3.CT2A'!D272</f>
        <v>0</v>
      </c>
      <c r="D272" s="1619">
        <f>VLOOKUP(A272,'4.CT3A'!$A$9:$D$311,4,FALSE)</f>
        <v>0</v>
      </c>
      <c r="E272" s="1619">
        <f si="4" t="shared"/>
        <v>0</v>
      </c>
      <c r="F272" s="821"/>
    </row>
    <row ht="15" r="273" spans="1:6">
      <c r="A273" s="822">
        <f>'3.CT2A'!A273</f>
        <v>226001</v>
      </c>
      <c r="B273" s="822" t="str">
        <f>'3.CT2A'!B273</f>
        <v xml:space="preserve">        Гадаад эх үүсвэрээр</v>
      </c>
      <c r="C273" s="1618">
        <f>'3.CT2A'!D273</f>
        <v>0</v>
      </c>
      <c r="D273" s="1619">
        <f>VLOOKUP(A273,'4.CT3A'!$A$9:$D$311,4,FALSE)</f>
        <v>0</v>
      </c>
      <c r="E273" s="1619">
        <f si="4" t="shared"/>
        <v>0</v>
      </c>
      <c r="F273" s="821"/>
    </row>
  </sheetData>
  <mergeCells count="3">
    <mergeCell ref="B1:D1"/>
    <mergeCell ref="E3:F3"/>
    <mergeCell ref="B4:E4"/>
  </mergeCells>
  <printOptions horizontalCentered="1"/>
  <pageMargins bottom="0.75" footer="0.3" header="0.3" left="0.7" right="0.2" top="0.75"/>
  <pageSetup orientation="landscape" paperSize="9" r:id="rId1" scale="95"/>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Q3"/>
  <sheetViews>
    <sheetView topLeftCell="A2" workbookViewId="0" zoomScale="85" zoomScaleNormal="85">
      <selection activeCell="O17" sqref="O17"/>
    </sheetView>
  </sheetViews>
  <sheetFormatPr customHeight="1" defaultRowHeight="22.5"/>
  <cols>
    <col min="1" max="4" style="381" width="9.140625" collapsed="false"/>
    <col min="5" max="5" style="381" width="9.140625" collapsed="true"/>
    <col min="6" max="17" style="381" width="9.140625" collapsed="false"/>
    <col min="18" max="16384" style="381" width="9.140625" collapsed="true"/>
  </cols>
  <sheetData>
    <row ht="15" r="1"/>
    <row ht="15" r="2"/>
    <row ht="15" r="3"/>
  </sheetData>
  <printOptions horizontalCentered="1"/>
  <pageMargins bottom="0.75" footer="0.3" header="0.3" left="0.7" right="0.2" top="0.75"/>
  <pageSetup orientation="landscape" paperSize="9" r:id="rId1" scale="95"/>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44"/>
  <sheetViews>
    <sheetView workbookViewId="0"/>
  </sheetViews>
  <sheetFormatPr defaultRowHeight="12.75"/>
  <cols>
    <col min="1" max="1" customWidth="true" style="11" width="5.28515625" collapsed="false"/>
    <col min="2" max="2" customWidth="true" style="1" width="34.0" collapsed="false"/>
    <col min="3" max="3" customWidth="true" style="11" width="10.85546875" collapsed="false"/>
    <col min="4" max="4" customWidth="true" style="1" width="14.0" collapsed="false"/>
    <col min="5" max="5" customWidth="true" style="11" width="11.5703125" collapsed="false"/>
    <col min="6" max="6" customWidth="true" style="1" width="13.7109375" collapsed="false"/>
    <col min="7" max="16384" style="1" width="9.140625" collapsed="false"/>
  </cols>
  <sheetData>
    <row r="1" spans="1:6">
      <c r="B1" s="406"/>
      <c r="C1" s="406"/>
      <c r="F1" s="52" t="s">
        <v>1967</v>
      </c>
    </row>
    <row customHeight="1" ht="20.25" r="2" spans="1:6">
      <c r="B2" s="1832" t="s">
        <v>2498</v>
      </c>
      <c r="C2" s="1832"/>
      <c r="D2" s="1832"/>
      <c r="E2" s="1832"/>
      <c r="F2" s="1832"/>
    </row>
    <row r="3" spans="1:6">
      <c r="B3" s="1113"/>
      <c r="C3" s="1113"/>
      <c r="D3" s="1113"/>
      <c r="E3" s="1113"/>
      <c r="F3" s="1113"/>
    </row>
    <row customHeight="1" ht="21" r="4" spans="1:6">
      <c r="B4" s="1809" t="str">
        <f>"Байгууллагын нэр: "&amp;ЧХ!$C$7</f>
        <v xml:space="preserve">Байгууллагын нэр: </v>
      </c>
      <c r="C4" s="1809"/>
      <c r="D4" s="1809"/>
      <c r="E4" s="1809"/>
    </row>
    <row customHeight="1" ht="17.25" r="5" spans="1:6">
      <c r="B5" s="580" t="str">
        <f>"Тайлант он: "&amp;ЧХ!$C$8</f>
        <v xml:space="preserve">Тайлант он: </v>
      </c>
      <c r="C5" s="1"/>
    </row>
    <row customFormat="1" r="6" s="47" spans="1:6">
      <c r="A6" s="74"/>
      <c r="B6" s="48"/>
      <c r="C6" s="49"/>
      <c r="D6" s="87"/>
      <c r="E6" s="69"/>
      <c r="F6" s="406"/>
    </row>
    <row customHeight="1" ht="30.75" r="7" spans="1:6">
      <c r="A7" s="1761" t="s">
        <v>649</v>
      </c>
      <c r="B7" s="1761" t="s">
        <v>1778</v>
      </c>
      <c r="C7" s="1742" t="s">
        <v>1367</v>
      </c>
      <c r="D7" s="1742"/>
      <c r="E7" s="1742" t="s">
        <v>1368</v>
      </c>
      <c r="F7" s="1742"/>
    </row>
    <row ht="38.25" r="8" spans="1:6">
      <c r="A8" s="1762"/>
      <c r="B8" s="1762"/>
      <c r="C8" s="582" t="s">
        <v>1467</v>
      </c>
      <c r="D8" s="582" t="s">
        <v>1369</v>
      </c>
      <c r="E8" s="582" t="s">
        <v>1467</v>
      </c>
      <c r="F8" s="582" t="s">
        <v>1369</v>
      </c>
    </row>
    <row customHeight="1" ht="29.25" r="9" spans="1:6">
      <c r="A9" s="80">
        <v>1</v>
      </c>
      <c r="B9" s="82" t="s">
        <v>1779</v>
      </c>
      <c r="C9" s="1480" t="s">
        <v>1370</v>
      </c>
      <c r="D9" s="545" t="s">
        <v>1841</v>
      </c>
      <c r="E9" s="1480" t="s">
        <v>1370</v>
      </c>
      <c r="F9" s="79" t="s">
        <v>1841</v>
      </c>
    </row>
    <row customHeight="1" ht="29.25" r="10" spans="1:6">
      <c r="A10" s="80">
        <v>2</v>
      </c>
      <c r="B10" s="79" t="s">
        <v>1780</v>
      </c>
      <c r="C10" s="1480" t="s">
        <v>1370</v>
      </c>
      <c r="D10" s="545" t="s">
        <v>1841</v>
      </c>
      <c r="E10" s="1480" t="s">
        <v>1370</v>
      </c>
      <c r="F10" s="541" t="s">
        <v>1841</v>
      </c>
    </row>
    <row customHeight="1" ht="45" r="11" spans="1:6">
      <c r="A11" s="80">
        <v>3</v>
      </c>
      <c r="B11" s="82" t="s">
        <v>1781</v>
      </c>
      <c r="C11" s="1480" t="s">
        <v>1370</v>
      </c>
      <c r="D11" s="545" t="s">
        <v>1841</v>
      </c>
      <c r="E11" s="1480" t="s">
        <v>1370</v>
      </c>
      <c r="F11" s="541" t="s">
        <v>1841</v>
      </c>
    </row>
    <row ht="25.5" r="12" spans="1:6">
      <c r="A12" s="80">
        <v>4</v>
      </c>
      <c r="B12" s="78" t="s">
        <v>1782</v>
      </c>
      <c r="C12" s="1480" t="s">
        <v>1370</v>
      </c>
      <c r="D12" s="545" t="s">
        <v>1841</v>
      </c>
      <c r="E12" s="1480" t="s">
        <v>1370</v>
      </c>
      <c r="F12" s="541" t="s">
        <v>1841</v>
      </c>
    </row>
    <row customHeight="1" ht="42.75" r="13" spans="1:6">
      <c r="A13" s="80">
        <v>5</v>
      </c>
      <c r="B13" s="82" t="s">
        <v>1783</v>
      </c>
      <c r="C13" s="1480" t="s">
        <v>1370</v>
      </c>
      <c r="D13" s="545" t="s">
        <v>1841</v>
      </c>
      <c r="E13" s="1480" t="s">
        <v>1370</v>
      </c>
      <c r="F13" s="541" t="s">
        <v>1841</v>
      </c>
    </row>
    <row ht="25.5" r="14" spans="1:6">
      <c r="A14" s="80">
        <v>6</v>
      </c>
      <c r="B14" s="79" t="s">
        <v>1784</v>
      </c>
      <c r="C14" s="1480" t="s">
        <v>1370</v>
      </c>
      <c r="D14" s="545" t="s">
        <v>1841</v>
      </c>
      <c r="E14" s="1480" t="s">
        <v>1370</v>
      </c>
      <c r="F14" s="541" t="s">
        <v>1841</v>
      </c>
    </row>
    <row ht="25.5" r="15" spans="1:6">
      <c r="A15" s="80">
        <v>7</v>
      </c>
      <c r="B15" s="82" t="s">
        <v>1785</v>
      </c>
      <c r="C15" s="1480" t="s">
        <v>1370</v>
      </c>
      <c r="D15" s="545" t="s">
        <v>1841</v>
      </c>
      <c r="E15" s="1480" t="s">
        <v>1370</v>
      </c>
      <c r="F15" s="541" t="s">
        <v>1841</v>
      </c>
    </row>
    <row ht="25.5" r="16" spans="1:6">
      <c r="A16" s="80">
        <v>8</v>
      </c>
      <c r="B16" s="82" t="s">
        <v>1786</v>
      </c>
      <c r="C16" s="1480" t="s">
        <v>1370</v>
      </c>
      <c r="D16" s="545" t="s">
        <v>1841</v>
      </c>
      <c r="E16" s="1480" t="s">
        <v>1370</v>
      </c>
      <c r="F16" s="541" t="s">
        <v>1841</v>
      </c>
    </row>
    <row customHeight="1" ht="24.75" r="17" spans="1:6">
      <c r="A17" s="80">
        <v>9</v>
      </c>
      <c r="B17" s="82" t="s">
        <v>1787</v>
      </c>
      <c r="C17" s="1480" t="s">
        <v>1370</v>
      </c>
      <c r="D17" s="545" t="s">
        <v>1841</v>
      </c>
      <c r="E17" s="1480" t="s">
        <v>1370</v>
      </c>
      <c r="F17" s="541" t="s">
        <v>1841</v>
      </c>
    </row>
    <row ht="38.25" r="18" spans="1:6">
      <c r="A18" s="80">
        <v>10</v>
      </c>
      <c r="B18" s="79" t="s">
        <v>1788</v>
      </c>
      <c r="C18" s="1480" t="s">
        <v>1370</v>
      </c>
      <c r="D18" s="545" t="s">
        <v>1841</v>
      </c>
      <c r="E18" s="1480" t="s">
        <v>1370</v>
      </c>
      <c r="F18" s="541" t="s">
        <v>1841</v>
      </c>
    </row>
    <row ht="51" r="19" spans="1:6">
      <c r="A19" s="80">
        <v>11</v>
      </c>
      <c r="B19" s="79" t="s">
        <v>1789</v>
      </c>
      <c r="C19" s="1480" t="s">
        <v>1370</v>
      </c>
      <c r="D19" s="545" t="s">
        <v>1841</v>
      </c>
      <c r="E19" s="1480" t="s">
        <v>1370</v>
      </c>
      <c r="F19" s="541" t="s">
        <v>1841</v>
      </c>
    </row>
    <row ht="51" r="20" spans="1:6">
      <c r="A20" s="80">
        <v>12</v>
      </c>
      <c r="B20" s="79" t="s">
        <v>1790</v>
      </c>
      <c r="C20" s="1480" t="s">
        <v>1370</v>
      </c>
      <c r="D20" s="545" t="s">
        <v>1841</v>
      </c>
      <c r="E20" s="1480" t="s">
        <v>1370</v>
      </c>
      <c r="F20" s="541" t="s">
        <v>1841</v>
      </c>
    </row>
    <row ht="51" r="21" spans="1:6">
      <c r="A21" s="80">
        <v>13</v>
      </c>
      <c r="B21" s="79" t="s">
        <v>1791</v>
      </c>
      <c r="C21" s="1480" t="s">
        <v>1370</v>
      </c>
      <c r="D21" s="545" t="s">
        <v>1841</v>
      </c>
      <c r="E21" s="1480" t="s">
        <v>1370</v>
      </c>
      <c r="F21" s="541" t="s">
        <v>1841</v>
      </c>
    </row>
    <row ht="38.25" r="22" spans="1:6">
      <c r="A22" s="80">
        <v>14</v>
      </c>
      <c r="B22" s="82" t="s">
        <v>1792</v>
      </c>
      <c r="C22" s="1480" t="s">
        <v>1370</v>
      </c>
      <c r="D22" s="545" t="s">
        <v>1841</v>
      </c>
      <c r="E22" s="1480" t="s">
        <v>1370</v>
      </c>
      <c r="F22" s="541" t="s">
        <v>1841</v>
      </c>
    </row>
    <row ht="38.25" r="23" spans="1:6">
      <c r="A23" s="80">
        <v>15</v>
      </c>
      <c r="B23" s="79" t="s">
        <v>1793</v>
      </c>
      <c r="C23" s="1480" t="s">
        <v>1370</v>
      </c>
      <c r="D23" s="545" t="s">
        <v>1841</v>
      </c>
      <c r="E23" s="1480" t="s">
        <v>1370</v>
      </c>
      <c r="F23" s="541" t="s">
        <v>1841</v>
      </c>
    </row>
    <row ht="38.25" r="24" spans="1:6">
      <c r="A24" s="80">
        <v>16</v>
      </c>
      <c r="B24" s="79" t="s">
        <v>1794</v>
      </c>
      <c r="C24" s="1480" t="s">
        <v>1370</v>
      </c>
      <c r="D24" s="545" t="s">
        <v>1841</v>
      </c>
      <c r="E24" s="1480" t="s">
        <v>1370</v>
      </c>
      <c r="F24" s="541" t="s">
        <v>1841</v>
      </c>
    </row>
    <row ht="38.25" r="25" spans="1:6">
      <c r="A25" s="80">
        <v>17</v>
      </c>
      <c r="B25" s="82" t="s">
        <v>1795</v>
      </c>
      <c r="C25" s="1480" t="s">
        <v>1370</v>
      </c>
      <c r="D25" s="545" t="s">
        <v>1841</v>
      </c>
      <c r="E25" s="1480" t="s">
        <v>1370</v>
      </c>
      <c r="F25" s="541" t="s">
        <v>1841</v>
      </c>
    </row>
    <row ht="38.25" r="26" spans="1:6">
      <c r="A26" s="80">
        <v>18</v>
      </c>
      <c r="B26" s="79" t="s">
        <v>1796</v>
      </c>
      <c r="C26" s="1480" t="s">
        <v>1370</v>
      </c>
      <c r="D26" s="545" t="s">
        <v>1841</v>
      </c>
      <c r="E26" s="1480" t="s">
        <v>1370</v>
      </c>
      <c r="F26" s="541" t="s">
        <v>1841</v>
      </c>
    </row>
    <row ht="51" r="27" spans="1:6">
      <c r="A27" s="80">
        <v>19</v>
      </c>
      <c r="B27" s="79" t="s">
        <v>1797</v>
      </c>
      <c r="C27" s="1480" t="s">
        <v>1370</v>
      </c>
      <c r="D27" s="545" t="s">
        <v>1841</v>
      </c>
      <c r="E27" s="1480" t="s">
        <v>1370</v>
      </c>
      <c r="F27" s="541" t="s">
        <v>1841</v>
      </c>
    </row>
    <row ht="38.25" r="28" spans="1:6">
      <c r="A28" s="80">
        <v>20</v>
      </c>
      <c r="B28" s="79" t="s">
        <v>1798</v>
      </c>
      <c r="C28" s="1480" t="s">
        <v>1370</v>
      </c>
      <c r="D28" s="545" t="s">
        <v>1841</v>
      </c>
      <c r="E28" s="1480" t="s">
        <v>1370</v>
      </c>
      <c r="F28" s="541" t="s">
        <v>1841</v>
      </c>
    </row>
    <row ht="25.5" r="29" spans="1:6">
      <c r="A29" s="80">
        <v>21</v>
      </c>
      <c r="B29" s="79" t="s">
        <v>1799</v>
      </c>
      <c r="C29" s="1480" t="s">
        <v>1370</v>
      </c>
      <c r="D29" s="545" t="s">
        <v>1841</v>
      </c>
      <c r="E29" s="1480" t="s">
        <v>1370</v>
      </c>
      <c r="F29" s="541" t="s">
        <v>1841</v>
      </c>
    </row>
    <row ht="25.5" r="30" spans="1:6">
      <c r="A30" s="80">
        <v>22</v>
      </c>
      <c r="B30" s="82" t="s">
        <v>1800</v>
      </c>
      <c r="C30" s="1480" t="s">
        <v>1370</v>
      </c>
      <c r="D30" s="545" t="s">
        <v>1841</v>
      </c>
      <c r="E30" s="1480" t="s">
        <v>1370</v>
      </c>
      <c r="F30" s="541" t="s">
        <v>1841</v>
      </c>
    </row>
    <row customHeight="1" ht="31.5" r="31" spans="1:6">
      <c r="A31" s="80">
        <v>23</v>
      </c>
      <c r="B31" s="82" t="s">
        <v>1801</v>
      </c>
      <c r="C31" s="1480" t="s">
        <v>1370</v>
      </c>
      <c r="D31" s="545" t="s">
        <v>1841</v>
      </c>
      <c r="E31" s="1480" t="s">
        <v>1370</v>
      </c>
      <c r="F31" s="541" t="s">
        <v>1841</v>
      </c>
    </row>
    <row customHeight="1" ht="14.25" r="32" spans="1:6">
      <c r="A32" s="80">
        <v>24</v>
      </c>
      <c r="B32" s="82" t="s">
        <v>1371</v>
      </c>
      <c r="C32" s="1480" t="s">
        <v>1370</v>
      </c>
      <c r="D32" s="545" t="s">
        <v>1841</v>
      </c>
      <c r="E32" s="1480" t="s">
        <v>1370</v>
      </c>
      <c r="F32" s="541" t="s">
        <v>1841</v>
      </c>
    </row>
    <row ht="25.5" r="33" spans="1:6">
      <c r="A33" s="80">
        <v>25</v>
      </c>
      <c r="B33" s="82" t="s">
        <v>1372</v>
      </c>
      <c r="C33" s="1480" t="s">
        <v>1370</v>
      </c>
      <c r="D33" s="82" t="s">
        <v>1841</v>
      </c>
      <c r="E33" s="1480" t="s">
        <v>1370</v>
      </c>
      <c r="F33" s="541" t="s">
        <v>1841</v>
      </c>
    </row>
    <row r="35" spans="1:6">
      <c r="B35" s="551" t="s">
        <v>1873</v>
      </c>
      <c r="C35" s="406"/>
      <c r="D35" s="539"/>
      <c r="E35" s="1"/>
      <c r="F35" s="406"/>
    </row>
    <row r="36" spans="1:6">
      <c r="B36" s="406" t="str">
        <f>+ЧХ!$B$6</f>
        <v>Аудитын менежер</v>
      </c>
      <c r="C36" s="1679">
        <f>+ЧХ!$C$6</f>
        <v>0</v>
      </c>
      <c r="D36" s="1679"/>
      <c r="E36" s="1"/>
      <c r="F36" s="539" t="s">
        <v>1777</v>
      </c>
    </row>
    <row r="37" spans="1:6">
      <c r="C37" s="539"/>
      <c r="E37" s="1"/>
      <c r="F37" s="539"/>
    </row>
    <row r="38" spans="1:6">
      <c r="B38" s="551" t="s">
        <v>2035</v>
      </c>
      <c r="C38" s="539"/>
      <c r="E38" s="1"/>
      <c r="F38" s="406"/>
    </row>
    <row r="39" spans="1:6">
      <c r="B39" s="406" t="str">
        <f>+ЧХ!$B$5</f>
        <v>Тэргүүлэх аудитор</v>
      </c>
      <c r="C39" s="1679" t="str">
        <f>+ЧХ!$C$5</f>
        <v>С.Энхбаатар</v>
      </c>
      <c r="D39" s="1679"/>
      <c r="E39" s="1"/>
      <c r="F39" s="539" t="s">
        <v>1777</v>
      </c>
    </row>
    <row r="41" spans="1:6">
      <c r="A41" s="44"/>
      <c r="B41" s="406" t="str">
        <f>+ЧХ!$B$6&amp;"ийн санал: ………………………………………………………………………………………"</f>
        <v>Аудитын менежерийн санал: ………………………………………………………………………………………</v>
      </c>
    </row>
    <row r="42" spans="1:6">
      <c r="B42" s="406"/>
    </row>
    <row r="43" spans="1:6">
      <c r="B43" s="406"/>
    </row>
    <row r="44" spans="1:6">
      <c r="B44" s="406"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allowBlank="1" showErrorMessage="1" showInputMessage="1" sqref="C9:C33 E9:E33" type="list">
      <formula1>"Тийм, Үгүй"</formula1>
    </dataValidation>
  </dataValidations>
  <pageMargins bottom="0.75" footer="0.3" header="0.3" left="0.7" right="0.7" top="0.75"/>
  <pageSetup orientation="portrait" r:id="rId1"/>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customWidth="true" style="85" width="5.0" collapsed="false"/>
    <col min="2" max="2" customWidth="true" style="85" width="30.28515625" collapsed="false"/>
    <col min="3" max="3" customWidth="true" style="85" width="53.5703125" collapsed="false"/>
    <col min="4" max="16384" style="85" width="9.140625" collapsed="false"/>
  </cols>
  <sheetData>
    <row r="1" spans="1:6">
      <c r="C1" s="75" t="s">
        <v>1968</v>
      </c>
    </row>
    <row r="2" spans="1:6">
      <c r="B2" s="1699" t="s">
        <v>1969</v>
      </c>
      <c r="C2" s="1699"/>
      <c r="D2" s="91"/>
      <c r="E2" s="91"/>
      <c r="F2" s="54"/>
    </row>
    <row r="3" spans="1:6">
      <c r="A3" s="91"/>
    </row>
    <row r="4" spans="1:6">
      <c r="B4" s="1809" t="str">
        <f>"Байгууллагын нэр: "&amp;ЧХ!$C$7</f>
        <v xml:space="preserve">Байгууллагын нэр: </v>
      </c>
      <c r="C4" s="1809"/>
    </row>
    <row customFormat="1" r="5" s="406" spans="1:6">
      <c r="B5" s="573" t="str">
        <f>"тайлант он: " &amp;ЧХ!$C$8</f>
        <v xml:space="preserve">тайлант он: </v>
      </c>
      <c r="C5" s="583"/>
      <c r="D5" s="590"/>
      <c r="E5" s="590"/>
      <c r="F5" s="1"/>
    </row>
    <row r="6" spans="1:6">
      <c r="C6" s="69"/>
      <c r="D6" s="406"/>
    </row>
    <row customHeight="1" ht="24" r="7" spans="1:6">
      <c r="A7" s="76" t="s">
        <v>649</v>
      </c>
      <c r="B7" s="92" t="s">
        <v>1970</v>
      </c>
      <c r="C7" s="92" t="s">
        <v>1971</v>
      </c>
    </row>
    <row customHeight="1" ht="54.75" r="8" spans="1:6">
      <c r="A8" s="76">
        <v>1</v>
      </c>
      <c r="B8" s="99" t="s">
        <v>1972</v>
      </c>
      <c r="C8" s="92" t="s">
        <v>1434</v>
      </c>
    </row>
    <row ht="102" r="9" spans="1:6">
      <c r="A9" s="76">
        <v>2</v>
      </c>
      <c r="B9" s="99" t="s">
        <v>1973</v>
      </c>
      <c r="C9" s="99" t="s">
        <v>3024</v>
      </c>
    </row>
    <row ht="191.25" r="10" spans="1:6">
      <c r="A10" s="76">
        <v>3</v>
      </c>
      <c r="B10" s="99" t="s">
        <v>1974</v>
      </c>
      <c r="C10" s="99" t="s">
        <v>3025</v>
      </c>
    </row>
    <row ht="102" r="11" spans="1:6">
      <c r="A11" s="76">
        <v>4</v>
      </c>
      <c r="B11" s="99" t="s">
        <v>1975</v>
      </c>
      <c r="C11" s="1102" t="s">
        <v>1976</v>
      </c>
    </row>
    <row ht="102" r="12" spans="1:6">
      <c r="A12" s="76">
        <v>5</v>
      </c>
      <c r="B12" s="99" t="s">
        <v>1977</v>
      </c>
      <c r="C12" s="99" t="s">
        <v>1978</v>
      </c>
    </row>
    <row ht="38.25" r="13" spans="1:6">
      <c r="A13" s="76">
        <v>6</v>
      </c>
      <c r="B13" s="99" t="s">
        <v>1979</v>
      </c>
      <c r="C13" s="99" t="s">
        <v>1980</v>
      </c>
    </row>
    <row ht="38.25" r="14" spans="1:6">
      <c r="A14" s="76">
        <v>7</v>
      </c>
      <c r="B14" s="99" t="s">
        <v>1981</v>
      </c>
      <c r="C14" s="99" t="s">
        <v>1982</v>
      </c>
    </row>
    <row ht="76.5" r="15" spans="1:6">
      <c r="A15" s="76">
        <v>8</v>
      </c>
      <c r="B15" s="99" t="s">
        <v>1983</v>
      </c>
      <c r="C15" s="99" t="s">
        <v>3026</v>
      </c>
    </row>
    <row r="16" spans="1:6">
      <c r="A16" s="76">
        <v>9</v>
      </c>
      <c r="B16" s="99" t="s">
        <v>1984</v>
      </c>
      <c r="C16" s="76" t="s">
        <v>1434</v>
      </c>
    </row>
    <row ht="25.5" r="17" spans="1:3">
      <c r="A17" s="76">
        <v>10</v>
      </c>
      <c r="B17" s="99" t="s">
        <v>1985</v>
      </c>
      <c r="C17" s="99" t="s">
        <v>1986</v>
      </c>
    </row>
  </sheetData>
  <mergeCells count="2">
    <mergeCell ref="B2:C2"/>
    <mergeCell ref="B4:C4"/>
  </mergeCells>
  <pageMargins bottom="0.75" footer="0.3" header="0.3" left="0.7" right="0.7" top="0.75"/>
  <pageSetup orientation="portrait" r:id="rId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customWidth="true" style="1" width="5.0" collapsed="false"/>
    <col min="2" max="2" customWidth="true" style="1" width="52.28515625" collapsed="false"/>
    <col min="3" max="3" customWidth="true" style="1" width="17.0" collapsed="false"/>
    <col min="4" max="4" customWidth="true" style="1" width="15.85546875" collapsed="false"/>
    <col min="5" max="16384" style="1" width="9.140625" collapsed="false"/>
  </cols>
  <sheetData>
    <row customHeight="1" ht="28.5" r="1" spans="1:4">
      <c r="A1" s="12"/>
      <c r="B1" s="1833" t="s">
        <v>2406</v>
      </c>
      <c r="C1" s="1833"/>
      <c r="D1" s="12"/>
    </row>
    <row r="2" spans="1:4">
      <c r="A2" s="14"/>
      <c r="B2" s="14"/>
      <c r="C2" s="14"/>
      <c r="D2" s="14"/>
    </row>
    <row customHeight="1" ht="15.75" r="3" spans="1:4">
      <c r="A3" s="14"/>
      <c r="B3" s="1809" t="str">
        <f>"Байгууллагын нэр: "&amp;ЧХ!$C$7</f>
        <v xml:space="preserve">Байгууллагын нэр: </v>
      </c>
      <c r="C3" s="1809"/>
    </row>
    <row customHeight="1" ht="13.5" r="4" spans="1:4">
      <c r="A4" s="600"/>
      <c r="B4" s="573" t="str">
        <f>"тайлант он: " &amp;ЧХ!$C$8</f>
        <v xml:space="preserve">тайлант он: </v>
      </c>
      <c r="C4" s="600"/>
    </row>
    <row r="5" spans="1:4">
      <c r="A5" s="600"/>
      <c r="B5" s="573"/>
      <c r="C5" s="600"/>
    </row>
    <row customHeight="1" ht="15" r="6" spans="1:4">
      <c r="A6" s="15" t="s">
        <v>1373</v>
      </c>
      <c r="B6" s="15" t="s">
        <v>1374</v>
      </c>
      <c r="C6" s="15" t="s">
        <v>1375</v>
      </c>
      <c r="D6" s="15" t="s">
        <v>701</v>
      </c>
    </row>
    <row ht="25.5" r="7" spans="1:4">
      <c r="A7" s="15">
        <v>1</v>
      </c>
      <c r="B7" s="16" t="s">
        <v>1376</v>
      </c>
      <c r="C7" s="18" t="s">
        <v>1397</v>
      </c>
      <c r="D7" s="15" t="s">
        <v>1396</v>
      </c>
    </row>
    <row ht="25.5" r="8" spans="1:4">
      <c r="A8" s="15">
        <v>2</v>
      </c>
      <c r="B8" s="16" t="s">
        <v>1377</v>
      </c>
      <c r="C8" s="18" t="s">
        <v>1397</v>
      </c>
      <c r="D8" s="15" t="s">
        <v>1396</v>
      </c>
    </row>
    <row customHeight="1" ht="22.5" r="9" spans="1:4">
      <c r="A9" s="15">
        <v>3</v>
      </c>
      <c r="B9" s="16" t="s">
        <v>1378</v>
      </c>
      <c r="C9" s="18" t="s">
        <v>1397</v>
      </c>
      <c r="D9" s="15" t="s">
        <v>1396</v>
      </c>
    </row>
    <row customHeight="1" ht="16.5" r="10" spans="1:4">
      <c r="A10" s="15">
        <v>4</v>
      </c>
      <c r="B10" s="16" t="s">
        <v>1379</v>
      </c>
      <c r="C10" s="18" t="s">
        <v>1397</v>
      </c>
      <c r="D10" s="15" t="s">
        <v>1396</v>
      </c>
    </row>
    <row ht="25.5" r="11" spans="1:4">
      <c r="A11" s="15">
        <v>5</v>
      </c>
      <c r="B11" s="16" t="s">
        <v>1380</v>
      </c>
      <c r="C11" s="18" t="s">
        <v>1397</v>
      </c>
      <c r="D11" s="15" t="s">
        <v>1396</v>
      </c>
    </row>
    <row ht="25.5" r="12" spans="1:4">
      <c r="A12" s="15">
        <v>6</v>
      </c>
      <c r="B12" s="16" t="s">
        <v>1381</v>
      </c>
      <c r="C12" s="18" t="s">
        <v>1397</v>
      </c>
      <c r="D12" s="15" t="s">
        <v>1396</v>
      </c>
    </row>
    <row ht="38.25" r="13" spans="1:4">
      <c r="A13" s="15">
        <v>7</v>
      </c>
      <c r="B13" s="16" t="s">
        <v>1382</v>
      </c>
      <c r="C13" s="18" t="s">
        <v>1397</v>
      </c>
      <c r="D13" s="15" t="s">
        <v>1396</v>
      </c>
    </row>
    <row ht="38.25" r="14" spans="1:4">
      <c r="A14" s="15">
        <v>8</v>
      </c>
      <c r="B14" s="16" t="s">
        <v>1383</v>
      </c>
      <c r="C14" s="18" t="s">
        <v>1397</v>
      </c>
      <c r="D14" s="15" t="s">
        <v>1396</v>
      </c>
    </row>
    <row r="15" spans="1:4">
      <c r="A15" s="15">
        <v>9</v>
      </c>
      <c r="B15" s="16" t="s">
        <v>1384</v>
      </c>
      <c r="C15" s="18" t="s">
        <v>1397</v>
      </c>
      <c r="D15" s="15" t="s">
        <v>1396</v>
      </c>
    </row>
    <row ht="38.25" r="16" spans="1:4">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ht="25.5" r="20" spans="1:4">
      <c r="A20" s="15">
        <v>14</v>
      </c>
      <c r="B20" s="16" t="s">
        <v>3023</v>
      </c>
      <c r="C20" s="18" t="s">
        <v>1397</v>
      </c>
      <c r="D20" s="15" t="s">
        <v>1396</v>
      </c>
    </row>
    <row ht="25.5" r="21" spans="1:4">
      <c r="A21" s="15">
        <v>15</v>
      </c>
      <c r="B21" s="16" t="s">
        <v>1389</v>
      </c>
      <c r="C21" s="18" t="s">
        <v>1397</v>
      </c>
      <c r="D21" s="15" t="s">
        <v>1396</v>
      </c>
    </row>
    <row ht="51" r="22" spans="1:4">
      <c r="A22" s="15">
        <v>16</v>
      </c>
      <c r="B22" s="16" t="s">
        <v>1390</v>
      </c>
      <c r="C22" s="18" t="s">
        <v>1397</v>
      </c>
      <c r="D22" s="15" t="s">
        <v>1396</v>
      </c>
    </row>
    <row ht="38.25" r="23" spans="1:4">
      <c r="A23" s="15">
        <v>17</v>
      </c>
      <c r="B23" s="16" t="s">
        <v>1391</v>
      </c>
      <c r="C23" s="18" t="s">
        <v>1397</v>
      </c>
      <c r="D23" s="15" t="s">
        <v>1396</v>
      </c>
    </row>
    <row ht="25.5" r="24" spans="1:4">
      <c r="A24" s="15">
        <v>18</v>
      </c>
      <c r="B24" s="16" t="s">
        <v>1392</v>
      </c>
      <c r="C24" s="18" t="s">
        <v>1397</v>
      </c>
      <c r="D24" s="15" t="s">
        <v>1396</v>
      </c>
    </row>
    <row ht="38.25" r="25" spans="1:4">
      <c r="A25" s="15">
        <v>19</v>
      </c>
      <c r="B25" s="16" t="s">
        <v>1393</v>
      </c>
      <c r="C25" s="18" t="s">
        <v>1397</v>
      </c>
      <c r="D25" s="15" t="s">
        <v>1396</v>
      </c>
    </row>
    <row r="26" spans="1:4">
      <c r="A26" s="15">
        <v>20</v>
      </c>
      <c r="B26" s="17" t="s">
        <v>1394</v>
      </c>
      <c r="C26" s="18" t="s">
        <v>1397</v>
      </c>
      <c r="D26" s="15" t="s">
        <v>1396</v>
      </c>
    </row>
    <row ht="25.5" r="27" spans="1:4">
      <c r="A27" s="15">
        <v>21</v>
      </c>
      <c r="B27" s="17" t="s">
        <v>1395</v>
      </c>
      <c r="C27" s="18" t="s">
        <v>1397</v>
      </c>
      <c r="D27" s="15" t="s">
        <v>1396</v>
      </c>
    </row>
    <row r="28" spans="1:4">
      <c r="A28" s="11"/>
    </row>
    <row r="29" spans="1:4">
      <c r="A29" s="11"/>
      <c r="B29" s="1" t="s">
        <v>2365</v>
      </c>
    </row>
    <row r="30" spans="1:4">
      <c r="A30" s="11"/>
      <c r="B30" s="72" t="str">
        <f>'1.Info'!F37</f>
        <v/>
      </c>
      <c r="C30" s="72" t="str">
        <f>'1.Info'!G36</f>
        <v/>
      </c>
    </row>
    <row r="31" spans="1:4">
      <c r="A31" s="11"/>
      <c r="B31" s="1" t="s">
        <v>2366</v>
      </c>
    </row>
    <row r="32" spans="1:4">
      <c r="A32" s="11"/>
      <c r="B32" s="1" t="e">
        <f>+#REF!</f>
        <v>#REF!</v>
      </c>
      <c r="C32" s="1">
        <f>+'А-8'!B19</f>
        <v>0</v>
      </c>
    </row>
    <row r="35" spans="1:1">
      <c r="A35" s="85"/>
    </row>
  </sheetData>
  <mergeCells count="2">
    <mergeCell ref="B1:C1"/>
    <mergeCell ref="B3:C3"/>
  </mergeCells>
  <dataValidations count="1">
    <dataValidation allowBlank="1" showErrorMessage="1" showInputMessage="1" sqref="D7:D27" type="list">
      <formula1>"Ирүүлсэн, Үгүй, Үл хамаарах"</formula1>
    </dataValidation>
  </dataValidations>
  <pageMargins bottom="0.75" footer="0.3" header="0.3" left="0.7" right="0.7" top="0.75"/>
  <pageSetup orientation="portrait" r:id="rId1"/>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customWidth="true" style="1" width="21.140625" collapsed="false"/>
    <col min="2" max="2" customWidth="true" style="1" width="68.85546875" collapsed="false"/>
    <col min="3" max="16384" style="1" width="9.140625" collapsed="false"/>
  </cols>
  <sheetData>
    <row r="2" spans="1:2">
      <c r="A2" s="1834" t="s">
        <v>1408</v>
      </c>
      <c r="B2" s="1834"/>
    </row>
    <row r="3" spans="1:2">
      <c r="A3" s="1114"/>
      <c r="B3" s="1114"/>
    </row>
    <row r="4" spans="1:2">
      <c r="A4" s="1809" t="str">
        <f>"Байгууллагын нэр: "&amp;ЧХ!$C$7</f>
        <v xml:space="preserve">Байгууллагын нэр: </v>
      </c>
      <c r="B4" s="1809"/>
    </row>
    <row customHeight="1" ht="14.25" r="5" spans="1:2">
      <c r="A5" s="573" t="str">
        <f>"тайлант он: " &amp;ЧХ!$C$8</f>
        <v xml:space="preserve">тайлант он: </v>
      </c>
      <c r="B5" s="94"/>
    </row>
    <row r="6" spans="1:2">
      <c r="A6" s="1097"/>
      <c r="B6" s="1119"/>
    </row>
    <row customHeight="1" ht="36.75" r="7" spans="1:2">
      <c r="A7" s="16" t="s">
        <v>1398</v>
      </c>
      <c r="B7" s="16" t="s">
        <v>2371</v>
      </c>
    </row>
    <row r="8" spans="1:2">
      <c r="A8" s="20" t="s">
        <v>1399</v>
      </c>
      <c r="B8" s="16" t="s">
        <v>2966</v>
      </c>
    </row>
    <row customHeight="1" ht="41.25" r="9" spans="1:2">
      <c r="A9" s="1835" t="s">
        <v>1400</v>
      </c>
      <c r="B9" s="16" t="s">
        <v>2370</v>
      </c>
    </row>
    <row customHeight="1" ht="45" r="10" spans="1:2">
      <c r="A10" s="1836"/>
      <c r="B10" s="16" t="s">
        <v>2407</v>
      </c>
    </row>
    <row r="11" spans="1:2">
      <c r="A11" s="1835" t="s">
        <v>1401</v>
      </c>
      <c r="B11" s="19" t="s">
        <v>1402</v>
      </c>
    </row>
    <row ht="25.5" r="12" spans="1:2">
      <c r="A12" s="1836"/>
      <c r="B12" s="16" t="s">
        <v>1409</v>
      </c>
    </row>
    <row customHeight="1" ht="19.5" r="13" spans="1:2">
      <c r="A13" s="1836"/>
      <c r="B13" s="19" t="s">
        <v>1403</v>
      </c>
    </row>
    <row ht="38.25" r="14" spans="1:2">
      <c r="A14" s="1837"/>
      <c r="B14" s="21" t="s">
        <v>1410</v>
      </c>
    </row>
    <row ht="25.5" r="15" spans="1:2">
      <c r="A15" s="16" t="s">
        <v>1404</v>
      </c>
      <c r="B15" s="16" t="s">
        <v>1405</v>
      </c>
    </row>
    <row customHeight="1" ht="21.75" r="16" spans="1:2">
      <c r="A16" s="20" t="s">
        <v>1406</v>
      </c>
      <c r="B16" s="20" t="str">
        <f>+ЧХ!$B$5&amp;" "&amp;ЧХ!$C$5</f>
        <v>Тэргүүлэх аудитор С.Энхбаатар</v>
      </c>
    </row>
    <row customHeight="1" ht="22.5" r="17" spans="1:5">
      <c r="A17" s="16" t="s">
        <v>1407</v>
      </c>
      <c r="B17" s="20" t="str">
        <f>АБ!B$9&amp;" "&amp;АБ!B$3</f>
        <v xml:space="preserve"> </v>
      </c>
    </row>
    <row r="20" spans="1:5">
      <c r="A20" s="583" t="s">
        <v>1897</v>
      </c>
      <c r="B20" s="406"/>
      <c r="C20" s="583"/>
      <c r="D20" s="406"/>
      <c r="E20" s="406"/>
    </row>
    <row r="21" spans="1:5">
      <c r="A21" s="406">
        <f>+ЧХ!$C$15</f>
        <v>0</v>
      </c>
      <c r="B21" s="406"/>
      <c r="D21" s="406"/>
      <c r="E21" s="573"/>
    </row>
    <row r="22" spans="1:5">
      <c r="A22" s="406"/>
      <c r="B22" s="573">
        <f>+ЧХ!$C$16</f>
        <v>0</v>
      </c>
      <c r="D22" s="406"/>
      <c r="E22" s="406"/>
    </row>
    <row r="23" spans="1:5">
      <c r="A23" s="583" t="s">
        <v>2368</v>
      </c>
      <c r="B23" s="406"/>
      <c r="D23" s="573"/>
      <c r="E23" s="406"/>
    </row>
    <row r="24" spans="1:5">
      <c r="A24" s="406" t="str">
        <f>+ЧХ!$B$6</f>
        <v>Аудитын менежер</v>
      </c>
      <c r="B24" s="406"/>
      <c r="D24" s="406"/>
      <c r="E24" s="573"/>
    </row>
    <row r="25" spans="1:5">
      <c r="A25" s="406"/>
      <c r="B25" s="573">
        <f>+ЧХ!$C$6</f>
        <v>0</v>
      </c>
      <c r="D25" s="406"/>
      <c r="E25" s="406"/>
    </row>
    <row r="26" spans="1:5">
      <c r="A26" s="406" t="s">
        <v>2369</v>
      </c>
      <c r="B26" s="406"/>
      <c r="D26" s="406"/>
      <c r="E26" s="406"/>
    </row>
    <row r="27" spans="1:5">
      <c r="A27" s="406" t="str">
        <f>+ЧХ!$B$5</f>
        <v>Тэргүүлэх аудитор</v>
      </c>
      <c r="B27" s="406"/>
      <c r="D27" s="406"/>
      <c r="E27" s="573"/>
    </row>
    <row r="28" spans="1:5">
      <c r="B28" s="574" t="str">
        <f>+ЧХ!$C$5</f>
        <v>С.Энхбаатар</v>
      </c>
    </row>
    <row r="30" spans="1:5">
      <c r="A30" s="406" t="str">
        <f>+ЧХ!$B$6&amp;"ийн санал: ………………………………………………………………………………………"</f>
        <v>Аудитын менежерийн санал: ………………………………………………………………………………………</v>
      </c>
    </row>
    <row r="31" spans="1:5">
      <c r="A31" s="406"/>
    </row>
    <row r="32" spans="1:5">
      <c r="A32" s="406"/>
    </row>
    <row r="33" spans="1:1">
      <c r="A33" s="406" t="str">
        <f>+ЧХ!$B$5&amp;"ын санал: ..........................................................................................................."</f>
        <v>Тэргүүлэх аудиторын санал: ...........................................................................................................</v>
      </c>
    </row>
    <row r="40" spans="1:1">
      <c r="A40" s="85"/>
    </row>
  </sheetData>
  <mergeCells count="4">
    <mergeCell ref="A2:B2"/>
    <mergeCell ref="A9:A10"/>
    <mergeCell ref="A11:A14"/>
    <mergeCell ref="A4:B4"/>
  </mergeCells>
  <pageMargins bottom="0.75" footer="0.3" header="0.3" left="0.7" right="0.7" top="0.75"/>
  <pageSetup horizontalDpi="0" orientation="portrait" r:id="rId1" verticalDpi="0"/>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customWidth="true" style="1" width="25.42578125" collapsed="false"/>
    <col min="2" max="2" customWidth="true" style="1" width="57.140625" collapsed="false"/>
    <col min="3" max="16384" style="1" width="9.140625" collapsed="false"/>
  </cols>
  <sheetData>
    <row r="1" spans="1:2">
      <c r="A1" s="226"/>
      <c r="B1" s="13"/>
    </row>
    <row r="2" spans="1:2">
      <c r="A2" s="1838" t="s">
        <v>2408</v>
      </c>
      <c r="B2" s="1838"/>
    </row>
    <row r="3" spans="1:2">
      <c r="A3" s="1834" t="s">
        <v>1411</v>
      </c>
      <c r="B3" s="1834"/>
    </row>
    <row r="4" spans="1:2">
      <c r="A4" s="1114"/>
      <c r="B4" s="1114"/>
    </row>
    <row r="5" spans="1:2">
      <c r="A5" s="1842" t="str">
        <f>"Байгууллагын нэр: "&amp;ЧХ!$C$7</f>
        <v xml:space="preserve">Байгууллагын нэр: </v>
      </c>
      <c r="B5" s="1842"/>
    </row>
    <row r="6" spans="1:2">
      <c r="A6" s="573" t="str">
        <f>"тайлант он: " &amp;ЧХ!$C$8</f>
        <v xml:space="preserve">тайлант он: </v>
      </c>
      <c r="B6" s="94"/>
    </row>
    <row r="7" spans="1:2">
      <c r="A7" s="573"/>
      <c r="B7" s="584"/>
    </row>
    <row customHeight="1" ht="32.25" r="8" spans="1:2">
      <c r="A8" s="16" t="s">
        <v>1412</v>
      </c>
      <c r="B8" s="16" t="s">
        <v>1430</v>
      </c>
    </row>
    <row ht="38.25" r="9" spans="1:2">
      <c r="A9" s="20" t="s">
        <v>1399</v>
      </c>
      <c r="B9" s="16" t="s">
        <v>1413</v>
      </c>
    </row>
    <row customHeight="1" ht="18" r="10" spans="1:2">
      <c r="A10" s="1835" t="s">
        <v>1414</v>
      </c>
      <c r="B10" s="315" t="s">
        <v>2119</v>
      </c>
    </row>
    <row customHeight="1" ht="24" r="11" spans="1:2">
      <c r="A11" s="1837"/>
      <c r="B11" s="20" t="str">
        <f>АБ!B$9&amp;" "&amp;АБ!B$3</f>
        <v xml:space="preserve"> </v>
      </c>
    </row>
    <row r="12" spans="1:2">
      <c r="A12" s="1839" t="s">
        <v>1415</v>
      </c>
      <c r="B12" s="316" t="s">
        <v>1416</v>
      </c>
    </row>
    <row ht="25.5" r="13" spans="1:2">
      <c r="A13" s="1840"/>
      <c r="B13" s="16" t="s">
        <v>1417</v>
      </c>
    </row>
    <row ht="25.5" r="14" spans="1:2">
      <c r="A14" s="1840"/>
      <c r="B14" s="16" t="s">
        <v>1418</v>
      </c>
    </row>
    <row ht="25.5" r="15" spans="1:2">
      <c r="A15" s="1840"/>
      <c r="B15" s="16" t="s">
        <v>1419</v>
      </c>
    </row>
    <row ht="25.5" r="16" spans="1:2">
      <c r="A16" s="1840"/>
      <c r="B16" s="16" t="s">
        <v>1420</v>
      </c>
    </row>
    <row ht="25.5" r="17" spans="1:5">
      <c r="A17" s="1840"/>
      <c r="B17" s="16" t="s">
        <v>1421</v>
      </c>
    </row>
    <row r="18" spans="1:5">
      <c r="A18" s="1840"/>
      <c r="B18" s="16" t="s">
        <v>1422</v>
      </c>
    </row>
    <row ht="25.5" r="19" spans="1:5">
      <c r="A19" s="1840"/>
      <c r="B19" s="16" t="s">
        <v>1423</v>
      </c>
    </row>
    <row r="20" spans="1:5">
      <c r="A20" s="1840"/>
      <c r="B20" s="316" t="s">
        <v>1424</v>
      </c>
    </row>
    <row ht="25.5" r="21" spans="1:5">
      <c r="A21" s="1840"/>
      <c r="B21" s="16" t="s">
        <v>1425</v>
      </c>
    </row>
    <row r="22" spans="1:5">
      <c r="A22" s="1840"/>
      <c r="B22" s="16" t="s">
        <v>1426</v>
      </c>
    </row>
    <row ht="25.5" r="23" spans="1:5">
      <c r="A23" s="1840"/>
      <c r="B23" s="16" t="s">
        <v>1427</v>
      </c>
    </row>
    <row r="24" spans="1:5">
      <c r="A24" s="1841"/>
      <c r="B24" s="16" t="s">
        <v>1428</v>
      </c>
    </row>
    <row ht="25.5" r="25" spans="1:5">
      <c r="A25" s="20" t="s">
        <v>1404</v>
      </c>
      <c r="B25" s="16" t="s">
        <v>1429</v>
      </c>
    </row>
    <row customHeight="1" ht="23.25" r="26" spans="1:5">
      <c r="A26" s="20" t="s">
        <v>1407</v>
      </c>
      <c r="B26" s="20" t="str">
        <f>АБ!B$9&amp;" "&amp;АБ!B$3&amp;"…………………. "</f>
        <v xml:space="preserve"> …………………. </v>
      </c>
    </row>
    <row r="28" spans="1:5">
      <c r="A28" s="583" t="s">
        <v>1897</v>
      </c>
      <c r="B28" s="406"/>
      <c r="C28" s="583"/>
      <c r="D28" s="406"/>
      <c r="E28" s="406"/>
    </row>
    <row r="29" spans="1:5">
      <c r="A29" s="406">
        <f>+ЧХ!$C$15</f>
        <v>0</v>
      </c>
      <c r="B29" s="406"/>
      <c r="C29" s="573"/>
      <c r="D29" s="406"/>
      <c r="E29" s="573"/>
    </row>
    <row r="30" spans="1:5">
      <c r="A30" s="406"/>
      <c r="B30" s="573">
        <f>+ЧХ!$C$16</f>
        <v>0</v>
      </c>
      <c r="C30" s="406"/>
      <c r="D30" s="406"/>
      <c r="E30" s="406"/>
    </row>
    <row r="31" spans="1:5">
      <c r="A31" s="583" t="s">
        <v>2368</v>
      </c>
      <c r="B31" s="406"/>
      <c r="C31" s="406"/>
      <c r="D31" s="573"/>
      <c r="E31" s="406"/>
    </row>
    <row r="32" spans="1:5">
      <c r="A32" s="406" t="str">
        <f>+ЧХ!$B$6</f>
        <v>Аудитын менежер</v>
      </c>
      <c r="B32" s="406"/>
      <c r="C32" s="573"/>
      <c r="D32" s="406"/>
      <c r="E32" s="573"/>
    </row>
    <row r="33" spans="1:5">
      <c r="A33" s="406"/>
      <c r="B33" s="573">
        <f>+ЧХ!$C$6</f>
        <v>0</v>
      </c>
      <c r="C33" s="406"/>
      <c r="D33" s="406"/>
      <c r="E33" s="406"/>
    </row>
    <row r="34" spans="1:5">
      <c r="A34" s="406" t="s">
        <v>2369</v>
      </c>
      <c r="B34" s="406"/>
      <c r="C34" s="406"/>
      <c r="D34" s="406"/>
      <c r="E34" s="406"/>
    </row>
    <row r="35" spans="1:5">
      <c r="A35" s="406" t="str">
        <f>+ЧХ!$B$5</f>
        <v>Тэргүүлэх аудитор</v>
      </c>
      <c r="B35" s="406"/>
      <c r="C35" s="574"/>
      <c r="D35" s="406"/>
      <c r="E35" s="573"/>
    </row>
    <row r="36" spans="1:5">
      <c r="B36" s="574" t="str">
        <f>+ЧХ!$C$5</f>
        <v>С.Энхбаатар</v>
      </c>
    </row>
    <row r="38" spans="1:5">
      <c r="A38" s="406" t="str">
        <f>+ЧХ!$B$6&amp;"ийн санал: ………………………………………………………………………………………"</f>
        <v>Аудитын менежерийн санал: ………………………………………………………………………………………</v>
      </c>
    </row>
    <row r="39" spans="1:5">
      <c r="A39" s="406"/>
    </row>
    <row r="40" spans="1:5">
      <c r="A40" s="406"/>
    </row>
    <row r="41" spans="1:5">
      <c r="A41" s="406" t="str">
        <f>+ЧХ!$B$5&amp;"ын санал: ..........................................................................................................."</f>
        <v>Тэргүүлэх аудиторын санал: ...........................................................................................................</v>
      </c>
    </row>
  </sheetData>
  <mergeCells count="5">
    <mergeCell ref="A2:B2"/>
    <mergeCell ref="A3:B3"/>
    <mergeCell ref="A10:A11"/>
    <mergeCell ref="A12:A24"/>
    <mergeCell ref="A5:B5"/>
  </mergeCells>
  <pageMargins bottom="0.75" footer="0.3" header="0.3" left="0.7" right="0.7" top="0.75"/>
  <pageSetup orientation="portrait" r:id="rId1"/>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38"/>
  <sheetViews>
    <sheetView workbookViewId="0">
      <selection activeCell="B13" sqref="B13"/>
    </sheetView>
  </sheetViews>
  <sheetFormatPr defaultRowHeight="12.75"/>
  <cols>
    <col min="1" max="1" customWidth="true" style="406" width="22.42578125" collapsed="false"/>
    <col min="2" max="2" customWidth="true" style="406" width="19.28515625" collapsed="false"/>
    <col min="3" max="3" customWidth="true" style="406" width="14.7109375" collapsed="false"/>
    <col min="4" max="4" customWidth="true" style="406" width="19.85546875" collapsed="false"/>
    <col min="5" max="5" customWidth="true" style="406" width="14.28515625" collapsed="false"/>
    <col min="6" max="6" customWidth="true" style="406" width="10.0" collapsed="false"/>
    <col min="7" max="8" style="406" width="9.140625" collapsed="false"/>
    <col min="9" max="9" customWidth="true" style="406" width="14.7109375" collapsed="false"/>
    <col min="10" max="10" customWidth="true" style="406" width="54.7109375" collapsed="false"/>
    <col min="11" max="16384" style="406" width="9.140625" collapsed="false"/>
  </cols>
  <sheetData>
    <row r="1" spans="1:10">
      <c r="E1" s="834" t="s">
        <v>2141</v>
      </c>
    </row>
    <row customHeight="1" ht="19.5" r="2" spans="1:10">
      <c r="A2" s="556" t="s">
        <v>1762</v>
      </c>
      <c r="B2" s="1703" t="str">
        <f>+ЧХ!B5</f>
        <v>Тэргүүлэх аудитор</v>
      </c>
      <c r="C2" s="1703"/>
      <c r="D2" s="1703" t="str">
        <f>+ЧХ!C5</f>
        <v>С.Энхбаатар</v>
      </c>
      <c r="E2" s="1703"/>
    </row>
    <row r="3" spans="1:10">
      <c r="A3" s="338"/>
      <c r="B3" s="338"/>
      <c r="C3" s="338"/>
      <c r="D3" s="338"/>
      <c r="E3" s="338"/>
    </row>
    <row r="4" spans="1:10">
      <c r="B4" s="45" t="s">
        <v>1584</v>
      </c>
      <c r="C4" s="45"/>
      <c r="D4" s="45"/>
      <c r="E4" s="45"/>
    </row>
    <row r="5" spans="1:10">
      <c r="A5" s="555"/>
      <c r="B5" s="555"/>
      <c r="C5" s="555"/>
      <c r="D5" s="555"/>
      <c r="E5" s="555"/>
    </row>
    <row r="6" spans="1:10">
      <c r="A6" s="1809" t="str">
        <f>"Байгууллагын нэр: "&amp;ЧХ!$C$7</f>
        <v xml:space="preserve">Байгууллагын нэр: </v>
      </c>
      <c r="B6" s="1809"/>
      <c r="C6" s="1809"/>
      <c r="D6" s="1809"/>
      <c r="E6" s="555"/>
    </row>
    <row r="7" spans="1:10">
      <c r="A7" s="1100" t="str">
        <f>+"тайлант он: " &amp;ЧХ!$C$8</f>
        <v xml:space="preserve">тайлант он: </v>
      </c>
      <c r="B7" s="828"/>
      <c r="C7" s="828"/>
      <c r="D7" s="828"/>
      <c r="E7" s="555"/>
    </row>
    <row r="8" spans="1:10">
      <c r="E8" s="1482" t="s">
        <v>451</v>
      </c>
      <c r="F8" s="54"/>
    </row>
    <row customHeight="1" ht="39.75" r="9" spans="1:10">
      <c r="A9" s="1761" t="s">
        <v>1580</v>
      </c>
      <c r="B9" s="1761" t="s">
        <v>2139</v>
      </c>
      <c r="C9" s="833" t="s">
        <v>2164</v>
      </c>
      <c r="D9" s="833" t="s">
        <v>2163</v>
      </c>
      <c r="E9" s="833" t="s">
        <v>2165</v>
      </c>
      <c r="J9" s="548"/>
    </row>
    <row customHeight="1" ht="39.75" r="10" spans="1:10">
      <c r="A10" s="1762"/>
      <c r="B10" s="1762"/>
      <c r="C10" s="403">
        <v>2E-3</v>
      </c>
      <c r="D10" s="1124">
        <f>+C19</f>
        <v>0</v>
      </c>
      <c r="E10" s="402">
        <v>0.02</v>
      </c>
      <c r="J10" s="548"/>
    </row>
    <row r="11" spans="1:10">
      <c r="A11" s="833" t="s">
        <v>702</v>
      </c>
      <c r="B11" s="833" t="s">
        <v>1583</v>
      </c>
      <c r="C11" s="833">
        <v>1</v>
      </c>
      <c r="D11" s="833">
        <v>2</v>
      </c>
      <c r="E11" s="833">
        <v>3</v>
      </c>
      <c r="I11" s="784"/>
      <c r="J11" s="784"/>
    </row>
    <row ht="25.5" r="12" spans="1:10">
      <c r="A12" s="826" t="s">
        <v>2956</v>
      </c>
      <c r="B12" s="412">
        <f>('А-4АБ'!C22+'А-4АБ'!C30)/1000</f>
        <v>0</v>
      </c>
      <c r="C12" s="412">
        <f>+B12*$C$10</f>
        <v>0</v>
      </c>
      <c r="D12" s="412">
        <f>IF(A12=B$19,B12*C$19,0)</f>
        <v>0</v>
      </c>
      <c r="E12" s="412">
        <f>+B12*$E$10</f>
        <v>0</v>
      </c>
      <c r="I12" s="784">
        <f>IF(D12&gt;0,1,0)</f>
        <v>0</v>
      </c>
      <c r="J12" s="783" t="s">
        <v>2969</v>
      </c>
    </row>
    <row ht="38.25" r="13" spans="1:10">
      <c r="A13" s="826" t="s">
        <v>2957</v>
      </c>
      <c r="B13" s="412">
        <f>('А-4АБ'!C26+'А-4АБ'!C31)/1000</f>
        <v>0</v>
      </c>
      <c r="C13" s="412">
        <f ref="C13:C17" si="0" t="shared">+B13*$C$10</f>
        <v>0</v>
      </c>
      <c r="D13" s="412">
        <f ref="D13:D17" si="1" t="shared">IF(A13=B$19,B13*C$19,0)</f>
        <v>0</v>
      </c>
      <c r="E13" s="412">
        <f ref="E13:E17" si="2" t="shared">+B13*$E$10</f>
        <v>0</v>
      </c>
      <c r="I13" s="784">
        <f ref="I13:I17" si="3" t="shared">IF(D13&gt;0,1,0)</f>
        <v>0</v>
      </c>
      <c r="J13" s="785" t="s">
        <v>2970</v>
      </c>
    </row>
    <row ht="25.5" r="14" spans="1:10">
      <c r="A14" s="826" t="s">
        <v>2958</v>
      </c>
      <c r="B14" s="412">
        <f>('4.CT3A'!D9+'4.CT3A'!D284)/1000</f>
        <v>0</v>
      </c>
      <c r="C14" s="412">
        <f si="0" t="shared"/>
        <v>0</v>
      </c>
      <c r="D14" s="412">
        <f si="1" t="shared"/>
        <v>0</v>
      </c>
      <c r="E14" s="412">
        <f si="2" t="shared"/>
        <v>0</v>
      </c>
      <c r="I14" s="784">
        <f si="3" t="shared"/>
        <v>0</v>
      </c>
      <c r="J14" s="783" t="s">
        <v>2971</v>
      </c>
    </row>
    <row ht="38.25" r="15" spans="1:10">
      <c r="A15" s="826" t="s">
        <v>2959</v>
      </c>
      <c r="B15" s="412">
        <f>('4.CT3A'!D152+'4.CT3A'!D267+'4.CT3A'!D291+'4.CT3A'!D295+'4.CT3A'!D299)/1000</f>
        <v>0</v>
      </c>
      <c r="C15" s="412">
        <f si="0" t="shared"/>
        <v>0</v>
      </c>
      <c r="D15" s="412">
        <f si="1" t="shared"/>
        <v>0</v>
      </c>
      <c r="E15" s="412">
        <f si="2" t="shared"/>
        <v>0</v>
      </c>
      <c r="I15" s="784">
        <f si="3" t="shared"/>
        <v>0</v>
      </c>
      <c r="J15" s="785" t="s">
        <v>2972</v>
      </c>
    </row>
    <row customHeight="1" ht="18" r="16" spans="1:10">
      <c r="A16" s="826" t="s">
        <v>1579</v>
      </c>
      <c r="B16" s="412">
        <f>'2.CT1A'!D144/1000</f>
        <v>0</v>
      </c>
      <c r="C16" s="412">
        <f si="0" t="shared"/>
        <v>0</v>
      </c>
      <c r="D16" s="412">
        <f si="1" t="shared"/>
        <v>0</v>
      </c>
      <c r="E16" s="412">
        <f si="2" t="shared"/>
        <v>0</v>
      </c>
      <c r="I16" s="784">
        <f si="3" t="shared"/>
        <v>0</v>
      </c>
      <c r="J16" s="783" t="s">
        <v>2973</v>
      </c>
    </row>
    <row customHeight="1" ht="19.5" r="17" spans="1:10">
      <c r="A17" s="826" t="s">
        <v>1578</v>
      </c>
      <c r="B17" s="412">
        <f>'2.CT1A'!D221/1000</f>
        <v>0</v>
      </c>
      <c r="C17" s="412">
        <f si="0" t="shared"/>
        <v>0</v>
      </c>
      <c r="D17" s="412">
        <f si="1" t="shared"/>
        <v>0</v>
      </c>
      <c r="E17" s="412">
        <f si="2" t="shared"/>
        <v>0</v>
      </c>
      <c r="I17" s="784">
        <f si="3" t="shared"/>
        <v>0</v>
      </c>
      <c r="J17" s="783" t="s">
        <v>2974</v>
      </c>
    </row>
    <row customHeight="1" ht="38.25" r="18" spans="1:10">
      <c r="A18" s="1670" t="str">
        <f>J19&amp;" "&amp;J20</f>
        <v>0 Дотоод хяналт хангалтгүй, эрсдэл ихтэй байдлуудыг үндэслэн доорхи хувиар тооцох нь зүйтэй гэж тус тус сонгов.</v>
      </c>
      <c r="B18" s="1671"/>
      <c r="C18" s="1671"/>
      <c r="D18" s="1671"/>
      <c r="E18" s="1672"/>
      <c r="I18" s="784">
        <f>IF(E18&gt;0,1,0)</f>
        <v>0</v>
      </c>
      <c r="J18" s="784"/>
    </row>
    <row customHeight="1" ht="42.75" r="19" spans="1:10">
      <c r="A19" s="831" t="s">
        <v>2977</v>
      </c>
      <c r="B19" s="826"/>
      <c r="C19" s="1123"/>
      <c r="D19" s="706">
        <f>+D12+D13+D14+D15+D16+D17</f>
        <v>0</v>
      </c>
      <c r="E19" s="830" t="s">
        <v>3570</v>
      </c>
      <c r="F19" s="1"/>
      <c r="I19" s="783"/>
      <c r="J19" s="783">
        <f>IF(I12&gt;0,J12,IF(I13&gt;0,J13,IF(I14&gt;0,J14,IF(I15&gt;0,J15,IF(I16&gt;0,J16,IF(I17&gt;0,J17,IF(I18&gt;1.5,J18,)))))))</f>
        <v>0</v>
      </c>
    </row>
    <row customHeight="1" ht="24" r="20" spans="1:10">
      <c r="A20" s="1844" t="s">
        <v>2976</v>
      </c>
      <c r="B20" s="1845"/>
      <c r="C20" s="1845"/>
      <c r="D20" s="1845"/>
      <c r="E20" s="1846"/>
      <c r="J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Height="1" ht="19.5" r="21" spans="1:10">
      <c r="A21" s="1767"/>
      <c r="B21" s="1768"/>
      <c r="C21" s="1768"/>
      <c r="D21" s="1768"/>
      <c r="E21" s="1769"/>
    </row>
    <row customHeight="1" ht="21.75" r="22" spans="1:10">
      <c r="A22" s="1767"/>
      <c r="B22" s="1768"/>
      <c r="C22" s="1768"/>
      <c r="D22" s="1768"/>
      <c r="E22" s="1769"/>
    </row>
    <row customHeight="1" ht="26.25" r="23" spans="1:10">
      <c r="A23" s="1770"/>
      <c r="B23" s="1771"/>
      <c r="C23" s="1771"/>
      <c r="D23" s="1771"/>
      <c r="E23" s="1772"/>
    </row>
    <row customHeight="1" ht="27" r="24" spans="1:10">
      <c r="A24" s="1843" t="s">
        <v>2975</v>
      </c>
      <c r="B24" s="1843"/>
      <c r="C24" s="1843"/>
      <c r="D24" s="1843"/>
      <c r="E24" s="1843"/>
      <c r="J24" s="12"/>
    </row>
    <row r="25" spans="1:10">
      <c r="J25" s="548"/>
    </row>
    <row r="26" spans="1:10">
      <c r="A26" s="832" t="s">
        <v>1897</v>
      </c>
      <c r="B26" s="832"/>
      <c r="C26" s="832"/>
      <c r="J26" s="548"/>
    </row>
    <row r="27" spans="1:10">
      <c r="A27" s="406">
        <f>+ЧХ!$C$15</f>
        <v>0</v>
      </c>
      <c r="C27" s="1679">
        <f>+ЧХ!$C$16</f>
        <v>0</v>
      </c>
      <c r="D27" s="1679"/>
      <c r="E27" s="829" t="s">
        <v>1777</v>
      </c>
      <c r="J27" s="548"/>
    </row>
    <row r="28" spans="1:10">
      <c r="C28" s="829"/>
      <c r="D28" s="829"/>
      <c r="E28" s="829"/>
    </row>
    <row r="29" spans="1:10">
      <c r="A29" s="832" t="s">
        <v>1873</v>
      </c>
      <c r="B29" s="832"/>
      <c r="E29" s="829"/>
    </row>
    <row r="30" spans="1:10">
      <c r="A30" s="406" t="str">
        <f>+ЧХ!$B$6</f>
        <v>Аудитын менежер</v>
      </c>
      <c r="C30" s="1679">
        <f>+ЧХ!$C$6</f>
        <v>0</v>
      </c>
      <c r="D30" s="1679"/>
      <c r="E30" s="829" t="s">
        <v>1777</v>
      </c>
    </row>
    <row r="31" spans="1:10">
      <c r="C31" s="829"/>
      <c r="D31" s="829"/>
      <c r="E31" s="829"/>
    </row>
    <row r="32" spans="1:10">
      <c r="A32" s="832" t="s">
        <v>2035</v>
      </c>
      <c r="B32" s="832"/>
      <c r="E32" s="829"/>
    </row>
    <row r="33" spans="1:5">
      <c r="A33" s="406" t="str">
        <f>+ЧХ!$B$5</f>
        <v>Тэргүүлэх аудитор</v>
      </c>
      <c r="C33" s="1689" t="str">
        <f>+ЧХ!$C$5</f>
        <v>С.Энхбаатар</v>
      </c>
      <c r="D33" s="1689"/>
      <c r="E33" s="829" t="s">
        <v>1777</v>
      </c>
    </row>
    <row r="35" spans="1:5">
      <c r="A35" s="406" t="str">
        <f>+ЧХ!$B$6&amp;"ийн санал: ………………………………………………………………………………………"</f>
        <v>Аудитын менежерийн санал: ………………………………………………………………………………………</v>
      </c>
    </row>
    <row r="38" spans="1:5">
      <c r="A38" s="406"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bottom="0.75" footer="0.3" header="0.3" left="0.7" right="0.7" top="0.75"/>
  <pageSetup orientation="portrait" r:id="rId1"/>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4"/>
  <sheetViews>
    <sheetView workbookViewId="0">
      <selection activeCell="B11" sqref="B11"/>
    </sheetView>
  </sheetViews>
  <sheetFormatPr defaultRowHeight="12.75"/>
  <cols>
    <col min="1" max="1" customWidth="true" style="85" width="4.7109375" collapsed="false"/>
    <col min="2" max="2" customWidth="true" style="85" width="18.7109375" collapsed="false"/>
    <col min="3" max="3" customWidth="true" style="85" width="19.28515625" collapsed="false"/>
    <col min="4" max="4" customWidth="true" style="85" width="18.42578125" collapsed="false"/>
    <col min="5" max="5" customWidth="true" style="85" width="21.5703125" collapsed="false"/>
    <col min="6" max="6" customWidth="true" style="85" width="15.85546875" collapsed="false"/>
    <col min="7" max="16384" style="85" width="9.140625" collapsed="false"/>
  </cols>
  <sheetData>
    <row customHeight="1" ht="15" r="1" spans="1:6">
      <c r="B1" s="406"/>
      <c r="C1" s="406"/>
      <c r="D1" s="406"/>
      <c r="E1" s="1847" t="s">
        <v>2367</v>
      </c>
      <c r="F1" s="1847"/>
    </row>
    <row r="2" spans="1:6">
      <c r="B2" s="1116" t="s">
        <v>1762</v>
      </c>
      <c r="C2" s="552" t="str">
        <f>+ЧХ!B5</f>
        <v>Тэргүүлэх аудитор</v>
      </c>
      <c r="D2" s="552"/>
      <c r="E2" s="552" t="str">
        <f>+ЧХ!C5</f>
        <v>С.Энхбаатар</v>
      </c>
      <c r="F2" s="552"/>
    </row>
    <row customFormat="1" r="3" s="406" spans="1:6">
      <c r="B3" s="338"/>
      <c r="C3" s="338"/>
      <c r="D3" s="338"/>
      <c r="E3" s="338"/>
      <c r="F3" s="338"/>
    </row>
    <row customFormat="1" r="4" s="406" spans="1:6">
      <c r="B4" s="45" t="s">
        <v>2454</v>
      </c>
      <c r="D4" s="45"/>
      <c r="E4" s="45"/>
      <c r="F4" s="45"/>
    </row>
    <row r="5" spans="1:6">
      <c r="B5" s="555"/>
      <c r="C5" s="555"/>
      <c r="D5" s="555"/>
      <c r="E5" s="555"/>
      <c r="F5" s="555"/>
    </row>
    <row customHeight="1" ht="16.5" r="6" spans="1:6">
      <c r="B6" s="1809" t="str">
        <f>"Байгууллагын нэр: "&amp;ЧХ!$C$7</f>
        <v xml:space="preserve">Байгууллагын нэр: </v>
      </c>
      <c r="C6" s="1809"/>
      <c r="D6" s="1809"/>
      <c r="E6" s="1809"/>
      <c r="F6" s="555"/>
    </row>
    <row r="7" spans="1:6">
      <c r="B7" s="573" t="str">
        <f>"тайлант он: " &amp;ЧХ!$C$8</f>
        <v xml:space="preserve">тайлант он: </v>
      </c>
      <c r="C7" s="406"/>
      <c r="D7" s="406"/>
      <c r="E7" s="406"/>
    </row>
    <row customFormat="1" r="8" s="406" spans="1:6">
      <c r="B8" s="573"/>
      <c r="F8" s="69" t="s">
        <v>2140</v>
      </c>
    </row>
    <row customHeight="1" ht="57" r="9" spans="1:6">
      <c r="A9" s="15" t="s">
        <v>1267</v>
      </c>
      <c r="B9" s="97" t="s">
        <v>1577</v>
      </c>
      <c r="C9" s="97" t="s">
        <v>1576</v>
      </c>
      <c r="D9" s="15" t="s">
        <v>1234</v>
      </c>
      <c r="E9" s="97" t="s">
        <v>1575</v>
      </c>
      <c r="F9" s="97" t="s">
        <v>1574</v>
      </c>
    </row>
    <row customHeight="1" ht="18" r="10" spans="1:6">
      <c r="A10" s="601">
        <v>1</v>
      </c>
      <c r="B10" s="707"/>
      <c r="C10" s="707">
        <f>'В-1'!D19</f>
        <v>0</v>
      </c>
      <c r="D10" s="862">
        <f>+B10-C10</f>
        <v>0</v>
      </c>
      <c r="E10" s="15" t="s">
        <v>1475</v>
      </c>
      <c r="F10" s="15" t="s">
        <v>1475</v>
      </c>
    </row>
    <row r="11" spans="1:6">
      <c r="A11" s="1"/>
      <c r="B11" s="1"/>
      <c r="C11" s="1"/>
      <c r="D11" s="1"/>
      <c r="E11" s="12"/>
      <c r="F11" s="1"/>
    </row>
    <row r="12" spans="1:6">
      <c r="B12" s="557" t="s">
        <v>1897</v>
      </c>
      <c r="D12" s="557"/>
    </row>
    <row r="13" spans="1:6">
      <c r="B13" s="406">
        <f>+ЧХ!$C$15</f>
        <v>0</v>
      </c>
      <c r="D13" s="553">
        <f>+ЧХ!$C$16</f>
        <v>0</v>
      </c>
      <c r="F13" s="553" t="s">
        <v>1777</v>
      </c>
    </row>
    <row r="15" spans="1:6">
      <c r="B15" s="557" t="s">
        <v>2368</v>
      </c>
      <c r="E15" s="553"/>
    </row>
    <row r="16" spans="1:6">
      <c r="B16" s="406" t="str">
        <f>+ЧХ!$B$6</f>
        <v>Аудитын менежер</v>
      </c>
      <c r="D16" s="553">
        <f>+ЧХ!$C$6</f>
        <v>0</v>
      </c>
      <c r="E16" s="406"/>
      <c r="F16" s="553" t="s">
        <v>1777</v>
      </c>
    </row>
    <row r="18" spans="2:8">
      <c r="B18" s="85" t="s">
        <v>2369</v>
      </c>
      <c r="E18" s="406"/>
    </row>
    <row r="19" spans="2:8">
      <c r="B19" s="406" t="str">
        <f>+ЧХ!$B$5</f>
        <v>Тэргүүлэх аудитор</v>
      </c>
      <c r="D19" s="554" t="str">
        <f>+ЧХ!$C$5</f>
        <v>С.Энхбаатар</v>
      </c>
      <c r="F19" s="553" t="s">
        <v>1777</v>
      </c>
      <c r="H19" s="1448"/>
    </row>
    <row r="21" spans="2:8">
      <c r="B21" s="406" t="str">
        <f>+ЧХ!$B$6&amp;"ийн санал: ………………………………………………………………………………………"</f>
        <v>Аудитын менежерийн санал: ………………………………………………………………………………………</v>
      </c>
    </row>
    <row r="22" spans="2:8">
      <c r="B22" s="406"/>
    </row>
    <row r="23" spans="2:8">
      <c r="B23" s="406"/>
    </row>
    <row r="24" spans="2:8">
      <c r="B24" s="406" t="str">
        <f>+ЧХ!$B$5&amp;"ын санал: ..........................................................................................................."</f>
        <v>Тэргүүлэх аудиторын санал: ...........................................................................................................</v>
      </c>
    </row>
  </sheetData>
  <dataConsolidate/>
  <mergeCells count="2">
    <mergeCell ref="E1:F1"/>
    <mergeCell ref="B6:E6"/>
  </mergeCells>
  <dataValidations count="1">
    <dataValidation allowBlank="1" showErrorMessage="1" showInputMessage="1" sqref="E10:F10" type="list">
      <formula1>"Тийм, Үгүй"</formula1>
    </dataValidation>
  </dataValidations>
  <pageMargins bottom="0.75" footer="0.3" header="0.3" left="0.7" right="0.7" top="0.75"/>
  <pageSetup orientation="portrait" r:id="rId1"/>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J38"/>
  <sheetViews>
    <sheetView workbookViewId="0">
      <selection activeCell="B8" sqref="B8"/>
    </sheetView>
  </sheetViews>
  <sheetFormatPr defaultRowHeight="12.75"/>
  <cols>
    <col min="1" max="1" customWidth="true" style="1" width="52.140625" collapsed="false"/>
    <col min="2" max="2" customWidth="true" style="22" width="30.85546875" collapsed="false"/>
    <col min="3" max="16384" style="1" width="9.140625" collapsed="false"/>
  </cols>
  <sheetData>
    <row ht="14.25" r="2" spans="1:10">
      <c r="A2" s="1848" t="s">
        <v>1431</v>
      </c>
      <c r="B2" s="1848"/>
    </row>
    <row r="3" spans="1:10">
      <c r="A3" s="585"/>
      <c r="B3" s="585"/>
    </row>
    <row customHeight="1" ht="17.25" r="4" spans="1:10">
      <c r="A4" s="1809" t="str">
        <f>"Байгууллагын нэр: "&amp;ЧХ!$C$7</f>
        <v xml:space="preserve">Байгууллагын нэр: </v>
      </c>
      <c r="B4" s="1809"/>
    </row>
    <row customHeight="1" ht="15.75" r="5" spans="1:10">
      <c r="A5" s="573" t="str">
        <f>"тайлант он: " &amp;ЧХ!$C$8</f>
        <v xml:space="preserve">тайлант он: </v>
      </c>
    </row>
    <row r="6" spans="1:10">
      <c r="A6" s="311"/>
    </row>
    <row customHeight="1" ht="18" r="7" spans="1:10">
      <c r="A7" s="595" t="s">
        <v>12</v>
      </c>
      <c r="B7" s="15" t="s">
        <v>2223</v>
      </c>
    </row>
    <row ht="25.5" r="8" spans="1:10">
      <c r="A8" s="17" t="s">
        <v>1432</v>
      </c>
      <c r="B8" s="314" t="s">
        <v>2372</v>
      </c>
    </row>
    <row ht="25.5" r="9" spans="1:10">
      <c r="A9" s="17" t="s">
        <v>1433</v>
      </c>
      <c r="B9" s="15" t="s">
        <v>1370</v>
      </c>
    </row>
    <row ht="38.25" r="10" spans="1:10">
      <c r="A10" s="17" t="s">
        <v>1435</v>
      </c>
      <c r="B10" s="15" t="s">
        <v>1370</v>
      </c>
    </row>
    <row ht="38.25" r="11" spans="1:10">
      <c r="A11" s="17" t="s">
        <v>1436</v>
      </c>
      <c r="B11" s="15" t="s">
        <v>1370</v>
      </c>
    </row>
    <row r="12" spans="1:10">
      <c r="A12" s="17" t="s">
        <v>1437</v>
      </c>
      <c r="B12" s="15" t="s">
        <v>1370</v>
      </c>
    </row>
    <row r="13" spans="1:10">
      <c r="A13" s="17" t="s">
        <v>1438</v>
      </c>
      <c r="B13" s="15" t="s">
        <v>1370</v>
      </c>
    </row>
    <row ht="25.5" r="14" spans="1:10">
      <c r="A14" s="17" t="s">
        <v>1439</v>
      </c>
      <c r="B14" s="15" t="s">
        <v>1370</v>
      </c>
    </row>
    <row customFormat="1" r="15" s="91" spans="1:10">
      <c r="A15" s="17" t="s">
        <v>1440</v>
      </c>
      <c r="B15" s="15" t="s">
        <v>1370</v>
      </c>
      <c r="C15" s="1"/>
      <c r="D15" s="291"/>
      <c r="E15" s="291"/>
      <c r="G15" s="291"/>
      <c r="H15" s="291"/>
      <c r="I15" s="1849"/>
      <c r="J15" s="1849"/>
    </row>
    <row customFormat="1" customHeight="1" ht="66.75" r="16" s="91" spans="1:10">
      <c r="A16" s="17" t="s">
        <v>1441</v>
      </c>
      <c r="B16" s="15" t="s">
        <v>1370</v>
      </c>
      <c r="C16" s="1"/>
      <c r="D16" s="406"/>
      <c r="E16" s="406"/>
      <c r="G16" s="291"/>
      <c r="H16" s="291"/>
      <c r="I16" s="291"/>
      <c r="J16" s="291"/>
    </row>
    <row customFormat="1" ht="51" r="17" s="91" spans="1:10">
      <c r="A17" s="17" t="s">
        <v>1442</v>
      </c>
      <c r="B17" s="15" t="s">
        <v>1370</v>
      </c>
      <c r="C17" s="1"/>
      <c r="D17" s="406"/>
      <c r="E17" s="573"/>
      <c r="I17" s="1849"/>
      <c r="J17" s="1849"/>
    </row>
    <row customFormat="1" r="18" s="91" spans="1:10">
      <c r="A18" s="1"/>
      <c r="B18" s="22"/>
      <c r="D18" s="406"/>
      <c r="E18" s="406"/>
      <c r="G18" s="291"/>
      <c r="H18" s="291"/>
      <c r="I18" s="291"/>
      <c r="J18" s="291"/>
    </row>
    <row customFormat="1" r="19" s="91" spans="1:10">
      <c r="A19" s="583" t="s">
        <v>1897</v>
      </c>
      <c r="B19" s="406"/>
      <c r="C19" s="583"/>
      <c r="D19" s="573"/>
      <c r="E19" s="406"/>
      <c r="I19" s="1849"/>
      <c r="J19" s="1849"/>
    </row>
    <row r="20" spans="1:10">
      <c r="A20" s="406">
        <f>+ЧХ!$C$15</f>
        <v>0</v>
      </c>
      <c r="B20" s="406"/>
      <c r="C20" s="91"/>
      <c r="D20" s="406"/>
      <c r="E20" s="573"/>
    </row>
    <row r="21" spans="1:10">
      <c r="A21" s="406"/>
      <c r="B21" s="573">
        <f>+ЧХ!$C$16</f>
        <v>0</v>
      </c>
      <c r="C21" s="91"/>
      <c r="D21" s="406"/>
      <c r="E21" s="406"/>
    </row>
    <row r="22" spans="1:10">
      <c r="A22" s="583" t="s">
        <v>2368</v>
      </c>
      <c r="B22" s="406"/>
      <c r="C22" s="91"/>
    </row>
    <row r="23" spans="1:10">
      <c r="A23" s="406" t="str">
        <f>+ЧХ!$B$6</f>
        <v>Аудитын менежер</v>
      </c>
      <c r="B23" s="406"/>
    </row>
    <row r="24" spans="1:10">
      <c r="A24" s="406"/>
      <c r="B24" s="573">
        <f>+ЧХ!$C$6</f>
        <v>0</v>
      </c>
    </row>
    <row r="25" spans="1:10">
      <c r="A25" s="406" t="s">
        <v>2369</v>
      </c>
      <c r="B25" s="406"/>
    </row>
    <row r="26" spans="1:10">
      <c r="A26" s="406" t="str">
        <f>+ЧХ!$B$5</f>
        <v>Тэргүүлэх аудитор</v>
      </c>
      <c r="B26" s="406"/>
    </row>
    <row r="27" spans="1:10">
      <c r="B27" s="574" t="str">
        <f>+ЧХ!$C$5</f>
        <v>С.Энхбаатар</v>
      </c>
    </row>
    <row r="29" spans="1:10">
      <c r="A29" s="406" t="str">
        <f>+ЧХ!$B$6&amp;"ийн санал: ………………………………………………………………………………………"</f>
        <v>Аудитын менежерийн санал: ………………………………………………………………………………………</v>
      </c>
    </row>
    <row r="30" spans="1:10">
      <c r="A30" s="406"/>
    </row>
    <row r="31" spans="1:10">
      <c r="A31" s="406"/>
    </row>
    <row r="32" spans="1:10">
      <c r="A32" s="406"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allowBlank="1" showErrorMessage="1" showInputMessage="1" sqref="B9:B17" type="list">
      <formula1>"Тийм, Үгүй"</formula1>
    </dataValidation>
  </dataValidations>
  <pageMargins bottom="0.75" footer="0.3" header="0.3" left="0.7" right="0.7" top="0.75"/>
  <pageSetup orientation="portrait" r:id="rId1"/>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customWidth="true" style="1" width="52.0" collapsed="false"/>
    <col min="2" max="2" customWidth="true" style="1" width="17.5703125" collapsed="false"/>
    <col min="3" max="3" customWidth="true" style="1" width="19.28515625" collapsed="false"/>
    <col min="4" max="16384" style="1" width="9.140625" collapsed="false"/>
  </cols>
  <sheetData>
    <row customHeight="1" ht="21.75" r="1" spans="1:10">
      <c r="A1" s="1850" t="s">
        <v>1443</v>
      </c>
      <c r="B1" s="1848"/>
      <c r="C1" s="1848"/>
    </row>
    <row r="2" spans="1:10">
      <c r="A2" s="585"/>
      <c r="B2" s="585"/>
    </row>
    <row customHeight="1" ht="18.75" r="3" spans="1:10">
      <c r="A3" s="1809" t="str">
        <f>"Байгууллагын нэр: "&amp;ЧХ!$C$7</f>
        <v xml:space="preserve">Байгууллагын нэр: </v>
      </c>
      <c r="B3" s="1809"/>
      <c r="C3" s="1809"/>
    </row>
    <row r="4" spans="1:10">
      <c r="A4" s="573" t="str">
        <f>"тайлант он: " &amp;ЧХ!$C$8</f>
        <v xml:space="preserve">тайлант он: </v>
      </c>
    </row>
    <row r="5" spans="1:10">
      <c r="A5" s="573"/>
    </row>
    <row customHeight="1" ht="27" r="6" spans="1:10">
      <c r="A6" s="595" t="s">
        <v>12</v>
      </c>
      <c r="B6" s="15" t="s">
        <v>2409</v>
      </c>
      <c r="C6" s="595" t="s">
        <v>2223</v>
      </c>
    </row>
    <row customHeight="1" ht="45" r="7" spans="1:10">
      <c r="A7" s="312" t="s">
        <v>1444</v>
      </c>
      <c r="B7" s="15" t="s">
        <v>1370</v>
      </c>
      <c r="C7" s="597"/>
    </row>
    <row ht="38.25" r="8" spans="1:10">
      <c r="A8" s="312" t="s">
        <v>1445</v>
      </c>
      <c r="B8" s="15" t="s">
        <v>1370</v>
      </c>
      <c r="C8" s="597"/>
    </row>
    <row ht="63.75" r="9" spans="1:10">
      <c r="A9" s="312" t="s">
        <v>1446</v>
      </c>
      <c r="B9" s="15" t="s">
        <v>1370</v>
      </c>
      <c r="C9" s="597"/>
    </row>
    <row ht="38.25" r="10" spans="1:10">
      <c r="A10" s="313" t="s">
        <v>1447</v>
      </c>
      <c r="B10" s="15" t="s">
        <v>1370</v>
      </c>
      <c r="C10" s="597"/>
    </row>
    <row ht="38.25" r="11" spans="1:10">
      <c r="A11" s="17" t="s">
        <v>1448</v>
      </c>
      <c r="B11" s="15" t="s">
        <v>1370</v>
      </c>
      <c r="C11" s="597"/>
    </row>
    <row ht="38.25" r="12" spans="1:10">
      <c r="A12" s="17" t="s">
        <v>1449</v>
      </c>
      <c r="B12" s="15" t="s">
        <v>1370</v>
      </c>
      <c r="C12" s="597"/>
    </row>
    <row ht="25.5" r="13" spans="1:10">
      <c r="A13" s="17" t="s">
        <v>1450</v>
      </c>
      <c r="B13" s="15" t="s">
        <v>1370</v>
      </c>
      <c r="C13" s="597"/>
    </row>
    <row customFormat="1" ht="25.5" r="14" s="91" spans="1:10">
      <c r="A14" s="17" t="s">
        <v>1451</v>
      </c>
      <c r="B14" s="15" t="s">
        <v>1370</v>
      </c>
      <c r="C14" s="597"/>
      <c r="D14" s="291"/>
      <c r="E14" s="291"/>
      <c r="G14" s="291"/>
      <c r="H14" s="291"/>
      <c r="I14" s="291"/>
      <c r="J14" s="291"/>
    </row>
    <row customFormat="1" ht="25.5" r="15" s="91" spans="1:10">
      <c r="A15" s="17" t="s">
        <v>1452</v>
      </c>
      <c r="B15" s="15" t="s">
        <v>1370</v>
      </c>
      <c r="C15" s="597"/>
      <c r="I15" s="1849"/>
      <c r="J15" s="1849"/>
    </row>
    <row customFormat="1" r="16" s="91" spans="1:10">
      <c r="A16" s="1"/>
      <c r="B16" s="1"/>
      <c r="C16" s="1"/>
      <c r="D16" s="291"/>
      <c r="E16" s="291"/>
      <c r="G16" s="291"/>
      <c r="H16" s="291"/>
      <c r="I16" s="291"/>
      <c r="J16" s="291"/>
    </row>
    <row customFormat="1" r="17" s="91" spans="1:10">
      <c r="A17" s="1"/>
      <c r="B17" s="1"/>
      <c r="C17" s="1"/>
      <c r="I17" s="1849"/>
      <c r="J17" s="1849"/>
    </row>
    <row r="18" spans="1:10">
      <c r="A18" s="583" t="s">
        <v>1897</v>
      </c>
      <c r="B18" s="406"/>
      <c r="C18" s="583"/>
      <c r="D18" s="406"/>
      <c r="E18" s="406"/>
    </row>
    <row r="19" spans="1:10">
      <c r="A19" s="406">
        <f>+ЧХ!$C$15</f>
        <v>0</v>
      </c>
      <c r="B19" s="406"/>
      <c r="C19" s="573"/>
      <c r="D19" s="406"/>
      <c r="E19" s="573"/>
    </row>
    <row r="20" spans="1:10">
      <c r="A20" s="406"/>
      <c r="B20" s="573">
        <f>+ЧХ!$C$16</f>
        <v>0</v>
      </c>
      <c r="C20" s="406"/>
      <c r="D20" s="406"/>
      <c r="E20" s="406"/>
    </row>
    <row r="21" spans="1:10">
      <c r="A21" s="583" t="s">
        <v>2368</v>
      </c>
      <c r="B21" s="406"/>
      <c r="C21" s="406"/>
      <c r="D21" s="573"/>
      <c r="E21" s="406"/>
    </row>
    <row r="22" spans="1:10">
      <c r="A22" s="406" t="str">
        <f>+ЧХ!$B$6</f>
        <v>Аудитын менежер</v>
      </c>
      <c r="B22" s="406"/>
      <c r="C22" s="573"/>
      <c r="D22" s="406"/>
      <c r="E22" s="573"/>
    </row>
    <row r="23" spans="1:10">
      <c r="A23" s="406"/>
      <c r="B23" s="573">
        <f>+ЧХ!$C$6</f>
        <v>0</v>
      </c>
      <c r="C23" s="406"/>
      <c r="D23" s="406"/>
      <c r="E23" s="406"/>
    </row>
    <row r="24" spans="1:10">
      <c r="A24" s="406" t="s">
        <v>2369</v>
      </c>
      <c r="B24" s="406"/>
      <c r="C24" s="406"/>
      <c r="D24" s="406"/>
      <c r="E24" s="406"/>
    </row>
    <row r="25" spans="1:10">
      <c r="A25" s="406" t="str">
        <f>+ЧХ!$B$5</f>
        <v>Тэргүүлэх аудитор</v>
      </c>
      <c r="B25" s="406"/>
      <c r="C25" s="574"/>
      <c r="D25" s="406"/>
      <c r="E25" s="573"/>
    </row>
    <row r="26" spans="1:10">
      <c r="B26" s="574" t="str">
        <f>+ЧХ!$C$5</f>
        <v>С.Энхбаатар</v>
      </c>
    </row>
    <row r="28" spans="1:10">
      <c r="A28" s="406" t="str">
        <f>+ЧХ!$B$6&amp;"ийн санал: ………………………………………………………………………………………"</f>
        <v>Аудитын менежерийн санал: ………………………………………………………………………………………</v>
      </c>
    </row>
    <row r="29" spans="1:10">
      <c r="A29" s="406"/>
    </row>
    <row r="30" spans="1:10">
      <c r="A30" s="406"/>
    </row>
    <row r="31" spans="1:10">
      <c r="A31" s="406" t="str">
        <f>+ЧХ!$B$5&amp;"ын санал: ..........................................................................................................."</f>
        <v>Тэргүүлэх аудиторын санал: ...........................................................................................................</v>
      </c>
    </row>
    <row r="40" spans="1:1">
      <c r="A40" s="85"/>
    </row>
  </sheetData>
  <mergeCells count="4">
    <mergeCell ref="I15:J15"/>
    <mergeCell ref="I17:J17"/>
    <mergeCell ref="A1:C1"/>
    <mergeCell ref="A3:C3"/>
  </mergeCells>
  <dataValidations count="1">
    <dataValidation allowBlank="1" showErrorMessage="1" showInputMessage="1" sqref="B7:B15" type="list">
      <formula1>"Тийм, Үгүй"</formula1>
    </dataValidation>
  </dataValidations>
  <pageMargins bottom="0.75" footer="0.3" header="0.3" left="0.7" right="0.7" top="0.75"/>
  <pageSetup orientation="portrait" r:id="rId1"/>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customWidth="true" style="283" width="4.5703125" collapsed="false"/>
    <col min="2" max="2" customWidth="true" style="27" width="75.85546875" collapsed="false"/>
    <col min="3" max="3" customWidth="true" style="27" width="7.28515625" collapsed="false"/>
    <col min="4" max="4" style="284" width="9.140625" collapsed="false"/>
    <col min="5" max="16384" style="27" width="9.140625" collapsed="false"/>
  </cols>
  <sheetData>
    <row r="1" spans="1:4">
      <c r="C1" s="549" t="s">
        <v>2033</v>
      </c>
    </row>
    <row r="2" spans="1:4">
      <c r="C2" s="549"/>
    </row>
    <row ht="25.5" r="3" spans="1:4">
      <c r="B3" s="280" t="s">
        <v>2395</v>
      </c>
      <c r="C3" s="587"/>
    </row>
    <row r="4" spans="1:4">
      <c r="B4" s="617"/>
      <c r="C4" s="587"/>
    </row>
    <row r="5" spans="1:4">
      <c r="B5" s="565" t="str">
        <f>"Байгууллагын нэр: "&amp;ЧХ!$C$7</f>
        <v xml:space="preserve">Байгууллагын нэр: </v>
      </c>
      <c r="C5" s="406"/>
      <c r="D5" s="406"/>
    </row>
    <row r="6" spans="1:4">
      <c r="B6" s="573" t="str">
        <f>"Тайлант он: " &amp;ЧХ!$C$8</f>
        <v xml:space="preserve">Тайлант он: </v>
      </c>
    </row>
    <row r="7" spans="1:4">
      <c r="B7" s="573"/>
    </row>
    <row r="8" spans="1:4">
      <c r="A8" s="286"/>
      <c r="B8" s="285" t="s">
        <v>1601</v>
      </c>
      <c r="C8" s="26" t="s">
        <v>1602</v>
      </c>
    </row>
    <row r="9" spans="1:4">
      <c r="A9" s="286"/>
      <c r="B9" s="287" t="s">
        <v>1603</v>
      </c>
    </row>
    <row ht="25.5" r="10" spans="1:4">
      <c r="A10" s="26">
        <v>1</v>
      </c>
      <c r="B10" s="279" t="s">
        <v>2982</v>
      </c>
    </row>
    <row r="11" spans="1:4">
      <c r="A11" s="28"/>
      <c r="B11" s="288" t="s">
        <v>2062</v>
      </c>
      <c r="C11" s="154">
        <v>1</v>
      </c>
    </row>
    <row r="12" spans="1:4">
      <c r="A12" s="28"/>
      <c r="B12" s="288" t="s">
        <v>2063</v>
      </c>
      <c r="C12" s="154"/>
    </row>
    <row ht="25.5" r="13" spans="1:4">
      <c r="A13" s="26">
        <v>2</v>
      </c>
      <c r="B13" s="279" t="s">
        <v>1604</v>
      </c>
      <c r="C13" s="28"/>
    </row>
    <row r="14" spans="1:4">
      <c r="A14" s="28"/>
      <c r="B14" s="288" t="s">
        <v>2062</v>
      </c>
      <c r="C14" s="154">
        <v>1</v>
      </c>
    </row>
    <row r="15" spans="1:4">
      <c r="A15" s="28"/>
      <c r="B15" s="288" t="s">
        <v>2063</v>
      </c>
      <c r="C15" s="154"/>
    </row>
    <row ht="25.5" r="16" spans="1:4">
      <c r="A16" s="26">
        <v>3</v>
      </c>
      <c r="B16" s="279" t="s">
        <v>1605</v>
      </c>
      <c r="C16" s="28"/>
    </row>
    <row r="17" spans="1:3">
      <c r="A17" s="26"/>
      <c r="B17" s="288" t="s">
        <v>2062</v>
      </c>
      <c r="C17" s="154">
        <v>1</v>
      </c>
    </row>
    <row r="18" spans="1:3">
      <c r="A18" s="26"/>
      <c r="B18" s="288" t="s">
        <v>2063</v>
      </c>
      <c r="C18" s="154"/>
    </row>
    <row ht="25.5" r="19" spans="1:3">
      <c r="A19" s="26">
        <v>4</v>
      </c>
      <c r="B19" s="279" t="s">
        <v>1606</v>
      </c>
      <c r="C19" s="28"/>
    </row>
    <row r="20" spans="1:3">
      <c r="A20" s="26"/>
      <c r="B20" s="288" t="s">
        <v>2062</v>
      </c>
      <c r="C20" s="154">
        <v>1</v>
      </c>
    </row>
    <row r="21" spans="1:3">
      <c r="A21" s="26"/>
      <c r="B21" s="288" t="s">
        <v>2063</v>
      </c>
      <c r="C21" s="154"/>
    </row>
    <row ht="25.5" r="22" spans="1:3">
      <c r="A22" s="26">
        <v>5</v>
      </c>
      <c r="B22" s="279" t="s">
        <v>1607</v>
      </c>
      <c r="C22" s="28"/>
    </row>
    <row r="23" spans="1:3">
      <c r="A23" s="28"/>
      <c r="B23" s="288" t="s">
        <v>2062</v>
      </c>
      <c r="C23" s="154">
        <v>1</v>
      </c>
    </row>
    <row r="24" spans="1:3">
      <c r="A24" s="28"/>
      <c r="B24" s="288" t="s">
        <v>2063</v>
      </c>
      <c r="C24" s="154"/>
    </row>
    <row ht="25.5" r="25" spans="1:3">
      <c r="A25" s="26">
        <v>6</v>
      </c>
      <c r="B25" s="279" t="s">
        <v>2064</v>
      </c>
      <c r="C25" s="28"/>
    </row>
    <row r="26" spans="1:3">
      <c r="A26" s="28"/>
      <c r="B26" s="288" t="s">
        <v>2062</v>
      </c>
      <c r="C26" s="154">
        <v>1</v>
      </c>
    </row>
    <row r="27" spans="1:3">
      <c r="A27" s="28"/>
      <c r="B27" s="288" t="s">
        <v>2063</v>
      </c>
      <c r="C27" s="154"/>
    </row>
    <row customHeight="1" ht="33" r="28" spans="1:3">
      <c r="A28" s="26">
        <v>7</v>
      </c>
      <c r="B28" s="279" t="s">
        <v>1608</v>
      </c>
      <c r="C28" s="28"/>
    </row>
    <row r="29" spans="1:3">
      <c r="A29" s="28"/>
      <c r="B29" s="288" t="s">
        <v>2062</v>
      </c>
      <c r="C29" s="154">
        <v>1</v>
      </c>
    </row>
    <row r="30" spans="1:3">
      <c r="A30" s="28"/>
      <c r="B30" s="288" t="s">
        <v>2063</v>
      </c>
      <c r="C30" s="154"/>
    </row>
    <row r="31" spans="1:3">
      <c r="A31" s="26">
        <v>8</v>
      </c>
      <c r="B31" s="287" t="s">
        <v>1609</v>
      </c>
      <c r="C31" s="28"/>
    </row>
    <row r="32" spans="1:3">
      <c r="A32" s="27"/>
      <c r="B32" s="27" t="s">
        <v>1610</v>
      </c>
      <c r="C32" s="28"/>
    </row>
    <row r="33" spans="1:3">
      <c r="A33" s="28"/>
      <c r="B33" s="27" t="s">
        <v>1611</v>
      </c>
      <c r="C33" s="154">
        <v>1</v>
      </c>
    </row>
    <row r="34" spans="1:3">
      <c r="A34" s="28"/>
      <c r="B34" s="27" t="s">
        <v>1612</v>
      </c>
      <c r="C34" s="154">
        <v>1</v>
      </c>
    </row>
    <row r="35" spans="1:3">
      <c r="A35" s="28"/>
      <c r="B35" s="27" t="s">
        <v>1613</v>
      </c>
      <c r="C35" s="154">
        <v>1</v>
      </c>
    </row>
    <row r="36" spans="1:3">
      <c r="A36" s="28"/>
      <c r="B36" s="27" t="s">
        <v>1614</v>
      </c>
      <c r="C36" s="154">
        <v>1</v>
      </c>
    </row>
    <row r="37" spans="1:3">
      <c r="A37" s="28"/>
      <c r="B37" s="27" t="s">
        <v>1615</v>
      </c>
      <c r="C37" s="154">
        <v>1</v>
      </c>
    </row>
    <row r="38" spans="1:3">
      <c r="A38" s="28"/>
      <c r="C38" s="154"/>
    </row>
    <row r="39" spans="1:3">
      <c r="A39" s="28"/>
      <c r="B39" s="27" t="s">
        <v>1616</v>
      </c>
      <c r="C39" s="154">
        <v>1</v>
      </c>
    </row>
    <row r="40" spans="1:3">
      <c r="A40" s="28"/>
      <c r="B40" s="27" t="s">
        <v>1617</v>
      </c>
      <c r="C40" s="154">
        <v>1</v>
      </c>
    </row>
    <row r="41" spans="1:3">
      <c r="A41" s="163"/>
      <c r="B41" s="279" t="s">
        <v>1618</v>
      </c>
      <c r="C41" s="154">
        <v>1</v>
      </c>
    </row>
    <row r="42" spans="1:3">
      <c r="A42" s="26">
        <v>9</v>
      </c>
      <c r="B42" s="287" t="s">
        <v>1619</v>
      </c>
      <c r="C42" s="28"/>
    </row>
    <row ht="38.25" r="43" spans="1:3">
      <c r="A43" s="27"/>
      <c r="B43" s="279" t="s">
        <v>1620</v>
      </c>
      <c r="C43" s="28"/>
    </row>
    <row r="44" spans="1:3">
      <c r="A44" s="28"/>
      <c r="B44" s="288" t="s">
        <v>2062</v>
      </c>
      <c r="C44" s="154">
        <v>1</v>
      </c>
    </row>
    <row r="45" spans="1:3">
      <c r="A45" s="28"/>
      <c r="B45" s="288" t="s">
        <v>2063</v>
      </c>
      <c r="C45" s="154"/>
    </row>
    <row r="46" spans="1:3">
      <c r="A46" s="26">
        <v>10</v>
      </c>
      <c r="B46" s="279" t="s">
        <v>1621</v>
      </c>
      <c r="C46" s="28"/>
    </row>
    <row r="47" spans="1:3">
      <c r="A47" s="28"/>
      <c r="B47" s="288" t="s">
        <v>2062</v>
      </c>
      <c r="C47" s="154">
        <v>1</v>
      </c>
    </row>
    <row r="48" spans="1:3">
      <c r="A48" s="28"/>
      <c r="B48" s="288" t="s">
        <v>2063</v>
      </c>
      <c r="C48" s="154"/>
    </row>
    <row r="49" spans="1:3">
      <c r="A49" s="26">
        <v>11</v>
      </c>
      <c r="B49" s="27" t="s">
        <v>1622</v>
      </c>
      <c r="C49" s="28"/>
    </row>
    <row r="50" spans="1:3">
      <c r="A50" s="26"/>
      <c r="B50" s="288" t="s">
        <v>2062</v>
      </c>
      <c r="C50" s="154">
        <v>1</v>
      </c>
    </row>
    <row r="51" spans="1:3">
      <c r="A51" s="26"/>
      <c r="B51" s="288" t="s">
        <v>2063</v>
      </c>
      <c r="C51" s="154"/>
    </row>
    <row r="52" spans="1:3">
      <c r="A52" s="26">
        <v>12</v>
      </c>
      <c r="B52" s="27" t="s">
        <v>1623</v>
      </c>
      <c r="C52" s="28"/>
    </row>
    <row r="53" spans="1:3">
      <c r="A53" s="28"/>
      <c r="B53" s="288" t="s">
        <v>2062</v>
      </c>
      <c r="C53" s="154">
        <v>1</v>
      </c>
    </row>
    <row r="54" spans="1:3">
      <c r="A54" s="28"/>
      <c r="B54" s="288" t="s">
        <v>2063</v>
      </c>
      <c r="C54" s="154"/>
    </row>
    <row r="55" spans="1:3">
      <c r="A55" s="26">
        <v>13</v>
      </c>
      <c r="B55" s="27" t="s">
        <v>1624</v>
      </c>
      <c r="C55" s="28"/>
    </row>
    <row r="56" spans="1:3">
      <c r="A56" s="28"/>
      <c r="B56" s="288" t="s">
        <v>2062</v>
      </c>
      <c r="C56" s="154">
        <v>1</v>
      </c>
    </row>
    <row r="57" spans="1:3">
      <c r="A57" s="28"/>
      <c r="B57" s="288" t="s">
        <v>2063</v>
      </c>
      <c r="C57" s="154"/>
    </row>
    <row r="58" spans="1:3">
      <c r="A58" s="28"/>
      <c r="B58" s="285" t="s">
        <v>1625</v>
      </c>
      <c r="C58" s="28"/>
    </row>
    <row r="59" spans="1:3">
      <c r="A59" s="26">
        <v>14</v>
      </c>
      <c r="B59" s="279" t="s">
        <v>1626</v>
      </c>
      <c r="C59" s="28"/>
    </row>
    <row r="60" spans="1:3">
      <c r="A60" s="28"/>
      <c r="B60" s="288" t="s">
        <v>2062</v>
      </c>
      <c r="C60" s="154">
        <v>1</v>
      </c>
    </row>
    <row r="61" spans="1:3">
      <c r="A61" s="28"/>
      <c r="B61" s="288" t="s">
        <v>2063</v>
      </c>
      <c r="C61" s="154"/>
    </row>
    <row ht="25.5" r="62" spans="1:3">
      <c r="A62" s="26">
        <v>15</v>
      </c>
      <c r="B62" s="279" t="s">
        <v>1627</v>
      </c>
      <c r="C62" s="28"/>
    </row>
    <row r="63" spans="1:3">
      <c r="A63" s="28"/>
      <c r="B63" s="288" t="s">
        <v>2062</v>
      </c>
      <c r="C63" s="154">
        <v>1</v>
      </c>
    </row>
    <row r="64" spans="1:3">
      <c r="A64" s="28"/>
      <c r="B64" s="288" t="s">
        <v>2063</v>
      </c>
      <c r="C64" s="154"/>
    </row>
    <row ht="25.5" r="65" spans="1:3">
      <c r="A65" s="26">
        <v>16</v>
      </c>
      <c r="B65" s="279" t="s">
        <v>1628</v>
      </c>
      <c r="C65" s="28"/>
    </row>
    <row r="66" spans="1:3">
      <c r="A66" s="28"/>
      <c r="B66" s="288" t="s">
        <v>2062</v>
      </c>
      <c r="C66" s="154">
        <v>1</v>
      </c>
    </row>
    <row r="67" spans="1:3">
      <c r="A67" s="28"/>
      <c r="B67" s="288" t="s">
        <v>2063</v>
      </c>
      <c r="C67" s="154"/>
    </row>
    <row customHeight="1" ht="18.75" r="68" spans="1:3">
      <c r="A68" s="26">
        <v>17</v>
      </c>
      <c r="B68" s="279" t="s">
        <v>1629</v>
      </c>
      <c r="C68" s="155"/>
    </row>
    <row ht="25.5" r="69" spans="1:3">
      <c r="A69" s="28"/>
      <c r="B69" s="279" t="s">
        <v>1630</v>
      </c>
      <c r="C69" s="154">
        <v>1</v>
      </c>
    </row>
    <row ht="25.5" r="70" spans="1:3">
      <c r="A70" s="28"/>
      <c r="B70" s="279" t="s">
        <v>1631</v>
      </c>
      <c r="C70" s="154">
        <v>1</v>
      </c>
    </row>
    <row ht="25.5" r="71" spans="1:3">
      <c r="A71" s="28"/>
      <c r="B71" s="279" t="s">
        <v>1632</v>
      </c>
      <c r="C71" s="154">
        <v>1</v>
      </c>
    </row>
    <row ht="25.5" r="72" spans="1:3">
      <c r="A72" s="28"/>
      <c r="B72" s="279" t="s">
        <v>1633</v>
      </c>
      <c r="C72" s="154">
        <v>1</v>
      </c>
    </row>
    <row ht="25.5" r="73" spans="1:3">
      <c r="A73" s="28"/>
      <c r="B73" s="279" t="s">
        <v>1634</v>
      </c>
      <c r="C73" s="154">
        <v>1</v>
      </c>
    </row>
    <row r="74" spans="1:3">
      <c r="A74" s="28"/>
      <c r="B74" s="27" t="s">
        <v>1635</v>
      </c>
      <c r="C74" s="154">
        <v>1</v>
      </c>
    </row>
    <row ht="38.25" r="75" spans="1:3">
      <c r="A75" s="28"/>
      <c r="B75" s="279" t="s">
        <v>1636</v>
      </c>
      <c r="C75" s="154">
        <v>1</v>
      </c>
    </row>
    <row r="76" spans="1:3">
      <c r="A76" s="26">
        <v>18</v>
      </c>
      <c r="B76" s="279" t="s">
        <v>1637</v>
      </c>
      <c r="C76" s="28"/>
    </row>
    <row ht="25.5" r="77" spans="1:3">
      <c r="A77" s="26"/>
      <c r="B77" s="279" t="s">
        <v>1638</v>
      </c>
      <c r="C77" s="154">
        <v>1</v>
      </c>
    </row>
    <row ht="25.5" r="78" spans="1:3">
      <c r="A78" s="26"/>
      <c r="B78" s="279" t="s">
        <v>1639</v>
      </c>
      <c r="C78" s="154">
        <v>1</v>
      </c>
    </row>
    <row ht="25.5" r="79" spans="1:3">
      <c r="A79" s="26"/>
      <c r="B79" s="279" t="s">
        <v>1640</v>
      </c>
      <c r="C79" s="154">
        <v>1</v>
      </c>
    </row>
    <row ht="25.5" r="80" spans="1:3">
      <c r="A80" s="26"/>
      <c r="B80" s="279" t="s">
        <v>1641</v>
      </c>
      <c r="C80" s="154">
        <v>1</v>
      </c>
    </row>
    <row ht="25.5" r="81" spans="1:3">
      <c r="A81" s="26"/>
      <c r="B81" s="279" t="s">
        <v>1642</v>
      </c>
      <c r="C81" s="154">
        <v>1</v>
      </c>
    </row>
    <row r="82" spans="1:3">
      <c r="A82" s="26">
        <v>19</v>
      </c>
      <c r="B82" s="289" t="s">
        <v>1643</v>
      </c>
      <c r="C82" s="28"/>
    </row>
    <row r="83" spans="1:3">
      <c r="A83" s="28"/>
      <c r="B83" s="290" t="s">
        <v>1644</v>
      </c>
      <c r="C83" s="28"/>
    </row>
    <row r="84" spans="1:3">
      <c r="A84" s="28"/>
      <c r="B84" s="290" t="s">
        <v>1645</v>
      </c>
      <c r="C84" s="154">
        <v>1</v>
      </c>
    </row>
    <row r="85" spans="1:3">
      <c r="A85" s="28"/>
      <c r="B85" s="290" t="s">
        <v>1646</v>
      </c>
      <c r="C85" s="154">
        <v>1</v>
      </c>
    </row>
    <row r="86" spans="1:3">
      <c r="A86" s="28"/>
      <c r="B86" s="290" t="s">
        <v>1647</v>
      </c>
      <c r="C86" s="154">
        <v>1</v>
      </c>
    </row>
    <row r="87" spans="1:3">
      <c r="A87" s="28"/>
      <c r="B87" s="290" t="s">
        <v>1648</v>
      </c>
      <c r="C87" s="154">
        <v>1</v>
      </c>
    </row>
    <row r="88" spans="1:3">
      <c r="A88" s="28"/>
      <c r="B88" s="290" t="s">
        <v>1649</v>
      </c>
      <c r="C88" s="154">
        <v>1</v>
      </c>
    </row>
    <row r="89" spans="1:3">
      <c r="A89" s="28"/>
      <c r="B89" s="290" t="s">
        <v>1650</v>
      </c>
      <c r="C89" s="154">
        <v>1</v>
      </c>
    </row>
    <row r="90" spans="1:3">
      <c r="A90" s="28"/>
      <c r="B90" s="290" t="s">
        <v>1651</v>
      </c>
      <c r="C90" s="154">
        <v>1</v>
      </c>
    </row>
    <row r="91" spans="1:3">
      <c r="A91" s="26">
        <v>20</v>
      </c>
      <c r="B91" s="290" t="s">
        <v>1652</v>
      </c>
      <c r="C91" s="154">
        <v>1</v>
      </c>
    </row>
    <row customHeight="1" ht="21" r="92" spans="1:3">
      <c r="A92" s="26">
        <v>21</v>
      </c>
      <c r="B92" s="290" t="s">
        <v>1653</v>
      </c>
      <c r="C92" s="154">
        <v>1</v>
      </c>
    </row>
    <row r="93" spans="1:3">
      <c r="A93" s="26">
        <v>22</v>
      </c>
      <c r="B93" s="225" t="s">
        <v>1654</v>
      </c>
      <c r="C93" s="154">
        <v>1</v>
      </c>
    </row>
    <row ht="25.5" r="94" spans="1:3">
      <c r="A94" s="26">
        <v>23</v>
      </c>
      <c r="B94" s="279" t="s">
        <v>1655</v>
      </c>
      <c r="C94" s="154">
        <v>1</v>
      </c>
    </row>
    <row ht="26.25" r="95" spans="1:3" thickBot="1">
      <c r="A95" s="26">
        <v>24</v>
      </c>
      <c r="B95" s="279" t="s">
        <v>1656</v>
      </c>
      <c r="C95" s="154">
        <v>0</v>
      </c>
    </row>
    <row ht="13.5" r="96" spans="1:3" thickBot="1">
      <c r="B96" s="285" t="s">
        <v>1657</v>
      </c>
      <c r="C96" s="156">
        <f>SUM(C11:C95)</f>
        <v>46</v>
      </c>
    </row>
    <row r="97" spans="1:3">
      <c r="C97" s="29"/>
    </row>
    <row r="98" spans="1:3">
      <c r="A98" s="583" t="s">
        <v>1897</v>
      </c>
      <c r="B98" s="406"/>
      <c r="C98" s="406"/>
    </row>
    <row r="99" spans="1:3">
      <c r="A99" s="27"/>
      <c r="B99" s="406">
        <f>+ЧХ!$C$15</f>
        <v>0</v>
      </c>
    </row>
    <row r="100" spans="1:3">
      <c r="A100" s="406"/>
      <c r="B100" s="1679">
        <f>+ЧХ!$C$16</f>
        <v>0</v>
      </c>
      <c r="C100" s="1679"/>
    </row>
    <row r="101" spans="1:3">
      <c r="A101" s="406"/>
      <c r="B101" s="573"/>
      <c r="C101" s="573"/>
    </row>
    <row r="102" spans="1:3">
      <c r="A102" s="583" t="s">
        <v>1873</v>
      </c>
      <c r="B102" s="406"/>
      <c r="C102" s="406"/>
    </row>
    <row r="103" spans="1:3">
      <c r="A103" s="27"/>
      <c r="B103" s="406" t="str">
        <f>+ЧХ!$B$6</f>
        <v>Аудитын менежер</v>
      </c>
    </row>
    <row r="104" spans="1:3">
      <c r="A104" s="406"/>
      <c r="B104" s="1679">
        <f>+ЧХ!$C$6</f>
        <v>0</v>
      </c>
      <c r="C104" s="1679"/>
    </row>
    <row r="105" spans="1:3">
      <c r="A105" s="406"/>
      <c r="B105" s="573"/>
      <c r="C105" s="573"/>
    </row>
    <row r="106" spans="1:3">
      <c r="A106" s="583" t="s">
        <v>2035</v>
      </c>
      <c r="B106" s="406"/>
      <c r="C106" s="406"/>
    </row>
    <row r="107" spans="1:3">
      <c r="A107" s="27"/>
      <c r="B107" s="406" t="str">
        <f>+ЧХ!$B$5</f>
        <v>Тэргүүлэх аудитор</v>
      </c>
    </row>
    <row r="108" spans="1:3">
      <c r="A108" s="406"/>
      <c r="B108" s="1679" t="str">
        <f>+ЧХ!$C$5</f>
        <v>С.Энхбаатар</v>
      </c>
      <c r="C108" s="1679"/>
    </row>
    <row r="109" spans="1:3">
      <c r="A109" s="406" t="str">
        <f>ЧХ!$B$6</f>
        <v>Аудитын менежер</v>
      </c>
      <c r="B109" s="406"/>
      <c r="C109" s="406"/>
    </row>
    <row r="110" spans="1:3">
      <c r="A110" s="406" t="s">
        <v>2142</v>
      </c>
      <c r="B110" s="406"/>
      <c r="C110" s="406"/>
    </row>
    <row r="111" spans="1:3">
      <c r="A111" s="406"/>
      <c r="B111" s="406"/>
      <c r="C111" s="406"/>
    </row>
    <row r="112" spans="1:3">
      <c r="A112" s="406" t="str">
        <f>ЧХ!$B$5</f>
        <v>Тэргүүлэх аудитор</v>
      </c>
      <c r="B112" s="406"/>
      <c r="C112" s="406"/>
    </row>
    <row r="113" spans="1:3">
      <c r="A113" s="406" t="s">
        <v>2142</v>
      </c>
      <c r="B113" s="406"/>
      <c r="C113" s="406"/>
    </row>
  </sheetData>
  <mergeCells count="3">
    <mergeCell ref="B100:C100"/>
    <mergeCell ref="B104:C104"/>
    <mergeCell ref="B108:C108"/>
  </mergeCells>
  <dataValidations count="4">
    <dataValidation allowBlank="1" error="The value you have entered is not allowed" errorTitle="IT Complexity Assessor" showErrorMessage="1" showInputMessage="1" sqref="C33:C41" type="whole">
      <formula1>0</formula1>
      <formula2>20</formula2>
    </dataValidation>
    <dataValidation allowBlank="1" error="The value you have entered is not allowed" errorTitle="IT Complexity Assessor" showErrorMessage="1" showInputMessage="1" sqref="C66 C53 C47 C50 C56 C60 C26 C20 C14 C12 C17 C23 C29 C44 C63" type="decimal">
      <formula1>0</formula1>
      <formula2>10</formula2>
    </dataValidation>
    <dataValidation allowBlank="1" error="The value you have entered is not allowed" errorTitle="IT Complexity Assessor" showErrorMessage="1" showInputMessage="1" sqref="C11 C68:C72" type="whole">
      <formula1>0</formula1>
      <formula2>5</formula2>
    </dataValidation>
    <dataValidation allowBlank="1" error="The value you have entered is not allowed" errorTitle="IT Complexity Assessor" showErrorMessage="1" showInputMessage="1" sqref="C84:C97 C73:C75 C77:C81 C67 C54 C48 C51 C57 C61 C27 C21 C15 C18 C24 C30 C45 C64" type="whole">
      <formula1>0</formula1>
      <formula2>30</formula2>
    </dataValidation>
  </dataValidations>
  <pageMargins bottom="0.75" footer="0.3" header="0.3" left="0.7" right="0.7" top="0.75"/>
  <pageSetup orientation="portrait" r:id="rId1"/>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39"/>
  <sheetViews>
    <sheetView workbookViewId="0">
      <selection activeCell="C17" sqref="C17"/>
    </sheetView>
  </sheetViews>
  <sheetFormatPr defaultRowHeight="12.75"/>
  <cols>
    <col min="1" max="1" customWidth="true" style="85" width="19.28515625" collapsed="false"/>
    <col min="2" max="2" customWidth="true" style="85" width="10.42578125" collapsed="false"/>
    <col min="3" max="3" customWidth="true" style="85" width="20.28515625" collapsed="false"/>
    <col min="4" max="4" style="85" width="9.140625" collapsed="false"/>
    <col min="5" max="5" customWidth="true" style="85" width="43.85546875" collapsed="false"/>
    <col min="6" max="16384" style="85" width="9.140625" collapsed="false"/>
  </cols>
  <sheetData>
    <row r="1" spans="1:6">
      <c r="E1" s="69" t="s">
        <v>2017</v>
      </c>
    </row>
    <row r="2" spans="1:6">
      <c r="A2" s="1"/>
      <c r="B2" s="1" t="s">
        <v>1585</v>
      </c>
      <c r="D2" s="1"/>
      <c r="E2" s="1"/>
      <c r="F2" s="277"/>
    </row>
    <row customFormat="1" r="3" s="406" spans="1:6">
      <c r="A3" s="1"/>
      <c r="B3" s="1"/>
      <c r="D3" s="1"/>
      <c r="E3" s="1"/>
      <c r="F3" s="277"/>
    </row>
    <row r="4" spans="1:6">
      <c r="A4" s="1809" t="str">
        <f>"Байгууллагын нэр: "&amp;ЧХ!$C$7</f>
        <v xml:space="preserve">Байгууллагын нэр: </v>
      </c>
      <c r="B4" s="1809"/>
      <c r="C4" s="1809"/>
      <c r="D4" s="1809"/>
      <c r="E4" s="1809"/>
      <c r="F4" s="277"/>
    </row>
    <row r="5" spans="1:6">
      <c r="A5" s="573" t="str">
        <f>"Тайлант он: " &amp;ЧХ!$C$8</f>
        <v xml:space="preserve">Тайлант он: </v>
      </c>
      <c r="B5" s="1"/>
      <c r="C5" s="1"/>
      <c r="D5" s="1"/>
      <c r="E5" s="1"/>
      <c r="F5" s="277"/>
    </row>
    <row customFormat="1" r="6" s="406" spans="1:6">
      <c r="A6" s="573"/>
      <c r="B6" s="1"/>
      <c r="C6" s="1"/>
      <c r="D6" s="1"/>
      <c r="E6" s="1"/>
      <c r="F6" s="277"/>
    </row>
    <row r="7" spans="1:6">
      <c r="A7" s="278" t="s">
        <v>1586</v>
      </c>
      <c r="B7" s="1"/>
      <c r="C7" s="1851" t="s">
        <v>1587</v>
      </c>
      <c r="D7" s="1851"/>
      <c r="E7" s="278" t="s">
        <v>1588</v>
      </c>
      <c r="F7" s="277"/>
    </row>
    <row r="8" spans="1:6">
      <c r="A8" s="1"/>
      <c r="B8" s="1"/>
      <c r="C8" s="1"/>
      <c r="D8" s="1"/>
      <c r="E8" s="1"/>
      <c r="F8" s="277"/>
    </row>
    <row customHeight="1" ht="29.25" r="9" spans="1:6">
      <c r="A9" s="856" t="s">
        <v>1589</v>
      </c>
      <c r="B9" s="548"/>
      <c r="C9" s="856" t="s">
        <v>1590</v>
      </c>
      <c r="D9" s="548"/>
      <c r="E9" s="12" t="s">
        <v>1591</v>
      </c>
      <c r="F9" s="277"/>
    </row>
    <row r="10" spans="1:6">
      <c r="A10" s="856"/>
      <c r="B10" s="548"/>
      <c r="C10" s="856"/>
      <c r="D10" s="548"/>
      <c r="E10" s="279"/>
      <c r="F10" s="277"/>
    </row>
    <row customHeight="1" ht="34.5" r="11" spans="1:6">
      <c r="A11" s="856" t="s">
        <v>1592</v>
      </c>
      <c r="B11" s="548"/>
      <c r="C11" s="856" t="s">
        <v>1593</v>
      </c>
      <c r="D11" s="548"/>
      <c r="E11" s="12" t="s">
        <v>1594</v>
      </c>
      <c r="F11" s="277"/>
    </row>
    <row r="12" spans="1:6">
      <c r="A12" s="856"/>
      <c r="B12" s="548"/>
      <c r="C12" s="856"/>
      <c r="D12" s="548"/>
      <c r="E12" s="279"/>
      <c r="F12" s="277"/>
    </row>
    <row customHeight="1" ht="41.25" r="13" spans="1:6">
      <c r="A13" s="856" t="s">
        <v>1595</v>
      </c>
      <c r="B13" s="548"/>
      <c r="C13" s="855" t="s">
        <v>1596</v>
      </c>
      <c r="D13" s="548"/>
      <c r="E13" s="12" t="s">
        <v>1597</v>
      </c>
      <c r="F13" s="277"/>
    </row>
    <row r="14" spans="1:6">
      <c r="A14" s="1"/>
      <c r="B14" s="1"/>
      <c r="C14" s="1"/>
      <c r="D14" s="1"/>
      <c r="E14" s="1"/>
      <c r="F14" s="277"/>
    </row>
    <row customHeight="1" ht="16.5" r="15" spans="1:6">
      <c r="A15" s="882" t="s">
        <v>1598</v>
      </c>
      <c r="B15" s="594"/>
      <c r="C15" s="883">
        <f>+'В-2'!C96</f>
        <v>46</v>
      </c>
      <c r="D15" s="1"/>
      <c r="E15" s="1"/>
      <c r="F15" s="277"/>
    </row>
    <row r="16" spans="1:6">
      <c r="A16" s="1"/>
      <c r="B16" s="1"/>
      <c r="C16" s="1"/>
      <c r="D16" s="1"/>
      <c r="E16" s="1"/>
      <c r="F16" s="277"/>
    </row>
    <row customHeight="1" ht="39.75" r="17" spans="1:6">
      <c r="A17" s="882" t="s">
        <v>1599</v>
      </c>
      <c r="B17" s="594"/>
      <c r="C17" s="281" t="str">
        <f>IF(C15&lt;20,C9,IF(C15&gt;57,C13,C11))</f>
        <v xml:space="preserve">ДУНД </v>
      </c>
      <c r="D17" s="1"/>
      <c r="E17" s="225"/>
      <c r="F17" s="277"/>
    </row>
    <row r="18" spans="1:6">
      <c r="A18" s="1"/>
      <c r="B18" s="1"/>
      <c r="C18" s="1"/>
      <c r="D18" s="1"/>
      <c r="E18" s="1"/>
      <c r="F18" s="277"/>
    </row>
    <row r="19" spans="1:6">
      <c r="A19" s="1" t="s">
        <v>1600</v>
      </c>
      <c r="B19" s="1"/>
      <c r="C19" s="1852" t="str">
        <f>VLOOKUP(C17,C9:E13,3)</f>
        <v xml:space="preserve">Мэдээлэл технологийн аудитын мэргэжилтний оролцоо  шаардагдах магадлалтай. </v>
      </c>
      <c r="D19" s="1852"/>
      <c r="E19" s="1852"/>
      <c r="F19" s="277"/>
    </row>
    <row r="20" spans="1:6">
      <c r="A20" s="1"/>
      <c r="B20" s="1"/>
      <c r="C20" s="1852"/>
      <c r="D20" s="1852"/>
      <c r="E20" s="1852"/>
      <c r="F20" s="277"/>
    </row>
    <row r="21" spans="1:6">
      <c r="A21" s="282"/>
      <c r="B21" s="1"/>
      <c r="C21" s="1852"/>
      <c r="D21" s="1852"/>
      <c r="E21" s="1852"/>
      <c r="F21" s="277"/>
    </row>
    <row r="22" spans="1:6">
      <c r="A22" s="1"/>
      <c r="B22" s="1"/>
      <c r="C22" s="1"/>
      <c r="D22" s="1"/>
      <c r="E22" s="1"/>
      <c r="F22" s="277"/>
    </row>
    <row r="23" spans="1:6">
      <c r="A23" s="583" t="s">
        <v>1897</v>
      </c>
      <c r="B23" s="406"/>
      <c r="C23" s="406"/>
      <c r="E23" s="406"/>
      <c r="F23" s="277"/>
    </row>
    <row r="24" spans="1:6">
      <c r="A24" s="27"/>
      <c r="B24" s="406">
        <f>+ЧХ!$C$15</f>
        <v>0</v>
      </c>
      <c r="C24" s="27"/>
      <c r="E24" s="406"/>
      <c r="F24" s="277"/>
    </row>
    <row r="25" spans="1:6">
      <c r="A25" s="406"/>
      <c r="B25" s="573">
        <f>+ЧХ!$C$16</f>
        <v>0</v>
      </c>
      <c r="C25" s="573"/>
      <c r="E25" s="406"/>
      <c r="F25" s="277"/>
    </row>
    <row r="26" spans="1:6">
      <c r="A26" s="406"/>
      <c r="B26" s="573"/>
      <c r="C26" s="573"/>
      <c r="E26" s="406"/>
      <c r="F26" s="277"/>
    </row>
    <row r="27" spans="1:6">
      <c r="A27" s="583" t="s">
        <v>1873</v>
      </c>
      <c r="B27" s="406"/>
      <c r="C27" s="406"/>
      <c r="E27" s="406"/>
      <c r="F27" s="277"/>
    </row>
    <row r="28" spans="1:6">
      <c r="A28" s="27"/>
      <c r="B28" s="406" t="str">
        <f>+ЧХ!$B$6</f>
        <v>Аудитын менежер</v>
      </c>
      <c r="C28" s="27"/>
      <c r="E28" s="406"/>
      <c r="F28" s="277"/>
    </row>
    <row r="29" spans="1:6">
      <c r="A29" s="406"/>
      <c r="B29" s="573">
        <f>+ЧХ!$C$6</f>
        <v>0</v>
      </c>
      <c r="C29" s="573"/>
      <c r="E29" s="406"/>
    </row>
    <row r="30" spans="1:6">
      <c r="A30" s="406"/>
      <c r="B30" s="573"/>
      <c r="C30" s="573"/>
      <c r="E30" s="406"/>
    </row>
    <row r="31" spans="1:6">
      <c r="A31" s="583" t="s">
        <v>2035</v>
      </c>
      <c r="B31" s="406"/>
      <c r="C31" s="406"/>
      <c r="E31" s="406"/>
    </row>
    <row r="32" spans="1:6">
      <c r="A32" s="27"/>
      <c r="B32" s="406" t="str">
        <f>+ЧХ!$B$5</f>
        <v>Тэргүүлэх аудитор</v>
      </c>
      <c r="C32" s="27"/>
      <c r="E32" s="406"/>
    </row>
    <row r="33" spans="1:5">
      <c r="A33" s="406"/>
      <c r="B33" s="573" t="str">
        <f>+ЧХ!$C$5</f>
        <v>С.Энхбаатар</v>
      </c>
      <c r="C33" s="573"/>
      <c r="E33" s="406"/>
    </row>
    <row r="34" spans="1:5">
      <c r="A34" s="406"/>
      <c r="C34" s="406"/>
      <c r="D34" s="406"/>
      <c r="E34" s="406"/>
    </row>
    <row r="35" spans="1:5">
      <c r="A35" s="406" t="str">
        <f>ЧХ!$B$6</f>
        <v>Аудитын менежер</v>
      </c>
      <c r="C35" s="406"/>
      <c r="D35" s="406"/>
      <c r="E35" s="406"/>
    </row>
    <row r="36" spans="1:5">
      <c r="A36" s="406" t="s">
        <v>2142</v>
      </c>
      <c r="C36" s="406"/>
      <c r="D36" s="406"/>
      <c r="E36" s="406"/>
    </row>
    <row r="37" spans="1:5">
      <c r="A37" s="406"/>
      <c r="C37" s="406"/>
      <c r="D37" s="406"/>
      <c r="E37" s="406"/>
    </row>
    <row r="38" spans="1:5">
      <c r="A38" s="406" t="str">
        <f>ЧХ!$B$5</f>
        <v>Тэргүүлэх аудитор</v>
      </c>
      <c r="C38" s="406"/>
      <c r="D38" s="406"/>
    </row>
    <row r="39" spans="1:5">
      <c r="A39" s="406" t="s">
        <v>2142</v>
      </c>
    </row>
  </sheetData>
  <mergeCells count="3">
    <mergeCell ref="C7:D7"/>
    <mergeCell ref="C19:E21"/>
    <mergeCell ref="A4:E4"/>
  </mergeCells>
  <conditionalFormatting sqref="C17">
    <cfRule dxfId="2" operator="equal" priority="1" stopIfTrue="1" type="cellIs">
      <formula>$C$9</formula>
    </cfRule>
    <cfRule dxfId="1" operator="equal" priority="2" stopIfTrue="1" type="cellIs">
      <formula>$C$11</formula>
    </cfRule>
    <cfRule dxfId="0" operator="equal" priority="3" stopIfTrue="1" type="cellIs">
      <formula>$C$13</formula>
    </cfRule>
  </conditionalFormatting>
  <pageMargins bottom="0.75" footer="0.3" header="0.3" left="0.7" right="0.7" top="0.75"/>
  <pageSetup orientation="portrait" r:id="rId1"/>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L25"/>
  <sheetViews>
    <sheetView workbookViewId="0">
      <selection activeCell="M37" sqref="M37"/>
    </sheetView>
  </sheetViews>
  <sheetFormatPr defaultRowHeight="12.75"/>
  <cols>
    <col min="1" max="2" style="85" width="9.140625" collapsed="false"/>
    <col min="3" max="3" customWidth="true" style="85" width="13.7109375" collapsed="false"/>
    <col min="4" max="16384" style="85" width="9.140625" collapsed="false"/>
  </cols>
  <sheetData>
    <row r="1" spans="1:12">
      <c r="D1" s="2" t="s">
        <v>1994</v>
      </c>
    </row>
    <row r="2" spans="1:12">
      <c r="E2" s="2" t="s">
        <v>1252</v>
      </c>
    </row>
    <row r="3" spans="1:12">
      <c r="A3" s="585"/>
      <c r="B3" s="1"/>
    </row>
    <row customHeight="1" ht="19.5" r="4" spans="1:12">
      <c r="B4" s="583" t="str">
        <f>+"Байгууллагын нэр: "&amp;ЧХ!$C$7</f>
        <v xml:space="preserve">Байгууллагын нэр: </v>
      </c>
      <c r="C4" s="1"/>
    </row>
    <row customHeight="1" ht="16.5" r="5" spans="1:12">
      <c r="B5" s="1108" t="str">
        <f>"тайлант он: " &amp;ЧХ!$C$8</f>
        <v xml:space="preserve">тайлант он: </v>
      </c>
    </row>
    <row r="7" spans="1:12">
      <c r="A7" s="32" t="s">
        <v>1253</v>
      </c>
      <c r="G7" s="32" t="s">
        <v>1254</v>
      </c>
    </row>
    <row customHeight="1" ht="29.25" r="8" spans="1:12">
      <c r="A8" s="1855" t="s">
        <v>1255</v>
      </c>
      <c r="B8" s="1855"/>
      <c r="C8" s="310" t="s">
        <v>1256</v>
      </c>
      <c r="D8" s="1855" t="s">
        <v>1257</v>
      </c>
      <c r="E8" s="1855"/>
      <c r="F8" s="24"/>
      <c r="G8" s="1855" t="s">
        <v>1258</v>
      </c>
      <c r="H8" s="1855"/>
      <c r="I8" s="1855" t="s">
        <v>36</v>
      </c>
      <c r="J8" s="1855"/>
      <c r="K8" s="1855" t="s">
        <v>1259</v>
      </c>
      <c r="L8" s="1855"/>
    </row>
    <row customHeight="1" ht="28.5" r="9" spans="1:12">
      <c r="A9" s="1853"/>
      <c r="B9" s="1854"/>
      <c r="C9" s="46"/>
      <c r="D9" s="1853"/>
      <c r="E9" s="1854"/>
      <c r="G9" s="1688" t="s">
        <v>49</v>
      </c>
      <c r="H9" s="1688"/>
      <c r="I9" s="1853"/>
      <c r="J9" s="1854"/>
      <c r="K9" s="1853"/>
      <c r="L9" s="1854"/>
    </row>
    <row customHeight="1" ht="28.5" r="10" spans="1:12">
      <c r="A10" s="1853"/>
      <c r="B10" s="1854"/>
      <c r="C10" s="46"/>
      <c r="D10" s="1853"/>
      <c r="E10" s="1854"/>
      <c r="G10" s="1688" t="s">
        <v>32</v>
      </c>
      <c r="H10" s="1688"/>
      <c r="I10" s="1853"/>
      <c r="J10" s="1854"/>
      <c r="K10" s="1853"/>
      <c r="L10" s="1854"/>
    </row>
    <row customHeight="1" ht="28.5" r="11" spans="1:12">
      <c r="A11" s="1853"/>
      <c r="B11" s="1854"/>
      <c r="C11" s="46"/>
      <c r="D11" s="1853"/>
      <c r="E11" s="1854"/>
      <c r="G11" s="1688" t="s">
        <v>33</v>
      </c>
      <c r="H11" s="1688"/>
      <c r="I11" s="1853"/>
      <c r="J11" s="1854"/>
      <c r="K11" s="1853"/>
      <c r="L11" s="1854"/>
    </row>
    <row customHeight="1" ht="28.5" r="12" spans="1:12">
      <c r="A12" s="1853"/>
      <c r="B12" s="1854"/>
      <c r="C12" s="46"/>
      <c r="D12" s="1853"/>
      <c r="E12" s="1854"/>
      <c r="G12" s="1688" t="s">
        <v>1260</v>
      </c>
      <c r="H12" s="1688"/>
      <c r="I12" s="1853"/>
      <c r="J12" s="1854"/>
      <c r="K12" s="1853"/>
      <c r="L12" s="1854"/>
    </row>
    <row customHeight="1" ht="28.5" r="13" spans="1:12">
      <c r="A13" s="1853"/>
      <c r="B13" s="1854"/>
      <c r="C13" s="46"/>
      <c r="D13" s="1853"/>
      <c r="E13" s="1854"/>
      <c r="G13" s="1688" t="s">
        <v>1261</v>
      </c>
      <c r="H13" s="1688"/>
      <c r="I13" s="1853"/>
      <c r="J13" s="1854"/>
      <c r="K13" s="1853"/>
      <c r="L13" s="1854"/>
    </row>
    <row customHeight="1" ht="28.5" r="14" spans="1:12">
      <c r="A14" s="1853"/>
      <c r="B14" s="1854"/>
      <c r="C14" s="46"/>
      <c r="D14" s="1853"/>
      <c r="E14" s="1854"/>
      <c r="G14" s="1662" t="s">
        <v>1262</v>
      </c>
      <c r="H14" s="1664"/>
      <c r="I14" s="1853"/>
      <c r="J14" s="1854"/>
      <c r="K14" s="1853"/>
      <c r="L14" s="1854"/>
    </row>
    <row customHeight="1" ht="28.5" r="15" spans="1:12">
      <c r="A15" s="1853"/>
      <c r="B15" s="1854"/>
      <c r="C15" s="46"/>
      <c r="D15" s="1853"/>
      <c r="E15" s="1854"/>
      <c r="G15" s="1662" t="s">
        <v>1263</v>
      </c>
      <c r="H15" s="1664"/>
      <c r="I15" s="1853"/>
      <c r="J15" s="1854"/>
      <c r="K15" s="1853"/>
      <c r="L15" s="1854"/>
    </row>
    <row customHeight="1" ht="29.25" r="16" spans="1:12">
      <c r="A16" s="1853"/>
      <c r="B16" s="1854"/>
      <c r="C16" s="46"/>
      <c r="D16" s="1853"/>
      <c r="E16" s="1854"/>
      <c r="G16" s="1662" t="s">
        <v>1264</v>
      </c>
      <c r="H16" s="1664"/>
      <c r="I16" s="1853"/>
      <c r="J16" s="1854"/>
      <c r="K16" s="1853"/>
      <c r="L16" s="1854"/>
    </row>
    <row r="18" spans="2:8">
      <c r="B18" s="85" t="s">
        <v>2373</v>
      </c>
    </row>
    <row customFormat="1" r="19" s="406" spans="2:8">
      <c r="C19" s="406">
        <f>+ЧХ!$C$15</f>
        <v>0</v>
      </c>
      <c r="E19" s="1679">
        <f>+ЧХ!$C$16</f>
        <v>0</v>
      </c>
      <c r="F19" s="1679"/>
      <c r="G19" s="1679"/>
      <c r="H19" s="581" t="s">
        <v>1777</v>
      </c>
    </row>
    <row r="21" spans="2:8">
      <c r="B21" s="85" t="s">
        <v>1265</v>
      </c>
    </row>
    <row r="22" spans="2:8">
      <c r="B22" s="583"/>
      <c r="C22" s="406"/>
      <c r="D22" s="406"/>
      <c r="E22" s="1820" t="str">
        <f>+'1.Info'!F42</f>
        <v/>
      </c>
      <c r="F22" s="1820"/>
      <c r="G22" s="1820"/>
    </row>
    <row r="23" spans="2:8">
      <c r="B23" s="583" t="s">
        <v>1873</v>
      </c>
      <c r="C23" s="406"/>
      <c r="D23" s="406"/>
      <c r="E23" s="581"/>
    </row>
    <row r="24" spans="2:8">
      <c r="B24" s="406" t="str">
        <f>+ЧХ!$B$6</f>
        <v>Аудитын менежер</v>
      </c>
    </row>
    <row r="25" spans="2:8">
      <c r="E25" s="1679">
        <f>+ЧХ!$C$6</f>
        <v>0</v>
      </c>
      <c r="F25" s="1679"/>
      <c r="G25" s="1679"/>
      <c r="H25" s="581" t="s">
        <v>1777</v>
      </c>
    </row>
  </sheetData>
  <mergeCells count="48">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 ref="K9:L9"/>
    <mergeCell ref="A8:B8"/>
    <mergeCell ref="D8:E8"/>
    <mergeCell ref="G8:H8"/>
    <mergeCell ref="I8:J8"/>
    <mergeCell ref="K8:L8"/>
    <mergeCell ref="I9:J9"/>
    <mergeCell ref="K11:L11"/>
    <mergeCell ref="A10:B10"/>
    <mergeCell ref="D10:E10"/>
    <mergeCell ref="G10:H10"/>
    <mergeCell ref="I10:J10"/>
    <mergeCell ref="K10:L10"/>
    <mergeCell ref="A11:B11"/>
    <mergeCell ref="D11:E11"/>
    <mergeCell ref="G11:H11"/>
    <mergeCell ref="I11:J11"/>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s>
  <pageMargins bottom="0.75" footer="0.3" header="0.3" left="0.7" right="0.7" top="0.75"/>
  <pageSetup orientation="landscape" r:id="rId1"/>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H29"/>
  <sheetViews>
    <sheetView workbookViewId="0">
      <selection activeCell="D14" sqref="D14"/>
    </sheetView>
  </sheetViews>
  <sheetFormatPr defaultRowHeight="12.75"/>
  <cols>
    <col min="1" max="1" style="406" width="9.140625" collapsed="false"/>
    <col min="2" max="2" customWidth="true" style="406" width="13.140625" collapsed="false"/>
    <col min="3" max="3" style="406" width="9.140625" collapsed="false"/>
    <col min="4" max="4" bestFit="true" customWidth="true" style="406" width="40.0" collapsed="false"/>
    <col min="5" max="5" customWidth="true" style="406" width="16.5703125" collapsed="false"/>
    <col min="6" max="6" customWidth="true" style="406" width="17.140625" collapsed="false"/>
    <col min="7" max="7" customWidth="true" style="406" width="11.140625" collapsed="false"/>
    <col min="8" max="8" style="406" width="9.140625" collapsed="false"/>
    <col min="9" max="16384" style="85" width="9.140625" collapsed="false"/>
  </cols>
  <sheetData>
    <row r="1" spans="1:8">
      <c r="H1" s="69" t="s">
        <v>1998</v>
      </c>
    </row>
    <row r="2" spans="1:8">
      <c r="D2" s="677" t="s">
        <v>1675</v>
      </c>
    </row>
    <row customHeight="1" ht="18" r="4" spans="1:8">
      <c r="B4" s="265" t="str">
        <f>"Байгууллагын нэр: "&amp;ЧХ!$C$7</f>
        <v xml:space="preserve">Байгууллагын нэр: </v>
      </c>
      <c r="C4" s="670"/>
      <c r="D4" s="670"/>
      <c r="E4" s="670"/>
      <c r="F4" s="670"/>
      <c r="G4" s="681"/>
    </row>
    <row r="5" spans="1:8">
      <c r="B5" s="670" t="str">
        <f>"тайлант он: " &amp;ЧХ!$C$8</f>
        <v xml:space="preserve">тайлант он: </v>
      </c>
      <c r="C5" s="265"/>
      <c r="D5" s="265"/>
      <c r="E5" s="265"/>
      <c r="F5" s="265"/>
    </row>
    <row r="6" spans="1:8">
      <c r="H6" s="69" t="s">
        <v>2396</v>
      </c>
    </row>
    <row customHeight="1" ht="16.5" r="7" spans="1:8">
      <c r="A7" s="81" t="s">
        <v>26</v>
      </c>
      <c r="B7" s="683" t="s">
        <v>27</v>
      </c>
      <c r="C7" s="680" t="s">
        <v>1671</v>
      </c>
      <c r="D7" s="683" t="s">
        <v>1672</v>
      </c>
      <c r="E7" s="683" t="s">
        <v>38</v>
      </c>
      <c r="F7" s="683" t="s">
        <v>39</v>
      </c>
      <c r="G7" s="683" t="s">
        <v>1673</v>
      </c>
      <c r="H7" s="680" t="s">
        <v>1674</v>
      </c>
    </row>
    <row customFormat="1" customHeight="1" ht="16.5" r="8" s="406" spans="1:8"/>
    <row customFormat="1" customHeight="1" ht="16.5" r="9" s="406" spans="1:8"/>
    <row customFormat="1" customHeight="1" ht="16.5" r="10" s="406" spans="1:8"/>
    <row customFormat="1" customHeight="1" ht="16.5" r="11" s="406" spans="1:8"/>
    <row customFormat="1" customHeight="1" ht="16.5" r="12" s="406" spans="1:8"/>
    <row customFormat="1" customHeight="1" ht="16.5" r="13" s="406" spans="1:8"/>
    <row customFormat="1" customHeight="1" ht="16.5" r="14" s="406" spans="1:8"/>
    <row customFormat="1" customHeight="1" ht="16.5" r="15" s="406" spans="1:8"/>
    <row customFormat="1" customHeight="1" ht="16.5" r="16" s="406" spans="1:8"/>
    <row r="19" spans="2:5">
      <c r="B19" s="681" t="s">
        <v>1897</v>
      </c>
      <c r="E19" s="682"/>
    </row>
    <row r="20" spans="2:5">
      <c r="B20" s="406" t="s">
        <v>2025</v>
      </c>
    </row>
    <row r="21" spans="2:5">
      <c r="C21" s="678" t="s">
        <v>2024</v>
      </c>
      <c r="D21" s="682" t="s">
        <v>1777</v>
      </c>
      <c r="E21" s="682"/>
    </row>
    <row r="22" spans="2:5">
      <c r="C22" s="678"/>
      <c r="D22" s="682"/>
      <c r="E22" s="682"/>
    </row>
    <row r="23" spans="2:5">
      <c r="B23" s="681" t="s">
        <v>2448</v>
      </c>
      <c r="E23" s="682"/>
    </row>
    <row r="24" spans="2:5">
      <c r="B24" s="406" t="s">
        <v>1765</v>
      </c>
    </row>
    <row r="25" spans="2:5">
      <c r="C25" s="678" t="s">
        <v>2023</v>
      </c>
      <c r="D25" s="682" t="s">
        <v>1777</v>
      </c>
      <c r="E25" s="682"/>
    </row>
    <row r="26" spans="2:5">
      <c r="C26" s="678"/>
      <c r="D26" s="682"/>
      <c r="E26" s="682"/>
    </row>
    <row r="27" spans="2:5">
      <c r="B27" s="681" t="s">
        <v>2447</v>
      </c>
      <c r="E27" s="682"/>
    </row>
    <row r="28" spans="2:5">
      <c r="B28" s="406" t="s">
        <v>1764</v>
      </c>
    </row>
    <row r="29" spans="2:5">
      <c r="C29" s="678" t="s">
        <v>2022</v>
      </c>
      <c r="D29" s="682" t="s">
        <v>1777</v>
      </c>
    </row>
  </sheetData>
  <autoFilter ref="A7:H7"/>
  <pageMargins bottom="0.75" footer="0.3" header="0.3" left="0.7" right="0.7" top="0.75"/>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J29"/>
  <sheetViews>
    <sheetView workbookViewId="0">
      <selection activeCell="I17" sqref="I17"/>
    </sheetView>
  </sheetViews>
  <sheetFormatPr defaultRowHeight="12.75"/>
  <cols>
    <col min="1" max="1" customWidth="true" style="85" width="5.0" collapsed="false"/>
    <col min="2" max="2" customWidth="true" style="85" width="20.7109375" collapsed="false"/>
    <col min="3" max="3" customWidth="true" style="85" width="15.7109375" collapsed="false"/>
    <col min="4" max="4" customWidth="true" style="85" width="12.28515625" collapsed="false"/>
    <col min="5" max="5" customWidth="true" style="85" width="20.42578125" collapsed="false"/>
    <col min="6" max="6" customWidth="true" style="85" width="11.42578125" collapsed="false"/>
    <col min="7" max="15" style="85" width="9.140625" collapsed="false"/>
    <col min="16" max="16" customWidth="true" style="85" width="12.7109375" collapsed="false"/>
    <col min="17" max="16384" style="85" width="9.140625" collapsed="false"/>
  </cols>
  <sheetData>
    <row r="1" spans="1:10">
      <c r="F1" s="69" t="s">
        <v>2001</v>
      </c>
    </row>
    <row ht="14.25" r="2" spans="1:10">
      <c r="B2" s="1858" t="s">
        <v>2381</v>
      </c>
      <c r="C2" s="1858"/>
      <c r="D2" s="1858"/>
      <c r="E2" s="1858"/>
      <c r="F2" s="1858"/>
    </row>
    <row customFormat="1" r="3" s="406" spans="1:10">
      <c r="B3" s="583"/>
    </row>
    <row customHeight="1" ht="17.25" r="4" spans="1:10">
      <c r="B4" s="1859" t="str">
        <f>"Байгууллагын нэр: "&amp;ЧХ!$C$7</f>
        <v xml:space="preserve">Байгууллагын нэр: </v>
      </c>
      <c r="C4" s="1859"/>
      <c r="D4" s="1859"/>
      <c r="E4" s="1859"/>
      <c r="F4" s="590"/>
      <c r="G4" s="590"/>
      <c r="H4" s="406"/>
      <c r="I4" s="406"/>
      <c r="J4" s="406"/>
    </row>
    <row customFormat="1" customHeight="1" ht="17.25" r="5" s="1118" spans="1:10">
      <c r="B5" s="1108" t="str">
        <f>"тайлант он: " &amp;ЧХ!$C$8</f>
        <v xml:space="preserve">тайлант он: </v>
      </c>
    </row>
    <row customFormat="1" customHeight="1" ht="11.25" r="6" s="406" spans="1:10">
      <c r="B6" s="573"/>
    </row>
    <row customHeight="1" ht="33.75" r="7" spans="1:10">
      <c r="A7" s="1856" t="s">
        <v>2376</v>
      </c>
      <c r="B7" s="1857"/>
      <c r="C7" s="1857"/>
      <c r="D7" s="1857"/>
      <c r="E7" s="1857"/>
      <c r="F7" s="1857"/>
      <c r="G7" s="406"/>
      <c r="H7" s="406"/>
      <c r="I7" s="406"/>
      <c r="J7" s="406"/>
    </row>
    <row r="8" spans="1:10">
      <c r="A8" s="1860" t="s">
        <v>1373</v>
      </c>
      <c r="B8" s="1861" t="s">
        <v>2377</v>
      </c>
      <c r="C8" s="1861" t="s">
        <v>2378</v>
      </c>
      <c r="D8" s="1861" t="s">
        <v>53</v>
      </c>
      <c r="E8" s="1861" t="s">
        <v>2379</v>
      </c>
      <c r="F8" s="614" t="s">
        <v>1881</v>
      </c>
    </row>
    <row customHeight="1" ht="15.75" r="9" spans="1:10">
      <c r="A9" s="1860"/>
      <c r="B9" s="1861"/>
      <c r="C9" s="1861"/>
      <c r="D9" s="1861"/>
      <c r="E9" s="1861"/>
      <c r="F9" s="614" t="s">
        <v>2380</v>
      </c>
    </row>
    <row customHeight="1" ht="14.25" r="10" spans="1:10">
      <c r="A10" s="46"/>
      <c r="B10" s="615" t="s">
        <v>36</v>
      </c>
      <c r="C10" s="616"/>
      <c r="D10" s="615"/>
      <c r="E10" s="615"/>
      <c r="F10" s="616"/>
    </row>
    <row r="11" spans="1:10">
      <c r="B11" s="265" t="s">
        <v>1329</v>
      </c>
      <c r="C11" s="1820">
        <f>+'1.Info'!$F$22</f>
        <v>0</v>
      </c>
      <c r="D11" s="1820"/>
      <c r="E11" s="1820"/>
      <c r="F11" s="1820"/>
    </row>
    <row r="12" spans="1:10">
      <c r="A12" s="6"/>
      <c r="B12" s="406" t="s">
        <v>1330</v>
      </c>
      <c r="C12" s="265"/>
    </row>
    <row customFormat="1" r="13" s="406" spans="1:10">
      <c r="A13" s="592"/>
      <c r="C13" s="265"/>
    </row>
    <row r="14" spans="1:10">
      <c r="A14" s="6" t="s">
        <v>2386</v>
      </c>
      <c r="B14" s="265"/>
      <c r="C14" s="163" t="s">
        <v>2387</v>
      </c>
    </row>
    <row r="15" spans="1:10">
      <c r="A15" s="6"/>
      <c r="B15" s="265"/>
      <c r="C15" s="265"/>
    </row>
    <row r="16" spans="1:10">
      <c r="A16" s="6" t="s">
        <v>2382</v>
      </c>
      <c r="B16" s="265"/>
      <c r="C16" s="265"/>
      <c r="E16" s="406" t="s">
        <v>2383</v>
      </c>
    </row>
    <row r="17" spans="1:6">
      <c r="A17" s="91" t="s">
        <v>2385</v>
      </c>
      <c r="B17" s="265"/>
      <c r="C17" s="91" t="str">
        <f>+'1.Info'!$F$36</f>
        <v/>
      </c>
      <c r="E17" s="406">
        <f>+ЧХ!$C$15</f>
        <v>0</v>
      </c>
    </row>
    <row r="18" spans="1:6">
      <c r="A18" s="91" t="s">
        <v>2384</v>
      </c>
      <c r="B18" s="91"/>
      <c r="C18" s="590" t="str">
        <f>+'1.Info'!$F$42</f>
        <v/>
      </c>
      <c r="E18" s="573">
        <f>+ЧХ!$C$16</f>
        <v>0</v>
      </c>
    </row>
    <row customFormat="1" r="19" s="406" spans="1:6">
      <c r="A19" s="590"/>
      <c r="B19" s="91"/>
      <c r="F19" s="573"/>
    </row>
    <row r="20" spans="1:6">
      <c r="A20" s="406" t="str">
        <f>ЧХ!$B$6</f>
        <v>Аудитын менежер</v>
      </c>
      <c r="B20" s="406"/>
      <c r="C20" s="1679">
        <f>+ЧХ!$C$6</f>
        <v>0</v>
      </c>
      <c r="D20" s="1679"/>
    </row>
    <row r="21" spans="1:6">
      <c r="A21" s="406" t="s">
        <v>2142</v>
      </c>
      <c r="B21" s="406"/>
      <c r="C21" s="406"/>
    </row>
    <row r="22" spans="1:6">
      <c r="A22" s="406"/>
      <c r="B22" s="406"/>
      <c r="C22" s="406"/>
    </row>
    <row r="23" spans="1:6">
      <c r="A23" s="406" t="str">
        <f>ЧХ!$B$5</f>
        <v>Тэргүүлэх аудитор</v>
      </c>
      <c r="B23" s="406"/>
      <c r="C23" s="1679" t="str">
        <f>+ЧХ!$C$5</f>
        <v>С.Энхбаатар</v>
      </c>
      <c r="D23" s="1679"/>
    </row>
    <row r="24" spans="1:6">
      <c r="A24" s="406" t="s">
        <v>2142</v>
      </c>
      <c r="B24" s="406"/>
      <c r="C24" s="406"/>
    </row>
    <row r="25" spans="1:6">
      <c r="A25" s="590"/>
      <c r="B25" s="406"/>
      <c r="C25" s="590"/>
    </row>
    <row r="26" spans="1:6">
      <c r="A26" s="7" t="s">
        <v>1331</v>
      </c>
      <c r="B26" s="590"/>
      <c r="C26" s="7"/>
    </row>
    <row r="27" spans="1:6">
      <c r="A27" s="91" t="s">
        <v>2388</v>
      </c>
      <c r="B27" s="7"/>
      <c r="C27" s="91"/>
    </row>
    <row r="28" spans="1:6">
      <c r="A28" s="91" t="s">
        <v>1332</v>
      </c>
      <c r="B28" s="91"/>
      <c r="C28" s="91"/>
    </row>
    <row r="29" spans="1:6">
      <c r="B29" s="91"/>
    </row>
  </sheetData>
  <mergeCells count="11">
    <mergeCell ref="C20:D20"/>
    <mergeCell ref="C23:D23"/>
    <mergeCell ref="C11:F11"/>
    <mergeCell ref="A7:F7"/>
    <mergeCell ref="B2:F2"/>
    <mergeCell ref="B4:E4"/>
    <mergeCell ref="A8:A9"/>
    <mergeCell ref="B8:B9"/>
    <mergeCell ref="C8:C9"/>
    <mergeCell ref="D8:D9"/>
    <mergeCell ref="E8:E9"/>
  </mergeCells>
  <pageMargins bottom="0.75" footer="0.3" header="0.3" left="0.7" right="0.7" top="0.75"/>
  <pageSetup orientation="portrait" r:id="rId1"/>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M28"/>
  <sheetViews>
    <sheetView workbookViewId="0">
      <selection activeCell="G11" sqref="G11"/>
    </sheetView>
  </sheetViews>
  <sheetFormatPr defaultRowHeight="12.75"/>
  <cols>
    <col min="1" max="1" customWidth="true" style="85" width="8.0" collapsed="false"/>
    <col min="2" max="2" customWidth="true" style="85" width="23.140625" collapsed="false"/>
    <col min="3" max="3" customWidth="true" style="85" width="14.140625" collapsed="false"/>
    <col min="4" max="4" customWidth="true" style="85" width="12.28515625" collapsed="false"/>
    <col min="5" max="5" customWidth="true" style="85" width="20.42578125" collapsed="false"/>
    <col min="6" max="6" customWidth="true" style="85" width="11.42578125" collapsed="false"/>
    <col min="7" max="16384" style="85" width="9.140625" collapsed="false"/>
  </cols>
  <sheetData>
    <row r="1" spans="1:13">
      <c r="A1" s="406"/>
      <c r="B1" s="406"/>
      <c r="C1" s="406"/>
      <c r="D1" s="406"/>
      <c r="E1" s="406"/>
      <c r="F1" s="69" t="s">
        <v>2006</v>
      </c>
      <c r="K1" s="406"/>
      <c r="L1" s="406"/>
      <c r="M1" s="406"/>
    </row>
    <row customHeight="1" ht="16.5" r="2" spans="1:13">
      <c r="A2" s="1699" t="s">
        <v>2389</v>
      </c>
      <c r="B2" s="1699"/>
      <c r="C2" s="1699"/>
      <c r="D2" s="1699"/>
      <c r="E2" s="1699"/>
      <c r="F2" s="1699"/>
      <c r="J2" s="575"/>
      <c r="K2" s="406"/>
      <c r="L2" s="406"/>
      <c r="M2" s="406"/>
    </row>
    <row customFormat="1" customHeight="1" ht="12.75" r="3" s="406" spans="1:13">
      <c r="A3" s="576"/>
      <c r="B3" s="576"/>
      <c r="C3" s="576"/>
      <c r="D3" s="576"/>
      <c r="E3" s="576"/>
      <c r="F3" s="576"/>
      <c r="J3" s="575"/>
    </row>
    <row customHeight="1" ht="18" r="4" spans="1:13">
      <c r="A4" s="406"/>
      <c r="B4" s="1859" t="str">
        <f>"Байгууллагын нэр: "&amp;ЧХ!$C$7</f>
        <v xml:space="preserve">Байгууллагын нэр: </v>
      </c>
      <c r="C4" s="1859"/>
      <c r="D4" s="1859"/>
      <c r="E4" s="1859"/>
      <c r="F4" s="406"/>
    </row>
    <row r="5" spans="1:13">
      <c r="A5" s="406"/>
      <c r="B5" s="573" t="str">
        <f>"тайлант он: " &amp;ЧХ!$C$8</f>
        <v xml:space="preserve">тайлант он: </v>
      </c>
      <c r="C5" s="406"/>
      <c r="D5" s="406"/>
      <c r="E5" s="406"/>
    </row>
    <row customFormat="1" r="6" s="406" spans="1:13">
      <c r="B6" s="573"/>
    </row>
    <row customHeight="1" ht="35.25" r="7" spans="1:13">
      <c r="A7" s="1862" t="s">
        <v>2390</v>
      </c>
      <c r="B7" s="1862"/>
      <c r="C7" s="1862"/>
      <c r="D7" s="1862"/>
      <c r="E7" s="1862"/>
      <c r="F7" s="1862"/>
    </row>
    <row r="8" spans="1:13">
      <c r="A8" s="1781" t="s">
        <v>2394</v>
      </c>
      <c r="B8" s="1861" t="s">
        <v>2392</v>
      </c>
      <c r="C8" s="1861" t="s">
        <v>44</v>
      </c>
      <c r="D8" s="1861" t="s">
        <v>53</v>
      </c>
      <c r="E8" s="1861" t="s">
        <v>2393</v>
      </c>
      <c r="F8" s="615" t="s">
        <v>1881</v>
      </c>
    </row>
    <row r="9" spans="1:13">
      <c r="A9" s="1781"/>
      <c r="B9" s="1861"/>
      <c r="C9" s="1861"/>
      <c r="D9" s="1861"/>
      <c r="E9" s="1861"/>
      <c r="F9" s="615" t="s">
        <v>2380</v>
      </c>
    </row>
    <row r="10" spans="1:13">
      <c r="A10" s="46"/>
      <c r="B10" s="615" t="s">
        <v>36</v>
      </c>
      <c r="C10" s="616"/>
      <c r="D10" s="615"/>
      <c r="E10" s="615"/>
      <c r="F10" s="616"/>
    </row>
    <row r="11" spans="1:13">
      <c r="A11" s="406"/>
      <c r="B11" s="265" t="s">
        <v>1329</v>
      </c>
      <c r="C11" s="1820">
        <f>+'1.Info'!$F$22</f>
        <v>0</v>
      </c>
      <c r="D11" s="1820"/>
      <c r="E11" s="1820"/>
      <c r="F11" s="1820"/>
    </row>
    <row r="12" spans="1:13">
      <c r="A12" s="592"/>
      <c r="B12" s="406" t="s">
        <v>1330</v>
      </c>
      <c r="C12" s="265"/>
      <c r="D12" s="406"/>
      <c r="E12" s="406"/>
      <c r="F12" s="406"/>
    </row>
    <row r="13" spans="1:13">
      <c r="A13" s="592"/>
      <c r="B13" s="406"/>
      <c r="C13" s="265"/>
      <c r="D13" s="406"/>
      <c r="E13" s="406"/>
      <c r="F13" s="406"/>
    </row>
    <row r="14" spans="1:13">
      <c r="A14" s="592" t="s">
        <v>2386</v>
      </c>
      <c r="B14" s="265"/>
      <c r="C14" s="163" t="s">
        <v>2387</v>
      </c>
      <c r="D14" s="406"/>
      <c r="E14" s="406"/>
      <c r="F14" s="406"/>
    </row>
    <row r="15" spans="1:13">
      <c r="A15" s="592"/>
      <c r="B15" s="265"/>
      <c r="C15" s="265"/>
      <c r="D15" s="406"/>
      <c r="E15" s="406"/>
      <c r="F15" s="406"/>
    </row>
    <row r="16" spans="1:13">
      <c r="A16" s="592" t="s">
        <v>2382</v>
      </c>
      <c r="B16" s="265"/>
      <c r="C16" s="265"/>
      <c r="D16" s="406"/>
      <c r="E16" s="406" t="s">
        <v>2383</v>
      </c>
      <c r="F16" s="406"/>
    </row>
    <row r="17" spans="1:6">
      <c r="A17" s="590" t="s">
        <v>2385</v>
      </c>
      <c r="B17" s="265"/>
      <c r="C17" s="590" t="str">
        <f>+'1.Info'!$F$36</f>
        <v/>
      </c>
      <c r="D17" s="406"/>
      <c r="E17" s="406">
        <f>+ЧХ!$C$15</f>
        <v>0</v>
      </c>
      <c r="F17" s="406"/>
    </row>
    <row r="18" spans="1:6">
      <c r="A18" s="590" t="s">
        <v>2384</v>
      </c>
      <c r="B18" s="590"/>
      <c r="C18" s="590" t="str">
        <f>+'1.Info'!$F$42</f>
        <v/>
      </c>
      <c r="D18" s="406"/>
      <c r="E18" s="573">
        <f>+ЧХ!$C$16</f>
        <v>0</v>
      </c>
      <c r="F18" s="406"/>
    </row>
    <row r="19" spans="1:6">
      <c r="A19" s="590"/>
      <c r="B19" s="590"/>
      <c r="C19" s="406"/>
      <c r="D19" s="406"/>
      <c r="E19" s="406"/>
      <c r="F19" s="573"/>
    </row>
    <row r="20" spans="1:6">
      <c r="A20" s="406" t="str">
        <f>ЧХ!$B$6</f>
        <v>Аудитын менежер</v>
      </c>
      <c r="B20" s="406"/>
      <c r="C20" s="1679">
        <f>+ЧХ!$C$6</f>
        <v>0</v>
      </c>
      <c r="D20" s="1679"/>
      <c r="E20" s="406"/>
      <c r="F20" s="406"/>
    </row>
    <row r="21" spans="1:6">
      <c r="A21" s="406" t="s">
        <v>2142</v>
      </c>
      <c r="B21" s="406"/>
      <c r="C21" s="406"/>
      <c r="D21" s="406"/>
      <c r="E21" s="406"/>
      <c r="F21" s="406"/>
    </row>
    <row r="22" spans="1:6">
      <c r="A22" s="406"/>
      <c r="B22" s="406"/>
      <c r="C22" s="406"/>
      <c r="D22" s="406"/>
      <c r="E22" s="406"/>
      <c r="F22" s="406"/>
    </row>
    <row r="23" spans="1:6">
      <c r="A23" s="406" t="str">
        <f>ЧХ!$B$5</f>
        <v>Тэргүүлэх аудитор</v>
      </c>
      <c r="B23" s="406"/>
      <c r="C23" s="1679" t="str">
        <f>+ЧХ!$C$5</f>
        <v>С.Энхбаатар</v>
      </c>
      <c r="D23" s="1679"/>
      <c r="E23" s="406"/>
      <c r="F23" s="406"/>
    </row>
    <row r="24" spans="1:6">
      <c r="A24" s="406" t="s">
        <v>2142</v>
      </c>
      <c r="B24" s="406"/>
      <c r="C24" s="406"/>
      <c r="D24" s="406"/>
      <c r="E24" s="406"/>
      <c r="F24" s="406"/>
    </row>
    <row r="25" spans="1:6">
      <c r="A25" s="590"/>
      <c r="B25" s="406"/>
      <c r="C25" s="590"/>
      <c r="D25" s="406"/>
      <c r="E25" s="406"/>
      <c r="F25" s="406"/>
    </row>
    <row r="26" spans="1:6">
      <c r="A26" s="7" t="s">
        <v>1331</v>
      </c>
      <c r="B26" s="590"/>
      <c r="C26" s="7"/>
      <c r="D26" s="406"/>
      <c r="E26" s="406"/>
      <c r="F26" s="406"/>
    </row>
    <row r="27" spans="1:6">
      <c r="A27" s="590" t="s">
        <v>2391</v>
      </c>
      <c r="B27" s="7"/>
      <c r="C27" s="590"/>
      <c r="D27" s="406"/>
      <c r="E27" s="406"/>
      <c r="F27" s="406"/>
    </row>
    <row r="28" spans="1:6">
      <c r="A28" s="590" t="s">
        <v>1332</v>
      </c>
      <c r="B28" s="590"/>
      <c r="C28" s="590"/>
      <c r="D28" s="406"/>
      <c r="E28" s="406"/>
      <c r="F28" s="406"/>
    </row>
  </sheetData>
  <mergeCells count="11">
    <mergeCell ref="C20:D20"/>
    <mergeCell ref="C23:D23"/>
    <mergeCell ref="A2:F2"/>
    <mergeCell ref="A7:F7"/>
    <mergeCell ref="A8:A9"/>
    <mergeCell ref="B8:B9"/>
    <mergeCell ref="C8:C9"/>
    <mergeCell ref="D8:D9"/>
    <mergeCell ref="E8:E9"/>
    <mergeCell ref="C11:F11"/>
    <mergeCell ref="B4:E4"/>
  </mergeCells>
  <pageMargins bottom="0.75" footer="0.3" header="0.3" left="0.7" right="0.7" top="0.75"/>
  <pageSetup orientation="portrait" r:id="rId1"/>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customWidth="true" style="91" width="4.28515625" collapsed="false"/>
    <col min="2" max="2" style="91" width="9.140625" collapsed="false"/>
    <col min="3" max="3" customWidth="true" style="91" width="16.7109375" collapsed="false"/>
    <col min="4" max="4" customWidth="true" style="291" width="18.85546875" collapsed="false"/>
    <col min="5" max="5" customWidth="true" style="291" width="16.28515625" collapsed="false"/>
    <col min="6" max="6" customWidth="true" style="291" width="15.140625" collapsed="false"/>
    <col min="7" max="7" customWidth="true" style="291" width="16.140625" collapsed="false"/>
    <col min="8" max="8" customWidth="true" style="291" width="17.28515625" collapsed="false"/>
    <col min="9" max="9" customWidth="true" style="291" width="16.5703125" collapsed="false"/>
    <col min="10" max="10" customWidth="true" style="291" width="11.85546875" collapsed="false"/>
    <col min="11" max="14" bestFit="true" customWidth="true" style="91" width="9.28515625" collapsed="false"/>
    <col min="15" max="18" style="91" width="9.140625" collapsed="false"/>
    <col min="19" max="19" bestFit="true" customWidth="true" style="91" width="9.28515625" collapsed="false"/>
    <col min="20" max="16384" style="91" width="9.140625" collapsed="false"/>
  </cols>
  <sheetData>
    <row customFormat="1" r="1" s="590" spans="1:13">
      <c r="D1" s="586"/>
      <c r="E1" s="586"/>
      <c r="F1" s="586"/>
      <c r="G1" s="586"/>
      <c r="H1" s="586"/>
      <c r="I1" s="586"/>
      <c r="J1" s="591" t="s">
        <v>1995</v>
      </c>
    </row>
    <row customFormat="1" customHeight="1" ht="13.5" r="2" s="440" spans="1:13">
      <c r="A2" s="1699" t="s">
        <v>1266</v>
      </c>
      <c r="B2" s="1699"/>
      <c r="C2" s="1699"/>
      <c r="D2" s="1699"/>
      <c r="E2" s="1699"/>
      <c r="F2" s="1699"/>
      <c r="G2" s="1699"/>
      <c r="H2" s="1699"/>
      <c r="I2" s="1699"/>
      <c r="J2" s="1699"/>
    </row>
    <row customFormat="1" r="3" s="440" spans="1:13">
      <c r="A3" s="439"/>
      <c r="B3" s="439"/>
      <c r="C3" s="583"/>
      <c r="D3" s="1"/>
      <c r="E3" s="406"/>
      <c r="F3" s="406"/>
      <c r="G3" s="406"/>
      <c r="H3" s="406"/>
      <c r="I3" s="438"/>
      <c r="J3" s="438"/>
    </row>
    <row customFormat="1" customHeight="1" ht="18.75" r="4" s="440" spans="1:13">
      <c r="A4" s="439"/>
      <c r="B4" s="439"/>
      <c r="C4" s="1859" t="str">
        <f>"Байгууллагын нэр: "&amp;ЧХ!$C$7</f>
        <v xml:space="preserve">Байгууллагын нэр: </v>
      </c>
      <c r="D4" s="1859"/>
      <c r="E4" s="1859"/>
      <c r="F4" s="1859"/>
      <c r="G4" s="1859"/>
      <c r="H4" s="1859"/>
      <c r="I4" s="406"/>
      <c r="J4" s="406"/>
      <c r="K4" s="406"/>
      <c r="L4" s="406"/>
      <c r="M4" s="406"/>
    </row>
    <row customFormat="1" customHeight="1" ht="17.25" r="5" s="440" spans="1:13">
      <c r="C5" s="583" t="str">
        <f>"тайлант он: " &amp;ЧХ!$C$8</f>
        <v xml:space="preserve">тайлант он: </v>
      </c>
      <c r="D5" s="406"/>
      <c r="E5" s="406"/>
      <c r="F5" s="406"/>
      <c r="G5" s="406"/>
      <c r="H5" s="406"/>
      <c r="I5" s="590"/>
      <c r="K5" s="406"/>
      <c r="L5" s="406"/>
      <c r="M5" s="406"/>
    </row>
    <row r="6" spans="1:13">
      <c r="I6" s="406"/>
      <c r="J6" s="549" t="s">
        <v>1364</v>
      </c>
      <c r="K6" s="406"/>
      <c r="L6" s="406"/>
    </row>
    <row customHeight="1" ht="18.75" r="7" spans="1:13">
      <c r="A7" s="1781" t="s">
        <v>1267</v>
      </c>
      <c r="B7" s="1863" t="s">
        <v>1268</v>
      </c>
      <c r="C7" s="1781" t="s">
        <v>12</v>
      </c>
      <c r="D7" s="1864" t="s">
        <v>1269</v>
      </c>
      <c r="E7" s="1866" t="s">
        <v>1270</v>
      </c>
      <c r="F7" s="1866"/>
      <c r="G7" s="1866"/>
      <c r="H7" s="1866"/>
      <c r="I7" s="1866"/>
      <c r="J7" s="1867" t="s">
        <v>701</v>
      </c>
    </row>
    <row customHeight="1" ht="38.25" r="8" spans="1:13">
      <c r="A8" s="1781"/>
      <c r="B8" s="1863"/>
      <c r="C8" s="1781"/>
      <c r="D8" s="1865"/>
      <c r="E8" s="296" t="s">
        <v>1271</v>
      </c>
      <c r="F8" s="296" t="s">
        <v>1272</v>
      </c>
      <c r="G8" s="296" t="s">
        <v>1273</v>
      </c>
      <c r="H8" s="296" t="s">
        <v>1274</v>
      </c>
      <c r="I8" s="296" t="s">
        <v>1275</v>
      </c>
      <c r="J8" s="1867"/>
    </row>
    <row customHeight="1" ht="24" r="9" spans="1:13">
      <c r="A9" s="1781">
        <v>1</v>
      </c>
      <c r="B9" s="1863" t="s">
        <v>1276</v>
      </c>
      <c r="C9" s="99" t="s">
        <v>49</v>
      </c>
      <c r="D9" s="302">
        <f>+'2.CT1A'!$C$10</f>
        <v>0</v>
      </c>
      <c r="E9" s="302">
        <v>0</v>
      </c>
      <c r="F9" s="302">
        <v>0</v>
      </c>
      <c r="G9" s="302">
        <v>0</v>
      </c>
      <c r="H9" s="302">
        <v>0</v>
      </c>
      <c r="I9" s="302">
        <v>0</v>
      </c>
      <c r="J9" s="302"/>
    </row>
    <row customHeight="1" ht="22.5" r="10" spans="1:13">
      <c r="A10" s="1781"/>
      <c r="B10" s="1863"/>
      <c r="C10" s="99" t="s">
        <v>1277</v>
      </c>
      <c r="D10" s="658">
        <f>+'6.CTT1'!$D$9</f>
        <v>0</v>
      </c>
      <c r="E10" s="302">
        <v>0</v>
      </c>
      <c r="F10" s="302">
        <v>0</v>
      </c>
      <c r="G10" s="302">
        <v>0</v>
      </c>
      <c r="H10" s="302">
        <v>0</v>
      </c>
      <c r="I10" s="302">
        <v>0</v>
      </c>
      <c r="J10" s="3"/>
    </row>
    <row customHeight="1" ht="21.75" r="11" spans="1:13">
      <c r="A11" s="1781"/>
      <c r="B11" s="1863"/>
      <c r="C11" s="99" t="s">
        <v>1278</v>
      </c>
      <c r="D11" s="658">
        <f>+'6.CTT1'!$E$9</f>
        <v>0</v>
      </c>
      <c r="E11" s="302">
        <v>0</v>
      </c>
      <c r="F11" s="302">
        <v>0</v>
      </c>
      <c r="G11" s="302">
        <v>0</v>
      </c>
      <c r="H11" s="302">
        <v>0</v>
      </c>
      <c r="I11" s="302">
        <v>0</v>
      </c>
      <c r="J11" s="3"/>
    </row>
    <row customHeight="1" ht="24.75" r="12" spans="1:13">
      <c r="A12" s="1781"/>
      <c r="B12" s="1863"/>
      <c r="C12" s="99" t="s">
        <v>50</v>
      </c>
      <c r="D12" s="1389">
        <f>+'2.CT1A'!$D$10</f>
        <v>0</v>
      </c>
      <c r="E12" s="302">
        <v>0</v>
      </c>
      <c r="F12" s="302">
        <v>0</v>
      </c>
      <c r="G12" s="302">
        <v>0</v>
      </c>
      <c r="H12" s="302">
        <v>0</v>
      </c>
      <c r="I12" s="302">
        <v>0</v>
      </c>
      <c r="J12" s="5"/>
    </row>
    <row hidden="1" r="13" spans="1:13">
      <c r="A13" s="1759">
        <v>2</v>
      </c>
      <c r="B13" s="1863" t="s">
        <v>1279</v>
      </c>
      <c r="C13" s="99" t="s">
        <v>49</v>
      </c>
      <c r="D13" s="3"/>
      <c r="E13" s="302">
        <v>0</v>
      </c>
      <c r="F13" s="302">
        <v>0</v>
      </c>
      <c r="G13" s="302">
        <v>0</v>
      </c>
      <c r="H13" s="302">
        <v>0</v>
      </c>
      <c r="I13" s="302">
        <v>0</v>
      </c>
      <c r="J13" s="3"/>
    </row>
    <row hidden="1" r="14" spans="1:13">
      <c r="A14" s="1785"/>
      <c r="B14" s="1863"/>
      <c r="C14" s="99" t="s">
        <v>1277</v>
      </c>
      <c r="D14" s="3"/>
      <c r="E14" s="302">
        <v>0</v>
      </c>
      <c r="F14" s="302">
        <v>0</v>
      </c>
      <c r="G14" s="302">
        <v>0</v>
      </c>
      <c r="H14" s="302">
        <v>0</v>
      </c>
      <c r="I14" s="302">
        <v>0</v>
      </c>
      <c r="J14" s="3"/>
    </row>
    <row hidden="1" r="15" spans="1:13">
      <c r="A15" s="1785"/>
      <c r="B15" s="1863"/>
      <c r="C15" s="99" t="s">
        <v>1278</v>
      </c>
      <c r="D15" s="3"/>
      <c r="E15" s="302">
        <v>0</v>
      </c>
      <c r="F15" s="302">
        <v>0</v>
      </c>
      <c r="G15" s="302">
        <v>0</v>
      </c>
      <c r="H15" s="302">
        <v>0</v>
      </c>
      <c r="I15" s="302">
        <v>0</v>
      </c>
      <c r="J15" s="3"/>
    </row>
    <row hidden="1" r="16" spans="1:13">
      <c r="A16" s="1760"/>
      <c r="B16" s="1863"/>
      <c r="C16" s="99" t="s">
        <v>50</v>
      </c>
      <c r="D16" s="5">
        <f ref="D16" si="0" t="shared">+D13+D14-D15</f>
        <v>0</v>
      </c>
      <c r="E16" s="302">
        <v>0</v>
      </c>
      <c r="F16" s="302">
        <v>0</v>
      </c>
      <c r="G16" s="302">
        <v>0</v>
      </c>
      <c r="H16" s="302">
        <v>0</v>
      </c>
      <c r="I16" s="302">
        <v>0</v>
      </c>
      <c r="J16" s="5"/>
    </row>
    <row customHeight="1" ht="27.75" r="17" spans="1:10">
      <c r="A17" s="1781">
        <v>3</v>
      </c>
      <c r="B17" s="1863" t="s">
        <v>1280</v>
      </c>
      <c r="C17" s="99" t="s">
        <v>49</v>
      </c>
      <c r="D17" s="8">
        <f>+'2.CT1A'!$C$16</f>
        <v>0</v>
      </c>
      <c r="E17" s="302">
        <v>0</v>
      </c>
      <c r="F17" s="302">
        <v>0</v>
      </c>
      <c r="G17" s="302">
        <v>0</v>
      </c>
      <c r="H17" s="302">
        <v>0</v>
      </c>
      <c r="I17" s="302">
        <v>0</v>
      </c>
      <c r="J17" s="8"/>
    </row>
    <row customHeight="1" ht="26.25" r="18" spans="1:10">
      <c r="A18" s="1781"/>
      <c r="B18" s="1863"/>
      <c r="C18" s="99" t="s">
        <v>1277</v>
      </c>
      <c r="D18" s="658">
        <f>'6.CTT1'!$D$16</f>
        <v>0</v>
      </c>
      <c r="E18" s="302">
        <v>0</v>
      </c>
      <c r="F18" s="302">
        <v>0</v>
      </c>
      <c r="G18" s="302">
        <v>0</v>
      </c>
      <c r="H18" s="302">
        <v>0</v>
      </c>
      <c r="I18" s="302">
        <v>0</v>
      </c>
      <c r="J18" s="3"/>
    </row>
    <row customHeight="1" ht="21" r="19" spans="1:10">
      <c r="A19" s="1781"/>
      <c r="B19" s="1863"/>
      <c r="C19" s="99" t="s">
        <v>1278</v>
      </c>
      <c r="D19" s="662">
        <f>+'6.CTT1'!$E$16</f>
        <v>0</v>
      </c>
      <c r="E19" s="302">
        <v>0</v>
      </c>
      <c r="F19" s="302">
        <v>0</v>
      </c>
      <c r="G19" s="302">
        <v>0</v>
      </c>
      <c r="H19" s="302">
        <v>0</v>
      </c>
      <c r="I19" s="302">
        <v>0</v>
      </c>
      <c r="J19" s="3"/>
    </row>
    <row customHeight="1" ht="27.75" r="20" spans="1:10">
      <c r="A20" s="1781"/>
      <c r="B20" s="1863"/>
      <c r="C20" s="99" t="s">
        <v>50</v>
      </c>
      <c r="D20" s="5">
        <f>+'2.CT1A'!$D$16</f>
        <v>0</v>
      </c>
      <c r="E20" s="302">
        <v>0</v>
      </c>
      <c r="F20" s="302">
        <v>0</v>
      </c>
      <c r="G20" s="302">
        <v>0</v>
      </c>
      <c r="H20" s="302">
        <v>0</v>
      </c>
      <c r="I20" s="302">
        <v>0</v>
      </c>
      <c r="J20" s="5"/>
    </row>
    <row customHeight="1" ht="24" r="21" spans="1:10">
      <c r="A21" s="1759">
        <v>4</v>
      </c>
      <c r="B21" s="1863" t="s">
        <v>1281</v>
      </c>
      <c r="C21" s="99" t="s">
        <v>49</v>
      </c>
      <c r="D21" s="303">
        <f>+'2.CT1A'!$C$23</f>
        <v>0</v>
      </c>
      <c r="E21" s="302">
        <v>0</v>
      </c>
      <c r="F21" s="302">
        <v>0</v>
      </c>
      <c r="G21" s="302">
        <v>0</v>
      </c>
      <c r="H21" s="302">
        <v>0</v>
      </c>
      <c r="I21" s="302">
        <v>0</v>
      </c>
      <c r="J21" s="303"/>
    </row>
    <row customHeight="1" ht="18.75" r="22" spans="1:10">
      <c r="A22" s="1785"/>
      <c r="B22" s="1863"/>
      <c r="C22" s="99" t="s">
        <v>1277</v>
      </c>
      <c r="D22" s="660">
        <f>'6.CTT1'!$D$22</f>
        <v>0</v>
      </c>
      <c r="E22" s="302">
        <v>0</v>
      </c>
      <c r="F22" s="302">
        <v>0</v>
      </c>
      <c r="G22" s="302">
        <v>0</v>
      </c>
      <c r="H22" s="302">
        <v>0</v>
      </c>
      <c r="I22" s="302">
        <v>0</v>
      </c>
      <c r="J22" s="275"/>
    </row>
    <row customHeight="1" ht="24" r="23" spans="1:10">
      <c r="A23" s="1785"/>
      <c r="B23" s="1863"/>
      <c r="C23" s="99" t="s">
        <v>1278</v>
      </c>
      <c r="D23" s="663">
        <f>+'6.CTT1'!$E$22</f>
        <v>0</v>
      </c>
      <c r="E23" s="302">
        <v>0</v>
      </c>
      <c r="F23" s="302">
        <v>0</v>
      </c>
      <c r="G23" s="302">
        <v>0</v>
      </c>
      <c r="H23" s="302">
        <v>0</v>
      </c>
      <c r="I23" s="302">
        <v>0</v>
      </c>
      <c r="J23" s="304"/>
    </row>
    <row customHeight="1" ht="21.75" r="24" spans="1:10">
      <c r="A24" s="1760"/>
      <c r="B24" s="1863"/>
      <c r="C24" s="99" t="s">
        <v>50</v>
      </c>
      <c r="D24" s="5">
        <f>+'2.CT1A'!$D$23</f>
        <v>0</v>
      </c>
      <c r="E24" s="302">
        <v>0</v>
      </c>
      <c r="F24" s="302">
        <v>0</v>
      </c>
      <c r="G24" s="302">
        <v>0</v>
      </c>
      <c r="H24" s="302">
        <v>0</v>
      </c>
      <c r="I24" s="302">
        <v>0</v>
      </c>
      <c r="J24" s="5"/>
    </row>
    <row customHeight="1" ht="22.5" r="25" spans="1:10">
      <c r="A25" s="1759">
        <v>5</v>
      </c>
      <c r="B25" s="1868" t="s">
        <v>1282</v>
      </c>
      <c r="C25" s="99" t="s">
        <v>49</v>
      </c>
      <c r="D25" s="5">
        <f>+'2.CT1A'!$C$28</f>
        <v>0</v>
      </c>
      <c r="E25" s="302">
        <v>0</v>
      </c>
      <c r="F25" s="302">
        <v>0</v>
      </c>
      <c r="G25" s="302">
        <v>0</v>
      </c>
      <c r="H25" s="302">
        <v>0</v>
      </c>
      <c r="I25" s="302">
        <v>0</v>
      </c>
      <c r="J25" s="5"/>
    </row>
    <row customHeight="1" ht="16.5" r="26" spans="1:10">
      <c r="A26" s="1785"/>
      <c r="B26" s="1869"/>
      <c r="C26" s="99" t="s">
        <v>1277</v>
      </c>
      <c r="D26" s="664">
        <f>+'6.CTT1'!$D$27</f>
        <v>0</v>
      </c>
      <c r="E26" s="302">
        <v>0</v>
      </c>
      <c r="F26" s="302">
        <v>0</v>
      </c>
      <c r="G26" s="302">
        <v>0</v>
      </c>
      <c r="H26" s="302">
        <v>0</v>
      </c>
      <c r="I26" s="302">
        <v>0</v>
      </c>
      <c r="J26" s="5"/>
    </row>
    <row customHeight="1" ht="22.5" r="27" spans="1:10">
      <c r="A27" s="1785"/>
      <c r="B27" s="1869"/>
      <c r="C27" s="99" t="s">
        <v>1278</v>
      </c>
      <c r="D27" s="664">
        <f>+'6.CTT1'!$E$27</f>
        <v>0</v>
      </c>
      <c r="E27" s="302">
        <v>0</v>
      </c>
      <c r="F27" s="302">
        <v>0</v>
      </c>
      <c r="G27" s="302">
        <v>0</v>
      </c>
      <c r="H27" s="302">
        <v>0</v>
      </c>
      <c r="I27" s="302">
        <v>0</v>
      </c>
      <c r="J27" s="5"/>
    </row>
    <row customHeight="1" ht="18" r="28" spans="1:10">
      <c r="A28" s="1760"/>
      <c r="B28" s="1870"/>
      <c r="C28" s="99" t="s">
        <v>50</v>
      </c>
      <c r="D28" s="5">
        <f>+'2.CT1A'!$D$28</f>
        <v>0</v>
      </c>
      <c r="E28" s="302">
        <v>0</v>
      </c>
      <c r="F28" s="302">
        <v>0</v>
      </c>
      <c r="G28" s="302">
        <v>0</v>
      </c>
      <c r="H28" s="302">
        <v>0</v>
      </c>
      <c r="I28" s="302">
        <v>0</v>
      </c>
      <c r="J28" s="5"/>
    </row>
    <row r="29" spans="1:10">
      <c r="A29" s="1781"/>
      <c r="B29" s="1863" t="s">
        <v>1283</v>
      </c>
      <c r="C29" s="99" t="s">
        <v>49</v>
      </c>
      <c r="D29" s="3">
        <f ref="D29:I32" si="1" t="shared">+D9+D17+D21+D25</f>
        <v>0</v>
      </c>
      <c r="E29" s="3">
        <f si="1" t="shared"/>
        <v>0</v>
      </c>
      <c r="F29" s="3">
        <f si="1" t="shared"/>
        <v>0</v>
      </c>
      <c r="G29" s="3">
        <f si="1" t="shared"/>
        <v>0</v>
      </c>
      <c r="H29" s="3">
        <f si="1" t="shared"/>
        <v>0</v>
      </c>
      <c r="I29" s="3">
        <f si="1" t="shared"/>
        <v>0</v>
      </c>
      <c r="J29" s="3"/>
    </row>
    <row r="30" spans="1:10">
      <c r="A30" s="1781"/>
      <c r="B30" s="1863"/>
      <c r="C30" s="99" t="s">
        <v>1277</v>
      </c>
      <c r="D30" s="658">
        <f si="1" t="shared"/>
        <v>0</v>
      </c>
      <c r="E30" s="3">
        <f si="1" t="shared"/>
        <v>0</v>
      </c>
      <c r="F30" s="3">
        <f si="1" t="shared"/>
        <v>0</v>
      </c>
      <c r="G30" s="3">
        <f si="1" t="shared"/>
        <v>0</v>
      </c>
      <c r="H30" s="3">
        <f si="1" t="shared"/>
        <v>0</v>
      </c>
      <c r="I30" s="3">
        <f si="1" t="shared"/>
        <v>0</v>
      </c>
      <c r="J30" s="3"/>
    </row>
    <row r="31" spans="1:10">
      <c r="A31" s="1781"/>
      <c r="B31" s="1863"/>
      <c r="C31" s="99" t="s">
        <v>1278</v>
      </c>
      <c r="D31" s="658">
        <f si="1" t="shared"/>
        <v>0</v>
      </c>
      <c r="E31" s="3">
        <f si="1" t="shared"/>
        <v>0</v>
      </c>
      <c r="F31" s="3">
        <f si="1" t="shared"/>
        <v>0</v>
      </c>
      <c r="G31" s="3">
        <f si="1" t="shared"/>
        <v>0</v>
      </c>
      <c r="H31" s="3">
        <f si="1" t="shared"/>
        <v>0</v>
      </c>
      <c r="I31" s="3">
        <f si="1" t="shared"/>
        <v>0</v>
      </c>
      <c r="J31" s="3"/>
    </row>
    <row customHeight="1" ht="18" r="32" spans="1:10">
      <c r="A32" s="1781"/>
      <c r="B32" s="1863"/>
      <c r="C32" s="99" t="s">
        <v>50</v>
      </c>
      <c r="D32" s="3">
        <f si="1" t="shared"/>
        <v>0</v>
      </c>
      <c r="E32" s="3">
        <f si="1" t="shared"/>
        <v>0</v>
      </c>
      <c r="F32" s="3">
        <f si="1" t="shared"/>
        <v>0</v>
      </c>
      <c r="G32" s="3">
        <f si="1" t="shared"/>
        <v>0</v>
      </c>
      <c r="H32" s="3">
        <f si="1" t="shared"/>
        <v>0</v>
      </c>
      <c r="I32" s="3">
        <f si="1" t="shared"/>
        <v>0</v>
      </c>
      <c r="J32" s="3"/>
    </row>
    <row r="33" spans="1:10">
      <c r="A33" s="60"/>
      <c r="B33" s="295"/>
      <c r="C33" s="60"/>
      <c r="D33" s="294"/>
      <c r="E33" s="294"/>
      <c r="F33" s="294"/>
      <c r="I33" s="294"/>
    </row>
    <row r="34" spans="1:10">
      <c r="B34" s="583" t="s">
        <v>1897</v>
      </c>
      <c r="D34" s="406"/>
      <c r="E34" s="406"/>
      <c r="F34" s="583" t="s">
        <v>1873</v>
      </c>
      <c r="G34" s="406"/>
      <c r="H34" s="406"/>
    </row>
    <row r="35" spans="1:10">
      <c r="B35" s="406">
        <f>+ЧХ!$C$15</f>
        <v>0</v>
      </c>
      <c r="D35" s="1679">
        <f>+ЧХ!$C$16</f>
        <v>0</v>
      </c>
      <c r="E35" s="1679"/>
      <c r="F35" s="406" t="str">
        <f>+ЧХ!$B$6</f>
        <v>Аудитын менежер</v>
      </c>
      <c r="H35" s="574">
        <f>+ЧХ!$C$6</f>
        <v>0</v>
      </c>
      <c r="J35" s="574"/>
    </row>
    <row r="37" spans="1:10">
      <c r="B37" s="406" t="str">
        <f>+ЧХ!$B$6&amp;"ийн санал: ………………………………………………………………………………………"</f>
        <v>Аудитын менежерийн санал: ………………………………………………………………………………………</v>
      </c>
    </row>
    <row r="38" spans="1:10">
      <c r="B38" s="406"/>
    </row>
    <row r="39" spans="1:10">
      <c r="B39" s="406"/>
    </row>
    <row r="40" spans="1:10">
      <c r="B40" s="406" t="str">
        <f>+ЧХ!$B$5&amp;"ын санал: ..........................................................................................................."</f>
        <v>Тэргүүлэх аудиторын санал: ...........................................................................................................</v>
      </c>
    </row>
    <row r="3837" spans="1:23">
      <c r="J3837" s="305">
        <v>13950</v>
      </c>
      <c r="K3837" s="306">
        <v>0</v>
      </c>
      <c r="L3837" s="306">
        <v>0</v>
      </c>
      <c r="M3837" s="306">
        <v>0</v>
      </c>
      <c r="N3837" s="306">
        <v>0</v>
      </c>
      <c r="O3837" s="307" t="s">
        <v>1284</v>
      </c>
      <c r="P3837" s="307" t="s">
        <v>1285</v>
      </c>
      <c r="Q3837" s="307" t="s">
        <v>1286</v>
      </c>
      <c r="R3837" s="307" t="s">
        <v>1287</v>
      </c>
      <c r="S3837" s="307">
        <v>1</v>
      </c>
      <c r="T3837" s="307" t="s">
        <v>1288</v>
      </c>
      <c r="U3837" s="307" t="s">
        <v>1289</v>
      </c>
      <c r="V3837" s="307" t="s">
        <v>1290</v>
      </c>
      <c r="W3837" s="307"/>
    </row>
    <row r="3838" spans="1:23">
      <c r="A3838" s="308">
        <v>41789</v>
      </c>
      <c r="B3838" s="307" t="s">
        <v>1291</v>
      </c>
      <c r="C3838" s="307" t="s">
        <v>1291</v>
      </c>
      <c r="D3838" s="309" t="s">
        <v>1292</v>
      </c>
      <c r="E3838" s="309" t="s">
        <v>1293</v>
      </c>
      <c r="F3838" s="309" t="s">
        <v>1294</v>
      </c>
      <c r="G3838" s="305">
        <v>4150</v>
      </c>
      <c r="H3838" s="309" t="s">
        <v>1295</v>
      </c>
      <c r="I3838" s="305">
        <v>47.01</v>
      </c>
      <c r="J3838" s="305">
        <v>195091.5</v>
      </c>
      <c r="K3838" s="306">
        <v>0</v>
      </c>
      <c r="L3838" s="306">
        <v>0</v>
      </c>
      <c r="M3838" s="306">
        <v>0</v>
      </c>
      <c r="N3838" s="306">
        <v>0</v>
      </c>
      <c r="O3838" s="307" t="s">
        <v>1284</v>
      </c>
      <c r="P3838" s="307" t="s">
        <v>1285</v>
      </c>
      <c r="Q3838" s="307" t="s">
        <v>1286</v>
      </c>
      <c r="R3838" s="307" t="s">
        <v>1287</v>
      </c>
      <c r="S3838" s="307">
        <v>1</v>
      </c>
      <c r="T3838" s="307" t="s">
        <v>1288</v>
      </c>
      <c r="U3838" s="307" t="s">
        <v>1289</v>
      </c>
      <c r="V3838" s="307" t="s">
        <v>1290</v>
      </c>
      <c r="W3838" s="307"/>
    </row>
    <row r="3839" spans="1:23">
      <c r="A3839" s="308">
        <v>41789</v>
      </c>
      <c r="B3839" s="307" t="s">
        <v>1296</v>
      </c>
      <c r="C3839" s="307" t="s">
        <v>1236</v>
      </c>
      <c r="D3839" s="309" t="s">
        <v>1297</v>
      </c>
      <c r="E3839" s="309" t="s">
        <v>1298</v>
      </c>
      <c r="F3839" s="309" t="s">
        <v>1297</v>
      </c>
      <c r="G3839" s="305">
        <v>420</v>
      </c>
      <c r="H3839" s="309" t="s">
        <v>1295</v>
      </c>
      <c r="I3839" s="305">
        <v>72</v>
      </c>
      <c r="J3839" s="305">
        <v>30240</v>
      </c>
      <c r="K3839" s="306">
        <v>0</v>
      </c>
      <c r="L3839" s="306">
        <v>0</v>
      </c>
      <c r="M3839" s="306">
        <v>0</v>
      </c>
      <c r="N3839" s="306">
        <v>0</v>
      </c>
      <c r="O3839" s="307" t="s">
        <v>1299</v>
      </c>
      <c r="P3839" s="307" t="s">
        <v>1285</v>
      </c>
      <c r="Q3839" s="307" t="s">
        <v>1286</v>
      </c>
      <c r="R3839" s="307" t="s">
        <v>1287</v>
      </c>
      <c r="S3839" s="307">
        <v>1</v>
      </c>
      <c r="T3839" s="307" t="s">
        <v>1300</v>
      </c>
      <c r="U3839" s="307" t="s">
        <v>1301</v>
      </c>
      <c r="V3839" s="307" t="s">
        <v>1290</v>
      </c>
      <c r="W3839" s="307"/>
    </row>
    <row r="3840" spans="1:23">
      <c r="A3840" s="308">
        <v>41789</v>
      </c>
      <c r="B3840" s="307" t="s">
        <v>1296</v>
      </c>
      <c r="C3840" s="307" t="s">
        <v>1236</v>
      </c>
      <c r="D3840" s="309" t="s">
        <v>1302</v>
      </c>
      <c r="E3840" s="309" t="s">
        <v>1303</v>
      </c>
      <c r="F3840" s="309" t="s">
        <v>1302</v>
      </c>
      <c r="G3840" s="305">
        <v>5500</v>
      </c>
      <c r="H3840" s="309" t="s">
        <v>1295</v>
      </c>
      <c r="I3840" s="305">
        <v>3.4</v>
      </c>
      <c r="J3840" s="305">
        <v>18700</v>
      </c>
      <c r="K3840" s="306">
        <v>0</v>
      </c>
      <c r="L3840" s="306">
        <v>0</v>
      </c>
      <c r="M3840" s="306">
        <v>0</v>
      </c>
      <c r="N3840" s="306">
        <v>0</v>
      </c>
      <c r="O3840" s="307" t="s">
        <v>1299</v>
      </c>
      <c r="P3840" s="307" t="s">
        <v>1285</v>
      </c>
      <c r="Q3840" s="307" t="s">
        <v>1286</v>
      </c>
      <c r="R3840" s="307" t="s">
        <v>1287</v>
      </c>
      <c r="S3840" s="307">
        <v>1</v>
      </c>
      <c r="T3840" s="307" t="s">
        <v>1300</v>
      </c>
      <c r="U3840" s="307" t="s">
        <v>1301</v>
      </c>
      <c r="V3840" s="307" t="s">
        <v>1290</v>
      </c>
      <c r="W3840" s="307"/>
    </row>
    <row r="3841" spans="1:23">
      <c r="A3841" s="308">
        <v>41789</v>
      </c>
      <c r="B3841" s="307" t="s">
        <v>1296</v>
      </c>
      <c r="C3841" s="307" t="s">
        <v>1236</v>
      </c>
      <c r="D3841" s="309" t="s">
        <v>1304</v>
      </c>
      <c r="E3841" s="309" t="s">
        <v>1305</v>
      </c>
      <c r="F3841" s="309" t="s">
        <v>1306</v>
      </c>
      <c r="G3841" s="305">
        <v>6500</v>
      </c>
      <c r="H3841" s="309" t="s">
        <v>1295</v>
      </c>
      <c r="I3841" s="305">
        <v>0.2</v>
      </c>
      <c r="J3841" s="305">
        <v>1300</v>
      </c>
      <c r="K3841" s="306">
        <v>0</v>
      </c>
      <c r="L3841" s="306">
        <v>0</v>
      </c>
      <c r="M3841" s="306">
        <v>0</v>
      </c>
      <c r="N3841" s="306">
        <v>0</v>
      </c>
      <c r="O3841" s="307" t="s">
        <v>1299</v>
      </c>
      <c r="P3841" s="307" t="s">
        <v>1285</v>
      </c>
      <c r="Q3841" s="307" t="s">
        <v>1286</v>
      </c>
      <c r="R3841" s="307" t="s">
        <v>1287</v>
      </c>
      <c r="S3841" s="307">
        <v>1</v>
      </c>
      <c r="T3841" s="307" t="s">
        <v>1300</v>
      </c>
      <c r="U3841" s="307" t="s">
        <v>1301</v>
      </c>
      <c r="V3841" s="307" t="s">
        <v>1290</v>
      </c>
      <c r="W3841" s="307"/>
    </row>
    <row r="3842" spans="1:23">
      <c r="A3842" s="308">
        <v>41789</v>
      </c>
      <c r="B3842" s="307" t="s">
        <v>1296</v>
      </c>
      <c r="C3842" s="307" t="s">
        <v>1236</v>
      </c>
      <c r="D3842" s="309" t="s">
        <v>1307</v>
      </c>
      <c r="E3842" s="309" t="s">
        <v>1308</v>
      </c>
      <c r="F3842" s="309" t="s">
        <v>1307</v>
      </c>
      <c r="G3842" s="305">
        <v>1500</v>
      </c>
      <c r="H3842" s="309" t="s">
        <v>1295</v>
      </c>
      <c r="I3842" s="305">
        <v>5.15</v>
      </c>
      <c r="J3842" s="305">
        <v>7725</v>
      </c>
      <c r="K3842" s="306">
        <v>0</v>
      </c>
      <c r="L3842" s="306">
        <v>0</v>
      </c>
      <c r="M3842" s="306">
        <v>0</v>
      </c>
      <c r="N3842" s="306">
        <v>0</v>
      </c>
      <c r="O3842" s="307" t="s">
        <v>1299</v>
      </c>
      <c r="P3842" s="307" t="s">
        <v>1285</v>
      </c>
      <c r="Q3842" s="307" t="s">
        <v>1286</v>
      </c>
      <c r="R3842" s="307" t="s">
        <v>1287</v>
      </c>
      <c r="S3842" s="307">
        <v>1</v>
      </c>
      <c r="T3842" s="307" t="s">
        <v>1300</v>
      </c>
      <c r="U3842" s="307" t="s">
        <v>1301</v>
      </c>
      <c r="V3842" s="307" t="s">
        <v>1290</v>
      </c>
      <c r="W3842" s="307"/>
    </row>
    <row r="3843" spans="1:23">
      <c r="A3843" s="308">
        <v>41789</v>
      </c>
      <c r="B3843" s="307" t="s">
        <v>1296</v>
      </c>
      <c r="C3843" s="307" t="s">
        <v>1236</v>
      </c>
      <c r="D3843" s="309" t="s">
        <v>1309</v>
      </c>
      <c r="E3843" s="309" t="s">
        <v>1310</v>
      </c>
      <c r="F3843" s="309" t="s">
        <v>1311</v>
      </c>
      <c r="G3843" s="305">
        <v>130.00000000000003</v>
      </c>
      <c r="H3843" s="309" t="s">
        <v>1295</v>
      </c>
      <c r="I3843" s="305">
        <v>1.8</v>
      </c>
      <c r="J3843" s="305">
        <v>234</v>
      </c>
      <c r="K3843" s="306">
        <v>0</v>
      </c>
      <c r="L3843" s="306">
        <v>0</v>
      </c>
      <c r="M3843" s="306">
        <v>0</v>
      </c>
      <c r="N3843" s="306">
        <v>0</v>
      </c>
      <c r="O3843" s="307" t="s">
        <v>1299</v>
      </c>
      <c r="P3843" s="307" t="s">
        <v>1285</v>
      </c>
      <c r="Q3843" s="307" t="s">
        <v>1286</v>
      </c>
      <c r="R3843" s="307" t="s">
        <v>1287</v>
      </c>
      <c r="S3843" s="307">
        <v>1</v>
      </c>
      <c r="T3843" s="307" t="s">
        <v>1300</v>
      </c>
      <c r="U3843" s="307" t="s">
        <v>1301</v>
      </c>
      <c r="V3843" s="307" t="s">
        <v>1290</v>
      </c>
      <c r="W3843" s="307"/>
    </row>
    <row r="3844" spans="1:23">
      <c r="A3844" s="308">
        <v>41789</v>
      </c>
      <c r="B3844" s="307" t="s">
        <v>1296</v>
      </c>
      <c r="C3844" s="307" t="s">
        <v>1236</v>
      </c>
      <c r="D3844" s="309" t="s">
        <v>1312</v>
      </c>
      <c r="E3844" s="309" t="s">
        <v>1313</v>
      </c>
      <c r="F3844" s="309" t="s">
        <v>1312</v>
      </c>
      <c r="G3844" s="305">
        <v>730</v>
      </c>
      <c r="H3844" s="309" t="s">
        <v>1295</v>
      </c>
      <c r="I3844" s="305">
        <v>36</v>
      </c>
      <c r="J3844" s="305">
        <v>26280</v>
      </c>
      <c r="K3844" s="306">
        <v>0</v>
      </c>
      <c r="L3844" s="306">
        <v>0</v>
      </c>
      <c r="M3844" s="306">
        <v>0</v>
      </c>
      <c r="N3844" s="306">
        <v>0</v>
      </c>
      <c r="O3844" s="307" t="s">
        <v>1299</v>
      </c>
    </row>
  </sheetData>
  <mergeCells count="21">
    <mergeCell ref="B21:B24"/>
    <mergeCell ref="A25:A28"/>
    <mergeCell ref="B25:B28"/>
    <mergeCell ref="A29:A32"/>
    <mergeCell ref="B29:B32"/>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s>
  <pageMargins bottom="0.75" footer="0.3" header="0.3" left="0.7" right="0.7" top="0.75"/>
  <pageSetup orientation="landscape" r:id="rId1" scale="85"/>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84"/>
  <sheetViews>
    <sheetView workbookViewId="0"/>
  </sheetViews>
  <sheetFormatPr defaultRowHeight="12.75"/>
  <cols>
    <col min="1" max="1" customWidth="true" style="91" width="4.85546875" collapsed="false"/>
    <col min="2" max="2" customWidth="true" style="639" width="16.85546875" collapsed="false"/>
    <col min="3" max="3" customWidth="true" style="91" width="17.28515625" collapsed="false"/>
    <col min="4" max="4" customWidth="true" style="299" width="17.28515625" collapsed="false"/>
    <col min="5" max="9" customWidth="true" style="291" width="14.140625" collapsed="false"/>
    <col min="10" max="10" customWidth="true" style="291" width="22.28515625" collapsed="false"/>
    <col min="11" max="16384" style="91" width="9.140625" collapsed="false"/>
  </cols>
  <sheetData>
    <row r="1" spans="1:10">
      <c r="A1" s="590"/>
      <c r="B1" s="605"/>
      <c r="C1" s="590"/>
      <c r="D1" s="586"/>
      <c r="E1" s="586"/>
      <c r="F1" s="586"/>
      <c r="G1" s="586"/>
      <c r="H1" s="586"/>
      <c r="I1" s="586"/>
      <c r="J1" s="292" t="s">
        <v>1676</v>
      </c>
    </row>
    <row r="2" spans="1:10">
      <c r="A2" s="1704" t="s">
        <v>1324</v>
      </c>
      <c r="B2" s="1704"/>
      <c r="C2" s="1704"/>
      <c r="D2" s="1704"/>
      <c r="E2" s="1704"/>
      <c r="F2" s="1704"/>
      <c r="G2" s="1704"/>
      <c r="H2" s="1704"/>
      <c r="I2" s="1704"/>
      <c r="J2" s="1704"/>
    </row>
    <row r="3" spans="1:10">
      <c r="A3" s="592"/>
      <c r="B3" s="606"/>
      <c r="C3" s="406"/>
      <c r="D3" s="406"/>
      <c r="E3" s="406"/>
      <c r="F3" s="406"/>
      <c r="G3" s="406"/>
      <c r="H3" s="406"/>
      <c r="I3" s="586"/>
      <c r="J3" s="586"/>
    </row>
    <row r="4" spans="1:10">
      <c r="A4" s="592"/>
      <c r="B4" s="606"/>
      <c r="C4" s="1679" t="str">
        <f>"Байгууллагын нэр: "&amp;ЧХ!$C$7</f>
        <v xml:space="preserve">Байгууллагын нэр: </v>
      </c>
      <c r="D4" s="1679"/>
      <c r="E4" s="1679"/>
      <c r="F4" s="1679"/>
      <c r="G4" s="1679"/>
      <c r="H4" s="1679"/>
      <c r="I4" s="406"/>
      <c r="J4" s="406"/>
    </row>
    <row r="5" spans="1:10">
      <c r="B5" s="606"/>
      <c r="C5" s="1108" t="str">
        <f>"тайлант он: " &amp;ЧХ!$C$8</f>
        <v xml:space="preserve">тайлант он: </v>
      </c>
      <c r="D5" s="406"/>
      <c r="E5" s="406"/>
      <c r="F5" s="406"/>
      <c r="G5" s="406"/>
      <c r="H5" s="406"/>
      <c r="J5" s="91"/>
    </row>
    <row customFormat="1" r="6" s="590" spans="1:10">
      <c r="B6" s="606"/>
      <c r="C6" s="549"/>
      <c r="D6" s="406"/>
      <c r="E6" s="406"/>
      <c r="F6" s="406"/>
      <c r="G6" s="406"/>
      <c r="H6" s="406"/>
      <c r="I6" s="586"/>
      <c r="J6" s="549" t="s">
        <v>1364</v>
      </c>
    </row>
    <row customHeight="1" ht="17.25" r="7" spans="1:10">
      <c r="A7" s="1781" t="s">
        <v>1267</v>
      </c>
      <c r="B7" s="1871" t="s">
        <v>1268</v>
      </c>
      <c r="C7" s="1781" t="s">
        <v>12</v>
      </c>
      <c r="D7" s="1872" t="s">
        <v>1269</v>
      </c>
      <c r="E7" s="1866" t="s">
        <v>1270</v>
      </c>
      <c r="F7" s="1866"/>
      <c r="G7" s="1866"/>
      <c r="H7" s="1866"/>
      <c r="I7" s="1866"/>
      <c r="J7" s="1867" t="s">
        <v>701</v>
      </c>
    </row>
    <row customHeight="1" ht="46.5" r="8" spans="1:10">
      <c r="A8" s="1781"/>
      <c r="B8" s="1871"/>
      <c r="C8" s="1781"/>
      <c r="D8" s="1873"/>
      <c r="E8" s="296" t="s">
        <v>1272</v>
      </c>
      <c r="F8" s="296" t="s">
        <v>1325</v>
      </c>
      <c r="G8" s="296" t="s">
        <v>1326</v>
      </c>
      <c r="H8" s="296" t="s">
        <v>1327</v>
      </c>
      <c r="I8" s="296" t="s">
        <v>1275</v>
      </c>
      <c r="J8" s="1867"/>
    </row>
    <row customHeight="1" ht="12.75" r="9" spans="1:10">
      <c r="A9" s="1781">
        <v>1</v>
      </c>
      <c r="B9" s="1874" t="s">
        <v>2410</v>
      </c>
      <c r="C9" s="99" t="s">
        <v>49</v>
      </c>
      <c r="D9" s="300">
        <f>'2.CT1A'!C69</f>
        <v>0</v>
      </c>
      <c r="E9" s="640">
        <v>0</v>
      </c>
      <c r="F9" s="640">
        <v>0</v>
      </c>
      <c r="G9" s="640">
        <v>0</v>
      </c>
      <c r="H9" s="640">
        <v>0</v>
      </c>
      <c r="I9" s="640">
        <v>0</v>
      </c>
      <c r="J9" s="3"/>
    </row>
    <row r="10" spans="1:10">
      <c r="A10" s="1781"/>
      <c r="B10" s="1875"/>
      <c r="C10" s="99" t="s">
        <v>1277</v>
      </c>
      <c r="D10" s="641">
        <f>'10.CTT5'!C10</f>
        <v>0</v>
      </c>
      <c r="E10" s="640">
        <v>0</v>
      </c>
      <c r="F10" s="640">
        <v>0</v>
      </c>
      <c r="G10" s="640">
        <v>0</v>
      </c>
      <c r="H10" s="640">
        <v>0</v>
      </c>
      <c r="I10" s="640">
        <v>0</v>
      </c>
      <c r="J10" s="4"/>
    </row>
    <row r="11" spans="1:10">
      <c r="A11" s="1781"/>
      <c r="B11" s="1875"/>
      <c r="C11" s="99" t="s">
        <v>1278</v>
      </c>
      <c r="D11" s="641">
        <f>'10.CTT5'!C16</f>
        <v>0</v>
      </c>
      <c r="E11" s="640">
        <v>0</v>
      </c>
      <c r="F11" s="640">
        <v>0</v>
      </c>
      <c r="G11" s="640">
        <v>0</v>
      </c>
      <c r="H11" s="640">
        <v>0</v>
      </c>
      <c r="I11" s="640">
        <v>0</v>
      </c>
      <c r="J11" s="4"/>
    </row>
    <row r="12" spans="1:10">
      <c r="A12" s="1781"/>
      <c r="B12" s="1876"/>
      <c r="C12" s="99" t="s">
        <v>50</v>
      </c>
      <c r="D12" s="300">
        <f>'2.CT1A'!D69</f>
        <v>0</v>
      </c>
      <c r="E12" s="640">
        <v>0</v>
      </c>
      <c r="F12" s="640">
        <v>0</v>
      </c>
      <c r="G12" s="640">
        <v>0</v>
      </c>
      <c r="H12" s="640">
        <v>0</v>
      </c>
      <c r="I12" s="640">
        <v>0</v>
      </c>
      <c r="J12" s="4"/>
    </row>
    <row customHeight="1" ht="12.75" r="13" spans="1:10">
      <c r="A13" s="1781">
        <v>2</v>
      </c>
      <c r="B13" s="1874" t="s">
        <v>554</v>
      </c>
      <c r="C13" s="99" t="s">
        <v>49</v>
      </c>
      <c r="D13" s="300">
        <f>'2.CT1A'!C70</f>
        <v>0</v>
      </c>
      <c r="E13" s="640">
        <v>0</v>
      </c>
      <c r="F13" s="640">
        <v>0</v>
      </c>
      <c r="G13" s="640">
        <v>0</v>
      </c>
      <c r="H13" s="640">
        <v>0</v>
      </c>
      <c r="I13" s="640">
        <v>0</v>
      </c>
      <c r="J13" s="4"/>
    </row>
    <row r="14" spans="1:10">
      <c r="A14" s="1781"/>
      <c r="B14" s="1875"/>
      <c r="C14" s="99" t="s">
        <v>1277</v>
      </c>
      <c r="D14" s="641">
        <f>'10.CTT5'!D10</f>
        <v>0</v>
      </c>
      <c r="E14" s="640">
        <v>0</v>
      </c>
      <c r="F14" s="640">
        <v>0</v>
      </c>
      <c r="G14" s="640">
        <v>0</v>
      </c>
      <c r="H14" s="640">
        <v>0</v>
      </c>
      <c r="I14" s="640">
        <v>0</v>
      </c>
      <c r="J14" s="4"/>
    </row>
    <row customHeight="1" ht="15" r="15" spans="1:10">
      <c r="A15" s="1781"/>
      <c r="B15" s="1875"/>
      <c r="C15" s="99" t="s">
        <v>1278</v>
      </c>
      <c r="D15" s="641">
        <f>'10.CTT5'!D16</f>
        <v>0</v>
      </c>
      <c r="E15" s="640">
        <v>0</v>
      </c>
      <c r="F15" s="640">
        <v>0</v>
      </c>
      <c r="G15" s="640">
        <v>0</v>
      </c>
      <c r="H15" s="640">
        <v>0</v>
      </c>
      <c r="I15" s="640">
        <v>0</v>
      </c>
      <c r="J15" s="4"/>
    </row>
    <row r="16" spans="1:10">
      <c r="A16" s="1781"/>
      <c r="B16" s="1876"/>
      <c r="C16" s="99" t="s">
        <v>50</v>
      </c>
      <c r="D16" s="300">
        <f>'2.CT1A'!D70</f>
        <v>0</v>
      </c>
      <c r="E16" s="640">
        <v>0</v>
      </c>
      <c r="F16" s="640">
        <v>0</v>
      </c>
      <c r="G16" s="640">
        <v>0</v>
      </c>
      <c r="H16" s="640">
        <v>0</v>
      </c>
      <c r="I16" s="640">
        <v>0</v>
      </c>
      <c r="J16" s="4"/>
    </row>
    <row r="17" spans="1:10">
      <c r="A17" s="1781">
        <v>3</v>
      </c>
      <c r="B17" s="1877" t="s">
        <v>179</v>
      </c>
      <c r="C17" s="99" t="s">
        <v>49</v>
      </c>
      <c r="D17" s="300">
        <f>'2.CT1A'!C71</f>
        <v>0</v>
      </c>
      <c r="E17" s="640">
        <v>0</v>
      </c>
      <c r="F17" s="640">
        <v>0</v>
      </c>
      <c r="G17" s="640">
        <v>0</v>
      </c>
      <c r="H17" s="640">
        <v>0</v>
      </c>
      <c r="I17" s="640">
        <v>0</v>
      </c>
      <c r="J17" s="4"/>
    </row>
    <row r="18" spans="1:10">
      <c r="A18" s="1781"/>
      <c r="B18" s="1877"/>
      <c r="C18" s="99" t="s">
        <v>1277</v>
      </c>
      <c r="D18" s="642">
        <f>'10.CTT5'!E10</f>
        <v>0</v>
      </c>
      <c r="E18" s="640">
        <v>0</v>
      </c>
      <c r="F18" s="640">
        <v>0</v>
      </c>
      <c r="G18" s="640">
        <v>0</v>
      </c>
      <c r="H18" s="640">
        <v>0</v>
      </c>
      <c r="I18" s="640">
        <v>0</v>
      </c>
      <c r="J18" s="4"/>
    </row>
    <row r="19" spans="1:10">
      <c r="A19" s="1781"/>
      <c r="B19" s="1877"/>
      <c r="C19" s="99" t="s">
        <v>1278</v>
      </c>
      <c r="D19" s="643">
        <f>'10.CTT5'!E16</f>
        <v>0</v>
      </c>
      <c r="E19" s="640">
        <v>0</v>
      </c>
      <c r="F19" s="640">
        <v>0</v>
      </c>
      <c r="G19" s="640">
        <v>0</v>
      </c>
      <c r="H19" s="640">
        <v>0</v>
      </c>
      <c r="I19" s="640">
        <v>0</v>
      </c>
      <c r="J19" s="4"/>
    </row>
    <row r="20" spans="1:10">
      <c r="A20" s="1781"/>
      <c r="B20" s="1877"/>
      <c r="C20" s="99" t="s">
        <v>50</v>
      </c>
      <c r="D20" s="300">
        <f>'2.CT1A'!D71</f>
        <v>0</v>
      </c>
      <c r="E20" s="640">
        <v>0</v>
      </c>
      <c r="F20" s="640">
        <v>0</v>
      </c>
      <c r="G20" s="640">
        <v>0</v>
      </c>
      <c r="H20" s="640">
        <v>0</v>
      </c>
      <c r="I20" s="640">
        <v>0</v>
      </c>
      <c r="J20" s="4"/>
    </row>
    <row customHeight="1" ht="12.75" r="21" spans="1:10">
      <c r="A21" s="1781">
        <v>4</v>
      </c>
      <c r="B21" s="1877" t="s">
        <v>556</v>
      </c>
      <c r="C21" s="99" t="s">
        <v>49</v>
      </c>
      <c r="D21" s="300">
        <f>'2.CT1A'!C72</f>
        <v>0</v>
      </c>
      <c r="E21" s="640">
        <v>0</v>
      </c>
      <c r="F21" s="640">
        <v>0</v>
      </c>
      <c r="G21" s="640">
        <v>0</v>
      </c>
      <c r="H21" s="640">
        <v>0</v>
      </c>
      <c r="I21" s="640">
        <v>0</v>
      </c>
      <c r="J21" s="4"/>
    </row>
    <row r="22" spans="1:10">
      <c r="A22" s="1781"/>
      <c r="B22" s="1877"/>
      <c r="C22" s="99" t="s">
        <v>1277</v>
      </c>
      <c r="D22" s="642">
        <f>'10.CTT5'!F10</f>
        <v>0</v>
      </c>
      <c r="E22" s="640">
        <v>0</v>
      </c>
      <c r="F22" s="640">
        <v>0</v>
      </c>
      <c r="G22" s="640">
        <v>0</v>
      </c>
      <c r="H22" s="640">
        <v>0</v>
      </c>
      <c r="I22" s="640">
        <v>0</v>
      </c>
      <c r="J22" s="4"/>
    </row>
    <row r="23" spans="1:10">
      <c r="A23" s="1781"/>
      <c r="B23" s="1877"/>
      <c r="C23" s="99" t="s">
        <v>1278</v>
      </c>
      <c r="D23" s="644">
        <f>'10.CTT5'!F16</f>
        <v>0</v>
      </c>
      <c r="E23" s="640">
        <v>0</v>
      </c>
      <c r="F23" s="640">
        <v>0</v>
      </c>
      <c r="G23" s="640">
        <v>0</v>
      </c>
      <c r="H23" s="640">
        <v>0</v>
      </c>
      <c r="I23" s="640">
        <v>0</v>
      </c>
      <c r="J23" s="4"/>
    </row>
    <row r="24" spans="1:10">
      <c r="A24" s="1781"/>
      <c r="B24" s="1877"/>
      <c r="C24" s="99" t="s">
        <v>50</v>
      </c>
      <c r="D24" s="300">
        <f>'2.CT1A'!D72</f>
        <v>0</v>
      </c>
      <c r="E24" s="640">
        <v>0</v>
      </c>
      <c r="F24" s="640">
        <v>0</v>
      </c>
      <c r="G24" s="640">
        <v>0</v>
      </c>
      <c r="H24" s="640">
        <v>0</v>
      </c>
      <c r="I24" s="640">
        <v>0</v>
      </c>
      <c r="J24" s="4"/>
    </row>
    <row r="25" spans="1:10">
      <c r="A25" s="1759">
        <v>5</v>
      </c>
      <c r="B25" s="1874" t="s">
        <v>557</v>
      </c>
      <c r="C25" s="99" t="s">
        <v>49</v>
      </c>
      <c r="D25" s="300">
        <f>'2.CT1A'!C74</f>
        <v>0</v>
      </c>
      <c r="E25" s="640">
        <v>0</v>
      </c>
      <c r="F25" s="640">
        <v>0</v>
      </c>
      <c r="G25" s="640">
        <v>0</v>
      </c>
      <c r="H25" s="640">
        <v>0</v>
      </c>
      <c r="I25" s="640">
        <v>0</v>
      </c>
      <c r="J25" s="4"/>
    </row>
    <row r="26" spans="1:10">
      <c r="A26" s="1785"/>
      <c r="B26" s="1875"/>
      <c r="C26" s="99" t="s">
        <v>1277</v>
      </c>
      <c r="D26" s="644">
        <f>'10.CTT5'!G10</f>
        <v>0</v>
      </c>
      <c r="E26" s="640">
        <v>0</v>
      </c>
      <c r="F26" s="640">
        <v>0</v>
      </c>
      <c r="G26" s="640">
        <v>0</v>
      </c>
      <c r="H26" s="640">
        <v>0</v>
      </c>
      <c r="I26" s="640">
        <v>0</v>
      </c>
      <c r="J26" s="4"/>
    </row>
    <row r="27" spans="1:10">
      <c r="A27" s="1785"/>
      <c r="B27" s="1875"/>
      <c r="C27" s="99" t="s">
        <v>1278</v>
      </c>
      <c r="D27" s="644">
        <f>'10.CTT5'!G16</f>
        <v>0</v>
      </c>
      <c r="E27" s="640">
        <v>0</v>
      </c>
      <c r="F27" s="640">
        <v>0</v>
      </c>
      <c r="G27" s="640">
        <v>0</v>
      </c>
      <c r="H27" s="640">
        <v>0</v>
      </c>
      <c r="I27" s="640">
        <v>0</v>
      </c>
      <c r="J27" s="4"/>
    </row>
    <row r="28" spans="1:10">
      <c r="A28" s="1760"/>
      <c r="B28" s="1876"/>
      <c r="C28" s="99" t="s">
        <v>50</v>
      </c>
      <c r="D28" s="300">
        <f>'2.CT1A'!D74</f>
        <v>0</v>
      </c>
      <c r="E28" s="640">
        <v>0</v>
      </c>
      <c r="F28" s="640">
        <v>0</v>
      </c>
      <c r="G28" s="640">
        <v>0</v>
      </c>
      <c r="H28" s="640">
        <v>0</v>
      </c>
      <c r="I28" s="640">
        <v>0</v>
      </c>
      <c r="J28" s="4"/>
    </row>
    <row r="29" spans="1:10">
      <c r="A29" s="1759">
        <v>6</v>
      </c>
      <c r="B29" s="1874" t="s">
        <v>558</v>
      </c>
      <c r="C29" s="99" t="s">
        <v>49</v>
      </c>
      <c r="D29" s="300">
        <f>'2.CT1A'!C75</f>
        <v>0</v>
      </c>
      <c r="E29" s="640">
        <v>0</v>
      </c>
      <c r="F29" s="640">
        <v>0</v>
      </c>
      <c r="G29" s="640">
        <v>0</v>
      </c>
      <c r="H29" s="640">
        <v>0</v>
      </c>
      <c r="I29" s="640">
        <v>0</v>
      </c>
      <c r="J29" s="4"/>
    </row>
    <row r="30" spans="1:10">
      <c r="A30" s="1785"/>
      <c r="B30" s="1875"/>
      <c r="C30" s="99" t="s">
        <v>1277</v>
      </c>
      <c r="D30" s="644">
        <f>'10.CTT5'!H10</f>
        <v>0</v>
      </c>
      <c r="E30" s="640">
        <v>0</v>
      </c>
      <c r="F30" s="640">
        <v>0</v>
      </c>
      <c r="G30" s="640">
        <v>0</v>
      </c>
      <c r="H30" s="640">
        <v>0</v>
      </c>
      <c r="I30" s="640">
        <v>0</v>
      </c>
      <c r="J30" s="4"/>
    </row>
    <row r="31" spans="1:10">
      <c r="A31" s="1785"/>
      <c r="B31" s="1875"/>
      <c r="C31" s="99" t="s">
        <v>1278</v>
      </c>
      <c r="D31" s="644">
        <f>'10.CTT5'!H16</f>
        <v>0</v>
      </c>
      <c r="E31" s="640">
        <v>0</v>
      </c>
      <c r="F31" s="640">
        <v>0</v>
      </c>
      <c r="G31" s="640">
        <v>0</v>
      </c>
      <c r="H31" s="640">
        <v>0</v>
      </c>
      <c r="I31" s="640">
        <v>0</v>
      </c>
      <c r="J31" s="4"/>
    </row>
    <row r="32" spans="1:10">
      <c r="A32" s="1760"/>
      <c r="B32" s="1876"/>
      <c r="C32" s="99" t="s">
        <v>50</v>
      </c>
      <c r="D32" s="300">
        <f>'2.CT1A'!D75</f>
        <v>0</v>
      </c>
      <c r="E32" s="640">
        <v>0</v>
      </c>
      <c r="F32" s="640">
        <v>0</v>
      </c>
      <c r="G32" s="640">
        <v>0</v>
      </c>
      <c r="H32" s="640">
        <v>0</v>
      </c>
      <c r="I32" s="640">
        <v>0</v>
      </c>
      <c r="J32" s="4"/>
    </row>
    <row r="33" spans="1:10">
      <c r="A33" s="1759">
        <v>7</v>
      </c>
      <c r="B33" s="1874" t="s">
        <v>71</v>
      </c>
      <c r="C33" s="99" t="s">
        <v>49</v>
      </c>
      <c r="D33" s="300">
        <f>'2.CT1A'!C76</f>
        <v>0</v>
      </c>
      <c r="E33" s="640">
        <v>0</v>
      </c>
      <c r="F33" s="640">
        <v>0</v>
      </c>
      <c r="G33" s="640">
        <v>0</v>
      </c>
      <c r="H33" s="640">
        <v>0</v>
      </c>
      <c r="I33" s="640">
        <v>0</v>
      </c>
      <c r="J33" s="4"/>
    </row>
    <row r="34" spans="1:10">
      <c r="A34" s="1785"/>
      <c r="B34" s="1875"/>
      <c r="C34" s="99" t="s">
        <v>1277</v>
      </c>
      <c r="D34" s="641">
        <f>'10.CTT5'!I10</f>
        <v>0</v>
      </c>
      <c r="E34" s="640">
        <v>0</v>
      </c>
      <c r="F34" s="640">
        <v>0</v>
      </c>
      <c r="G34" s="640">
        <v>0</v>
      </c>
      <c r="H34" s="640">
        <v>0</v>
      </c>
      <c r="I34" s="640">
        <v>0</v>
      </c>
      <c r="J34" s="4"/>
    </row>
    <row r="35" spans="1:10">
      <c r="A35" s="1785"/>
      <c r="B35" s="1875"/>
      <c r="C35" s="99" t="s">
        <v>1278</v>
      </c>
      <c r="D35" s="641">
        <f>'10.CTT5'!I16</f>
        <v>0</v>
      </c>
      <c r="E35" s="640">
        <v>0</v>
      </c>
      <c r="F35" s="640">
        <v>0</v>
      </c>
      <c r="G35" s="640">
        <v>0</v>
      </c>
      <c r="H35" s="640">
        <v>0</v>
      </c>
      <c r="I35" s="640">
        <v>0</v>
      </c>
      <c r="J35" s="4"/>
    </row>
    <row r="36" spans="1:10">
      <c r="A36" s="1760"/>
      <c r="B36" s="1876"/>
      <c r="C36" s="99" t="s">
        <v>50</v>
      </c>
      <c r="D36" s="300">
        <f>'2.CT1A'!D76</f>
        <v>0</v>
      </c>
      <c r="E36" s="640">
        <v>0</v>
      </c>
      <c r="F36" s="640">
        <v>0</v>
      </c>
      <c r="G36" s="640">
        <v>0</v>
      </c>
      <c r="H36" s="640">
        <v>0</v>
      </c>
      <c r="I36" s="640">
        <v>0</v>
      </c>
      <c r="J36" s="4"/>
    </row>
    <row r="37" spans="1:10">
      <c r="A37" s="1759">
        <v>6</v>
      </c>
      <c r="B37" s="1874" t="s">
        <v>72</v>
      </c>
      <c r="C37" s="99" t="s">
        <v>49</v>
      </c>
      <c r="D37" s="300">
        <f>'2.CT1A'!C77</f>
        <v>0</v>
      </c>
      <c r="E37" s="640">
        <v>0</v>
      </c>
      <c r="F37" s="640">
        <v>0</v>
      </c>
      <c r="G37" s="640">
        <v>0</v>
      </c>
      <c r="H37" s="640">
        <v>0</v>
      </c>
      <c r="I37" s="640">
        <v>0</v>
      </c>
      <c r="J37" s="4"/>
    </row>
    <row r="38" spans="1:10">
      <c r="A38" s="1785"/>
      <c r="B38" s="1875"/>
      <c r="C38" s="99" t="s">
        <v>1277</v>
      </c>
      <c r="D38" s="641">
        <f>'10.CTT5'!J10</f>
        <v>0</v>
      </c>
      <c r="E38" s="640">
        <v>0</v>
      </c>
      <c r="F38" s="640">
        <v>0</v>
      </c>
      <c r="G38" s="640">
        <v>0</v>
      </c>
      <c r="H38" s="640">
        <v>0</v>
      </c>
      <c r="I38" s="640">
        <v>0</v>
      </c>
      <c r="J38" s="4"/>
    </row>
    <row customHeight="1" ht="15" r="39" spans="1:10">
      <c r="A39" s="1785"/>
      <c r="B39" s="1875"/>
      <c r="C39" s="99" t="s">
        <v>1278</v>
      </c>
      <c r="D39" s="641">
        <f>'10.CTT5'!J16</f>
        <v>0</v>
      </c>
      <c r="E39" s="640">
        <v>0</v>
      </c>
      <c r="F39" s="640">
        <v>0</v>
      </c>
      <c r="G39" s="640">
        <v>0</v>
      </c>
      <c r="H39" s="640">
        <v>0</v>
      </c>
      <c r="I39" s="640">
        <v>0</v>
      </c>
      <c r="J39" s="4"/>
    </row>
    <row r="40" spans="1:10">
      <c r="A40" s="1760"/>
      <c r="B40" s="1876"/>
      <c r="C40" s="99" t="s">
        <v>50</v>
      </c>
      <c r="D40" s="300">
        <f>'2.CT1A'!D77</f>
        <v>0</v>
      </c>
      <c r="E40" s="640">
        <v>0</v>
      </c>
      <c r="F40" s="640">
        <v>0</v>
      </c>
      <c r="G40" s="640">
        <v>0</v>
      </c>
      <c r="H40" s="640">
        <v>0</v>
      </c>
      <c r="I40" s="640">
        <v>0</v>
      </c>
      <c r="J40" s="4"/>
    </row>
    <row r="41" spans="1:10">
      <c r="A41" s="1759">
        <v>6</v>
      </c>
      <c r="B41" s="1874" t="s">
        <v>73</v>
      </c>
      <c r="C41" s="99" t="s">
        <v>49</v>
      </c>
      <c r="D41" s="300">
        <f>'2.CT1A'!C78</f>
        <v>0</v>
      </c>
      <c r="E41" s="640">
        <v>0</v>
      </c>
      <c r="F41" s="640">
        <v>0</v>
      </c>
      <c r="G41" s="640">
        <v>0</v>
      </c>
      <c r="H41" s="640">
        <v>0</v>
      </c>
      <c r="I41" s="640">
        <v>0</v>
      </c>
      <c r="J41" s="4"/>
    </row>
    <row r="42" spans="1:10">
      <c r="A42" s="1785"/>
      <c r="B42" s="1875"/>
      <c r="C42" s="99" t="s">
        <v>1277</v>
      </c>
      <c r="D42" s="644">
        <f>'10.CTT5'!K10</f>
        <v>0</v>
      </c>
      <c r="E42" s="640">
        <v>0</v>
      </c>
      <c r="F42" s="640">
        <v>0</v>
      </c>
      <c r="G42" s="640">
        <v>0</v>
      </c>
      <c r="H42" s="640">
        <v>0</v>
      </c>
      <c r="I42" s="640">
        <v>0</v>
      </c>
      <c r="J42" s="4"/>
    </row>
    <row r="43" spans="1:10">
      <c r="A43" s="1785"/>
      <c r="B43" s="1875"/>
      <c r="C43" s="99" t="s">
        <v>1278</v>
      </c>
      <c r="D43" s="644">
        <f>'10.CTT5'!K16</f>
        <v>0</v>
      </c>
      <c r="E43" s="640">
        <v>0</v>
      </c>
      <c r="F43" s="640">
        <v>0</v>
      </c>
      <c r="G43" s="640">
        <v>0</v>
      </c>
      <c r="H43" s="640">
        <v>0</v>
      </c>
      <c r="I43" s="640">
        <v>0</v>
      </c>
      <c r="J43" s="4"/>
    </row>
    <row r="44" spans="1:10">
      <c r="A44" s="1760"/>
      <c r="B44" s="1876"/>
      <c r="C44" s="99" t="s">
        <v>50</v>
      </c>
      <c r="D44" s="300">
        <f>'2.CT1A'!D78</f>
        <v>0</v>
      </c>
      <c r="E44" s="640">
        <v>0</v>
      </c>
      <c r="F44" s="640">
        <v>0</v>
      </c>
      <c r="G44" s="640">
        <v>0</v>
      </c>
      <c r="H44" s="640">
        <v>0</v>
      </c>
      <c r="I44" s="640">
        <v>0</v>
      </c>
      <c r="J44" s="4"/>
    </row>
    <row r="45" spans="1:10">
      <c r="A45" s="1759">
        <v>6</v>
      </c>
      <c r="B45" s="1874" t="s">
        <v>74</v>
      </c>
      <c r="C45" s="99" t="s">
        <v>49</v>
      </c>
      <c r="D45" s="300">
        <f>'2.CT1A'!C79</f>
        <v>0</v>
      </c>
      <c r="E45" s="640">
        <v>0</v>
      </c>
      <c r="F45" s="640">
        <v>0</v>
      </c>
      <c r="G45" s="640">
        <v>0</v>
      </c>
      <c r="H45" s="640">
        <v>0</v>
      </c>
      <c r="I45" s="640">
        <v>0</v>
      </c>
      <c r="J45" s="4"/>
    </row>
    <row r="46" spans="1:10">
      <c r="A46" s="1785"/>
      <c r="B46" s="1875"/>
      <c r="C46" s="99" t="s">
        <v>1277</v>
      </c>
      <c r="D46" s="641">
        <f>'10.CTT5'!L10</f>
        <v>0</v>
      </c>
      <c r="E46" s="640">
        <v>0</v>
      </c>
      <c r="F46" s="640">
        <v>0</v>
      </c>
      <c r="G46" s="640">
        <v>0</v>
      </c>
      <c r="H46" s="640">
        <v>0</v>
      </c>
      <c r="I46" s="640">
        <v>0</v>
      </c>
      <c r="J46" s="4"/>
    </row>
    <row r="47" spans="1:10">
      <c r="A47" s="1785"/>
      <c r="B47" s="1875"/>
      <c r="C47" s="99" t="s">
        <v>1278</v>
      </c>
      <c r="D47" s="641">
        <f>'10.CTT5'!L16</f>
        <v>0</v>
      </c>
      <c r="E47" s="640">
        <v>0</v>
      </c>
      <c r="F47" s="640">
        <v>0</v>
      </c>
      <c r="G47" s="640">
        <v>0</v>
      </c>
      <c r="H47" s="640">
        <v>0</v>
      </c>
      <c r="I47" s="640">
        <v>0</v>
      </c>
      <c r="J47" s="4"/>
    </row>
    <row r="48" spans="1:10">
      <c r="A48" s="1760"/>
      <c r="B48" s="1876"/>
      <c r="C48" s="99" t="s">
        <v>50</v>
      </c>
      <c r="D48" s="300">
        <f>'2.CT1A'!D79</f>
        <v>0</v>
      </c>
      <c r="E48" s="640">
        <v>0</v>
      </c>
      <c r="F48" s="640">
        <v>0</v>
      </c>
      <c r="G48" s="640">
        <v>0</v>
      </c>
      <c r="H48" s="640">
        <v>0</v>
      </c>
      <c r="I48" s="640">
        <v>0</v>
      </c>
      <c r="J48" s="4"/>
    </row>
    <row r="49" spans="1:10">
      <c r="A49" s="1759">
        <v>6</v>
      </c>
      <c r="B49" s="1874" t="s">
        <v>75</v>
      </c>
      <c r="C49" s="99" t="s">
        <v>49</v>
      </c>
      <c r="D49" s="300">
        <f>'2.CT1A'!C80</f>
        <v>0</v>
      </c>
      <c r="E49" s="640">
        <v>0</v>
      </c>
      <c r="F49" s="640">
        <v>0</v>
      </c>
      <c r="G49" s="640">
        <v>0</v>
      </c>
      <c r="H49" s="640">
        <v>0</v>
      </c>
      <c r="I49" s="640">
        <v>0</v>
      </c>
      <c r="J49" s="4"/>
    </row>
    <row r="50" spans="1:10">
      <c r="A50" s="1785"/>
      <c r="B50" s="1875"/>
      <c r="C50" s="99" t="s">
        <v>1277</v>
      </c>
      <c r="D50" s="641">
        <f>'10.CTT5'!M10</f>
        <v>0</v>
      </c>
      <c r="E50" s="640">
        <v>0</v>
      </c>
      <c r="F50" s="640">
        <v>0</v>
      </c>
      <c r="G50" s="640">
        <v>0</v>
      </c>
      <c r="H50" s="640">
        <v>0</v>
      </c>
      <c r="I50" s="640">
        <v>0</v>
      </c>
      <c r="J50" s="4"/>
    </row>
    <row customHeight="1" ht="15" r="51" spans="1:10">
      <c r="A51" s="1785"/>
      <c r="B51" s="1875"/>
      <c r="C51" s="99" t="s">
        <v>1278</v>
      </c>
      <c r="D51" s="641">
        <f>'10.CTT5'!M16</f>
        <v>0</v>
      </c>
      <c r="E51" s="640">
        <v>0</v>
      </c>
      <c r="F51" s="640">
        <v>0</v>
      </c>
      <c r="G51" s="640">
        <v>0</v>
      </c>
      <c r="H51" s="640">
        <v>0</v>
      </c>
      <c r="I51" s="640">
        <v>0</v>
      </c>
      <c r="J51" s="4"/>
    </row>
    <row r="52" spans="1:10">
      <c r="A52" s="1760"/>
      <c r="B52" s="1876"/>
      <c r="C52" s="99" t="s">
        <v>50</v>
      </c>
      <c r="D52" s="300">
        <f>'2.CT1A'!D80</f>
        <v>0</v>
      </c>
      <c r="E52" s="640">
        <v>0</v>
      </c>
      <c r="F52" s="640">
        <v>0</v>
      </c>
      <c r="G52" s="640">
        <v>0</v>
      </c>
      <c r="H52" s="640">
        <v>0</v>
      </c>
      <c r="I52" s="640">
        <v>0</v>
      </c>
      <c r="J52" s="4"/>
    </row>
    <row r="53" spans="1:10">
      <c r="A53" s="1759">
        <v>6</v>
      </c>
      <c r="B53" s="1874" t="s">
        <v>559</v>
      </c>
      <c r="C53" s="99" t="s">
        <v>49</v>
      </c>
      <c r="D53" s="300">
        <f>'2.CT1A'!C81</f>
        <v>0</v>
      </c>
      <c r="E53" s="640">
        <v>0</v>
      </c>
      <c r="F53" s="640">
        <v>0</v>
      </c>
      <c r="G53" s="640">
        <v>0</v>
      </c>
      <c r="H53" s="640">
        <v>0</v>
      </c>
      <c r="I53" s="640">
        <v>0</v>
      </c>
      <c r="J53" s="4"/>
    </row>
    <row r="54" spans="1:10">
      <c r="A54" s="1785"/>
      <c r="B54" s="1875"/>
      <c r="C54" s="99" t="s">
        <v>1277</v>
      </c>
      <c r="D54" s="644">
        <f>'10.CTT5'!N10</f>
        <v>0</v>
      </c>
      <c r="E54" s="640">
        <v>0</v>
      </c>
      <c r="F54" s="640">
        <v>0</v>
      </c>
      <c r="G54" s="640">
        <v>0</v>
      </c>
      <c r="H54" s="640">
        <v>0</v>
      </c>
      <c r="I54" s="640">
        <v>0</v>
      </c>
      <c r="J54" s="4"/>
    </row>
    <row r="55" spans="1:10">
      <c r="A55" s="1785"/>
      <c r="B55" s="1875"/>
      <c r="C55" s="99" t="s">
        <v>1278</v>
      </c>
      <c r="D55" s="644">
        <f>'10.CTT5'!N16</f>
        <v>0</v>
      </c>
      <c r="E55" s="640">
        <v>0</v>
      </c>
      <c r="F55" s="640">
        <v>0</v>
      </c>
      <c r="G55" s="640">
        <v>0</v>
      </c>
      <c r="H55" s="640">
        <v>0</v>
      </c>
      <c r="I55" s="640">
        <v>0</v>
      </c>
      <c r="J55" s="4"/>
    </row>
    <row r="56" spans="1:10">
      <c r="A56" s="1760"/>
      <c r="B56" s="1876"/>
      <c r="C56" s="99" t="s">
        <v>50</v>
      </c>
      <c r="D56" s="300">
        <f>'2.CT1A'!D81</f>
        <v>0</v>
      </c>
      <c r="E56" s="640">
        <v>0</v>
      </c>
      <c r="F56" s="640">
        <v>0</v>
      </c>
      <c r="G56" s="640">
        <v>0</v>
      </c>
      <c r="H56" s="640">
        <v>0</v>
      </c>
      <c r="I56" s="640">
        <v>0</v>
      </c>
      <c r="J56" s="4"/>
    </row>
    <row customFormat="1" r="57" s="609" spans="1:10">
      <c r="A57" s="1759">
        <v>6</v>
      </c>
      <c r="B57" s="1874" t="s">
        <v>76</v>
      </c>
      <c r="C57" s="604" t="s">
        <v>49</v>
      </c>
      <c r="D57" s="300">
        <f>'2.CT1A'!C82</f>
        <v>0</v>
      </c>
      <c r="E57" s="640">
        <v>0</v>
      </c>
      <c r="F57" s="640">
        <v>0</v>
      </c>
      <c r="G57" s="640">
        <v>0</v>
      </c>
      <c r="H57" s="640">
        <v>0</v>
      </c>
      <c r="I57" s="640">
        <v>0</v>
      </c>
      <c r="J57" s="4"/>
    </row>
    <row customFormat="1" r="58" s="609" spans="1:10">
      <c r="A58" s="1785"/>
      <c r="B58" s="1875"/>
      <c r="C58" s="604" t="s">
        <v>1277</v>
      </c>
      <c r="D58" s="645">
        <f>'10.CTT5'!O10</f>
        <v>0</v>
      </c>
      <c r="E58" s="640">
        <v>0</v>
      </c>
      <c r="F58" s="640">
        <v>0</v>
      </c>
      <c r="G58" s="640">
        <v>0</v>
      </c>
      <c r="H58" s="640">
        <v>0</v>
      </c>
      <c r="I58" s="640">
        <v>0</v>
      </c>
      <c r="J58" s="4"/>
    </row>
    <row customFormat="1" r="59" s="609" spans="1:10">
      <c r="A59" s="1785"/>
      <c r="B59" s="1875"/>
      <c r="C59" s="604" t="s">
        <v>1278</v>
      </c>
      <c r="D59" s="643">
        <f>'10.CTT5'!O16</f>
        <v>0</v>
      </c>
      <c r="E59" s="640">
        <v>0</v>
      </c>
      <c r="F59" s="640">
        <v>0</v>
      </c>
      <c r="G59" s="640">
        <v>0</v>
      </c>
      <c r="H59" s="640">
        <v>0</v>
      </c>
      <c r="I59" s="640">
        <v>0</v>
      </c>
      <c r="J59" s="4"/>
    </row>
    <row customFormat="1" r="60" s="609" spans="1:10">
      <c r="A60" s="1760"/>
      <c r="B60" s="1876"/>
      <c r="C60" s="604" t="s">
        <v>50</v>
      </c>
      <c r="D60" s="300">
        <f>'2.CT1A'!D82</f>
        <v>0</v>
      </c>
      <c r="E60" s="640">
        <v>0</v>
      </c>
      <c r="F60" s="640">
        <v>0</v>
      </c>
      <c r="G60" s="640">
        <v>0</v>
      </c>
      <c r="H60" s="640">
        <v>0</v>
      </c>
      <c r="I60" s="640">
        <v>0</v>
      </c>
      <c r="J60" s="4"/>
    </row>
    <row r="61" spans="1:10">
      <c r="A61" s="1759">
        <v>6</v>
      </c>
      <c r="B61" s="1874" t="s">
        <v>77</v>
      </c>
      <c r="C61" s="99" t="s">
        <v>49</v>
      </c>
      <c r="D61" s="300">
        <f>'2.CT1A'!C83</f>
        <v>0</v>
      </c>
      <c r="E61" s="640">
        <v>0</v>
      </c>
      <c r="F61" s="640">
        <v>0</v>
      </c>
      <c r="G61" s="640">
        <v>0</v>
      </c>
      <c r="H61" s="640">
        <v>0</v>
      </c>
      <c r="I61" s="640">
        <v>0</v>
      </c>
      <c r="J61" s="4"/>
    </row>
    <row r="62" spans="1:10">
      <c r="A62" s="1785"/>
      <c r="B62" s="1875"/>
      <c r="C62" s="99" t="s">
        <v>1277</v>
      </c>
      <c r="D62" s="645">
        <f>'10.CTT5'!P10</f>
        <v>0</v>
      </c>
      <c r="E62" s="640">
        <v>0</v>
      </c>
      <c r="F62" s="640">
        <v>0</v>
      </c>
      <c r="G62" s="640">
        <v>0</v>
      </c>
      <c r="H62" s="640">
        <v>0</v>
      </c>
      <c r="I62" s="640">
        <v>0</v>
      </c>
      <c r="J62" s="4"/>
    </row>
    <row r="63" spans="1:10">
      <c r="A63" s="1785"/>
      <c r="B63" s="1875"/>
      <c r="C63" s="99" t="s">
        <v>1278</v>
      </c>
      <c r="D63" s="643">
        <f>'10.CTT5'!P16</f>
        <v>0</v>
      </c>
      <c r="E63" s="640">
        <v>0</v>
      </c>
      <c r="F63" s="640">
        <v>0</v>
      </c>
      <c r="G63" s="640">
        <v>0</v>
      </c>
      <c r="H63" s="640">
        <v>0</v>
      </c>
      <c r="I63" s="640">
        <v>0</v>
      </c>
      <c r="J63" s="4"/>
    </row>
    <row r="64" spans="1:10">
      <c r="A64" s="1760"/>
      <c r="B64" s="1876"/>
      <c r="C64" s="99" t="s">
        <v>50</v>
      </c>
      <c r="D64" s="300">
        <f>'2.CT1A'!D83</f>
        <v>0</v>
      </c>
      <c r="E64" s="640">
        <v>0</v>
      </c>
      <c r="F64" s="640">
        <v>0</v>
      </c>
      <c r="G64" s="640">
        <v>0</v>
      </c>
      <c r="H64" s="640">
        <v>0</v>
      </c>
      <c r="I64" s="640">
        <v>0</v>
      </c>
      <c r="J64" s="4"/>
    </row>
    <row r="65" spans="1:10">
      <c r="A65" s="1781"/>
      <c r="B65" s="1806" t="s">
        <v>1328</v>
      </c>
      <c r="C65" s="99" t="s">
        <v>49</v>
      </c>
      <c r="D65" s="301">
        <f>SUM(D9+D13+D17+D21+D25+D29+D33+D37+D41+D45+D49+D53+D57+D61)</f>
        <v>0</v>
      </c>
      <c r="E65" s="301">
        <f ref="E65:J65" si="0" t="shared">SUM(E9+E13+E17+E21+E25+E29+E33+E37+E41+E45+E49+E53+E57+E61)</f>
        <v>0</v>
      </c>
      <c r="F65" s="301">
        <f si="0" t="shared"/>
        <v>0</v>
      </c>
      <c r="G65" s="301">
        <f si="0" t="shared"/>
        <v>0</v>
      </c>
      <c r="H65" s="301">
        <f si="0" t="shared"/>
        <v>0</v>
      </c>
      <c r="I65" s="301">
        <f si="0" t="shared"/>
        <v>0</v>
      </c>
      <c r="J65" s="301">
        <f si="0" t="shared"/>
        <v>0</v>
      </c>
    </row>
    <row r="66" spans="1:10">
      <c r="A66" s="1781"/>
      <c r="B66" s="1806"/>
      <c r="C66" s="99" t="s">
        <v>1277</v>
      </c>
      <c r="D66" s="643">
        <f ref="D66:J68" si="1" t="shared">SUM(D10+D14+D18+D22+D26+D30+D34+D38+D42+D46+D50+D54+D58+D62)</f>
        <v>0</v>
      </c>
      <c r="E66" s="301">
        <f si="1" t="shared"/>
        <v>0</v>
      </c>
      <c r="F66" s="301">
        <f si="1" t="shared"/>
        <v>0</v>
      </c>
      <c r="G66" s="301">
        <f si="1" t="shared"/>
        <v>0</v>
      </c>
      <c r="H66" s="301">
        <f si="1" t="shared"/>
        <v>0</v>
      </c>
      <c r="I66" s="301">
        <f si="1" t="shared"/>
        <v>0</v>
      </c>
      <c r="J66" s="301">
        <f si="1" t="shared"/>
        <v>0</v>
      </c>
    </row>
    <row r="67" spans="1:10">
      <c r="A67" s="1781"/>
      <c r="B67" s="1806"/>
      <c r="C67" s="99" t="s">
        <v>1278</v>
      </c>
      <c r="D67" s="643">
        <f si="1" t="shared"/>
        <v>0</v>
      </c>
      <c r="E67" s="301">
        <f si="1" t="shared"/>
        <v>0</v>
      </c>
      <c r="F67" s="301">
        <f si="1" t="shared"/>
        <v>0</v>
      </c>
      <c r="G67" s="301">
        <f si="1" t="shared"/>
        <v>0</v>
      </c>
      <c r="H67" s="301">
        <f si="1" t="shared"/>
        <v>0</v>
      </c>
      <c r="I67" s="301">
        <f si="1" t="shared"/>
        <v>0</v>
      </c>
      <c r="J67" s="301">
        <f si="1" t="shared"/>
        <v>0</v>
      </c>
    </row>
    <row r="68" spans="1:10">
      <c r="A68" s="1781"/>
      <c r="B68" s="1806"/>
      <c r="C68" s="99" t="s">
        <v>50</v>
      </c>
      <c r="D68" s="301">
        <f si="1" t="shared"/>
        <v>0</v>
      </c>
      <c r="E68" s="301">
        <f si="1" t="shared"/>
        <v>0</v>
      </c>
      <c r="F68" s="301">
        <f si="1" t="shared"/>
        <v>0</v>
      </c>
      <c r="G68" s="301">
        <f si="1" t="shared"/>
        <v>0</v>
      </c>
      <c r="H68" s="301">
        <f si="1" t="shared"/>
        <v>0</v>
      </c>
      <c r="I68" s="301">
        <f si="1" t="shared"/>
        <v>0</v>
      </c>
      <c r="J68" s="301">
        <f si="1" t="shared"/>
        <v>0</v>
      </c>
    </row>
    <row r="69" spans="1:10">
      <c r="A69" s="60"/>
      <c r="B69" s="638"/>
      <c r="C69" s="60"/>
      <c r="D69" s="294">
        <f>+D65+D66-D67-D68</f>
        <v>0</v>
      </c>
      <c r="E69" s="294">
        <f>+E65+E66-E67-E68</f>
        <v>0</v>
      </c>
      <c r="F69" s="294">
        <f ref="F69:J69" si="2" t="shared">+F65+F66-F67-F68</f>
        <v>0</v>
      </c>
      <c r="G69" s="294">
        <f si="2" t="shared"/>
        <v>0</v>
      </c>
      <c r="H69" s="294">
        <f si="2" t="shared"/>
        <v>0</v>
      </c>
      <c r="I69" s="294">
        <f si="2" t="shared"/>
        <v>0</v>
      </c>
      <c r="J69" s="294">
        <f si="2" t="shared"/>
        <v>0</v>
      </c>
    </row>
    <row r="71" spans="1:10">
      <c r="B71" s="605"/>
      <c r="C71" s="583" t="s">
        <v>1897</v>
      </c>
      <c r="D71" s="406"/>
      <c r="E71" s="586"/>
      <c r="F71" s="586"/>
      <c r="G71" s="586"/>
      <c r="I71" s="1849"/>
      <c r="J71" s="1849"/>
    </row>
    <row r="72" spans="1:10">
      <c r="C72" s="406">
        <f>+ЧХ!$C$15</f>
        <v>0</v>
      </c>
      <c r="D72" s="406"/>
      <c r="F72" s="586"/>
      <c r="G72" s="586"/>
    </row>
    <row r="73" spans="1:10">
      <c r="B73" s="605"/>
      <c r="C73" s="406"/>
      <c r="D73" s="91"/>
      <c r="E73" s="573">
        <f>+ЧХ!$C$16</f>
        <v>0</v>
      </c>
      <c r="F73" s="590"/>
      <c r="G73" s="590"/>
      <c r="H73" s="91"/>
      <c r="I73" s="1849"/>
      <c r="J73" s="1849"/>
    </row>
    <row r="74" spans="1:10">
      <c r="C74" s="583" t="s">
        <v>2368</v>
      </c>
      <c r="D74" s="406"/>
      <c r="E74" s="590"/>
      <c r="F74" s="586"/>
      <c r="G74" s="586"/>
    </row>
    <row r="75" spans="1:10">
      <c r="B75" s="605"/>
      <c r="C75" s="406" t="str">
        <f>+ЧХ!$B$6</f>
        <v>Аудитын менежер</v>
      </c>
      <c r="D75" s="406"/>
      <c r="E75" s="586"/>
      <c r="F75" s="590"/>
      <c r="G75" s="590"/>
      <c r="H75" s="91"/>
      <c r="I75" s="1849"/>
      <c r="J75" s="1849"/>
    </row>
    <row r="76" spans="1:10">
      <c r="B76" s="605"/>
      <c r="C76" s="406"/>
      <c r="D76" s="91"/>
      <c r="E76" s="573">
        <f>+ЧХ!$C$6</f>
        <v>0</v>
      </c>
      <c r="F76" s="586"/>
      <c r="G76" s="586"/>
    </row>
    <row r="77" spans="1:10">
      <c r="B77" s="605"/>
      <c r="C77" s="406" t="s">
        <v>2369</v>
      </c>
      <c r="D77" s="406"/>
      <c r="E77" s="586"/>
      <c r="F77" s="586"/>
      <c r="G77" s="586"/>
    </row>
    <row r="78" spans="1:10">
      <c r="B78" s="605"/>
      <c r="C78" s="406" t="str">
        <f>+ЧХ!$B$5</f>
        <v>Тэргүүлэх аудитор</v>
      </c>
      <c r="D78" s="406"/>
      <c r="E78" s="586"/>
      <c r="F78" s="586"/>
      <c r="G78" s="586"/>
    </row>
    <row r="79" spans="1:10">
      <c r="E79" s="574" t="str">
        <f>+ЧХ!$C$5</f>
        <v>С.Энхбаатар</v>
      </c>
    </row>
    <row r="81" spans="3:3">
      <c r="C81" s="406" t="str">
        <f>+ЧХ!$B$6&amp;"ийн санал: ………………………………………………………………………………………"</f>
        <v>Аудитын менежерийн санал: ………………………………………………………………………………………</v>
      </c>
    </row>
    <row r="82" spans="3:3">
      <c r="C82" s="406"/>
    </row>
    <row r="83" spans="3:3">
      <c r="C83" s="406"/>
    </row>
    <row r="84" spans="3:3">
      <c r="C84" s="406" t="str">
        <f>+ЧХ!$B$5&amp;"ын санал: ..........................................................................................................."</f>
        <v>Тэргүүлэх аудиторын санал: ...........................................................................................................</v>
      </c>
    </row>
  </sheetData>
  <mergeCells count="41">
    <mergeCell ref="A57:A60"/>
    <mergeCell ref="B57:B60"/>
    <mergeCell ref="I73:J73"/>
    <mergeCell ref="I75:J75"/>
    <mergeCell ref="A61:A64"/>
    <mergeCell ref="B61:B64"/>
    <mergeCell ref="A65:A68"/>
    <mergeCell ref="B65:B68"/>
    <mergeCell ref="I71:J71"/>
    <mergeCell ref="A45:A48"/>
    <mergeCell ref="B45:B48"/>
    <mergeCell ref="A49:A52"/>
    <mergeCell ref="B49:B52"/>
    <mergeCell ref="A53:A56"/>
    <mergeCell ref="B53:B56"/>
    <mergeCell ref="A33:A36"/>
    <mergeCell ref="B33:B36"/>
    <mergeCell ref="A37:A40"/>
    <mergeCell ref="B37:B40"/>
    <mergeCell ref="A41:A44"/>
    <mergeCell ref="B41:B44"/>
    <mergeCell ref="A21:A24"/>
    <mergeCell ref="B21:B24"/>
    <mergeCell ref="A25:A28"/>
    <mergeCell ref="B25:B28"/>
    <mergeCell ref="A29:A32"/>
    <mergeCell ref="B29:B32"/>
    <mergeCell ref="A9:A12"/>
    <mergeCell ref="B9:B12"/>
    <mergeCell ref="A13:A16"/>
    <mergeCell ref="B13:B16"/>
    <mergeCell ref="A17:A20"/>
    <mergeCell ref="B17:B20"/>
    <mergeCell ref="A2:J2"/>
    <mergeCell ref="A7:A8"/>
    <mergeCell ref="B7:B8"/>
    <mergeCell ref="C7:C8"/>
    <mergeCell ref="D7:D8"/>
    <mergeCell ref="E7:I7"/>
    <mergeCell ref="J7:J8"/>
    <mergeCell ref="C4:H4"/>
  </mergeCells>
  <pageMargins bottom="0.75" footer="0.3" header="0.3" left="0.7" right="0.7" top="0.75"/>
  <pageSetup orientation="landscape" r:id="rId1" scale="80"/>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78"/>
  <sheetViews>
    <sheetView workbookViewId="0" zoomScale="82" zoomScaleNormal="82">
      <selection activeCell="G1" sqref="G1"/>
    </sheetView>
  </sheetViews>
  <sheetFormatPr defaultRowHeight="12.75"/>
  <cols>
    <col min="1" max="1" customWidth="true" style="91" width="4.7109375" collapsed="false"/>
    <col min="2" max="2" customWidth="true" style="91" width="12.85546875" collapsed="false"/>
    <col min="3" max="3" customWidth="true" style="91" width="20.42578125" collapsed="false"/>
    <col min="4" max="4" customWidth="true" style="646" width="19.5703125" collapsed="false"/>
    <col min="5" max="7" bestFit="true" customWidth="true" style="291" width="17.7109375" collapsed="false"/>
    <col min="8" max="8" customWidth="true" style="291" width="16.85546875" collapsed="false"/>
    <col min="9" max="9" customWidth="true" style="291" width="18.0" collapsed="false"/>
    <col min="10" max="10" customWidth="true" style="291" width="14.140625" collapsed="false"/>
    <col min="11" max="16384" style="91" width="9.140625" collapsed="false"/>
  </cols>
  <sheetData>
    <row r="1" spans="1:10">
      <c r="A1" s="6"/>
      <c r="I1" s="1884" t="s">
        <v>1678</v>
      </c>
      <c r="J1" s="1884"/>
    </row>
    <row r="2" spans="1:10">
      <c r="A2" s="1704" t="s">
        <v>1677</v>
      </c>
      <c r="B2" s="1704"/>
      <c r="C2" s="1704"/>
      <c r="D2" s="1704"/>
      <c r="E2" s="1704"/>
      <c r="F2" s="1704"/>
      <c r="G2" s="1704"/>
      <c r="H2" s="1704"/>
      <c r="I2" s="1704"/>
      <c r="J2" s="1704"/>
    </row>
    <row customFormat="1" r="3" s="609" spans="1:10">
      <c r="A3" s="611"/>
      <c r="B3" s="406"/>
      <c r="C3" s="406"/>
      <c r="D3" s="41"/>
      <c r="E3" s="406"/>
      <c r="F3" s="406"/>
      <c r="G3" s="406"/>
      <c r="H3" s="406"/>
      <c r="I3" s="406"/>
      <c r="J3" s="406"/>
    </row>
    <row customFormat="1" customHeight="1" ht="17.25" r="4" s="609" spans="1:10">
      <c r="B4" s="406"/>
      <c r="C4" s="1859" t="str">
        <f>"Байгууллагын нэр: "&amp;ЧХ!$C$7</f>
        <v xml:space="preserve">Байгууллагын нэр: </v>
      </c>
      <c r="D4" s="1859"/>
      <c r="E4" s="1859"/>
      <c r="F4" s="1859"/>
      <c r="G4" s="1859"/>
      <c r="H4" s="1095"/>
      <c r="J4" s="608"/>
    </row>
    <row customFormat="1" r="5" s="609" spans="1:10">
      <c r="B5" s="406"/>
      <c r="C5" s="607" t="str">
        <f>"тайлант он: " &amp;ЧХ!$C$8</f>
        <v xml:space="preserve">тайлант он: </v>
      </c>
      <c r="D5" s="41"/>
      <c r="E5" s="406"/>
      <c r="F5" s="406"/>
      <c r="G5" s="406"/>
      <c r="H5" s="406"/>
      <c r="I5" s="608"/>
    </row>
    <row customFormat="1" r="6" s="609" spans="1:10">
      <c r="B6" s="406"/>
      <c r="C6" s="549"/>
      <c r="D6" s="41"/>
      <c r="E6" s="406"/>
      <c r="F6" s="406"/>
      <c r="G6" s="406"/>
      <c r="H6" s="406"/>
      <c r="I6" s="608"/>
      <c r="J6" s="549" t="s">
        <v>1364</v>
      </c>
    </row>
    <row customHeight="1" ht="28.5" r="7" spans="1:10">
      <c r="A7" s="1781" t="s">
        <v>1267</v>
      </c>
      <c r="B7" s="1781" t="s">
        <v>1268</v>
      </c>
      <c r="C7" s="1781" t="s">
        <v>12</v>
      </c>
      <c r="D7" s="1885" t="s">
        <v>1269</v>
      </c>
      <c r="E7" s="1866" t="s">
        <v>1270</v>
      </c>
      <c r="F7" s="1866"/>
      <c r="G7" s="1866"/>
      <c r="H7" s="1866"/>
      <c r="I7" s="1866"/>
      <c r="J7" s="1867" t="s">
        <v>701</v>
      </c>
    </row>
    <row customHeight="1" ht="35.25" r="8" spans="1:10">
      <c r="A8" s="1781"/>
      <c r="B8" s="1781"/>
      <c r="C8" s="1781"/>
      <c r="D8" s="1885"/>
      <c r="E8" s="296" t="s">
        <v>1271</v>
      </c>
      <c r="F8" s="296" t="s">
        <v>1272</v>
      </c>
      <c r="G8" s="296" t="s">
        <v>1333</v>
      </c>
      <c r="H8" s="296" t="s">
        <v>1334</v>
      </c>
      <c r="I8" s="296" t="s">
        <v>1275</v>
      </c>
      <c r="J8" s="1867"/>
    </row>
    <row r="9" spans="1:10">
      <c r="A9" s="1781">
        <v>1</v>
      </c>
      <c r="B9" s="1710" t="s">
        <v>1335</v>
      </c>
      <c r="C9" s="626" t="s">
        <v>49</v>
      </c>
      <c r="D9" s="650">
        <f>+'2.CT1A'!C116</f>
        <v>0</v>
      </c>
      <c r="E9" s="3">
        <v>0</v>
      </c>
      <c r="F9" s="3">
        <v>0</v>
      </c>
      <c r="G9" s="3">
        <f>'12.CTT7'!C10</f>
        <v>0</v>
      </c>
      <c r="H9" s="3">
        <v>0</v>
      </c>
      <c r="I9" s="3">
        <v>0</v>
      </c>
      <c r="J9" s="3"/>
    </row>
    <row r="10" spans="1:10">
      <c r="A10" s="1781"/>
      <c r="B10" s="1710"/>
      <c r="C10" s="626" t="s">
        <v>1277</v>
      </c>
      <c r="D10" s="659"/>
      <c r="E10" s="3">
        <v>0</v>
      </c>
      <c r="F10" s="3">
        <v>0</v>
      </c>
      <c r="G10" s="3">
        <f>'12.CTT7'!C11</f>
        <v>0</v>
      </c>
      <c r="H10" s="3">
        <v>0</v>
      </c>
      <c r="I10" s="3">
        <v>0</v>
      </c>
      <c r="J10" s="4"/>
    </row>
    <row r="11" spans="1:10">
      <c r="A11" s="1781"/>
      <c r="B11" s="1710"/>
      <c r="C11" s="626" t="s">
        <v>1278</v>
      </c>
      <c r="D11" s="659"/>
      <c r="E11" s="3">
        <v>0</v>
      </c>
      <c r="F11" s="3">
        <v>0</v>
      </c>
      <c r="G11" s="3">
        <f>'12.CTT7'!C18</f>
        <v>0</v>
      </c>
      <c r="H11" s="3">
        <v>0</v>
      </c>
      <c r="I11" s="3">
        <v>0</v>
      </c>
      <c r="J11" s="4"/>
    </row>
    <row customHeight="1" ht="11.25" r="12" spans="1:10">
      <c r="A12" s="1781"/>
      <c r="B12" s="1710"/>
      <c r="C12" s="626" t="s">
        <v>50</v>
      </c>
      <c r="D12" s="650">
        <f>+'2.CT1A'!D116</f>
        <v>0</v>
      </c>
      <c r="E12" s="3">
        <v>0</v>
      </c>
      <c r="F12" s="3">
        <v>0</v>
      </c>
      <c r="G12" s="3">
        <f>'12.CTT7'!C25</f>
        <v>0</v>
      </c>
      <c r="H12" s="3">
        <v>0</v>
      </c>
      <c r="I12" s="3">
        <v>0</v>
      </c>
      <c r="J12" s="4"/>
    </row>
    <row customHeight="1" ht="12.75" r="13" spans="1:10">
      <c r="A13" s="1781">
        <v>2</v>
      </c>
      <c r="B13" s="1710" t="s">
        <v>1336</v>
      </c>
      <c r="C13" s="626" t="s">
        <v>49</v>
      </c>
      <c r="D13" s="650">
        <f>+'2.CT1A'!C118</f>
        <v>0</v>
      </c>
      <c r="E13" s="3">
        <v>0</v>
      </c>
      <c r="F13" s="3">
        <v>0</v>
      </c>
      <c r="G13" s="3">
        <f>'12.CTT7'!D10</f>
        <v>0</v>
      </c>
      <c r="H13" s="3">
        <v>0</v>
      </c>
      <c r="I13" s="3">
        <v>0</v>
      </c>
      <c r="J13" s="4"/>
    </row>
    <row r="14" spans="1:10">
      <c r="A14" s="1781"/>
      <c r="B14" s="1710"/>
      <c r="C14" s="626" t="s">
        <v>1277</v>
      </c>
      <c r="D14" s="659"/>
      <c r="E14" s="3">
        <v>0</v>
      </c>
      <c r="F14" s="3">
        <v>0</v>
      </c>
      <c r="G14" s="3">
        <f>'12.CTT7'!C11</f>
        <v>0</v>
      </c>
      <c r="H14" s="3">
        <v>0</v>
      </c>
      <c r="I14" s="3">
        <v>0</v>
      </c>
      <c r="J14" s="4"/>
    </row>
    <row r="15" spans="1:10">
      <c r="A15" s="1781"/>
      <c r="B15" s="1710"/>
      <c r="C15" s="626" t="s">
        <v>1278</v>
      </c>
      <c r="D15" s="659"/>
      <c r="E15" s="3">
        <v>0</v>
      </c>
      <c r="F15" s="3">
        <v>0</v>
      </c>
      <c r="G15" s="3">
        <f>'12.CTT7'!D18</f>
        <v>0</v>
      </c>
      <c r="H15" s="3">
        <v>0</v>
      </c>
      <c r="I15" s="3">
        <v>0</v>
      </c>
      <c r="J15" s="4"/>
    </row>
    <row customHeight="1" ht="16.5" r="16" spans="1:10">
      <c r="A16" s="1781"/>
      <c r="B16" s="1710"/>
      <c r="C16" s="626" t="s">
        <v>50</v>
      </c>
      <c r="D16" s="650">
        <f>+'2.CT1A'!D118</f>
        <v>0</v>
      </c>
      <c r="E16" s="3">
        <v>0</v>
      </c>
      <c r="F16" s="3">
        <v>0</v>
      </c>
      <c r="G16" s="3">
        <f>'12.CTT7'!D25</f>
        <v>0</v>
      </c>
      <c r="H16" s="3">
        <v>0</v>
      </c>
      <c r="I16" s="3">
        <v>0</v>
      </c>
      <c r="J16" s="4"/>
    </row>
    <row customHeight="1" ht="12.75" r="17" spans="1:10">
      <c r="A17" s="1781">
        <v>3</v>
      </c>
      <c r="B17" s="1710" t="s">
        <v>1337</v>
      </c>
      <c r="C17" s="626" t="s">
        <v>49</v>
      </c>
      <c r="D17" s="650">
        <f>+'2.CT1A'!C120</f>
        <v>0</v>
      </c>
      <c r="E17" s="3">
        <v>0</v>
      </c>
      <c r="F17" s="3">
        <v>0</v>
      </c>
      <c r="G17" s="3">
        <f>'12.CTT7'!E10</f>
        <v>0</v>
      </c>
      <c r="H17" s="3">
        <v>0</v>
      </c>
      <c r="I17" s="3">
        <v>0</v>
      </c>
      <c r="J17" s="4"/>
    </row>
    <row r="18" spans="1:10">
      <c r="A18" s="1781"/>
      <c r="B18" s="1710"/>
      <c r="C18" s="626" t="s">
        <v>1277</v>
      </c>
      <c r="D18" s="659"/>
      <c r="E18" s="3">
        <v>0</v>
      </c>
      <c r="F18" s="3">
        <v>0</v>
      </c>
      <c r="G18" s="3">
        <f>'12.CTT7'!E11</f>
        <v>0</v>
      </c>
      <c r="H18" s="3">
        <v>0</v>
      </c>
      <c r="I18" s="3">
        <v>0</v>
      </c>
      <c r="J18" s="4"/>
    </row>
    <row r="19" spans="1:10">
      <c r="A19" s="1781"/>
      <c r="B19" s="1710"/>
      <c r="C19" s="626" t="s">
        <v>1278</v>
      </c>
      <c r="D19" s="659"/>
      <c r="E19" s="3">
        <v>0</v>
      </c>
      <c r="F19" s="3">
        <v>0</v>
      </c>
      <c r="G19" s="3">
        <f>+'12.CTT7'!E18</f>
        <v>0</v>
      </c>
      <c r="H19" s="3">
        <v>0</v>
      </c>
      <c r="I19" s="3">
        <v>0</v>
      </c>
      <c r="J19" s="4"/>
    </row>
    <row customHeight="1" ht="16.5" r="20" spans="1:10">
      <c r="A20" s="1781"/>
      <c r="B20" s="1710"/>
      <c r="C20" s="626" t="s">
        <v>50</v>
      </c>
      <c r="D20" s="650">
        <f>+'2.CT1A'!D120</f>
        <v>0</v>
      </c>
      <c r="E20" s="3">
        <v>0</v>
      </c>
      <c r="F20" s="3">
        <v>0</v>
      </c>
      <c r="G20" s="3">
        <f>'12.CTT7'!E25</f>
        <v>0</v>
      </c>
      <c r="H20" s="3">
        <v>0</v>
      </c>
      <c r="I20" s="3">
        <v>0</v>
      </c>
      <c r="J20" s="4"/>
    </row>
    <row customHeight="1" ht="15" r="21" spans="1:10">
      <c r="A21" s="1781">
        <v>4</v>
      </c>
      <c r="B21" s="1710" t="s">
        <v>1338</v>
      </c>
      <c r="C21" s="626" t="s">
        <v>49</v>
      </c>
      <c r="D21" s="650">
        <f>+'2.CT1A'!C122</f>
        <v>0</v>
      </c>
      <c r="E21" s="3">
        <v>0</v>
      </c>
      <c r="F21" s="3">
        <v>0</v>
      </c>
      <c r="G21" s="3">
        <f>'12.CTT7'!F10</f>
        <v>0</v>
      </c>
      <c r="H21" s="3">
        <v>0</v>
      </c>
      <c r="I21" s="3">
        <v>0</v>
      </c>
      <c r="J21" s="4"/>
    </row>
    <row r="22" spans="1:10">
      <c r="A22" s="1781"/>
      <c r="B22" s="1710"/>
      <c r="C22" s="626" t="s">
        <v>1277</v>
      </c>
      <c r="D22" s="659"/>
      <c r="E22" s="3">
        <v>0</v>
      </c>
      <c r="F22" s="3">
        <v>0</v>
      </c>
      <c r="G22" s="3">
        <f>'12.CTT7'!F11</f>
        <v>0</v>
      </c>
      <c r="H22" s="3">
        <v>0</v>
      </c>
      <c r="I22" s="3">
        <v>0</v>
      </c>
      <c r="J22" s="4"/>
    </row>
    <row r="23" spans="1:10">
      <c r="A23" s="1781"/>
      <c r="B23" s="1710"/>
      <c r="C23" s="626" t="s">
        <v>1278</v>
      </c>
      <c r="D23" s="659"/>
      <c r="E23" s="3">
        <v>0</v>
      </c>
      <c r="F23" s="3">
        <v>0</v>
      </c>
      <c r="G23" s="3">
        <f>'12.CTT7'!F18</f>
        <v>0</v>
      </c>
      <c r="H23" s="3">
        <v>0</v>
      </c>
      <c r="I23" s="3">
        <v>0</v>
      </c>
      <c r="J23" s="4"/>
    </row>
    <row customHeight="1" ht="14.25" r="24" spans="1:10">
      <c r="A24" s="1781"/>
      <c r="B24" s="1710"/>
      <c r="C24" s="626" t="s">
        <v>50</v>
      </c>
      <c r="D24" s="650">
        <f>+'2.CT1A'!D122</f>
        <v>0</v>
      </c>
      <c r="E24" s="3">
        <v>0</v>
      </c>
      <c r="F24" s="3">
        <v>0</v>
      </c>
      <c r="G24" s="3">
        <f>'12.CTT7'!F25</f>
        <v>0</v>
      </c>
      <c r="H24" s="3">
        <v>0</v>
      </c>
      <c r="I24" s="3">
        <v>0</v>
      </c>
      <c r="J24" s="4"/>
    </row>
    <row customFormat="1" customHeight="1" ht="12.75" r="25" s="1524" spans="1:10">
      <c r="A25" s="1781">
        <v>5</v>
      </c>
      <c r="B25" s="1710" t="str">
        <f>'12.CTT7'!G8</f>
        <v>Зам гүүрийн байгууламж</v>
      </c>
      <c r="C25" s="1523" t="s">
        <v>49</v>
      </c>
      <c r="D25" s="650">
        <f>'2.CT1A'!C124</f>
        <v>0</v>
      </c>
      <c r="E25" s="3">
        <v>0</v>
      </c>
      <c r="F25" s="3">
        <v>0</v>
      </c>
      <c r="G25" s="3">
        <f>'12.CTT7'!G10</f>
        <v>0</v>
      </c>
      <c r="H25" s="3">
        <v>0</v>
      </c>
      <c r="I25" s="3">
        <v>0</v>
      </c>
      <c r="J25" s="4"/>
    </row>
    <row customFormat="1" r="26" s="1524" spans="1:10">
      <c r="A26" s="1781"/>
      <c r="B26" s="1710"/>
      <c r="C26" s="1523" t="s">
        <v>1277</v>
      </c>
      <c r="D26" s="659"/>
      <c r="E26" s="3">
        <v>0</v>
      </c>
      <c r="F26" s="3">
        <v>0</v>
      </c>
      <c r="G26" s="3">
        <f>'12.CTT7'!G11</f>
        <v>0</v>
      </c>
      <c r="H26" s="3">
        <v>0</v>
      </c>
      <c r="I26" s="3">
        <v>0</v>
      </c>
      <c r="J26" s="4"/>
    </row>
    <row customFormat="1" r="27" s="1524" spans="1:10">
      <c r="A27" s="1781"/>
      <c r="B27" s="1710"/>
      <c r="C27" s="1523" t="s">
        <v>1278</v>
      </c>
      <c r="D27" s="659"/>
      <c r="E27" s="3">
        <v>0</v>
      </c>
      <c r="F27" s="3">
        <v>0</v>
      </c>
      <c r="G27" s="3">
        <f>'12.CTT7'!G18</f>
        <v>0</v>
      </c>
      <c r="H27" s="3">
        <v>0</v>
      </c>
      <c r="I27" s="3">
        <v>0</v>
      </c>
      <c r="J27" s="4"/>
    </row>
    <row customFormat="1" customHeight="1" ht="17.25" r="28" s="1524" spans="1:10">
      <c r="A28" s="1781"/>
      <c r="B28" s="1710"/>
      <c r="C28" s="1523" t="s">
        <v>50</v>
      </c>
      <c r="D28" s="650">
        <f>+'2.CT1A'!D124</f>
        <v>0</v>
      </c>
      <c r="E28" s="3">
        <v>0</v>
      </c>
      <c r="F28" s="3">
        <v>0</v>
      </c>
      <c r="G28" s="3">
        <f>'12.CTT7'!G25</f>
        <v>0</v>
      </c>
      <c r="H28" s="3">
        <v>0</v>
      </c>
      <c r="I28" s="3">
        <v>0</v>
      </c>
      <c r="J28" s="4"/>
    </row>
    <row customFormat="1" customHeight="1" ht="12.75" r="29" s="1524" spans="1:10">
      <c r="A29" s="1781">
        <v>6</v>
      </c>
      <c r="B29" s="1710" t="str">
        <f>'2.CT1A'!B126</f>
        <v xml:space="preserve">               Батлан хамгаалах, цэргийн зориулалттай тоног төхөөрөмж</v>
      </c>
      <c r="C29" s="1523" t="s">
        <v>49</v>
      </c>
      <c r="D29" s="650">
        <f>'2.CT1A'!C126</f>
        <v>0</v>
      </c>
      <c r="E29" s="3">
        <v>0</v>
      </c>
      <c r="F29" s="3">
        <v>0</v>
      </c>
      <c r="G29" s="3">
        <f>'12.CTT7'!H10</f>
        <v>0</v>
      </c>
      <c r="H29" s="3">
        <v>0</v>
      </c>
      <c r="I29" s="3">
        <v>0</v>
      </c>
      <c r="J29" s="4"/>
    </row>
    <row customFormat="1" r="30" s="1524" spans="1:10">
      <c r="A30" s="1781"/>
      <c r="B30" s="1710"/>
      <c r="C30" s="1523" t="s">
        <v>1277</v>
      </c>
      <c r="D30" s="659"/>
      <c r="E30" s="3">
        <v>0</v>
      </c>
      <c r="F30" s="3">
        <v>0</v>
      </c>
      <c r="G30" s="3">
        <f>'12.CTT7'!H11</f>
        <v>0</v>
      </c>
      <c r="H30" s="3">
        <v>0</v>
      </c>
      <c r="I30" s="3">
        <v>0</v>
      </c>
      <c r="J30" s="4"/>
    </row>
    <row customFormat="1" r="31" s="1524" spans="1:10">
      <c r="A31" s="1781"/>
      <c r="B31" s="1710"/>
      <c r="C31" s="1523" t="s">
        <v>1278</v>
      </c>
      <c r="D31" s="659"/>
      <c r="E31" s="3">
        <v>0</v>
      </c>
      <c r="F31" s="3">
        <v>0</v>
      </c>
      <c r="G31" s="3">
        <f>'12.CTT7'!H18</f>
        <v>0</v>
      </c>
      <c r="H31" s="3">
        <v>0</v>
      </c>
      <c r="I31" s="3">
        <v>0</v>
      </c>
      <c r="J31" s="4"/>
    </row>
    <row customFormat="1" customHeight="1" ht="17.25" r="32" s="1524" spans="1:10">
      <c r="A32" s="1781"/>
      <c r="B32" s="1710"/>
      <c r="C32" s="1523" t="s">
        <v>50</v>
      </c>
      <c r="D32" s="650">
        <f>'2.CT1A'!D126</f>
        <v>0</v>
      </c>
      <c r="E32" s="3">
        <v>0</v>
      </c>
      <c r="F32" s="3">
        <v>0</v>
      </c>
      <c r="G32" s="3">
        <f>'12.CTT7'!H25</f>
        <v>0</v>
      </c>
      <c r="H32" s="3">
        <v>0</v>
      </c>
      <c r="I32" s="3">
        <v>0</v>
      </c>
      <c r="J32" s="4"/>
    </row>
    <row customFormat="1" customHeight="1" ht="12.75" r="33" s="1524" spans="1:10">
      <c r="A33" s="1781">
        <v>7</v>
      </c>
      <c r="B33" s="1886" t="str">
        <f>'2.CT1A'!B128</f>
        <v xml:space="preserve">               Түүх соёл, музейн  дурсгалт зүйлс</v>
      </c>
      <c r="C33" s="1523" t="s">
        <v>49</v>
      </c>
      <c r="D33" s="650">
        <f>'2.CT1A'!C128</f>
        <v>0</v>
      </c>
      <c r="E33" s="3">
        <v>0</v>
      </c>
      <c r="F33" s="3">
        <v>0</v>
      </c>
      <c r="G33" s="3">
        <f>'12.CTT7'!I10</f>
        <v>0</v>
      </c>
      <c r="H33" s="3">
        <v>0</v>
      </c>
      <c r="I33" s="3">
        <v>0</v>
      </c>
      <c r="J33" s="4"/>
    </row>
    <row customFormat="1" r="34" s="1524" spans="1:10">
      <c r="A34" s="1781"/>
      <c r="B34" s="1710"/>
      <c r="C34" s="1523" t="s">
        <v>1277</v>
      </c>
      <c r="D34" s="659"/>
      <c r="E34" s="3">
        <v>0</v>
      </c>
      <c r="F34" s="3">
        <v>0</v>
      </c>
      <c r="G34" s="3">
        <f>'12.CTT7'!I11</f>
        <v>0</v>
      </c>
      <c r="H34" s="3">
        <v>0</v>
      </c>
      <c r="I34" s="3">
        <v>0</v>
      </c>
      <c r="J34" s="4"/>
    </row>
    <row customFormat="1" r="35" s="1524" spans="1:10">
      <c r="A35" s="1781"/>
      <c r="B35" s="1710"/>
      <c r="C35" s="1523" t="s">
        <v>1278</v>
      </c>
      <c r="D35" s="659"/>
      <c r="E35" s="3">
        <v>0</v>
      </c>
      <c r="F35" s="3">
        <v>0</v>
      </c>
      <c r="G35" s="3">
        <f>'12.CTT7'!I18</f>
        <v>0</v>
      </c>
      <c r="H35" s="3">
        <v>0</v>
      </c>
      <c r="I35" s="3">
        <v>0</v>
      </c>
      <c r="J35" s="4"/>
    </row>
    <row customFormat="1" customHeight="1" ht="17.25" r="36" s="1524" spans="1:10">
      <c r="A36" s="1781"/>
      <c r="B36" s="1710"/>
      <c r="C36" s="1523" t="s">
        <v>50</v>
      </c>
      <c r="D36" s="650">
        <f>'2.CT1A'!D128</f>
        <v>0</v>
      </c>
      <c r="E36" s="3">
        <v>0</v>
      </c>
      <c r="F36" s="3">
        <v>0</v>
      </c>
      <c r="G36" s="3">
        <f>'12.CTT7'!I25</f>
        <v>0</v>
      </c>
      <c r="H36" s="3">
        <v>0</v>
      </c>
      <c r="I36" s="3">
        <v>0</v>
      </c>
      <c r="J36" s="4"/>
    </row>
    <row customHeight="1" ht="12.75" r="37" spans="1:10">
      <c r="A37" s="1781">
        <v>8</v>
      </c>
      <c r="B37" s="1710" t="s">
        <v>546</v>
      </c>
      <c r="C37" s="626" t="s">
        <v>49</v>
      </c>
      <c r="D37" s="650">
        <f>'2.CT1A'!C129</f>
        <v>0</v>
      </c>
      <c r="E37" s="3">
        <v>0</v>
      </c>
      <c r="F37" s="3">
        <v>0</v>
      </c>
      <c r="G37" s="3">
        <f>'12.CTT7'!L10</f>
        <v>0</v>
      </c>
      <c r="H37" s="3">
        <v>0</v>
      </c>
      <c r="I37" s="3">
        <v>0</v>
      </c>
      <c r="J37" s="4"/>
    </row>
    <row r="38" spans="1:10">
      <c r="A38" s="1781"/>
      <c r="B38" s="1710"/>
      <c r="C38" s="626" t="s">
        <v>1277</v>
      </c>
      <c r="D38" s="659"/>
      <c r="E38" s="3">
        <v>0</v>
      </c>
      <c r="F38" s="3">
        <v>0</v>
      </c>
      <c r="G38" s="3">
        <f>'12.CTT7'!L11</f>
        <v>0</v>
      </c>
      <c r="H38" s="3">
        <v>0</v>
      </c>
      <c r="I38" s="3">
        <v>0</v>
      </c>
      <c r="J38" s="4"/>
    </row>
    <row r="39" spans="1:10">
      <c r="A39" s="1781"/>
      <c r="B39" s="1710"/>
      <c r="C39" s="626" t="s">
        <v>1278</v>
      </c>
      <c r="D39" s="659"/>
      <c r="E39" s="3">
        <v>0</v>
      </c>
      <c r="F39" s="3">
        <v>0</v>
      </c>
      <c r="G39" s="3">
        <f>'12.CTT7'!L18</f>
        <v>0</v>
      </c>
      <c r="H39" s="3">
        <v>0</v>
      </c>
      <c r="I39" s="3">
        <v>0</v>
      </c>
      <c r="J39" s="4"/>
    </row>
    <row customHeight="1" ht="15.75" r="40" spans="1:10">
      <c r="A40" s="1781"/>
      <c r="B40" s="1710"/>
      <c r="C40" s="626" t="s">
        <v>50</v>
      </c>
      <c r="D40" s="650">
        <f>'2.CT1A'!D129</f>
        <v>0</v>
      </c>
      <c r="E40" s="3">
        <v>0</v>
      </c>
      <c r="F40" s="3">
        <v>0</v>
      </c>
      <c r="G40" s="3">
        <f>'12.CTT7'!L25</f>
        <v>0</v>
      </c>
      <c r="H40" s="3">
        <v>0</v>
      </c>
      <c r="I40" s="3">
        <v>0</v>
      </c>
      <c r="J40" s="4"/>
    </row>
    <row customFormat="1" customHeight="1" ht="12.75" r="41" s="1524" spans="1:10">
      <c r="A41" s="1781">
        <v>9</v>
      </c>
      <c r="B41" s="1886" t="str">
        <f>'2.CT1A'!B131</f>
        <v xml:space="preserve">               Дуусаагүй барилга, байгууламж</v>
      </c>
      <c r="C41" s="1523" t="s">
        <v>49</v>
      </c>
      <c r="D41" s="650">
        <f>'2.CT1A'!C131</f>
        <v>0</v>
      </c>
      <c r="E41" s="3">
        <v>0</v>
      </c>
      <c r="F41" s="3">
        <v>0</v>
      </c>
      <c r="G41" s="3">
        <f>'12.CTT7'!J10</f>
        <v>0</v>
      </c>
      <c r="H41" s="3">
        <v>0</v>
      </c>
      <c r="I41" s="3">
        <v>0</v>
      </c>
      <c r="J41" s="4"/>
    </row>
    <row customFormat="1" r="42" s="1524" spans="1:10">
      <c r="A42" s="1781"/>
      <c r="B42" s="1710"/>
      <c r="C42" s="1523" t="s">
        <v>1277</v>
      </c>
      <c r="D42" s="659"/>
      <c r="E42" s="3">
        <v>0</v>
      </c>
      <c r="F42" s="3">
        <v>0</v>
      </c>
      <c r="G42" s="3">
        <f>'12.CTT7'!J11</f>
        <v>0</v>
      </c>
      <c r="H42" s="3">
        <v>0</v>
      </c>
      <c r="I42" s="3">
        <v>0</v>
      </c>
      <c r="J42" s="4"/>
    </row>
    <row customFormat="1" r="43" s="1524" spans="1:10">
      <c r="A43" s="1781"/>
      <c r="B43" s="1710"/>
      <c r="C43" s="1523" t="s">
        <v>1278</v>
      </c>
      <c r="D43" s="659"/>
      <c r="E43" s="3">
        <v>0</v>
      </c>
      <c r="F43" s="3">
        <v>0</v>
      </c>
      <c r="G43" s="3">
        <f>'12.CTT7'!J18</f>
        <v>0</v>
      </c>
      <c r="H43" s="3">
        <v>0</v>
      </c>
      <c r="I43" s="3">
        <v>0</v>
      </c>
      <c r="J43" s="4"/>
    </row>
    <row customFormat="1" customHeight="1" ht="17.25" r="44" s="1524" spans="1:10">
      <c r="A44" s="1781"/>
      <c r="B44" s="1710"/>
      <c r="C44" s="1523" t="s">
        <v>50</v>
      </c>
      <c r="D44" s="650">
        <f>'2.CT1A'!D131</f>
        <v>0</v>
      </c>
      <c r="E44" s="3">
        <v>0</v>
      </c>
      <c r="F44" s="3">
        <v>0</v>
      </c>
      <c r="G44" s="3">
        <f>'12.CTT7'!J25</f>
        <v>0</v>
      </c>
      <c r="H44" s="3">
        <v>0</v>
      </c>
      <c r="I44" s="3">
        <v>0</v>
      </c>
      <c r="J44" s="4"/>
    </row>
    <row customHeight="1" ht="12.75" r="45" spans="1:10">
      <c r="A45" s="1781">
        <v>10</v>
      </c>
      <c r="B45" s="1710" t="s">
        <v>1339</v>
      </c>
      <c r="C45" s="626" t="s">
        <v>49</v>
      </c>
      <c r="D45" s="650">
        <f>+'2.CT1A'!C132</f>
        <v>0</v>
      </c>
      <c r="E45" s="3">
        <v>0</v>
      </c>
      <c r="F45" s="3">
        <v>0</v>
      </c>
      <c r="G45" s="3">
        <f>'12.CTT7'!K10</f>
        <v>0</v>
      </c>
      <c r="H45" s="3">
        <v>0</v>
      </c>
      <c r="I45" s="3">
        <v>0</v>
      </c>
      <c r="J45" s="4"/>
    </row>
    <row r="46" spans="1:10">
      <c r="A46" s="1781"/>
      <c r="B46" s="1710"/>
      <c r="C46" s="626" t="s">
        <v>1277</v>
      </c>
      <c r="D46" s="659"/>
      <c r="E46" s="3">
        <v>0</v>
      </c>
      <c r="F46" s="3">
        <v>0</v>
      </c>
      <c r="G46" s="3">
        <f>'12.CTT7'!K11</f>
        <v>0</v>
      </c>
      <c r="H46" s="3">
        <v>0</v>
      </c>
      <c r="I46" s="3">
        <v>0</v>
      </c>
      <c r="J46" s="4"/>
    </row>
    <row r="47" spans="1:10">
      <c r="A47" s="1781"/>
      <c r="B47" s="1710"/>
      <c r="C47" s="626" t="s">
        <v>1278</v>
      </c>
      <c r="D47" s="659"/>
      <c r="E47" s="3">
        <v>0</v>
      </c>
      <c r="F47" s="3">
        <v>0</v>
      </c>
      <c r="G47" s="3">
        <f>'12.CTT7'!K18</f>
        <v>0</v>
      </c>
      <c r="H47" s="3">
        <v>0</v>
      </c>
      <c r="I47" s="3">
        <v>0</v>
      </c>
      <c r="J47" s="4"/>
    </row>
    <row customHeight="1" ht="17.25" r="48" spans="1:10">
      <c r="A48" s="1781"/>
      <c r="B48" s="1710"/>
      <c r="C48" s="626" t="s">
        <v>50</v>
      </c>
      <c r="D48" s="650">
        <f>+'2.CT1A'!D132</f>
        <v>0</v>
      </c>
      <c r="E48" s="3">
        <v>0</v>
      </c>
      <c r="F48" s="3">
        <v>0</v>
      </c>
      <c r="G48" s="3">
        <f>'12.CTT7'!K25</f>
        <v>0</v>
      </c>
      <c r="H48" s="3">
        <v>0</v>
      </c>
      <c r="I48" s="3">
        <v>0</v>
      </c>
      <c r="J48" s="4"/>
    </row>
    <row customFormat="1" customHeight="1" ht="15" r="49" s="636" spans="1:10">
      <c r="A49" s="1781">
        <v>11</v>
      </c>
      <c r="B49" s="1710" t="s">
        <v>70</v>
      </c>
      <c r="C49" s="626" t="s">
        <v>49</v>
      </c>
      <c r="D49" s="649">
        <f>+'2.CT1A'!C134</f>
        <v>0</v>
      </c>
      <c r="E49" s="3">
        <v>0</v>
      </c>
      <c r="F49" s="3">
        <v>0</v>
      </c>
      <c r="G49" s="3">
        <f>'12.CTT7'!M10</f>
        <v>0</v>
      </c>
      <c r="H49" s="3">
        <v>0</v>
      </c>
      <c r="I49" s="3">
        <v>0</v>
      </c>
      <c r="J49" s="4"/>
    </row>
    <row customFormat="1" r="50" s="636" spans="1:10">
      <c r="A50" s="1781"/>
      <c r="B50" s="1710"/>
      <c r="C50" s="626" t="s">
        <v>1277</v>
      </c>
      <c r="D50" s="660"/>
      <c r="E50" s="3">
        <v>0</v>
      </c>
      <c r="F50" s="3">
        <v>0</v>
      </c>
      <c r="G50" s="3">
        <f>'12.CTT7'!M11</f>
        <v>0</v>
      </c>
      <c r="H50" s="3">
        <v>0</v>
      </c>
      <c r="I50" s="3">
        <v>0</v>
      </c>
      <c r="J50" s="4"/>
    </row>
    <row customFormat="1" r="51" s="636" spans="1:10">
      <c r="A51" s="1781"/>
      <c r="B51" s="1710"/>
      <c r="C51" s="626" t="s">
        <v>1278</v>
      </c>
      <c r="D51" s="660"/>
      <c r="E51" s="3">
        <v>0</v>
      </c>
      <c r="F51" s="3">
        <v>0</v>
      </c>
      <c r="G51" s="3">
        <f>'12.CTT7'!M18</f>
        <v>0</v>
      </c>
      <c r="H51" s="3">
        <v>0</v>
      </c>
      <c r="I51" s="3">
        <v>0</v>
      </c>
      <c r="J51" s="4"/>
    </row>
    <row customFormat="1" ht="15" r="52" s="636" spans="1:10">
      <c r="A52" s="1781"/>
      <c r="B52" s="1710"/>
      <c r="C52" s="626" t="s">
        <v>50</v>
      </c>
      <c r="D52" s="651">
        <f>+'2.CT1A'!D134</f>
        <v>0</v>
      </c>
      <c r="E52" s="3">
        <v>0</v>
      </c>
      <c r="F52" s="3">
        <v>0</v>
      </c>
      <c r="G52" s="3">
        <f>'12.CTT7'!M25</f>
        <v>0</v>
      </c>
      <c r="H52" s="3">
        <v>0</v>
      </c>
      <c r="I52" s="3">
        <v>0</v>
      </c>
      <c r="J52" s="4"/>
    </row>
    <row customHeight="1" ht="15" r="53" spans="1:10">
      <c r="A53" s="1781">
        <v>12</v>
      </c>
      <c r="B53" s="1710" t="s">
        <v>1340</v>
      </c>
      <c r="C53" s="626" t="s">
        <v>49</v>
      </c>
      <c r="D53" s="649">
        <f>+'2.CT1A'!C136</f>
        <v>0</v>
      </c>
      <c r="E53" s="3">
        <v>0</v>
      </c>
      <c r="F53" s="3">
        <v>0</v>
      </c>
      <c r="G53" s="3">
        <f>'12.CTT7'!N10</f>
        <v>0</v>
      </c>
      <c r="H53" s="3">
        <v>0</v>
      </c>
      <c r="I53" s="3">
        <v>0</v>
      </c>
      <c r="J53" s="4"/>
    </row>
    <row r="54" spans="1:10">
      <c r="A54" s="1781"/>
      <c r="B54" s="1710"/>
      <c r="C54" s="626" t="s">
        <v>1277</v>
      </c>
      <c r="D54" s="661"/>
      <c r="E54" s="3">
        <v>0</v>
      </c>
      <c r="F54" s="3">
        <v>0</v>
      </c>
      <c r="G54" s="3">
        <f>'12.CTT7'!N11</f>
        <v>0</v>
      </c>
      <c r="H54" s="3">
        <v>0</v>
      </c>
      <c r="I54" s="3">
        <v>0</v>
      </c>
      <c r="J54" s="4"/>
    </row>
    <row r="55" spans="1:10">
      <c r="A55" s="1781"/>
      <c r="B55" s="1710"/>
      <c r="C55" s="626" t="s">
        <v>1278</v>
      </c>
      <c r="D55" s="661"/>
      <c r="E55" s="3">
        <v>0</v>
      </c>
      <c r="F55" s="3">
        <v>0</v>
      </c>
      <c r="G55" s="3">
        <f>'12.CTT7'!N18</f>
        <v>0</v>
      </c>
      <c r="H55" s="3">
        <v>0</v>
      </c>
      <c r="I55" s="3">
        <v>0</v>
      </c>
      <c r="J55" s="4"/>
    </row>
    <row customHeight="1" ht="18" r="56" spans="1:10">
      <c r="A56" s="1781"/>
      <c r="B56" s="1710"/>
      <c r="C56" s="626" t="s">
        <v>50</v>
      </c>
      <c r="D56" s="651">
        <f>+'2.CT1A'!D136</f>
        <v>0</v>
      </c>
      <c r="E56" s="3">
        <v>0</v>
      </c>
      <c r="F56" s="3">
        <v>0</v>
      </c>
      <c r="G56" s="3">
        <f>'12.CTT7'!N25</f>
        <v>0</v>
      </c>
      <c r="H56" s="3">
        <v>0</v>
      </c>
      <c r="I56" s="3">
        <v>0</v>
      </c>
      <c r="J56" s="4"/>
    </row>
    <row customFormat="1" customHeight="1" ht="15" r="57" s="1524" spans="1:10">
      <c r="A57" s="1781">
        <v>13</v>
      </c>
      <c r="B57" s="1710" t="str">
        <f>'2.CT1A'!B138</f>
        <v xml:space="preserve">      Бусад хөрөнгө  /ТӨҮГ/</v>
      </c>
      <c r="C57" s="1523" t="s">
        <v>49</v>
      </c>
      <c r="D57" s="649">
        <f>'2.CT1A'!C138</f>
        <v>0</v>
      </c>
      <c r="E57" s="3">
        <v>0</v>
      </c>
      <c r="F57" s="3">
        <v>0</v>
      </c>
      <c r="G57" s="3">
        <f>'12.CTT7'!O10</f>
        <v>0</v>
      </c>
      <c r="H57" s="3">
        <v>0</v>
      </c>
      <c r="I57" s="3">
        <v>0</v>
      </c>
      <c r="J57" s="4"/>
    </row>
    <row customFormat="1" r="58" s="1524" spans="1:10">
      <c r="A58" s="1781"/>
      <c r="B58" s="1710"/>
      <c r="C58" s="1523" t="s">
        <v>1277</v>
      </c>
      <c r="D58" s="661"/>
      <c r="E58" s="3">
        <v>0</v>
      </c>
      <c r="F58" s="3">
        <v>0</v>
      </c>
      <c r="G58" s="3">
        <f>'12.CTT7'!O11</f>
        <v>0</v>
      </c>
      <c r="H58" s="3">
        <v>0</v>
      </c>
      <c r="I58" s="3">
        <v>0</v>
      </c>
      <c r="J58" s="4"/>
    </row>
    <row customFormat="1" r="59" s="1524" spans="1:10">
      <c r="A59" s="1781"/>
      <c r="B59" s="1710"/>
      <c r="C59" s="1523" t="s">
        <v>1278</v>
      </c>
      <c r="D59" s="661"/>
      <c r="E59" s="3">
        <v>0</v>
      </c>
      <c r="F59" s="3">
        <v>0</v>
      </c>
      <c r="G59" s="3">
        <f>'12.CTT7'!O18</f>
        <v>0</v>
      </c>
      <c r="H59" s="3">
        <v>0</v>
      </c>
      <c r="I59" s="3">
        <v>0</v>
      </c>
      <c r="J59" s="4"/>
    </row>
    <row customFormat="1" customHeight="1" ht="18" r="60" s="1524" spans="1:10">
      <c r="A60" s="1781"/>
      <c r="B60" s="1710"/>
      <c r="C60" s="1523" t="s">
        <v>50</v>
      </c>
      <c r="D60" s="651">
        <f>'2.CT1A'!D138</f>
        <v>0</v>
      </c>
      <c r="E60" s="3">
        <v>0</v>
      </c>
      <c r="F60" s="3">
        <v>0</v>
      </c>
      <c r="G60" s="3">
        <f>'12.CTT7'!O25</f>
        <v>0</v>
      </c>
      <c r="H60" s="3">
        <v>0</v>
      </c>
      <c r="I60" s="3">
        <v>0</v>
      </c>
      <c r="J60" s="4"/>
    </row>
    <row customHeight="1" ht="15" r="61" spans="1:10">
      <c r="A61" s="1878" t="s">
        <v>1731</v>
      </c>
      <c r="B61" s="1879"/>
      <c r="C61" s="626" t="s">
        <v>49</v>
      </c>
      <c r="D61" s="8">
        <f>D9+D13+D17+D21+D25+D29+D33+D37+D41+D45+D49+D53+D57</f>
        <v>0</v>
      </c>
      <c r="E61" s="8">
        <f ref="E61:I61" si="0" t="shared">E9+E13+E17+E21+E25+E29+E33+E37+E41+E45+E49+E53+E57</f>
        <v>0</v>
      </c>
      <c r="F61" s="8">
        <f si="0" t="shared"/>
        <v>0</v>
      </c>
      <c r="G61" s="8">
        <f si="0" t="shared"/>
        <v>0</v>
      </c>
      <c r="H61" s="8">
        <f si="0" t="shared"/>
        <v>0</v>
      </c>
      <c r="I61" s="8">
        <f si="0" t="shared"/>
        <v>0</v>
      </c>
      <c r="J61" s="4"/>
    </row>
    <row r="62" spans="1:10">
      <c r="A62" s="1880"/>
      <c r="B62" s="1881"/>
      <c r="C62" s="626" t="s">
        <v>1277</v>
      </c>
      <c r="D62" s="8"/>
      <c r="E62" s="8">
        <f ref="E62:I63" si="1" t="shared">E10+E14+E18+E22+E26+E30+E34+E38+E42+E46+E50+E54+E58</f>
        <v>0</v>
      </c>
      <c r="F62" s="8">
        <f si="1" t="shared"/>
        <v>0</v>
      </c>
      <c r="G62" s="8">
        <f si="1" t="shared"/>
        <v>0</v>
      </c>
      <c r="H62" s="8">
        <f si="1" t="shared"/>
        <v>0</v>
      </c>
      <c r="I62" s="8">
        <f si="1" t="shared"/>
        <v>0</v>
      </c>
      <c r="J62" s="4"/>
    </row>
    <row r="63" spans="1:10">
      <c r="A63" s="1880"/>
      <c r="B63" s="1881"/>
      <c r="C63" s="626" t="s">
        <v>1278</v>
      </c>
      <c r="D63" s="8"/>
      <c r="E63" s="8">
        <f si="1" t="shared"/>
        <v>0</v>
      </c>
      <c r="F63" s="8">
        <f si="1" t="shared"/>
        <v>0</v>
      </c>
      <c r="G63" s="8">
        <f si="1" t="shared"/>
        <v>0</v>
      </c>
      <c r="H63" s="8">
        <f si="1" t="shared"/>
        <v>0</v>
      </c>
      <c r="I63" s="8">
        <f si="1" t="shared"/>
        <v>0</v>
      </c>
      <c r="J63" s="4"/>
    </row>
    <row customHeight="1" ht="18" r="64" spans="1:10">
      <c r="A64" s="1882"/>
      <c r="B64" s="1883"/>
      <c r="C64" s="626" t="s">
        <v>50</v>
      </c>
      <c r="D64" s="8">
        <f>D12+D16+D20+D24+D28+D32+D36+D40+D44+D48+D52+D56+D60</f>
        <v>0</v>
      </c>
      <c r="E64" s="8">
        <f ref="E64:I64" si="2" t="shared">E12+E16+E20+E24+E28+E32+E36+E40+E44+E48+E52+E56+E60</f>
        <v>0</v>
      </c>
      <c r="F64" s="8">
        <f si="2" t="shared"/>
        <v>0</v>
      </c>
      <c r="G64" s="8">
        <f si="2" t="shared"/>
        <v>0</v>
      </c>
      <c r="H64" s="8">
        <f si="2" t="shared"/>
        <v>0</v>
      </c>
      <c r="I64" s="8">
        <f si="2" t="shared"/>
        <v>0</v>
      </c>
      <c r="J64" s="4"/>
    </row>
    <row r="65" spans="1:9">
      <c r="A65" s="60"/>
      <c r="B65" s="295"/>
      <c r="C65" s="60"/>
      <c r="D65" s="647"/>
      <c r="E65" s="294"/>
      <c r="F65" s="294"/>
      <c r="I65" s="294"/>
    </row>
    <row r="66" spans="1:9">
      <c r="D66" s="648" t="s">
        <v>1897</v>
      </c>
      <c r="E66" s="406"/>
      <c r="F66" s="608"/>
    </row>
    <row r="67" spans="1:9">
      <c r="D67" s="41">
        <f>+ЧХ!$C$15</f>
        <v>0</v>
      </c>
      <c r="E67" s="406"/>
      <c r="F67" s="602">
        <f>+ЧХ!$C$16</f>
        <v>0</v>
      </c>
    </row>
    <row r="68" spans="1:9">
      <c r="D68" s="41"/>
      <c r="E68" s="609"/>
      <c r="F68" s="609"/>
    </row>
    <row r="69" spans="1:9">
      <c r="D69" s="648" t="s">
        <v>2368</v>
      </c>
      <c r="E69" s="406"/>
      <c r="F69" s="608"/>
    </row>
    <row r="70" spans="1:9">
      <c r="D70" s="41" t="str">
        <f>+ЧХ!$B$6</f>
        <v>Аудитын менежер</v>
      </c>
      <c r="E70" s="406"/>
      <c r="F70" s="602">
        <f>+ЧХ!$C$6</f>
        <v>0</v>
      </c>
    </row>
    <row r="71" spans="1:9">
      <c r="D71" s="41"/>
      <c r="E71" s="609"/>
      <c r="F71" s="608"/>
    </row>
    <row r="72" spans="1:9">
      <c r="D72" s="41" t="s">
        <v>2369</v>
      </c>
      <c r="E72" s="406"/>
      <c r="F72" s="608"/>
    </row>
    <row r="73" spans="1:9">
      <c r="D73" s="41" t="str">
        <f>+ЧХ!$B$5</f>
        <v>Тэргүүлэх аудитор</v>
      </c>
      <c r="E73" s="406"/>
      <c r="F73" s="603" t="str">
        <f>+ЧХ!$C$5</f>
        <v>С.Энхбаатар</v>
      </c>
    </row>
    <row r="74" spans="1:9">
      <c r="D74" s="41"/>
      <c r="E74" s="633"/>
      <c r="F74" s="633"/>
    </row>
    <row r="75" spans="1:9">
      <c r="D75" s="406" t="str">
        <f>+ЧХ!$B$6&amp;"ийн санал: ………………………………………………………………………………………"</f>
        <v>Аудитын менежерийн санал: ………………………………………………………………………………………</v>
      </c>
    </row>
    <row r="76" spans="1:9">
      <c r="D76" s="406"/>
    </row>
    <row r="77" spans="1:9">
      <c r="D77" s="406"/>
    </row>
    <row r="78" spans="1:9">
      <c r="D78" s="406" t="str">
        <f>+ЧХ!$B$5&amp;"ын санал: ..........................................................................................................."</f>
        <v>Тэргүүлэх аудиторын санал: ...........................................................................................................</v>
      </c>
    </row>
  </sheetData>
  <mergeCells count="36">
    <mergeCell ref="C4:G4"/>
    <mergeCell ref="A49:A52"/>
    <mergeCell ref="B49:B52"/>
    <mergeCell ref="B17:B20"/>
    <mergeCell ref="A21:A24"/>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s>
  <pageMargins bottom="0.75" footer="0.3" header="0.3" left="0.7" right="0.7" top="0.75"/>
  <pageSetup orientation="landscape" r:id="rId1" scale="75"/>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4"/>
  <sheetViews>
    <sheetView workbookViewId="0">
      <selection activeCell="E9" sqref="E9"/>
    </sheetView>
  </sheetViews>
  <sheetFormatPr defaultRowHeight="12.75"/>
  <cols>
    <col min="1" max="1" customWidth="true" style="629" width="4.7109375" collapsed="false"/>
    <col min="2" max="2" customWidth="true" style="91" width="30.7109375" collapsed="false"/>
    <col min="3" max="3" customWidth="true" style="665" width="18.7109375" collapsed="false"/>
    <col min="4" max="5" bestFit="true" customWidth="true" style="291" width="16.5703125" collapsed="false"/>
    <col min="6" max="6" customWidth="true" style="291" width="13.0" collapsed="false"/>
    <col min="7" max="7" customWidth="true" style="291" width="11.0" collapsed="false"/>
    <col min="8" max="16384" style="91" width="9.140625" collapsed="false"/>
  </cols>
  <sheetData>
    <row r="1" spans="1:10">
      <c r="G1" s="610" t="s">
        <v>2000</v>
      </c>
    </row>
    <row r="2" spans="1:10">
      <c r="A2" s="1704" t="s">
        <v>1341</v>
      </c>
      <c r="B2" s="1704"/>
      <c r="C2" s="1704"/>
      <c r="D2" s="1704"/>
      <c r="E2" s="1704"/>
      <c r="F2" s="1704"/>
      <c r="G2" s="1704"/>
    </row>
    <row customFormat="1" r="3" s="609" spans="1:10">
      <c r="A3" s="623"/>
      <c r="B3" s="406"/>
      <c r="C3" s="410"/>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10"/>
      <c r="D5" s="406"/>
      <c r="E5" s="406"/>
      <c r="F5" s="406"/>
      <c r="G5" s="406"/>
      <c r="I5" s="608"/>
    </row>
    <row r="6" spans="1:10">
      <c r="G6" s="549" t="s">
        <v>1364</v>
      </c>
    </row>
    <row customHeight="1" ht="32.25" r="7" spans="1:10">
      <c r="A7" s="1781" t="s">
        <v>1267</v>
      </c>
      <c r="B7" s="1781" t="s">
        <v>12</v>
      </c>
      <c r="C7" s="1866" t="s">
        <v>1342</v>
      </c>
      <c r="D7" s="1866"/>
      <c r="E7" s="1866"/>
      <c r="F7" s="1887" t="s">
        <v>1343</v>
      </c>
      <c r="G7" s="1888"/>
    </row>
    <row customHeight="1" ht="56.25" r="8" spans="1:10">
      <c r="A8" s="1781"/>
      <c r="B8" s="1781"/>
      <c r="C8" s="635" t="s">
        <v>1344</v>
      </c>
      <c r="D8" s="296" t="s">
        <v>1345</v>
      </c>
      <c r="E8" s="296" t="s">
        <v>1346</v>
      </c>
      <c r="F8" s="296" t="s">
        <v>1347</v>
      </c>
      <c r="G8" s="296" t="s">
        <v>1348</v>
      </c>
    </row>
    <row customHeight="1" ht="15" r="9" spans="1:10">
      <c r="A9" s="637">
        <f>+'3.CT2A'!A8</f>
        <v>1</v>
      </c>
      <c r="B9" s="622" t="str">
        <f>+'3.CT2A'!B8</f>
        <v>YЙЛ АЖИЛЛАГААНЫ ОРЛОГЫН ДYН (I)</v>
      </c>
      <c r="C9" s="667">
        <f>+'3.CT2A'!D8</f>
        <v>0</v>
      </c>
      <c r="D9" s="668">
        <f>+C9</f>
        <v>0</v>
      </c>
      <c r="E9" s="10">
        <f>+C9</f>
        <v>0</v>
      </c>
      <c r="F9" s="10">
        <f>+C9-D9</f>
        <v>0</v>
      </c>
      <c r="G9" s="10">
        <f>+C9-E9</f>
        <v>0</v>
      </c>
    </row>
    <row r="10" spans="1:10">
      <c r="A10" s="637">
        <f>+'3.CT2A'!A9</f>
        <v>11</v>
      </c>
      <c r="B10" s="622" t="str">
        <f>+'3.CT2A'!B9</f>
        <v xml:space="preserve"> ТАТВАРЫН ОРЛОГО</v>
      </c>
      <c r="C10" s="667">
        <f>+'3.CT2A'!D9</f>
        <v>0</v>
      </c>
      <c r="D10" s="668">
        <f ref="D10:D30" si="0" t="shared">+C10</f>
        <v>0</v>
      </c>
      <c r="E10" s="10">
        <f ref="E10:E30" si="1" t="shared">+C10</f>
        <v>0</v>
      </c>
      <c r="F10" s="10">
        <f ref="F10:F30" si="2" t="shared">+C10-D10</f>
        <v>0</v>
      </c>
      <c r="G10" s="10">
        <f ref="G10:G30" si="3" t="shared">+C10-E10</f>
        <v>0</v>
      </c>
    </row>
    <row r="11" spans="1:10">
      <c r="A11" s="637">
        <f>+'3.CT2A'!A10</f>
        <v>110</v>
      </c>
      <c r="B11" s="622" t="str">
        <f>+'3.CT2A'!B10</f>
        <v xml:space="preserve">   Орлогын албан татвар</v>
      </c>
      <c r="C11" s="667">
        <f>+'3.CT2A'!D10</f>
        <v>0</v>
      </c>
      <c r="D11" s="668">
        <f si="0" t="shared"/>
        <v>0</v>
      </c>
      <c r="E11" s="10">
        <f si="1" t="shared"/>
        <v>0</v>
      </c>
      <c r="F11" s="10">
        <f si="2" t="shared"/>
        <v>0</v>
      </c>
      <c r="G11" s="10">
        <f si="3" t="shared"/>
        <v>0</v>
      </c>
    </row>
    <row r="12" spans="1:10">
      <c r="A12" s="637">
        <f>+'3.CT2A'!A28</f>
        <v>112</v>
      </c>
      <c r="B12" s="622" t="str">
        <f>+'3.CT2A'!B28</f>
        <v xml:space="preserve">  Нийгмийн даатгалын шимтгэлийн орлого</v>
      </c>
      <c r="C12" s="667">
        <f>+'3.CT2A'!D28</f>
        <v>0</v>
      </c>
      <c r="D12" s="668">
        <f si="0" t="shared"/>
        <v>0</v>
      </c>
      <c r="E12" s="10">
        <f si="1" t="shared"/>
        <v>0</v>
      </c>
      <c r="F12" s="10">
        <f si="2" t="shared"/>
        <v>0</v>
      </c>
      <c r="G12" s="10">
        <f si="3" t="shared"/>
        <v>0</v>
      </c>
    </row>
    <row customHeight="1" ht="15.75" r="13" spans="1:10">
      <c r="A13" s="637">
        <f>+'3.CT2A'!A34</f>
        <v>113</v>
      </c>
      <c r="B13" s="622" t="str">
        <f>+'3.CT2A'!B34</f>
        <v xml:space="preserve">  Хөрөнгийн албан татвар</v>
      </c>
      <c r="C13" s="667">
        <f>+'3.CT2A'!D34</f>
        <v>0</v>
      </c>
      <c r="D13" s="668">
        <f si="0" t="shared"/>
        <v>0</v>
      </c>
      <c r="E13" s="10">
        <f si="1" t="shared"/>
        <v>0</v>
      </c>
      <c r="F13" s="10">
        <f si="2" t="shared"/>
        <v>0</v>
      </c>
      <c r="G13" s="10">
        <f si="3" t="shared"/>
        <v>0</v>
      </c>
    </row>
    <row r="14" spans="1:10">
      <c r="A14" s="637">
        <f>+'3.CT2A'!A39</f>
        <v>114</v>
      </c>
      <c r="B14" s="622" t="str">
        <f>+'3.CT2A'!B39</f>
        <v xml:space="preserve">  Нэмэгдсэн өртгийн албан татвар</v>
      </c>
      <c r="C14" s="667">
        <f>+'3.CT2A'!D39</f>
        <v>0</v>
      </c>
      <c r="D14" s="668">
        <f si="0" t="shared"/>
        <v>0</v>
      </c>
      <c r="E14" s="10">
        <f si="1" t="shared"/>
        <v>0</v>
      </c>
      <c r="F14" s="10">
        <f si="2" t="shared"/>
        <v>0</v>
      </c>
      <c r="G14" s="10">
        <f si="3" t="shared"/>
        <v>0</v>
      </c>
    </row>
    <row r="15" spans="1:10">
      <c r="A15" s="637">
        <f>+'3.CT2A'!A43</f>
        <v>115</v>
      </c>
      <c r="B15" s="622" t="str">
        <f>+'3.CT2A'!B43</f>
        <v xml:space="preserve">  Онцгой албан татвар</v>
      </c>
      <c r="C15" s="667">
        <f>+'3.CT2A'!D43</f>
        <v>0</v>
      </c>
      <c r="D15" s="668">
        <f si="0" t="shared"/>
        <v>0</v>
      </c>
      <c r="E15" s="10">
        <f si="1" t="shared"/>
        <v>0</v>
      </c>
      <c r="F15" s="10">
        <f si="2" t="shared"/>
        <v>0</v>
      </c>
      <c r="G15" s="10">
        <f si="3" t="shared"/>
        <v>0</v>
      </c>
    </row>
    <row r="16" spans="1:10">
      <c r="A16" s="637">
        <f>+'3.CT2A'!A52</f>
        <v>116</v>
      </c>
      <c r="B16" s="622" t="str">
        <f>+'3.CT2A'!B52</f>
        <v xml:space="preserve">  Тусгай зориулалтын орлого</v>
      </c>
      <c r="C16" s="667">
        <f>+'3.CT2A'!D52</f>
        <v>0</v>
      </c>
      <c r="D16" s="668">
        <f si="0" t="shared"/>
        <v>0</v>
      </c>
      <c r="E16" s="10">
        <f si="1" t="shared"/>
        <v>0</v>
      </c>
      <c r="F16" s="10">
        <f si="2" t="shared"/>
        <v>0</v>
      </c>
      <c r="G16" s="10">
        <f si="3" t="shared"/>
        <v>0</v>
      </c>
    </row>
    <row customHeight="1" ht="18" r="17" spans="1:7">
      <c r="A17" s="637">
        <f>+'3.CT2A'!A54</f>
        <v>117</v>
      </c>
      <c r="B17" s="622" t="str">
        <f>+'3.CT2A'!B54</f>
        <v xml:space="preserve">  Гадаад үйл ажиллагааны орлого</v>
      </c>
      <c r="C17" s="667">
        <f>+'3.CT2A'!D54</f>
        <v>0</v>
      </c>
      <c r="D17" s="668">
        <f si="0" t="shared"/>
        <v>0</v>
      </c>
      <c r="E17" s="10">
        <f si="1" t="shared"/>
        <v>0</v>
      </c>
      <c r="F17" s="10">
        <f si="2" t="shared"/>
        <v>0</v>
      </c>
      <c r="G17" s="10">
        <f si="3" t="shared"/>
        <v>0</v>
      </c>
    </row>
    <row r="18" spans="1:7">
      <c r="A18" s="637">
        <f>+'3.CT2A'!A57</f>
        <v>118</v>
      </c>
      <c r="B18" s="622" t="str">
        <f>+'3.CT2A'!B57</f>
        <v xml:space="preserve">  Бусад татвар, төлбөр, хураамж</v>
      </c>
      <c r="C18" s="667">
        <f>+'3.CT2A'!D57</f>
        <v>0</v>
      </c>
      <c r="D18" s="668">
        <f si="0" t="shared"/>
        <v>0</v>
      </c>
      <c r="E18" s="10">
        <f si="1" t="shared"/>
        <v>0</v>
      </c>
      <c r="F18" s="10">
        <f si="2" t="shared"/>
        <v>0</v>
      </c>
      <c r="G18" s="10">
        <f si="3" t="shared"/>
        <v>0</v>
      </c>
    </row>
    <row r="19" spans="1:7">
      <c r="A19" s="637">
        <f>+'3.CT2A'!A83</f>
        <v>12</v>
      </c>
      <c r="B19" s="622" t="str">
        <f>+'3.CT2A'!B83</f>
        <v xml:space="preserve"> ТАТВАРЫН БУС ОРЛОГО</v>
      </c>
      <c r="C19" s="667">
        <f>+'3.CT2A'!D83</f>
        <v>0</v>
      </c>
      <c r="D19" s="668">
        <f si="0" t="shared"/>
        <v>0</v>
      </c>
      <c r="E19" s="10">
        <f si="1" t="shared"/>
        <v>0</v>
      </c>
      <c r="F19" s="10">
        <f si="2" t="shared"/>
        <v>0</v>
      </c>
      <c r="G19" s="10">
        <f si="3" t="shared"/>
        <v>0</v>
      </c>
    </row>
    <row r="20" spans="1:7">
      <c r="A20" s="637">
        <f>+'3.CT2A'!A84</f>
        <v>120</v>
      </c>
      <c r="B20" s="622" t="str">
        <f>+'3.CT2A'!B84</f>
        <v xml:space="preserve">    Нийтлэг татварын бус орлого</v>
      </c>
      <c r="C20" s="667">
        <f>+'3.CT2A'!D84</f>
        <v>0</v>
      </c>
      <c r="D20" s="668">
        <f si="0" t="shared"/>
        <v>0</v>
      </c>
      <c r="E20" s="10">
        <f si="1" t="shared"/>
        <v>0</v>
      </c>
      <c r="F20" s="10">
        <f si="2" t="shared"/>
        <v>0</v>
      </c>
      <c r="G20" s="10">
        <f si="3" t="shared"/>
        <v>0</v>
      </c>
    </row>
    <row customHeight="1" ht="15" r="21" spans="1:7">
      <c r="A21" s="637">
        <f>+'3.CT2A'!A102</f>
        <v>121</v>
      </c>
      <c r="B21" s="622" t="str">
        <f>+'3.CT2A'!B102</f>
        <v xml:space="preserve">    Хөрөнгийн орлого</v>
      </c>
      <c r="C21" s="667">
        <f>+'3.CT2A'!D102</f>
        <v>0</v>
      </c>
      <c r="D21" s="668">
        <f si="0" t="shared"/>
        <v>0</v>
      </c>
      <c r="E21" s="10">
        <f si="1" t="shared"/>
        <v>0</v>
      </c>
      <c r="F21" s="10">
        <f si="2" t="shared"/>
        <v>0</v>
      </c>
      <c r="G21" s="10">
        <f si="3" t="shared"/>
        <v>0</v>
      </c>
    </row>
    <row r="22" spans="1:7">
      <c r="A22" s="637">
        <f>+'3.CT2A'!A105</f>
        <v>122</v>
      </c>
      <c r="B22" s="622" t="str">
        <f>+'3.CT2A'!B105</f>
        <v xml:space="preserve">      Тусламжийн орлого</v>
      </c>
      <c r="C22" s="667">
        <f>+'3.CT2A'!D105</f>
        <v>0</v>
      </c>
      <c r="D22" s="668">
        <f si="0" t="shared"/>
        <v>0</v>
      </c>
      <c r="E22" s="10">
        <f si="1" t="shared"/>
        <v>0</v>
      </c>
      <c r="F22" s="10">
        <f si="2" t="shared"/>
        <v>0</v>
      </c>
      <c r="G22" s="10">
        <f si="3" t="shared"/>
        <v>0</v>
      </c>
    </row>
    <row customFormat="1" r="23" s="636" spans="1:7">
      <c r="A23" s="637">
        <f>+'3.CT2A'!A108</f>
        <v>123</v>
      </c>
      <c r="B23" s="622" t="str">
        <f>+'3.CT2A'!B108</f>
        <v xml:space="preserve">      Улсын төсөв орон нутгийн төсөв хоорондын шилжүүлэг</v>
      </c>
      <c r="C23" s="667">
        <f>+'3.CT2A'!D108</f>
        <v>0</v>
      </c>
      <c r="D23" s="668">
        <f si="0" t="shared"/>
        <v>0</v>
      </c>
      <c r="E23" s="10">
        <f si="1" t="shared"/>
        <v>0</v>
      </c>
      <c r="F23" s="10">
        <f si="2" t="shared"/>
        <v>0</v>
      </c>
      <c r="G23" s="10">
        <f si="3" t="shared"/>
        <v>0</v>
      </c>
    </row>
    <row customFormat="1" r="24" s="636" spans="1:7">
      <c r="A24" s="637">
        <f>+'3.CT2A'!A113</f>
        <v>124</v>
      </c>
      <c r="B24" s="622" t="str">
        <f>+'3.CT2A'!B113</f>
        <v xml:space="preserve">       Зээлийн орлого</v>
      </c>
      <c r="C24" s="667">
        <f>+'3.CT2A'!D113</f>
        <v>0</v>
      </c>
      <c r="D24" s="668">
        <f si="0" t="shared"/>
        <v>0</v>
      </c>
      <c r="E24" s="10">
        <f si="1" t="shared"/>
        <v>0</v>
      </c>
      <c r="F24" s="10">
        <f si="2" t="shared"/>
        <v>0</v>
      </c>
      <c r="G24" s="10">
        <f si="3" t="shared"/>
        <v>0</v>
      </c>
    </row>
    <row customFormat="1" r="25" s="636" spans="1:7">
      <c r="A25" s="637">
        <f>+'3.CT2A'!A117</f>
        <v>13</v>
      </c>
      <c r="B25" s="622" t="str">
        <f>+'3.CT2A'!B117</f>
        <v xml:space="preserve"> ТУСЛАМЖ, САНХҮҮЖИЛТИЙН ОРЛОГО</v>
      </c>
      <c r="C25" s="667">
        <f>+'3.CT2A'!D117</f>
        <v>0</v>
      </c>
      <c r="D25" s="668">
        <f si="0" t="shared"/>
        <v>0</v>
      </c>
      <c r="E25" s="10">
        <f si="1" t="shared"/>
        <v>0</v>
      </c>
      <c r="F25" s="10">
        <f si="2" t="shared"/>
        <v>0</v>
      </c>
      <c r="G25" s="10">
        <f si="3" t="shared"/>
        <v>0</v>
      </c>
    </row>
    <row customFormat="1" r="26" s="636" spans="1:7">
      <c r="A26" s="637">
        <f>+'3.CT2A'!A118</f>
        <v>1310</v>
      </c>
      <c r="B26" s="622" t="str">
        <f>+'3.CT2A'!B118</f>
        <v xml:space="preserve">    Улсын төвлөрсөн төсвөөс</v>
      </c>
      <c r="C26" s="667">
        <f>+'3.CT2A'!D118</f>
        <v>0</v>
      </c>
      <c r="D26" s="668">
        <f si="0" t="shared"/>
        <v>0</v>
      </c>
      <c r="E26" s="10">
        <f si="1" t="shared"/>
        <v>0</v>
      </c>
      <c r="F26" s="10">
        <f si="2" t="shared"/>
        <v>0</v>
      </c>
      <c r="G26" s="10">
        <f si="3" t="shared"/>
        <v>0</v>
      </c>
    </row>
    <row customFormat="1" r="27" s="636" spans="1:7">
      <c r="A27" s="637">
        <f>+'3.CT2A'!A128</f>
        <v>1311</v>
      </c>
      <c r="B27" s="622" t="str">
        <f>+'3.CT2A'!B128</f>
        <v xml:space="preserve">   Нэмэлт санхүүжилтийн орлого</v>
      </c>
      <c r="C27" s="667">
        <f>+'3.CT2A'!D128</f>
        <v>0</v>
      </c>
      <c r="D27" s="668">
        <f si="0" t="shared"/>
        <v>0</v>
      </c>
      <c r="E27" s="10">
        <f si="1" t="shared"/>
        <v>0</v>
      </c>
      <c r="F27" s="10">
        <f si="2" t="shared"/>
        <v>0</v>
      </c>
      <c r="G27" s="10">
        <f si="3" t="shared"/>
        <v>0</v>
      </c>
    </row>
    <row customFormat="1" r="28" s="636" spans="1:7">
      <c r="A28" s="637">
        <f>+'3.CT2A'!A135</f>
        <v>1320</v>
      </c>
      <c r="B28" s="622" t="str">
        <f>+'3.CT2A'!B135</f>
        <v xml:space="preserve">   Орон нутгийн төсвөөс санхүүжих</v>
      </c>
      <c r="C28" s="667">
        <f>+'3.CT2A'!D135</f>
        <v>0</v>
      </c>
      <c r="D28" s="668">
        <f si="0" t="shared"/>
        <v>0</v>
      </c>
      <c r="E28" s="10">
        <f si="1" t="shared"/>
        <v>0</v>
      </c>
      <c r="F28" s="10">
        <f si="2" t="shared"/>
        <v>0</v>
      </c>
      <c r="G28" s="10">
        <f si="3" t="shared"/>
        <v>0</v>
      </c>
    </row>
    <row customFormat="1" r="29" s="636" spans="1:7">
      <c r="A29" s="637">
        <f>+'3.CT2A'!A143</f>
        <v>1330</v>
      </c>
      <c r="B29" s="622" t="str">
        <f>+'3.CT2A'!B143</f>
        <v xml:space="preserve">   Төсвийн захирагчдаас </v>
      </c>
      <c r="C29" s="667">
        <f>+'3.CT2A'!D143</f>
        <v>0</v>
      </c>
      <c r="D29" s="668">
        <f si="0" t="shared"/>
        <v>0</v>
      </c>
      <c r="E29" s="10">
        <f si="1" t="shared"/>
        <v>0</v>
      </c>
      <c r="F29" s="10">
        <f si="2" t="shared"/>
        <v>0</v>
      </c>
      <c r="G29" s="10">
        <f si="3" t="shared"/>
        <v>0</v>
      </c>
    </row>
    <row customFormat="1" r="30" s="636" spans="1:7">
      <c r="A30" s="637">
        <f>+'3.CT2A'!A149</f>
        <v>1340</v>
      </c>
      <c r="B30" s="622" t="str">
        <f>+'3.CT2A'!B149</f>
        <v xml:space="preserve">   Нийгмийн даатгалын сангийн төсвөөс санхүүжих</v>
      </c>
      <c r="C30" s="667">
        <f>+'3.CT2A'!D149</f>
        <v>0</v>
      </c>
      <c r="D30" s="668">
        <f si="0" t="shared"/>
        <v>0</v>
      </c>
      <c r="E30" s="10">
        <f si="1" t="shared"/>
        <v>0</v>
      </c>
      <c r="F30" s="10">
        <f si="2" t="shared"/>
        <v>0</v>
      </c>
      <c r="G30" s="10">
        <f si="3" t="shared"/>
        <v>0</v>
      </c>
    </row>
    <row r="31" spans="1:7">
      <c r="D31" s="91"/>
      <c r="E31" s="91"/>
      <c r="F31" s="91"/>
    </row>
    <row r="32" spans="1:7">
      <c r="C32" s="666" t="s">
        <v>1897</v>
      </c>
      <c r="D32" s="406"/>
      <c r="E32" s="608"/>
    </row>
    <row r="33" spans="2:5">
      <c r="C33" s="410">
        <f>+ЧХ!$C$15</f>
        <v>0</v>
      </c>
      <c r="D33" s="406"/>
      <c r="E33" s="602">
        <f>+ЧХ!$C$16</f>
        <v>0</v>
      </c>
    </row>
    <row r="34" spans="2:5">
      <c r="C34" s="410"/>
      <c r="D34" s="609"/>
      <c r="E34" s="609"/>
    </row>
    <row r="35" spans="2:5">
      <c r="C35" s="666" t="s">
        <v>2368</v>
      </c>
      <c r="D35" s="406"/>
      <c r="E35" s="608"/>
    </row>
    <row r="36" spans="2:5">
      <c r="C36" s="410" t="str">
        <f>+ЧХ!$B$6</f>
        <v>Аудитын менежер</v>
      </c>
      <c r="D36" s="406"/>
      <c r="E36" s="602">
        <f>+ЧХ!$C$6</f>
        <v>0</v>
      </c>
    </row>
    <row r="37" spans="2:5">
      <c r="C37" s="410"/>
      <c r="D37" s="609"/>
      <c r="E37" s="608"/>
    </row>
    <row r="38" spans="2:5">
      <c r="C38" s="410" t="s">
        <v>2369</v>
      </c>
      <c r="D38" s="406"/>
      <c r="E38" s="608"/>
    </row>
    <row r="39" spans="2:5">
      <c r="C39" s="410" t="str">
        <f>+ЧХ!$B$5</f>
        <v>Тэргүүлэх аудитор</v>
      </c>
      <c r="D39" s="406"/>
      <c r="E39" s="603" t="str">
        <f>+ЧХ!$C$5</f>
        <v>С.Энхбаатар</v>
      </c>
    </row>
    <row r="41" spans="2:5">
      <c r="B41" s="406" t="str">
        <f>+ЧХ!$B$6&amp;"ийн санал: ………………………………………………………………………………………"</f>
        <v>Аудитын менежерийн санал: ………………………………………………………………………………………</v>
      </c>
    </row>
    <row r="42" spans="2:5">
      <c r="B42" s="406"/>
    </row>
    <row r="43" spans="2:5">
      <c r="B43" s="406"/>
    </row>
    <row r="44" spans="2:5">
      <c r="B44" s="406" t="str">
        <f>+ЧХ!$B$5&amp;"ын санал: ..........................................................................................................."</f>
        <v>Тэргүүлэх аудиторын санал: ...........................................................................................................</v>
      </c>
    </row>
  </sheetData>
  <mergeCells count="6">
    <mergeCell ref="A2:G2"/>
    <mergeCell ref="A7:A8"/>
    <mergeCell ref="B7:B8"/>
    <mergeCell ref="C7:E7"/>
    <mergeCell ref="F7:G7"/>
    <mergeCell ref="B4:F4"/>
  </mergeCells>
  <pageMargins bottom="0.75" footer="0.3" header="0.3" left="0.7" right="0.7" top="0.75"/>
  <pageSetup orientation="portrait" r:id="rId1" scale="80"/>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customWidth="true" style="629" width="5.7109375" collapsed="false"/>
    <col min="2" max="2" customWidth="true" style="91" width="36.140625" collapsed="false"/>
    <col min="3" max="3" customWidth="true" style="291" width="16.7109375" collapsed="false"/>
    <col min="4" max="5" bestFit="true" customWidth="true" style="291" width="16.5703125" collapsed="false"/>
    <col min="6" max="6" customWidth="true" style="291" width="12.7109375" collapsed="false"/>
    <col min="7" max="7" customWidth="true" style="291" width="11.7109375" collapsed="false"/>
    <col min="8" max="16384" style="91" width="9.140625" collapsed="false"/>
  </cols>
  <sheetData>
    <row customFormat="1" r="1" s="609" spans="1:10">
      <c r="A1" s="629"/>
      <c r="C1" s="608"/>
      <c r="D1" s="608"/>
      <c r="E1" s="608"/>
      <c r="F1" s="608"/>
      <c r="G1" s="610" t="s">
        <v>2004</v>
      </c>
    </row>
    <row r="2" spans="1:10">
      <c r="A2" s="1704" t="s">
        <v>1349</v>
      </c>
      <c r="B2" s="1704"/>
      <c r="C2" s="1704"/>
      <c r="D2" s="1704"/>
      <c r="E2" s="1704"/>
      <c r="F2" s="1704"/>
      <c r="G2" s="1704"/>
    </row>
    <row customFormat="1" r="3" s="609" spans="1:10">
      <c r="A3" s="623"/>
      <c r="B3" s="406"/>
      <c r="C3" s="406"/>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06"/>
      <c r="D5" s="406"/>
      <c r="E5" s="406"/>
      <c r="F5" s="406"/>
      <c r="G5" s="406"/>
      <c r="I5" s="608"/>
    </row>
    <row customFormat="1" r="6" s="609" spans="1:10">
      <c r="A6" s="629"/>
      <c r="C6" s="608"/>
      <c r="D6" s="608"/>
      <c r="E6" s="608"/>
      <c r="F6" s="608"/>
      <c r="G6" s="549" t="s">
        <v>1364</v>
      </c>
    </row>
    <row customFormat="1" customHeight="1" ht="28.5" r="7" s="609" spans="1:10">
      <c r="A7" s="1781" t="s">
        <v>1267</v>
      </c>
      <c r="B7" s="1781" t="s">
        <v>12</v>
      </c>
      <c r="C7" s="1866" t="s">
        <v>1342</v>
      </c>
      <c r="D7" s="1866"/>
      <c r="E7" s="1866"/>
      <c r="F7" s="1887" t="s">
        <v>1350</v>
      </c>
      <c r="G7" s="1888"/>
    </row>
    <row customFormat="1" customHeight="1" ht="53.25" r="8" s="609" spans="1:10">
      <c r="A8" s="1781"/>
      <c r="B8" s="1781"/>
      <c r="C8" s="296" t="s">
        <v>1351</v>
      </c>
      <c r="D8" s="296" t="s">
        <v>1352</v>
      </c>
      <c r="E8" s="296" t="s">
        <v>1353</v>
      </c>
      <c r="F8" s="296" t="s">
        <v>1354</v>
      </c>
      <c r="G8" s="296" t="s">
        <v>1355</v>
      </c>
    </row>
    <row customFormat="1" customHeight="1" ht="19.5" r="9" s="636" spans="1:10">
      <c r="A9" s="637">
        <f>+'4.CT3A'!A9</f>
        <v>1</v>
      </c>
      <c r="B9" s="622" t="str">
        <f>+'4.CT3A'!B9</f>
        <v>YЙЛ АЖИЛЛАГААНЫ МӨНГӨН ОРЛОГЫН ДYН (1)</v>
      </c>
      <c r="C9" s="668">
        <f>+'4.CT3A'!D9</f>
        <v>0</v>
      </c>
      <c r="D9" s="296">
        <v>0</v>
      </c>
      <c r="E9" s="1521">
        <v>0</v>
      </c>
      <c r="F9" s="296">
        <f>+C9-D9</f>
        <v>0</v>
      </c>
      <c r="G9" s="296">
        <f>+C9-E9</f>
        <v>0</v>
      </c>
    </row>
    <row customFormat="1" customHeight="1" ht="14.25" r="10" s="636" spans="1:10">
      <c r="A10" s="637">
        <f>+'4.CT3A'!A10</f>
        <v>11</v>
      </c>
      <c r="B10" s="622" t="str">
        <f>+'4.CT3A'!B10</f>
        <v xml:space="preserve">   ТАТВАРЫН ОРЛОГО</v>
      </c>
      <c r="C10" s="668">
        <f>+'4.CT3A'!D10</f>
        <v>0</v>
      </c>
      <c r="D10" s="1521">
        <v>0</v>
      </c>
      <c r="E10" s="1521">
        <v>0</v>
      </c>
      <c r="F10" s="296">
        <f ref="F10:F30" si="0" t="shared">+C10-D10</f>
        <v>0</v>
      </c>
      <c r="G10" s="296">
        <f ref="G10:G30" si="1" t="shared">+C10-E10</f>
        <v>0</v>
      </c>
    </row>
    <row customFormat="1" customHeight="1" ht="14.25" r="11" s="636" spans="1:10">
      <c r="A11" s="637">
        <f>+'4.CT3A'!A11</f>
        <v>110</v>
      </c>
      <c r="B11" s="622" t="str">
        <f>+'4.CT3A'!B11</f>
        <v xml:space="preserve">      Орлогын албан татвар</v>
      </c>
      <c r="C11" s="668">
        <f>+'4.CT3A'!D11</f>
        <v>0</v>
      </c>
      <c r="D11" s="1521">
        <v>0</v>
      </c>
      <c r="E11" s="1521">
        <v>0</v>
      </c>
      <c r="F11" s="296">
        <f si="0" t="shared"/>
        <v>0</v>
      </c>
      <c r="G11" s="296">
        <f si="1" t="shared"/>
        <v>0</v>
      </c>
    </row>
    <row customFormat="1" customHeight="1" ht="27" r="12" s="636" spans="1:10">
      <c r="A12" s="637">
        <f>+'4.CT3A'!A29</f>
        <v>112</v>
      </c>
      <c r="B12" s="626" t="str">
        <f>+'4.CT3A'!B29</f>
        <v xml:space="preserve">      Нийгмийн даатгалын шимтгэлийн орлого</v>
      </c>
      <c r="C12" s="668">
        <f>+'4.CT3A'!D29</f>
        <v>0</v>
      </c>
      <c r="D12" s="1521">
        <v>0</v>
      </c>
      <c r="E12" s="1521">
        <v>0</v>
      </c>
      <c r="F12" s="296">
        <f si="0" t="shared"/>
        <v>0</v>
      </c>
      <c r="G12" s="296">
        <f si="1" t="shared"/>
        <v>0</v>
      </c>
    </row>
    <row customFormat="1" customHeight="1" ht="19.5" r="13" s="636" spans="1:10">
      <c r="A13" s="637">
        <f>+'4.CT3A'!A35</f>
        <v>113</v>
      </c>
      <c r="B13" s="622" t="str">
        <f>+'4.CT3A'!B35</f>
        <v xml:space="preserve">      Хөрөнгийн албан татвар</v>
      </c>
      <c r="C13" s="668">
        <f>+'4.CT3A'!D35</f>
        <v>0</v>
      </c>
      <c r="D13" s="1521">
        <v>0</v>
      </c>
      <c r="E13" s="1521">
        <v>0</v>
      </c>
      <c r="F13" s="296">
        <f si="0" t="shared"/>
        <v>0</v>
      </c>
      <c r="G13" s="296">
        <f si="1" t="shared"/>
        <v>0</v>
      </c>
    </row>
    <row customHeight="1" ht="15" r="14" spans="1:10">
      <c r="A14" s="637">
        <f>+'4.CT3A'!A40</f>
        <v>114</v>
      </c>
      <c r="B14" s="622" t="str">
        <f>+'4.CT3A'!B40</f>
        <v xml:space="preserve">      Нэмэгдсэн өртгийн албан татвар</v>
      </c>
      <c r="C14" s="668">
        <f>+'4.CT3A'!D40</f>
        <v>0</v>
      </c>
      <c r="D14" s="1521">
        <v>0</v>
      </c>
      <c r="E14" s="1521">
        <v>0</v>
      </c>
      <c r="F14" s="296">
        <f si="0" t="shared"/>
        <v>0</v>
      </c>
      <c r="G14" s="296">
        <f si="1" t="shared"/>
        <v>0</v>
      </c>
    </row>
    <row r="15" spans="1:10">
      <c r="A15" s="637">
        <f>+'4.CT3A'!A44</f>
        <v>115</v>
      </c>
      <c r="B15" s="622" t="str">
        <f>+'4.CT3A'!B44</f>
        <v xml:space="preserve">      Онцгой албан татвар</v>
      </c>
      <c r="C15" s="668">
        <f>+'4.CT3A'!D44</f>
        <v>0</v>
      </c>
      <c r="D15" s="1521">
        <v>0</v>
      </c>
      <c r="E15" s="1521">
        <v>0</v>
      </c>
      <c r="F15" s="296">
        <f si="0" t="shared"/>
        <v>0</v>
      </c>
      <c r="G15" s="296">
        <f si="1" t="shared"/>
        <v>0</v>
      </c>
    </row>
    <row r="16" spans="1:10">
      <c r="A16" s="637">
        <f>+'4.CT3A'!A53</f>
        <v>116</v>
      </c>
      <c r="B16" s="622" t="str">
        <f>+'4.CT3A'!B53</f>
        <v xml:space="preserve">      Тусгай зориулалтын орлого</v>
      </c>
      <c r="C16" s="668">
        <f>+'4.CT3A'!D53</f>
        <v>0</v>
      </c>
      <c r="D16" s="1521">
        <v>0</v>
      </c>
      <c r="E16" s="1521">
        <v>0</v>
      </c>
      <c r="F16" s="296">
        <f si="0" t="shared"/>
        <v>0</v>
      </c>
      <c r="G16" s="296">
        <f si="1" t="shared"/>
        <v>0</v>
      </c>
    </row>
    <row r="17" spans="1:7">
      <c r="A17" s="637">
        <f>+'4.CT3A'!A55</f>
        <v>117</v>
      </c>
      <c r="B17" s="622" t="str">
        <f>+'4.CT3A'!B55</f>
        <v xml:space="preserve">      Гадаад үйл ажиллагааны орлого</v>
      </c>
      <c r="C17" s="668">
        <f>+'4.CT3A'!D55</f>
        <v>0</v>
      </c>
      <c r="D17" s="1521">
        <v>0</v>
      </c>
      <c r="E17" s="1521">
        <v>0</v>
      </c>
      <c r="F17" s="296">
        <f si="0" t="shared"/>
        <v>0</v>
      </c>
      <c r="G17" s="296">
        <f si="1" t="shared"/>
        <v>0</v>
      </c>
    </row>
    <row customHeight="1" ht="25.5" r="18" spans="1:7">
      <c r="A18" s="637">
        <f>+'4.CT3A'!A58</f>
        <v>118</v>
      </c>
      <c r="B18" s="622" t="str">
        <f>+'4.CT3A'!B58</f>
        <v xml:space="preserve">      Бусад татвар, төлбөр, хураамж</v>
      </c>
      <c r="C18" s="668">
        <f>+'4.CT3A'!D58</f>
        <v>0</v>
      </c>
      <c r="D18" s="1521">
        <v>0</v>
      </c>
      <c r="E18" s="1521">
        <v>0</v>
      </c>
      <c r="F18" s="296">
        <f si="0" t="shared"/>
        <v>0</v>
      </c>
      <c r="G18" s="296">
        <f si="1" t="shared"/>
        <v>0</v>
      </c>
    </row>
    <row r="19" spans="1:7">
      <c r="A19" s="637">
        <f>+'4.CT3A'!A84</f>
        <v>12</v>
      </c>
      <c r="B19" s="622" t="str">
        <f>+'4.CT3A'!B84</f>
        <v xml:space="preserve">   ТАТВАРЫН БУС ОРЛОГО</v>
      </c>
      <c r="C19" s="668">
        <f>+'4.CT3A'!D84</f>
        <v>0</v>
      </c>
      <c r="D19" s="1521">
        <v>0</v>
      </c>
      <c r="E19" s="1521">
        <v>0</v>
      </c>
      <c r="F19" s="296">
        <f si="0" t="shared"/>
        <v>0</v>
      </c>
      <c r="G19" s="296">
        <f si="1" t="shared"/>
        <v>0</v>
      </c>
    </row>
    <row r="20" spans="1:7">
      <c r="A20" s="637">
        <f>+'4.CT3A'!A85</f>
        <v>120</v>
      </c>
      <c r="B20" s="622" t="str">
        <f>+'4.CT3A'!B85</f>
        <v xml:space="preserve">      Нийтлэг татварын бус орлого</v>
      </c>
      <c r="C20" s="668">
        <f>+'4.CT3A'!D85</f>
        <v>0</v>
      </c>
      <c r="D20" s="1521">
        <v>0</v>
      </c>
      <c r="E20" s="1521">
        <v>0</v>
      </c>
      <c r="F20" s="296">
        <f si="0" t="shared"/>
        <v>0</v>
      </c>
      <c r="G20" s="296">
        <f si="1" t="shared"/>
        <v>0</v>
      </c>
    </row>
    <row r="21" spans="1:7">
      <c r="A21" s="637">
        <f>+'4.CT3A'!A103</f>
        <v>121</v>
      </c>
      <c r="B21" s="622" t="str">
        <f>+'4.CT3A'!B103</f>
        <v xml:space="preserve">    Хөрөнгийн орлого</v>
      </c>
      <c r="C21" s="668">
        <f>+'4.CT3A'!D103</f>
        <v>0</v>
      </c>
      <c r="D21" s="1521">
        <v>0</v>
      </c>
      <c r="E21" s="1521">
        <v>0</v>
      </c>
      <c r="F21" s="296">
        <f si="0" t="shared"/>
        <v>0</v>
      </c>
      <c r="G21" s="296">
        <f si="1" t="shared"/>
        <v>0</v>
      </c>
    </row>
    <row customHeight="1" ht="26.25" r="22" spans="1:7">
      <c r="A22" s="637">
        <f>+'4.CT3A'!A106</f>
        <v>122</v>
      </c>
      <c r="B22" s="622" t="str">
        <f>+'4.CT3A'!B106</f>
        <v xml:space="preserve">   Тусламжийн орлого</v>
      </c>
      <c r="C22" s="668">
        <f>+'4.CT3A'!D106</f>
        <v>0</v>
      </c>
      <c r="D22" s="1521">
        <v>0</v>
      </c>
      <c r="E22" s="1521">
        <v>0</v>
      </c>
      <c r="F22" s="296">
        <f si="0" t="shared"/>
        <v>0</v>
      </c>
      <c r="G22" s="296">
        <f si="1" t="shared"/>
        <v>0</v>
      </c>
    </row>
    <row ht="25.5" r="23" spans="1:7">
      <c r="A23" s="637">
        <f>+'4.CT3A'!A109</f>
        <v>123</v>
      </c>
      <c r="B23" s="626" t="str">
        <f>+'4.CT3A'!B109</f>
        <v xml:space="preserve">    Улсын төсөв орон нутгийн төсөв хоорондын шилжүүлэг</v>
      </c>
      <c r="C23" s="668">
        <f>+'4.CT3A'!D109</f>
        <v>0</v>
      </c>
      <c r="D23" s="1521">
        <v>0</v>
      </c>
      <c r="E23" s="1521">
        <v>0</v>
      </c>
      <c r="F23" s="296">
        <f si="0" t="shared"/>
        <v>0</v>
      </c>
      <c r="G23" s="296">
        <f si="1" t="shared"/>
        <v>0</v>
      </c>
    </row>
    <row r="24" spans="1:7">
      <c r="A24" s="637">
        <f>+'4.CT3A'!A114</f>
        <v>124</v>
      </c>
      <c r="B24" s="622" t="str">
        <f>+'4.CT3A'!B114</f>
        <v xml:space="preserve">   Зээлийн орлого</v>
      </c>
      <c r="C24" s="668">
        <f>+'4.CT3A'!D114</f>
        <v>0</v>
      </c>
      <c r="D24" s="1521">
        <v>0</v>
      </c>
      <c r="E24" s="1521">
        <v>0</v>
      </c>
      <c r="F24" s="296">
        <f si="0" t="shared"/>
        <v>0</v>
      </c>
      <c r="G24" s="296">
        <f si="1" t="shared"/>
        <v>0</v>
      </c>
    </row>
    <row r="25" spans="1:7">
      <c r="A25" s="637">
        <f>+'4.CT3A'!A116</f>
        <v>13</v>
      </c>
      <c r="B25" s="622" t="str">
        <f>+'4.CT3A'!B116</f>
        <v xml:space="preserve"> ТУСЛАМЖ, САНХҮҮЖИЛТИЙН ОРЛОГО</v>
      </c>
      <c r="C25" s="668">
        <f>+'4.CT3A'!D116</f>
        <v>0</v>
      </c>
      <c r="D25" s="1521">
        <v>0</v>
      </c>
      <c r="E25" s="1521">
        <v>0</v>
      </c>
      <c r="F25" s="296">
        <f si="0" t="shared"/>
        <v>0</v>
      </c>
      <c r="G25" s="296">
        <f si="1" t="shared"/>
        <v>0</v>
      </c>
    </row>
    <row customHeight="1" ht="15" r="26" spans="1:7">
      <c r="A26" s="637">
        <f>+'4.CT3A'!A117</f>
        <v>1310</v>
      </c>
      <c r="B26" s="622" t="str">
        <f>+'4.CT3A'!B117</f>
        <v xml:space="preserve">      Улсын төвлөрсөн төсвөөс</v>
      </c>
      <c r="C26" s="668">
        <f>+'4.CT3A'!D117</f>
        <v>0</v>
      </c>
      <c r="D26" s="1521">
        <v>0</v>
      </c>
      <c r="E26" s="1521">
        <v>0</v>
      </c>
      <c r="F26" s="296">
        <f si="0" t="shared"/>
        <v>0</v>
      </c>
      <c r="G26" s="296">
        <f si="1" t="shared"/>
        <v>0</v>
      </c>
    </row>
    <row r="27" spans="1:7">
      <c r="A27" s="637">
        <f>+'4.CT3A'!A127</f>
        <v>1311</v>
      </c>
      <c r="B27" s="622" t="str">
        <f>+'4.CT3A'!B127</f>
        <v xml:space="preserve">      Нэмэлт санхүүжилтийн орлого</v>
      </c>
      <c r="C27" s="668">
        <f>+'4.CT3A'!D127</f>
        <v>0</v>
      </c>
      <c r="D27" s="1521">
        <v>0</v>
      </c>
      <c r="E27" s="1521">
        <v>0</v>
      </c>
      <c r="F27" s="296">
        <f si="0" t="shared"/>
        <v>0</v>
      </c>
      <c r="G27" s="296">
        <f si="1" t="shared"/>
        <v>0</v>
      </c>
    </row>
    <row r="28" spans="1:7">
      <c r="A28" s="637">
        <f>+'4.CT3A'!A134</f>
        <v>1320</v>
      </c>
      <c r="B28" s="622" t="str">
        <f>+'4.CT3A'!B134</f>
        <v xml:space="preserve">      Орон нутгийн төсвөөс санхүүжих</v>
      </c>
      <c r="C28" s="668">
        <f>+'4.CT3A'!D134</f>
        <v>0</v>
      </c>
      <c r="D28" s="1521">
        <v>0</v>
      </c>
      <c r="E28" s="1521">
        <v>0</v>
      </c>
      <c r="F28" s="296">
        <f si="0" t="shared"/>
        <v>0</v>
      </c>
      <c r="G28" s="296">
        <f si="1" t="shared"/>
        <v>0</v>
      </c>
    </row>
    <row r="29" spans="1:7">
      <c r="A29" s="637">
        <f>+'4.CT3A'!A142</f>
        <v>1330</v>
      </c>
      <c r="B29" s="622" t="str">
        <f>+'4.CT3A'!B142</f>
        <v xml:space="preserve">     Төсвийн захирагчдаас </v>
      </c>
      <c r="C29" s="668">
        <f>+'4.CT3A'!D142</f>
        <v>0</v>
      </c>
      <c r="D29" s="1521">
        <v>0</v>
      </c>
      <c r="E29" s="1521">
        <v>0</v>
      </c>
      <c r="F29" s="296">
        <f si="0" t="shared"/>
        <v>0</v>
      </c>
      <c r="G29" s="296">
        <f si="1" t="shared"/>
        <v>0</v>
      </c>
    </row>
    <row customHeight="1" ht="25.5" r="30" spans="1:7">
      <c r="A30" s="637">
        <f>+'4.CT3A'!A148</f>
        <v>1340</v>
      </c>
      <c r="B30" s="626" t="str">
        <f>+'4.CT3A'!B148</f>
        <v xml:space="preserve">    Нийгмийн даатгалын сангийн төсвөөс санхүүжих</v>
      </c>
      <c r="C30" s="668">
        <f>+'4.CT3A'!D148</f>
        <v>0</v>
      </c>
      <c r="D30" s="1521">
        <v>0</v>
      </c>
      <c r="E30" s="1521">
        <v>0</v>
      </c>
      <c r="F30" s="296">
        <f si="0" t="shared"/>
        <v>0</v>
      </c>
      <c r="G30" s="296">
        <f si="1" t="shared"/>
        <v>0</v>
      </c>
    </row>
    <row r="31" spans="1:7">
      <c r="A31" s="620"/>
      <c r="B31" s="60"/>
      <c r="C31" s="294"/>
      <c r="D31" s="294"/>
      <c r="G31" s="294"/>
    </row>
    <row r="32" spans="1:7">
      <c r="B32" s="607" t="s">
        <v>1897</v>
      </c>
      <c r="C32" s="91"/>
      <c r="D32" s="406"/>
      <c r="E32" s="608"/>
    </row>
    <row r="33" spans="2:5">
      <c r="B33" s="406">
        <f>+ЧХ!$C$15</f>
        <v>0</v>
      </c>
      <c r="C33" s="91"/>
      <c r="D33" s="602">
        <f>+ЧХ!$C$16</f>
        <v>0</v>
      </c>
      <c r="E33" s="91"/>
    </row>
    <row r="34" spans="2:5">
      <c r="B34" s="406"/>
      <c r="C34" s="91"/>
      <c r="D34" s="609"/>
      <c r="E34" s="91"/>
    </row>
    <row r="35" spans="2:5">
      <c r="B35" s="607" t="s">
        <v>2368</v>
      </c>
      <c r="C35" s="91"/>
      <c r="D35" s="608"/>
      <c r="E35" s="91"/>
    </row>
    <row r="36" spans="2:5">
      <c r="B36" s="406" t="str">
        <f>+ЧХ!$B$6</f>
        <v>Аудитын менежер</v>
      </c>
      <c r="C36" s="91"/>
      <c r="D36" s="602">
        <f>+ЧХ!$C$6</f>
        <v>0</v>
      </c>
      <c r="E36" s="91"/>
    </row>
    <row r="37" spans="2:5">
      <c r="B37" s="406"/>
      <c r="C37" s="91"/>
      <c r="D37" s="608"/>
      <c r="E37" s="91"/>
    </row>
    <row r="38" spans="2:5">
      <c r="B38" s="406" t="s">
        <v>2369</v>
      </c>
      <c r="C38" s="91"/>
      <c r="D38" s="608"/>
      <c r="E38" s="91"/>
    </row>
    <row r="39" spans="2:5">
      <c r="B39" s="406" t="str">
        <f>+ЧХ!$B$5</f>
        <v>Тэргүүлэх аудитор</v>
      </c>
      <c r="C39" s="91"/>
      <c r="D39" s="603" t="str">
        <f>+ЧХ!$C$5</f>
        <v>С.Энхбаатар</v>
      </c>
      <c r="E39" s="91"/>
    </row>
    <row r="40" spans="2:5">
      <c r="C40" s="608"/>
      <c r="D40" s="608"/>
      <c r="E40" s="608"/>
    </row>
    <row r="41" spans="2:5">
      <c r="B41" s="406" t="str">
        <f>+ЧХ!$B$6&amp;"ийн санал: ………………………………………………………………………………………"</f>
        <v>Аудитын менежерийн санал: ………………………………………………………………………………………</v>
      </c>
      <c r="C41" s="91"/>
      <c r="D41" s="91"/>
    </row>
    <row r="42" spans="2:5">
      <c r="B42" s="406"/>
      <c r="C42" s="91"/>
      <c r="D42" s="91"/>
    </row>
    <row r="43" spans="2:5">
      <c r="B43" s="406"/>
      <c r="C43" s="91"/>
      <c r="D43" s="91"/>
    </row>
    <row r="44" spans="2:5">
      <c r="B44" s="406"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bottom="0.75" footer="0.3" header="0.3" left="0.7" right="0.7" top="0.75"/>
  <pageSetup orientation="portrait" r:id="rId1" scale="75"/>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7"/>
  <sheetViews>
    <sheetView workbookViewId="0">
      <selection activeCell="F9" sqref="F9"/>
    </sheetView>
  </sheetViews>
  <sheetFormatPr defaultRowHeight="12.75"/>
  <cols>
    <col min="1" max="1" customWidth="true" style="629" width="8.5703125" collapsed="false"/>
    <col min="2" max="2" customWidth="true" style="91" width="28.5703125" collapsed="false"/>
    <col min="3" max="3" bestFit="true" customWidth="true" style="297" width="16.7109375" collapsed="false"/>
    <col min="4" max="4" customWidth="true" style="291" width="20.7109375" collapsed="false"/>
    <col min="5" max="5" customWidth="true" style="291" width="18.42578125" collapsed="false"/>
    <col min="6" max="6" customWidth="true" style="291" width="17.42578125" collapsed="false"/>
    <col min="7" max="7" customWidth="true" style="291" width="16.0" collapsed="false"/>
    <col min="8" max="16384" style="91" width="9.140625" collapsed="false"/>
  </cols>
  <sheetData>
    <row customFormat="1" r="1" s="609" spans="1:10">
      <c r="A1" s="629"/>
      <c r="C1" s="297"/>
      <c r="D1" s="608"/>
      <c r="E1" s="608"/>
      <c r="F1" s="608"/>
      <c r="G1" s="610" t="s">
        <v>2005</v>
      </c>
    </row>
    <row r="2" spans="1:10">
      <c r="A2" s="1704" t="s">
        <v>1356</v>
      </c>
      <c r="B2" s="1704"/>
      <c r="C2" s="1704"/>
      <c r="D2" s="1704"/>
      <c r="E2" s="1704"/>
      <c r="F2" s="1704"/>
      <c r="G2" s="1704"/>
    </row>
    <row customFormat="1" r="3" s="609" spans="1:10">
      <c r="A3" s="623"/>
      <c r="B3" s="406"/>
      <c r="C3" s="406"/>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06"/>
      <c r="D5" s="406"/>
      <c r="E5" s="406"/>
      <c r="F5" s="406"/>
      <c r="G5" s="406"/>
      <c r="I5" s="608"/>
    </row>
    <row customFormat="1" r="6" s="609" spans="1:10">
      <c r="A6" s="629"/>
      <c r="C6" s="608"/>
      <c r="D6" s="608"/>
      <c r="E6" s="608"/>
      <c r="F6" s="608"/>
      <c r="G6" s="549" t="s">
        <v>1364</v>
      </c>
    </row>
    <row customHeight="1" ht="20.25" r="7" spans="1:10">
      <c r="A7" s="1781" t="s">
        <v>1267</v>
      </c>
      <c r="B7" s="1781" t="s">
        <v>12</v>
      </c>
      <c r="C7" s="1806" t="s">
        <v>66</v>
      </c>
      <c r="D7" s="1866" t="s">
        <v>1342</v>
      </c>
      <c r="E7" s="1866"/>
      <c r="F7" s="1889" t="s">
        <v>1234</v>
      </c>
      <c r="G7" s="1889"/>
    </row>
    <row customHeight="1" ht="27" r="8" spans="1:10">
      <c r="A8" s="1781"/>
      <c r="B8" s="1781"/>
      <c r="C8" s="1806"/>
      <c r="D8" s="296" t="s">
        <v>1357</v>
      </c>
      <c r="E8" s="296" t="s">
        <v>30</v>
      </c>
      <c r="F8" s="296" t="s">
        <v>1358</v>
      </c>
      <c r="G8" s="296" t="s">
        <v>1359</v>
      </c>
    </row>
    <row ht="25.5" r="9" spans="1:10">
      <c r="A9" s="637" t="s">
        <v>102</v>
      </c>
      <c r="B9" s="626" t="s">
        <v>490</v>
      </c>
      <c r="C9" s="667">
        <f>'20.TGT1'!F99</f>
        <v>0</v>
      </c>
      <c r="D9" s="667">
        <f>'20.TGT1'!G99</f>
        <v>0</v>
      </c>
      <c r="E9" s="667">
        <f>'20.TGT1'!H99</f>
        <v>0</v>
      </c>
      <c r="F9" s="667">
        <f>+C9-E9</f>
        <v>0</v>
      </c>
      <c r="G9" s="667">
        <f>+E9-D9</f>
        <v>0</v>
      </c>
    </row>
    <row ht="25.5" r="10" spans="1:10">
      <c r="A10" s="637">
        <v>1310</v>
      </c>
      <c r="B10" s="626" t="s">
        <v>2423</v>
      </c>
      <c r="C10" s="667">
        <f>'20.TGT1'!F100</f>
        <v>0</v>
      </c>
      <c r="D10" s="667">
        <f>'20.TGT1'!G100</f>
        <v>0</v>
      </c>
      <c r="E10" s="667">
        <f>'20.TGT1'!H100</f>
        <v>0</v>
      </c>
      <c r="F10" s="667">
        <f ref="F10:F31" si="0" t="shared">+C10-E10</f>
        <v>0</v>
      </c>
      <c r="G10" s="667">
        <f ref="G10:G31" si="1" t="shared">+E10-D10</f>
        <v>0</v>
      </c>
    </row>
    <row r="11" spans="1:10">
      <c r="A11" s="637">
        <v>131001</v>
      </c>
      <c r="B11" s="626" t="s">
        <v>2422</v>
      </c>
      <c r="C11" s="667">
        <f>'20.TGT1'!F101</f>
        <v>0</v>
      </c>
      <c r="D11" s="667">
        <f>'20.TGT1'!G101</f>
        <v>0</v>
      </c>
      <c r="E11" s="667">
        <f>'20.TGT1'!H101</f>
        <v>0</v>
      </c>
      <c r="F11" s="667">
        <f si="0" t="shared"/>
        <v>0</v>
      </c>
      <c r="G11" s="667">
        <f si="1" t="shared"/>
        <v>0</v>
      </c>
    </row>
    <row ht="25.5" r="12" spans="1:10">
      <c r="A12" s="637">
        <v>131006</v>
      </c>
      <c r="B12" s="626" t="s">
        <v>2424</v>
      </c>
      <c r="C12" s="667">
        <f>'20.TGT1'!F102</f>
        <v>0</v>
      </c>
      <c r="D12" s="667">
        <f>'20.TGT1'!G102</f>
        <v>0</v>
      </c>
      <c r="E12" s="667">
        <f>'20.TGT1'!H102</f>
        <v>0</v>
      </c>
      <c r="F12" s="667">
        <f si="0" t="shared"/>
        <v>0</v>
      </c>
      <c r="G12" s="667">
        <f si="1" t="shared"/>
        <v>0</v>
      </c>
    </row>
    <row ht="25.5" r="13" spans="1:10">
      <c r="A13" s="637">
        <v>131007</v>
      </c>
      <c r="B13" s="626" t="s">
        <v>2425</v>
      </c>
      <c r="C13" s="667">
        <f>'20.TGT1'!F103</f>
        <v>0</v>
      </c>
      <c r="D13" s="667">
        <f>'20.TGT1'!G103</f>
        <v>0</v>
      </c>
      <c r="E13" s="667">
        <f>'20.TGT1'!H103</f>
        <v>0</v>
      </c>
      <c r="F13" s="667">
        <f si="0" t="shared"/>
        <v>0</v>
      </c>
      <c r="G13" s="667">
        <f si="1" t="shared"/>
        <v>0</v>
      </c>
    </row>
    <row ht="25.5" r="14" spans="1:10">
      <c r="A14" s="637">
        <v>131008</v>
      </c>
      <c r="B14" s="626" t="s">
        <v>2426</v>
      </c>
      <c r="C14" s="667">
        <f>'20.TGT1'!F104</f>
        <v>0</v>
      </c>
      <c r="D14" s="667">
        <f>'20.TGT1'!G104</f>
        <v>0</v>
      </c>
      <c r="E14" s="667">
        <f>'20.TGT1'!H104</f>
        <v>0</v>
      </c>
      <c r="F14" s="667">
        <f si="0" t="shared"/>
        <v>0</v>
      </c>
      <c r="G14" s="667">
        <f si="1" t="shared"/>
        <v>0</v>
      </c>
    </row>
    <row ht="25.5" r="15" spans="1:10">
      <c r="A15" s="637">
        <v>1320</v>
      </c>
      <c r="B15" s="626" t="s">
        <v>2427</v>
      </c>
      <c r="C15" s="667">
        <f>'20.TGT1'!F105</f>
        <v>0</v>
      </c>
      <c r="D15" s="667">
        <f>'20.TGT1'!G105</f>
        <v>0</v>
      </c>
      <c r="E15" s="667">
        <f>'20.TGT1'!H105</f>
        <v>0</v>
      </c>
      <c r="F15" s="667">
        <f si="0" t="shared"/>
        <v>0</v>
      </c>
      <c r="G15" s="667">
        <f si="1" t="shared"/>
        <v>0</v>
      </c>
    </row>
    <row r="16" spans="1:10">
      <c r="A16" s="637">
        <v>132001</v>
      </c>
      <c r="B16" s="626" t="s">
        <v>2428</v>
      </c>
      <c r="C16" s="667">
        <f>'20.TGT1'!F106</f>
        <v>0</v>
      </c>
      <c r="D16" s="667">
        <f>'20.TGT1'!G106</f>
        <v>0</v>
      </c>
      <c r="E16" s="667">
        <f>'20.TGT1'!H106</f>
        <v>0</v>
      </c>
      <c r="F16" s="667">
        <f si="0" t="shared"/>
        <v>0</v>
      </c>
      <c r="G16" s="667">
        <f si="1" t="shared"/>
        <v>0</v>
      </c>
    </row>
    <row ht="25.5" r="17" spans="1:7">
      <c r="A17" s="637">
        <v>132007</v>
      </c>
      <c r="B17" s="626" t="s">
        <v>2429</v>
      </c>
      <c r="C17" s="667">
        <f>'20.TGT1'!F107</f>
        <v>0</v>
      </c>
      <c r="D17" s="667">
        <f>'20.TGT1'!G107</f>
        <v>0</v>
      </c>
      <c r="E17" s="667">
        <f>'20.TGT1'!H107</f>
        <v>0</v>
      </c>
      <c r="F17" s="667">
        <f si="0" t="shared"/>
        <v>0</v>
      </c>
      <c r="G17" s="667">
        <f si="1" t="shared"/>
        <v>0</v>
      </c>
    </row>
    <row ht="38.25" r="18" spans="1:7">
      <c r="A18" s="637">
        <v>1340</v>
      </c>
      <c r="B18" s="626" t="s">
        <v>2430</v>
      </c>
      <c r="C18" s="667">
        <f>'20.TGT1'!F108</f>
        <v>0</v>
      </c>
      <c r="D18" s="667">
        <f>'20.TGT1'!G108</f>
        <v>0</v>
      </c>
      <c r="E18" s="667">
        <f>'20.TGT1'!H108</f>
        <v>0</v>
      </c>
      <c r="F18" s="667">
        <f si="0" t="shared"/>
        <v>0</v>
      </c>
      <c r="G18" s="667">
        <f si="1" t="shared"/>
        <v>0</v>
      </c>
    </row>
    <row ht="25.5" r="19" spans="1:7">
      <c r="A19" s="637">
        <v>134001</v>
      </c>
      <c r="B19" s="626" t="s">
        <v>2431</v>
      </c>
      <c r="C19" s="667">
        <f>'20.TGT1'!F109</f>
        <v>0</v>
      </c>
      <c r="D19" s="667">
        <f>'20.TGT1'!G109</f>
        <v>0</v>
      </c>
      <c r="E19" s="667">
        <f>'20.TGT1'!H109</f>
        <v>0</v>
      </c>
      <c r="F19" s="667">
        <f si="0" t="shared"/>
        <v>0</v>
      </c>
      <c r="G19" s="667">
        <f si="1" t="shared"/>
        <v>0</v>
      </c>
    </row>
    <row ht="25.5" r="20" spans="1:7">
      <c r="A20" s="637">
        <v>134002</v>
      </c>
      <c r="B20" s="626" t="s">
        <v>2432</v>
      </c>
      <c r="C20" s="667">
        <f>'20.TGT1'!F110</f>
        <v>0</v>
      </c>
      <c r="D20" s="667">
        <f>'20.TGT1'!G110</f>
        <v>0</v>
      </c>
      <c r="E20" s="667">
        <f>'20.TGT1'!H110</f>
        <v>0</v>
      </c>
      <c r="F20" s="667">
        <f si="0" t="shared"/>
        <v>0</v>
      </c>
      <c r="G20" s="667">
        <f si="1" t="shared"/>
        <v>0</v>
      </c>
    </row>
    <row ht="38.25" r="21" spans="1:7">
      <c r="A21" s="637">
        <v>134003</v>
      </c>
      <c r="B21" s="626" t="s">
        <v>2433</v>
      </c>
      <c r="C21" s="667">
        <f>'20.TGT1'!F111</f>
        <v>0</v>
      </c>
      <c r="D21" s="667">
        <f>'20.TGT1'!G111</f>
        <v>0</v>
      </c>
      <c r="E21" s="667">
        <f>'20.TGT1'!H111</f>
        <v>0</v>
      </c>
      <c r="F21" s="667">
        <f si="0" t="shared"/>
        <v>0</v>
      </c>
      <c r="G21" s="667">
        <f si="1" t="shared"/>
        <v>0</v>
      </c>
    </row>
    <row ht="25.5" r="22" spans="1:7">
      <c r="A22" s="637">
        <v>120004</v>
      </c>
      <c r="B22" s="626" t="s">
        <v>2434</v>
      </c>
      <c r="C22" s="667">
        <f>'20.TGT1'!F112</f>
        <v>0</v>
      </c>
      <c r="D22" s="667">
        <f>'20.TGT1'!G112</f>
        <v>0</v>
      </c>
      <c r="E22" s="667">
        <f>'20.TGT1'!H112</f>
        <v>0</v>
      </c>
      <c r="F22" s="667">
        <f si="0" t="shared"/>
        <v>0</v>
      </c>
      <c r="G22" s="667">
        <f si="1" t="shared"/>
        <v>0</v>
      </c>
    </row>
    <row ht="25.5" r="23" spans="1:7">
      <c r="A23" s="637">
        <v>1200041</v>
      </c>
      <c r="B23" s="626" t="s">
        <v>2435</v>
      </c>
      <c r="C23" s="667">
        <f>'20.TGT1'!F113</f>
        <v>0</v>
      </c>
      <c r="D23" s="667">
        <f>'20.TGT1'!G113</f>
        <v>0</v>
      </c>
      <c r="E23" s="667">
        <f>'20.TGT1'!H113</f>
        <v>0</v>
      </c>
      <c r="F23" s="667">
        <f si="0" t="shared"/>
        <v>0</v>
      </c>
      <c r="G23" s="667">
        <f si="1" t="shared"/>
        <v>0</v>
      </c>
    </row>
    <row ht="25.5" r="24" spans="1:7">
      <c r="A24" s="637">
        <v>1200042</v>
      </c>
      <c r="B24" s="626" t="s">
        <v>2436</v>
      </c>
      <c r="C24" s="667">
        <f>'20.TGT1'!F114</f>
        <v>0</v>
      </c>
      <c r="D24" s="667">
        <f>'20.TGT1'!G114</f>
        <v>0</v>
      </c>
      <c r="E24" s="667">
        <f>'20.TGT1'!H114</f>
        <v>0</v>
      </c>
      <c r="F24" s="667">
        <f si="0" t="shared"/>
        <v>0</v>
      </c>
      <c r="G24" s="667">
        <f si="1" t="shared"/>
        <v>0</v>
      </c>
    </row>
    <row ht="25.5" r="25" spans="1:7">
      <c r="A25" s="637">
        <v>1200043</v>
      </c>
      <c r="B25" s="626" t="s">
        <v>2437</v>
      </c>
      <c r="C25" s="667">
        <f>'20.TGT1'!F115</f>
        <v>0</v>
      </c>
      <c r="D25" s="667">
        <f>'20.TGT1'!G115</f>
        <v>0</v>
      </c>
      <c r="E25" s="667">
        <f>'20.TGT1'!H115</f>
        <v>0</v>
      </c>
      <c r="F25" s="667">
        <f si="0" t="shared"/>
        <v>0</v>
      </c>
      <c r="G25" s="667">
        <f si="1" t="shared"/>
        <v>0</v>
      </c>
    </row>
    <row ht="25.5" r="26" spans="1:7">
      <c r="A26" s="637">
        <v>1200044</v>
      </c>
      <c r="B26" s="626" t="s">
        <v>2438</v>
      </c>
      <c r="C26" s="667">
        <f>'20.TGT1'!F116</f>
        <v>0</v>
      </c>
      <c r="D26" s="667">
        <f>'20.TGT1'!G116</f>
        <v>0</v>
      </c>
      <c r="E26" s="667">
        <f>'20.TGT1'!H116</f>
        <v>0</v>
      </c>
      <c r="F26" s="667">
        <f si="0" t="shared"/>
        <v>0</v>
      </c>
      <c r="G26" s="667">
        <f si="1" t="shared"/>
        <v>0</v>
      </c>
    </row>
    <row ht="25.5" r="27" spans="1:7">
      <c r="A27" s="637">
        <v>122</v>
      </c>
      <c r="B27" s="626" t="s">
        <v>2439</v>
      </c>
      <c r="C27" s="667">
        <f>'20.TGT1'!F117</f>
        <v>0</v>
      </c>
      <c r="D27" s="667">
        <f>'20.TGT1'!G117</f>
        <v>0</v>
      </c>
      <c r="E27" s="667">
        <f>'20.TGT1'!H117</f>
        <v>0</v>
      </c>
      <c r="F27" s="667">
        <f si="0" t="shared"/>
        <v>0</v>
      </c>
      <c r="G27" s="667">
        <f si="1" t="shared"/>
        <v>0</v>
      </c>
    </row>
    <row r="28" spans="1:7">
      <c r="A28" s="637">
        <v>122001</v>
      </c>
      <c r="B28" s="626" t="s">
        <v>2440</v>
      </c>
      <c r="C28" s="667">
        <f>'20.TGT1'!F118</f>
        <v>0</v>
      </c>
      <c r="D28" s="667">
        <f>'20.TGT1'!G118</f>
        <v>0</v>
      </c>
      <c r="E28" s="667">
        <f>'20.TGT1'!H118</f>
        <v>0</v>
      </c>
      <c r="F28" s="667">
        <f si="0" t="shared"/>
        <v>0</v>
      </c>
      <c r="G28" s="667">
        <f si="1" t="shared"/>
        <v>0</v>
      </c>
    </row>
    <row r="29" spans="1:7">
      <c r="A29" s="637">
        <v>122002</v>
      </c>
      <c r="B29" s="626" t="s">
        <v>2441</v>
      </c>
      <c r="C29" s="667">
        <f>'20.TGT1'!F119</f>
        <v>0</v>
      </c>
      <c r="D29" s="667">
        <f>'20.TGT1'!G119</f>
        <v>0</v>
      </c>
      <c r="E29" s="667">
        <f>'20.TGT1'!H119</f>
        <v>0</v>
      </c>
      <c r="F29" s="667">
        <f si="0" t="shared"/>
        <v>0</v>
      </c>
      <c r="G29" s="667">
        <f si="1" t="shared"/>
        <v>0</v>
      </c>
    </row>
    <row r="30" spans="1:7">
      <c r="A30" s="637">
        <v>14</v>
      </c>
      <c r="B30" s="626" t="s">
        <v>2442</v>
      </c>
      <c r="C30" s="667">
        <f>'20.TGT1'!F120</f>
        <v>0</v>
      </c>
      <c r="D30" s="667">
        <f>'20.TGT1'!G120</f>
        <v>0</v>
      </c>
      <c r="E30" s="667">
        <f>'20.TGT1'!H120</f>
        <v>0</v>
      </c>
      <c r="F30" s="667">
        <f si="0" t="shared"/>
        <v>0</v>
      </c>
      <c r="G30" s="667">
        <f si="1" t="shared"/>
        <v>0</v>
      </c>
    </row>
    <row ht="38.25" r="31" spans="1:7">
      <c r="A31" s="637">
        <v>145005</v>
      </c>
      <c r="B31" s="626" t="s">
        <v>2443</v>
      </c>
      <c r="C31" s="667">
        <f>'20.TGT1'!F121</f>
        <v>0</v>
      </c>
      <c r="D31" s="667">
        <f>'20.TGT1'!G121</f>
        <v>0</v>
      </c>
      <c r="E31" s="667">
        <f>'20.TGT1'!H121</f>
        <v>0</v>
      </c>
      <c r="F31" s="667">
        <f si="0" t="shared"/>
        <v>0</v>
      </c>
      <c r="G31" s="667">
        <f si="1" t="shared"/>
        <v>0</v>
      </c>
    </row>
    <row r="32" spans="1:7">
      <c r="A32" s="620"/>
      <c r="B32" s="60"/>
      <c r="C32" s="298"/>
      <c r="D32" s="294"/>
      <c r="E32" s="294"/>
      <c r="G32" s="294"/>
    </row>
    <row r="34" spans="2:6">
      <c r="C34" s="607" t="s">
        <v>1897</v>
      </c>
      <c r="D34" s="406"/>
      <c r="E34" s="608"/>
      <c r="F34" s="91"/>
    </row>
    <row r="35" spans="2:6">
      <c r="C35" s="406">
        <f>+ЧХ!$C$15</f>
        <v>0</v>
      </c>
      <c r="D35" s="406"/>
      <c r="E35" s="602">
        <f>+ЧХ!$C$16</f>
        <v>0</v>
      </c>
      <c r="F35" s="91"/>
    </row>
    <row r="36" spans="2:6">
      <c r="C36" s="406"/>
      <c r="D36" s="609"/>
      <c r="E36" s="609"/>
      <c r="F36" s="91"/>
    </row>
    <row r="37" spans="2:6">
      <c r="C37" s="607" t="s">
        <v>2368</v>
      </c>
      <c r="D37" s="406"/>
      <c r="E37" s="608"/>
      <c r="F37" s="91"/>
    </row>
    <row r="38" spans="2:6">
      <c r="C38" s="406" t="str">
        <f>+ЧХ!$B$6</f>
        <v>Аудитын менежер</v>
      </c>
      <c r="D38" s="406"/>
      <c r="E38" s="602">
        <f>+ЧХ!$C$6</f>
        <v>0</v>
      </c>
      <c r="F38" s="91"/>
    </row>
    <row r="39" spans="2:6">
      <c r="C39" s="406"/>
      <c r="D39" s="609"/>
      <c r="E39" s="608"/>
      <c r="F39" s="91"/>
    </row>
    <row r="40" spans="2:6">
      <c r="C40" s="406" t="s">
        <v>2369</v>
      </c>
      <c r="D40" s="406"/>
      <c r="E40" s="608"/>
      <c r="F40" s="91"/>
    </row>
    <row r="41" spans="2:6">
      <c r="C41" s="406" t="str">
        <f>+ЧХ!$B$5</f>
        <v>Тэргүүлэх аудитор</v>
      </c>
      <c r="D41" s="406"/>
      <c r="E41" s="603" t="str">
        <f>+ЧХ!$C$5</f>
        <v>С.Энхбаатар</v>
      </c>
      <c r="F41" s="91"/>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7">
    <mergeCell ref="A2:G2"/>
    <mergeCell ref="A7:A8"/>
    <mergeCell ref="B7:B8"/>
    <mergeCell ref="C7:C8"/>
    <mergeCell ref="D7:E7"/>
    <mergeCell ref="F7:G7"/>
    <mergeCell ref="B4:F4"/>
  </mergeCells>
  <pageMargins bottom="0.75" footer="0.3" header="0.3" left="0.7" right="0.7" top="0.75"/>
  <pageSetup orientation="portrait" r:id="rId1" scale="70"/>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customWidth="true" style="91" width="5.28515625" collapsed="false"/>
    <col min="2" max="2" customWidth="true" style="91" width="14.85546875" collapsed="false"/>
    <col min="3" max="3" customWidth="true" style="91" width="17.0" collapsed="false"/>
    <col min="4" max="4" bestFit="true" customWidth="true" style="291" width="16.7109375" collapsed="false"/>
    <col min="5" max="6" bestFit="true" customWidth="true" style="291" width="15.0" collapsed="false"/>
    <col min="7" max="7" customWidth="true" style="291" width="14.140625" collapsed="false"/>
    <col min="8" max="8" customWidth="true" style="291" width="15.5703125" collapsed="false"/>
    <col min="9" max="9" customWidth="true" style="291" width="14.140625" collapsed="false"/>
    <col min="10" max="10" customWidth="true" style="291" width="11.42578125" collapsed="false"/>
    <col min="11" max="16384" style="91" width="9.140625" collapsed="false"/>
  </cols>
  <sheetData>
    <row customFormat="1" r="1" s="636" spans="1:10">
      <c r="D1" s="633"/>
      <c r="E1" s="633"/>
      <c r="F1" s="633"/>
      <c r="G1" s="633"/>
      <c r="H1" s="633"/>
      <c r="I1" s="633"/>
      <c r="J1" s="292" t="s">
        <v>2010</v>
      </c>
    </row>
    <row r="2" spans="1:10">
      <c r="A2" s="1704" t="s">
        <v>1365</v>
      </c>
      <c r="B2" s="1704"/>
      <c r="C2" s="1704"/>
      <c r="D2" s="1704"/>
      <c r="E2" s="1704"/>
      <c r="F2" s="1704"/>
      <c r="G2" s="1704"/>
      <c r="H2" s="1704"/>
      <c r="I2" s="1704"/>
      <c r="J2" s="1704"/>
    </row>
    <row customFormat="1" r="3" s="609" spans="1:10">
      <c r="A3" s="611"/>
      <c r="C3" s="1095"/>
      <c r="D3" s="1095"/>
      <c r="E3" s="1095"/>
      <c r="F3" s="406"/>
      <c r="G3" s="406"/>
      <c r="H3" s="406"/>
    </row>
    <row customFormat="1" customHeight="1" ht="19.5" r="4" s="609" spans="1:10">
      <c r="C4" s="1859" t="str">
        <f>"Байгууллагын нэр: "&amp;ЧХ!$C$7</f>
        <v xml:space="preserve">Байгууллагын нэр: </v>
      </c>
      <c r="D4" s="1859"/>
      <c r="E4" s="1859"/>
      <c r="F4" s="1859"/>
      <c r="G4" s="1859"/>
      <c r="H4" s="1859"/>
      <c r="I4" s="1859"/>
      <c r="J4" s="607"/>
    </row>
    <row customFormat="1" r="5" s="609" spans="1:10">
      <c r="C5" s="607" t="str">
        <f>"тайлант он: " &amp;ЧХ!$C$8</f>
        <v xml:space="preserve">тайлант он: </v>
      </c>
      <c r="D5" s="406"/>
      <c r="E5" s="406"/>
      <c r="F5" s="406"/>
      <c r="G5" s="406"/>
      <c r="H5" s="406"/>
      <c r="J5" s="608"/>
    </row>
    <row r="6" spans="1:10">
      <c r="B6" s="23"/>
      <c r="J6" s="292" t="s">
        <v>1364</v>
      </c>
    </row>
    <row customHeight="1" ht="23.25" r="7" spans="1:10">
      <c r="A7" s="1781" t="s">
        <v>1267</v>
      </c>
      <c r="B7" s="1781" t="s">
        <v>1268</v>
      </c>
      <c r="C7" s="1781" t="s">
        <v>12</v>
      </c>
      <c r="D7" s="1864" t="s">
        <v>1269</v>
      </c>
      <c r="E7" s="1866" t="s">
        <v>1270</v>
      </c>
      <c r="F7" s="1866"/>
      <c r="G7" s="1866"/>
      <c r="H7" s="1866"/>
      <c r="I7" s="1866"/>
      <c r="J7" s="1867" t="s">
        <v>701</v>
      </c>
    </row>
    <row customHeight="1" ht="67.5" r="8" spans="1:10">
      <c r="A8" s="1781"/>
      <c r="B8" s="1781"/>
      <c r="C8" s="1781"/>
      <c r="D8" s="1865"/>
      <c r="E8" s="296" t="s">
        <v>1271</v>
      </c>
      <c r="F8" s="296" t="s">
        <v>1272</v>
      </c>
      <c r="G8" s="296" t="s">
        <v>1360</v>
      </c>
      <c r="H8" s="296" t="s">
        <v>1363</v>
      </c>
      <c r="I8" s="296" t="s">
        <v>1275</v>
      </c>
      <c r="J8" s="1867"/>
    </row>
    <row customHeight="1" ht="15" r="9" spans="1:10">
      <c r="A9" s="1759">
        <v>1</v>
      </c>
      <c r="B9" s="1691" t="s">
        <v>2411</v>
      </c>
      <c r="C9" s="99" t="s">
        <v>49</v>
      </c>
      <c r="D9" s="654">
        <f>'2.CT1A'!C35</f>
        <v>0</v>
      </c>
      <c r="E9" s="3">
        <v>0</v>
      </c>
      <c r="F9" s="3">
        <v>0</v>
      </c>
      <c r="G9" s="3">
        <v>0</v>
      </c>
      <c r="H9" s="3">
        <v>0</v>
      </c>
      <c r="I9" s="3">
        <v>0</v>
      </c>
      <c r="J9" s="10"/>
    </row>
    <row r="10" spans="1:10">
      <c r="A10" s="1785"/>
      <c r="B10" s="1692"/>
      <c r="C10" s="99" t="s">
        <v>1277</v>
      </c>
      <c r="D10" s="656">
        <f>'8.CTT3'!D9</f>
        <v>0</v>
      </c>
      <c r="E10" s="3">
        <v>0</v>
      </c>
      <c r="F10" s="3">
        <v>0</v>
      </c>
      <c r="G10" s="3">
        <v>0</v>
      </c>
      <c r="H10" s="3">
        <v>0</v>
      </c>
      <c r="I10" s="3">
        <v>0</v>
      </c>
      <c r="J10" s="10"/>
    </row>
    <row r="11" spans="1:10">
      <c r="A11" s="1785"/>
      <c r="B11" s="1692"/>
      <c r="C11" s="99" t="s">
        <v>1278</v>
      </c>
      <c r="D11" s="656">
        <f>'8.CTT3'!E9</f>
        <v>0</v>
      </c>
      <c r="E11" s="3">
        <v>0</v>
      </c>
      <c r="F11" s="3">
        <v>0</v>
      </c>
      <c r="G11" s="3">
        <v>0</v>
      </c>
      <c r="H11" s="3">
        <v>0</v>
      </c>
      <c r="I11" s="3">
        <v>0</v>
      </c>
      <c r="J11" s="10"/>
    </row>
    <row customHeight="1" ht="16.5" r="12" spans="1:10">
      <c r="A12" s="1760"/>
      <c r="B12" s="1693"/>
      <c r="C12" s="99" t="s">
        <v>50</v>
      </c>
      <c r="D12" s="653">
        <f>'2.CT1A'!D35</f>
        <v>0</v>
      </c>
      <c r="E12" s="3">
        <v>0</v>
      </c>
      <c r="F12" s="3">
        <v>0</v>
      </c>
      <c r="G12" s="3">
        <v>0</v>
      </c>
      <c r="H12" s="3">
        <v>0</v>
      </c>
      <c r="I12" s="3">
        <v>0</v>
      </c>
      <c r="J12" s="5">
        <f>I12-D12</f>
        <v>0</v>
      </c>
    </row>
    <row customHeight="1" ht="15" r="13" spans="1:10">
      <c r="A13" s="1759">
        <v>2</v>
      </c>
      <c r="B13" s="1691" t="s">
        <v>2412</v>
      </c>
      <c r="C13" s="99" t="s">
        <v>49</v>
      </c>
      <c r="D13" s="652">
        <f>'2.CT1A'!C36</f>
        <v>0</v>
      </c>
      <c r="E13" s="3">
        <v>0</v>
      </c>
      <c r="F13" s="3">
        <v>0</v>
      </c>
      <c r="G13" s="3">
        <v>0</v>
      </c>
      <c r="H13" s="3">
        <v>0</v>
      </c>
      <c r="I13" s="3">
        <v>0</v>
      </c>
      <c r="J13" s="10"/>
    </row>
    <row r="14" spans="1:10">
      <c r="A14" s="1785"/>
      <c r="B14" s="1692"/>
      <c r="C14" s="99" t="s">
        <v>1277</v>
      </c>
      <c r="D14" s="656">
        <f>'8.CTT3'!D10</f>
        <v>0</v>
      </c>
      <c r="E14" s="3">
        <v>0</v>
      </c>
      <c r="F14" s="3">
        <v>0</v>
      </c>
      <c r="G14" s="3">
        <v>0</v>
      </c>
      <c r="H14" s="3">
        <v>0</v>
      </c>
      <c r="I14" s="3">
        <v>0</v>
      </c>
      <c r="J14" s="10"/>
    </row>
    <row r="15" spans="1:10">
      <c r="A15" s="1785"/>
      <c r="B15" s="1692"/>
      <c r="C15" s="99" t="s">
        <v>1278</v>
      </c>
      <c r="D15" s="656">
        <f>'8.CTT3'!E10</f>
        <v>0</v>
      </c>
      <c r="E15" s="3">
        <v>0</v>
      </c>
      <c r="F15" s="3">
        <v>0</v>
      </c>
      <c r="G15" s="3">
        <v>0</v>
      </c>
      <c r="H15" s="3">
        <v>0</v>
      </c>
      <c r="I15" s="3">
        <v>0</v>
      </c>
      <c r="J15" s="10"/>
    </row>
    <row customHeight="1" ht="15" r="16" spans="1:10">
      <c r="A16" s="1760"/>
      <c r="B16" s="1693"/>
      <c r="C16" s="99" t="s">
        <v>50</v>
      </c>
      <c r="D16" s="9">
        <f>'2.CT1A'!D36</f>
        <v>0</v>
      </c>
      <c r="E16" s="3">
        <v>0</v>
      </c>
      <c r="F16" s="3">
        <v>0</v>
      </c>
      <c r="G16" s="3">
        <v>0</v>
      </c>
      <c r="H16" s="3">
        <v>0</v>
      </c>
      <c r="I16" s="3">
        <v>0</v>
      </c>
      <c r="J16" s="5">
        <f ref="J16" si="0" t="shared">+J13+J14-J15</f>
        <v>0</v>
      </c>
    </row>
    <row customHeight="1" ht="15" r="17" spans="1:10">
      <c r="A17" s="1759">
        <v>3</v>
      </c>
      <c r="B17" s="1691" t="s">
        <v>2413</v>
      </c>
      <c r="C17" s="99" t="s">
        <v>49</v>
      </c>
      <c r="D17" s="370">
        <f>'2.CT1A'!C37</f>
        <v>0</v>
      </c>
      <c r="E17" s="3">
        <v>0</v>
      </c>
      <c r="F17" s="3">
        <v>0</v>
      </c>
      <c r="G17" s="3">
        <v>0</v>
      </c>
      <c r="H17" s="3">
        <v>0</v>
      </c>
      <c r="I17" s="3">
        <v>0</v>
      </c>
      <c r="J17" s="10"/>
    </row>
    <row r="18" spans="1:10">
      <c r="A18" s="1785"/>
      <c r="B18" s="1692"/>
      <c r="C18" s="99" t="s">
        <v>1277</v>
      </c>
      <c r="D18" s="656">
        <f>'8.CTT3'!D11</f>
        <v>0</v>
      </c>
      <c r="E18" s="3">
        <v>0</v>
      </c>
      <c r="F18" s="3">
        <v>0</v>
      </c>
      <c r="G18" s="3">
        <v>0</v>
      </c>
      <c r="H18" s="3">
        <v>0</v>
      </c>
      <c r="I18" s="3">
        <v>0</v>
      </c>
      <c r="J18" s="10"/>
    </row>
    <row r="19" spans="1:10">
      <c r="A19" s="1785"/>
      <c r="B19" s="1692"/>
      <c r="C19" s="99" t="s">
        <v>1278</v>
      </c>
      <c r="D19" s="656">
        <f>'8.CTT3'!E11</f>
        <v>0</v>
      </c>
      <c r="E19" s="3">
        <v>0</v>
      </c>
      <c r="F19" s="3">
        <v>0</v>
      </c>
      <c r="G19" s="3">
        <v>0</v>
      </c>
      <c r="H19" s="3">
        <v>0</v>
      </c>
      <c r="I19" s="3">
        <v>0</v>
      </c>
      <c r="J19" s="10"/>
    </row>
    <row customHeight="1" ht="15" r="20" spans="1:10">
      <c r="A20" s="1760"/>
      <c r="B20" s="1693"/>
      <c r="C20" s="99" t="s">
        <v>50</v>
      </c>
      <c r="D20" s="653">
        <f>'2.CT1A'!D37</f>
        <v>0</v>
      </c>
      <c r="E20" s="3">
        <v>0</v>
      </c>
      <c r="F20" s="3">
        <v>0</v>
      </c>
      <c r="G20" s="3">
        <v>0</v>
      </c>
      <c r="H20" s="3">
        <v>0</v>
      </c>
      <c r="I20" s="3">
        <v>0</v>
      </c>
      <c r="J20" s="5">
        <f ref="J20" si="1" t="shared">+J17+J18-J19</f>
        <v>0</v>
      </c>
    </row>
    <row customHeight="1" ht="15" r="21" spans="1:10">
      <c r="A21" s="1759">
        <v>4</v>
      </c>
      <c r="B21" s="1691" t="s">
        <v>2414</v>
      </c>
      <c r="C21" s="99" t="s">
        <v>49</v>
      </c>
      <c r="D21" s="652">
        <f>'2.CT1A'!C38</f>
        <v>0</v>
      </c>
      <c r="E21" s="3">
        <v>0</v>
      </c>
      <c r="F21" s="3">
        <v>0</v>
      </c>
      <c r="G21" s="3">
        <v>0</v>
      </c>
      <c r="H21" s="3">
        <v>0</v>
      </c>
      <c r="I21" s="3">
        <v>0</v>
      </c>
      <c r="J21" s="10"/>
    </row>
    <row r="22" spans="1:10">
      <c r="A22" s="1785"/>
      <c r="B22" s="1692"/>
      <c r="C22" s="99" t="s">
        <v>1277</v>
      </c>
      <c r="D22" s="656">
        <f>'8.CTT3'!D12</f>
        <v>0</v>
      </c>
      <c r="E22" s="3">
        <v>0</v>
      </c>
      <c r="F22" s="3">
        <v>0</v>
      </c>
      <c r="G22" s="3">
        <v>0</v>
      </c>
      <c r="H22" s="3">
        <v>0</v>
      </c>
      <c r="I22" s="3">
        <v>0</v>
      </c>
      <c r="J22" s="10"/>
    </row>
    <row r="23" spans="1:10">
      <c r="A23" s="1785"/>
      <c r="B23" s="1692"/>
      <c r="C23" s="99" t="s">
        <v>1278</v>
      </c>
      <c r="D23" s="656">
        <f>'8.CTT3'!E12</f>
        <v>0</v>
      </c>
      <c r="E23" s="3">
        <v>0</v>
      </c>
      <c r="F23" s="3">
        <v>0</v>
      </c>
      <c r="G23" s="3">
        <v>0</v>
      </c>
      <c r="H23" s="3">
        <v>0</v>
      </c>
      <c r="I23" s="3">
        <v>0</v>
      </c>
      <c r="J23" s="10"/>
    </row>
    <row customHeight="1" ht="16.5" r="24" spans="1:10">
      <c r="A24" s="1760"/>
      <c r="B24" s="1693"/>
      <c r="C24" s="99" t="s">
        <v>50</v>
      </c>
      <c r="D24" s="653">
        <f>'2.CT1A'!D38</f>
        <v>0</v>
      </c>
      <c r="E24" s="3">
        <v>0</v>
      </c>
      <c r="F24" s="3">
        <v>0</v>
      </c>
      <c r="G24" s="3">
        <v>0</v>
      </c>
      <c r="H24" s="3">
        <v>0</v>
      </c>
      <c r="I24" s="3">
        <v>0</v>
      </c>
      <c r="J24" s="5">
        <f ref="J24" si="2" t="shared">+J21+J22-J23</f>
        <v>0</v>
      </c>
    </row>
    <row customHeight="1" ht="14.25" r="25" spans="1:10">
      <c r="A25" s="1759">
        <v>5</v>
      </c>
      <c r="B25" s="1691" t="s">
        <v>2415</v>
      </c>
      <c r="C25" s="99" t="s">
        <v>49</v>
      </c>
      <c r="D25" s="652">
        <f>'2.CT1A'!C39</f>
        <v>0</v>
      </c>
      <c r="E25" s="3">
        <v>0</v>
      </c>
      <c r="F25" s="3">
        <v>0</v>
      </c>
      <c r="G25" s="3">
        <v>0</v>
      </c>
      <c r="H25" s="3">
        <v>0</v>
      </c>
      <c r="I25" s="3">
        <v>0</v>
      </c>
      <c r="J25" s="10"/>
    </row>
    <row r="26" spans="1:10">
      <c r="A26" s="1785"/>
      <c r="B26" s="1692"/>
      <c r="C26" s="99" t="s">
        <v>1277</v>
      </c>
      <c r="D26" s="656">
        <f>'8.CTT3'!D13</f>
        <v>0</v>
      </c>
      <c r="E26" s="3">
        <v>0</v>
      </c>
      <c r="F26" s="3">
        <v>0</v>
      </c>
      <c r="G26" s="3">
        <v>0</v>
      </c>
      <c r="H26" s="3">
        <v>0</v>
      </c>
      <c r="I26" s="3">
        <v>0</v>
      </c>
      <c r="J26" s="10"/>
    </row>
    <row r="27" spans="1:10">
      <c r="A27" s="1785"/>
      <c r="B27" s="1692"/>
      <c r="C27" s="99" t="s">
        <v>1278</v>
      </c>
      <c r="D27" s="656">
        <f>'8.CTT3'!E13</f>
        <v>0</v>
      </c>
      <c r="E27" s="3">
        <v>0</v>
      </c>
      <c r="F27" s="3">
        <v>0</v>
      </c>
      <c r="G27" s="3">
        <v>0</v>
      </c>
      <c r="H27" s="3">
        <v>0</v>
      </c>
      <c r="I27" s="3">
        <v>0</v>
      </c>
      <c r="J27" s="10"/>
    </row>
    <row customHeight="1" ht="18" r="28" spans="1:10">
      <c r="A28" s="1760"/>
      <c r="B28" s="1693"/>
      <c r="C28" s="99" t="s">
        <v>50</v>
      </c>
      <c r="D28" s="653">
        <f>'2.CT1A'!D39</f>
        <v>0</v>
      </c>
      <c r="E28" s="3">
        <v>0</v>
      </c>
      <c r="F28" s="3">
        <v>0</v>
      </c>
      <c r="G28" s="3">
        <v>0</v>
      </c>
      <c r="H28" s="3">
        <v>0</v>
      </c>
      <c r="I28" s="3">
        <v>0</v>
      </c>
      <c r="J28" s="5">
        <f ref="J28" si="3" t="shared">+J25+J26-J27</f>
        <v>0</v>
      </c>
    </row>
    <row customHeight="1" ht="15" r="29" spans="1:10">
      <c r="A29" s="1759">
        <v>6</v>
      </c>
      <c r="B29" s="1691" t="s">
        <v>2416</v>
      </c>
      <c r="C29" s="99" t="s">
        <v>49</v>
      </c>
      <c r="D29" s="652">
        <f>'2.CT1A'!C40</f>
        <v>0</v>
      </c>
      <c r="E29" s="3">
        <v>0</v>
      </c>
      <c r="F29" s="3">
        <v>0</v>
      </c>
      <c r="G29" s="3">
        <v>0</v>
      </c>
      <c r="H29" s="3">
        <v>0</v>
      </c>
      <c r="I29" s="3">
        <v>0</v>
      </c>
      <c r="J29" s="10"/>
    </row>
    <row r="30" spans="1:10">
      <c r="A30" s="1785"/>
      <c r="B30" s="1692"/>
      <c r="C30" s="99" t="s">
        <v>1277</v>
      </c>
      <c r="D30" s="656">
        <f>'8.CTT3'!D14</f>
        <v>0</v>
      </c>
      <c r="E30" s="3">
        <v>0</v>
      </c>
      <c r="F30" s="3">
        <v>0</v>
      </c>
      <c r="G30" s="3">
        <v>0</v>
      </c>
      <c r="H30" s="3">
        <v>0</v>
      </c>
      <c r="I30" s="3">
        <v>0</v>
      </c>
      <c r="J30" s="10"/>
    </row>
    <row r="31" spans="1:10">
      <c r="A31" s="1785"/>
      <c r="B31" s="1692"/>
      <c r="C31" s="99" t="s">
        <v>1278</v>
      </c>
      <c r="D31" s="656">
        <f>'8.CTT3'!E14</f>
        <v>0</v>
      </c>
      <c r="E31" s="3">
        <v>0</v>
      </c>
      <c r="F31" s="3">
        <v>0</v>
      </c>
      <c r="G31" s="3">
        <v>0</v>
      </c>
      <c r="H31" s="3">
        <v>0</v>
      </c>
      <c r="I31" s="3">
        <v>0</v>
      </c>
      <c r="J31" s="10"/>
    </row>
    <row customHeight="1" ht="18" r="32" spans="1:10">
      <c r="A32" s="1760"/>
      <c r="B32" s="1693"/>
      <c r="C32" s="99" t="s">
        <v>50</v>
      </c>
      <c r="D32" s="653">
        <f>'2.CT1A'!D40</f>
        <v>0</v>
      </c>
      <c r="E32" s="3">
        <v>0</v>
      </c>
      <c r="F32" s="3">
        <v>0</v>
      </c>
      <c r="G32" s="3">
        <v>0</v>
      </c>
      <c r="H32" s="3">
        <v>0</v>
      </c>
      <c r="I32" s="3">
        <v>0</v>
      </c>
      <c r="J32" s="5">
        <f ref="J32" si="4" t="shared">+J29+J30-J31</f>
        <v>0</v>
      </c>
    </row>
    <row customFormat="1" customHeight="1" ht="15" r="33" s="636" spans="1:10">
      <c r="A33" s="1759">
        <v>7</v>
      </c>
      <c r="B33" s="1691" t="s">
        <v>2417</v>
      </c>
      <c r="C33" s="626" t="s">
        <v>49</v>
      </c>
      <c r="D33" s="652">
        <f>'2.CT1A'!C42</f>
        <v>0</v>
      </c>
      <c r="E33" s="3">
        <v>0</v>
      </c>
      <c r="F33" s="3">
        <v>0</v>
      </c>
      <c r="G33" s="3">
        <v>0</v>
      </c>
      <c r="H33" s="3">
        <v>0</v>
      </c>
      <c r="I33" s="3">
        <v>0</v>
      </c>
      <c r="J33" s="10"/>
    </row>
    <row customFormat="1" r="34" s="636" spans="1:10">
      <c r="A34" s="1785"/>
      <c r="B34" s="1692"/>
      <c r="C34" s="626" t="s">
        <v>1277</v>
      </c>
      <c r="D34" s="656">
        <f>'8.CTT3'!D16</f>
        <v>0</v>
      </c>
      <c r="E34" s="3">
        <v>0</v>
      </c>
      <c r="F34" s="3">
        <v>0</v>
      </c>
      <c r="G34" s="3">
        <v>0</v>
      </c>
      <c r="H34" s="3">
        <v>0</v>
      </c>
      <c r="I34" s="3">
        <v>0</v>
      </c>
      <c r="J34" s="10"/>
    </row>
    <row customFormat="1" r="35" s="636" spans="1:10">
      <c r="A35" s="1785"/>
      <c r="B35" s="1692"/>
      <c r="C35" s="626" t="s">
        <v>1278</v>
      </c>
      <c r="D35" s="656">
        <f>'8.CTT3'!E16</f>
        <v>0</v>
      </c>
      <c r="E35" s="3">
        <v>0</v>
      </c>
      <c r="F35" s="3">
        <v>0</v>
      </c>
      <c r="G35" s="3">
        <v>0</v>
      </c>
      <c r="H35" s="3">
        <v>0</v>
      </c>
      <c r="I35" s="3">
        <v>0</v>
      </c>
      <c r="J35" s="10"/>
    </row>
    <row customFormat="1" customHeight="1" ht="15" r="36" s="636" spans="1:10">
      <c r="A36" s="1760"/>
      <c r="B36" s="1693"/>
      <c r="C36" s="626" t="s">
        <v>50</v>
      </c>
      <c r="D36" s="653">
        <f>'2.CT1A'!D42</f>
        <v>0</v>
      </c>
      <c r="E36" s="3">
        <v>0</v>
      </c>
      <c r="F36" s="3">
        <v>0</v>
      </c>
      <c r="G36" s="3">
        <v>0</v>
      </c>
      <c r="H36" s="3">
        <v>0</v>
      </c>
      <c r="I36" s="3">
        <v>0</v>
      </c>
      <c r="J36" s="5">
        <f>+J33+J34-J35</f>
        <v>0</v>
      </c>
    </row>
    <row customFormat="1" customHeight="1" ht="15" r="37" s="636" spans="1:10">
      <c r="A37" s="1759">
        <v>7</v>
      </c>
      <c r="B37" s="1691" t="s">
        <v>2418</v>
      </c>
      <c r="C37" s="626" t="s">
        <v>49</v>
      </c>
      <c r="D37" s="652">
        <f>'2.CT1A'!C43</f>
        <v>0</v>
      </c>
      <c r="E37" s="3">
        <v>0</v>
      </c>
      <c r="F37" s="3">
        <v>0</v>
      </c>
      <c r="G37" s="3">
        <v>0</v>
      </c>
      <c r="H37" s="3">
        <v>0</v>
      </c>
      <c r="I37" s="3">
        <v>0</v>
      </c>
      <c r="J37" s="10"/>
    </row>
    <row customFormat="1" r="38" s="636" spans="1:10">
      <c r="A38" s="1785"/>
      <c r="B38" s="1692"/>
      <c r="C38" s="626" t="s">
        <v>1277</v>
      </c>
      <c r="D38" s="656">
        <f>'8.CTT3'!D30</f>
        <v>0</v>
      </c>
      <c r="E38" s="3">
        <v>0</v>
      </c>
      <c r="F38" s="3">
        <v>0</v>
      </c>
      <c r="G38" s="3">
        <v>0</v>
      </c>
      <c r="H38" s="3">
        <v>0</v>
      </c>
      <c r="I38" s="3">
        <v>0</v>
      </c>
      <c r="J38" s="10"/>
    </row>
    <row customFormat="1" r="39" s="636" spans="1:10">
      <c r="A39" s="1785"/>
      <c r="B39" s="1692"/>
      <c r="C39" s="626" t="s">
        <v>1278</v>
      </c>
      <c r="D39" s="656">
        <f>'8.CTT3'!E30</f>
        <v>0</v>
      </c>
      <c r="E39" s="3">
        <v>0</v>
      </c>
      <c r="F39" s="3">
        <v>0</v>
      </c>
      <c r="G39" s="3">
        <v>0</v>
      </c>
      <c r="H39" s="3">
        <v>0</v>
      </c>
      <c r="I39" s="3">
        <v>0</v>
      </c>
      <c r="J39" s="10"/>
    </row>
    <row customFormat="1" customHeight="1" ht="15" r="40" s="636" spans="1:10">
      <c r="A40" s="1760"/>
      <c r="B40" s="1693"/>
      <c r="C40" s="626" t="s">
        <v>50</v>
      </c>
      <c r="D40" s="654">
        <f>'2.CT1A'!D43</f>
        <v>0</v>
      </c>
      <c r="E40" s="3">
        <v>0</v>
      </c>
      <c r="F40" s="3">
        <v>0</v>
      </c>
      <c r="G40" s="3">
        <v>0</v>
      </c>
      <c r="H40" s="3">
        <v>0</v>
      </c>
      <c r="I40" s="3">
        <v>0</v>
      </c>
      <c r="J40" s="5">
        <f>+J37+J38-J39</f>
        <v>0</v>
      </c>
    </row>
    <row customFormat="1" customHeight="1" ht="15" r="41" s="636" spans="1:10">
      <c r="A41" s="1759">
        <v>7</v>
      </c>
      <c r="B41" s="1691" t="s">
        <v>2419</v>
      </c>
      <c r="C41" s="626" t="s">
        <v>49</v>
      </c>
      <c r="D41" s="655">
        <f>'2.CT1A'!C44</f>
        <v>0</v>
      </c>
      <c r="E41" s="3">
        <v>0</v>
      </c>
      <c r="F41" s="3">
        <v>0</v>
      </c>
      <c r="G41" s="3">
        <v>0</v>
      </c>
      <c r="H41" s="3">
        <v>0</v>
      </c>
      <c r="I41" s="3">
        <v>0</v>
      </c>
      <c r="J41" s="10"/>
    </row>
    <row customFormat="1" r="42" s="636" spans="1:10">
      <c r="A42" s="1785"/>
      <c r="B42" s="1692"/>
      <c r="C42" s="626" t="s">
        <v>1277</v>
      </c>
      <c r="D42" s="656">
        <f>'8.CTT3'!D31</f>
        <v>0</v>
      </c>
      <c r="E42" s="3">
        <v>0</v>
      </c>
      <c r="F42" s="3">
        <v>0</v>
      </c>
      <c r="G42" s="3">
        <v>0</v>
      </c>
      <c r="H42" s="3">
        <v>0</v>
      </c>
      <c r="I42" s="3">
        <v>0</v>
      </c>
      <c r="J42" s="10"/>
    </row>
    <row customFormat="1" r="43" s="636" spans="1:10">
      <c r="A43" s="1785"/>
      <c r="B43" s="1692"/>
      <c r="C43" s="626" t="s">
        <v>1278</v>
      </c>
      <c r="D43" s="656">
        <f>'8.CTT3'!E31</f>
        <v>0</v>
      </c>
      <c r="E43" s="3">
        <v>0</v>
      </c>
      <c r="F43" s="3">
        <v>0</v>
      </c>
      <c r="G43" s="3">
        <v>0</v>
      </c>
      <c r="H43" s="3">
        <v>0</v>
      </c>
      <c r="I43" s="3">
        <v>0</v>
      </c>
      <c r="J43" s="10"/>
    </row>
    <row customFormat="1" customHeight="1" ht="15" r="44" s="636" spans="1:10">
      <c r="A44" s="1760"/>
      <c r="B44" s="1693"/>
      <c r="C44" s="626" t="s">
        <v>50</v>
      </c>
      <c r="D44" s="646">
        <f>'2.CT1A'!D44</f>
        <v>0</v>
      </c>
      <c r="E44" s="3">
        <v>0</v>
      </c>
      <c r="F44" s="3">
        <v>0</v>
      </c>
      <c r="G44" s="3">
        <v>0</v>
      </c>
      <c r="H44" s="3">
        <v>0</v>
      </c>
      <c r="I44" s="3">
        <v>0</v>
      </c>
      <c r="J44" s="5">
        <f>+J41+J42-J43</f>
        <v>0</v>
      </c>
    </row>
    <row customHeight="1" ht="15" r="45" spans="1:10">
      <c r="A45" s="1759">
        <v>7</v>
      </c>
      <c r="B45" s="1691" t="s">
        <v>2420</v>
      </c>
      <c r="C45" s="99" t="s">
        <v>49</v>
      </c>
      <c r="D45" s="8">
        <f>'2.CT1A'!C55</f>
        <v>0</v>
      </c>
      <c r="E45" s="3">
        <v>0</v>
      </c>
      <c r="F45" s="3">
        <v>0</v>
      </c>
      <c r="G45" s="3">
        <v>0</v>
      </c>
      <c r="H45" s="3">
        <v>0</v>
      </c>
      <c r="I45" s="3">
        <v>0</v>
      </c>
      <c r="J45" s="10"/>
    </row>
    <row r="46" spans="1:10">
      <c r="A46" s="1785"/>
      <c r="B46" s="1692"/>
      <c r="C46" s="99" t="s">
        <v>1277</v>
      </c>
      <c r="D46" s="656"/>
      <c r="E46" s="3">
        <v>0</v>
      </c>
      <c r="F46" s="3">
        <v>0</v>
      </c>
      <c r="G46" s="3">
        <v>0</v>
      </c>
      <c r="H46" s="3">
        <v>0</v>
      </c>
      <c r="I46" s="3">
        <v>0</v>
      </c>
      <c r="J46" s="10"/>
    </row>
    <row r="47" spans="1:10">
      <c r="A47" s="1785"/>
      <c r="B47" s="1692"/>
      <c r="C47" s="99" t="s">
        <v>1278</v>
      </c>
      <c r="D47" s="656"/>
      <c r="E47" s="3">
        <v>0</v>
      </c>
      <c r="F47" s="3">
        <v>0</v>
      </c>
      <c r="G47" s="3">
        <v>0</v>
      </c>
      <c r="H47" s="3">
        <v>0</v>
      </c>
      <c r="I47" s="3">
        <v>0</v>
      </c>
      <c r="J47" s="10"/>
    </row>
    <row customHeight="1" ht="15" r="48" spans="1:10">
      <c r="A48" s="1760"/>
      <c r="B48" s="1693"/>
      <c r="C48" s="99" t="s">
        <v>50</v>
      </c>
      <c r="D48" s="646">
        <f>'2.CT1A'!D55</f>
        <v>0</v>
      </c>
      <c r="E48" s="3">
        <v>0</v>
      </c>
      <c r="F48" s="3">
        <v>0</v>
      </c>
      <c r="G48" s="3">
        <v>0</v>
      </c>
      <c r="H48" s="3">
        <v>0</v>
      </c>
      <c r="I48" s="3">
        <v>0</v>
      </c>
      <c r="J48" s="5">
        <f>+J45+J46-J47</f>
        <v>0</v>
      </c>
    </row>
    <row customHeight="1" ht="15" r="49" spans="1:10">
      <c r="A49" s="1878" t="s">
        <v>1361</v>
      </c>
      <c r="B49" s="1879"/>
      <c r="C49" s="99" t="s">
        <v>49</v>
      </c>
      <c r="D49" s="3">
        <f>+D9+D13+D17+D21+D25+D29+D33+D37+D41+D45</f>
        <v>0</v>
      </c>
      <c r="E49" s="3">
        <f ref="E49:J49" si="5" t="shared">+E9+E13+E17+E21+E25+E29+E33+E37+E41+E45</f>
        <v>0</v>
      </c>
      <c r="F49" s="3">
        <f si="5" t="shared"/>
        <v>0</v>
      </c>
      <c r="G49" s="3">
        <f si="5" t="shared"/>
        <v>0</v>
      </c>
      <c r="H49" s="3">
        <f si="5" t="shared"/>
        <v>0</v>
      </c>
      <c r="I49" s="3">
        <f si="5" t="shared"/>
        <v>0</v>
      </c>
      <c r="J49" s="3">
        <f si="5" t="shared"/>
        <v>0</v>
      </c>
    </row>
    <row r="50" spans="1:10">
      <c r="A50" s="1880"/>
      <c r="B50" s="1881"/>
      <c r="C50" s="99" t="s">
        <v>1277</v>
      </c>
      <c r="D50" s="656">
        <f ref="D50:J52" si="6" t="shared">+D10+D14+D18+D22+D26+D30+D34+D38+D42+D46</f>
        <v>0</v>
      </c>
      <c r="E50" s="3">
        <f si="6" t="shared"/>
        <v>0</v>
      </c>
      <c r="F50" s="3">
        <f si="6" t="shared"/>
        <v>0</v>
      </c>
      <c r="G50" s="3">
        <f si="6" t="shared"/>
        <v>0</v>
      </c>
      <c r="H50" s="3">
        <f si="6" t="shared"/>
        <v>0</v>
      </c>
      <c r="I50" s="3">
        <f si="6" t="shared"/>
        <v>0</v>
      </c>
      <c r="J50" s="3">
        <f si="6" t="shared"/>
        <v>0</v>
      </c>
    </row>
    <row r="51" spans="1:10">
      <c r="A51" s="1880"/>
      <c r="B51" s="1881"/>
      <c r="C51" s="99" t="s">
        <v>1278</v>
      </c>
      <c r="D51" s="656">
        <f si="6" t="shared"/>
        <v>0</v>
      </c>
      <c r="E51" s="3">
        <f si="6" t="shared"/>
        <v>0</v>
      </c>
      <c r="F51" s="3">
        <f si="6" t="shared"/>
        <v>0</v>
      </c>
      <c r="G51" s="3">
        <f si="6" t="shared"/>
        <v>0</v>
      </c>
      <c r="H51" s="3">
        <f si="6" t="shared"/>
        <v>0</v>
      </c>
      <c r="I51" s="3">
        <f si="6" t="shared"/>
        <v>0</v>
      </c>
      <c r="J51" s="3">
        <f si="6" t="shared"/>
        <v>0</v>
      </c>
    </row>
    <row customHeight="1" ht="15.75" r="52" spans="1:10">
      <c r="A52" s="1882"/>
      <c r="B52" s="1883"/>
      <c r="C52" s="99" t="s">
        <v>50</v>
      </c>
      <c r="D52" s="3">
        <f si="6" t="shared"/>
        <v>0</v>
      </c>
      <c r="E52" s="3">
        <f si="6" t="shared"/>
        <v>0</v>
      </c>
      <c r="F52" s="3">
        <f si="6" t="shared"/>
        <v>0</v>
      </c>
      <c r="G52" s="3">
        <f si="6" t="shared"/>
        <v>0</v>
      </c>
      <c r="H52" s="3">
        <f si="6" t="shared"/>
        <v>0</v>
      </c>
      <c r="I52" s="3">
        <f si="6" t="shared"/>
        <v>0</v>
      </c>
      <c r="J52" s="3">
        <f si="6" t="shared"/>
        <v>0</v>
      </c>
    </row>
    <row r="53" spans="1:10">
      <c r="A53" s="60"/>
      <c r="B53" s="295"/>
      <c r="C53" s="60"/>
      <c r="D53" s="294"/>
      <c r="E53" s="294"/>
      <c r="F53" s="294"/>
      <c r="I53" s="294"/>
      <c r="J53" s="294"/>
    </row>
    <row r="55" spans="1:10">
      <c r="D55" s="607" t="s">
        <v>1897</v>
      </c>
      <c r="E55" s="406"/>
      <c r="F55" s="608"/>
    </row>
    <row r="56" spans="1:10">
      <c r="D56" s="406">
        <f>+ЧХ!$C$15</f>
        <v>0</v>
      </c>
      <c r="E56" s="406"/>
    </row>
    <row r="57" spans="1:10">
      <c r="D57" s="406"/>
      <c r="E57" s="609"/>
      <c r="F57" s="602">
        <f>+ЧХ!$C$16</f>
        <v>0</v>
      </c>
    </row>
    <row r="58" spans="1:10">
      <c r="D58" s="607" t="s">
        <v>2368</v>
      </c>
      <c r="E58" s="406"/>
      <c r="F58" s="609"/>
    </row>
    <row r="59" spans="1:10">
      <c r="D59" s="406" t="str">
        <f>+ЧХ!$B$6</f>
        <v>Аудитын менежер</v>
      </c>
      <c r="E59" s="406"/>
      <c r="F59" s="608"/>
    </row>
    <row r="60" spans="1:10">
      <c r="D60" s="406"/>
      <c r="E60" s="609"/>
      <c r="F60" s="602">
        <f>+ЧХ!$C$6</f>
        <v>0</v>
      </c>
    </row>
    <row r="61" spans="1:10">
      <c r="D61" s="406" t="s">
        <v>2369</v>
      </c>
      <c r="E61" s="406"/>
      <c r="F61" s="608"/>
    </row>
    <row r="62" spans="1:10">
      <c r="D62" s="406" t="str">
        <f>+ЧХ!$B$5</f>
        <v>Тэргүүлэх аудитор</v>
      </c>
      <c r="E62" s="406"/>
      <c r="F62" s="608"/>
    </row>
    <row r="63" spans="1:10">
      <c r="F63" s="603" t="str">
        <f>+ЧХ!$C$5</f>
        <v>С.Энхбаатар</v>
      </c>
    </row>
    <row r="65" spans="2:2">
      <c r="B65" s="406" t="str">
        <f>+ЧХ!$B$6&amp;"ийн санал: ………………………………………………………………………………………"</f>
        <v>Аудитын менежерийн санал: ………………………………………………………………………………………</v>
      </c>
    </row>
    <row r="66" spans="2:2">
      <c r="B66" s="406"/>
    </row>
    <row r="67" spans="2:2">
      <c r="B67" s="406"/>
    </row>
    <row r="68" spans="2:2">
      <c r="B68" s="406" t="str">
        <f>+ЧХ!$B$5&amp;"ын санал: ..........................................................................................................."</f>
        <v>Тэргүүлэх аудиторын санал: ...........................................................................................................</v>
      </c>
    </row>
  </sheetData>
  <mergeCells count="29">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 ref="A17:A20"/>
    <mergeCell ref="B17:B20"/>
    <mergeCell ref="E7:I7"/>
    <mergeCell ref="A7:A8"/>
    <mergeCell ref="B7:B8"/>
    <mergeCell ref="C7:C8"/>
    <mergeCell ref="D7:D8"/>
    <mergeCell ref="B13:B16"/>
    <mergeCell ref="A49:B52"/>
    <mergeCell ref="A41:A44"/>
    <mergeCell ref="B41:B44"/>
    <mergeCell ref="A33:A36"/>
    <mergeCell ref="B33:B36"/>
  </mergeCells>
  <pageMargins bottom="0.75" footer="0.3" header="0.3" left="0.7" right="0.7" top="0.75"/>
  <pageSetup orientation="portrait" r:id="rId1" scale="65"/>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customWidth="true" style="91" width="4.85546875" collapsed="false"/>
    <col min="2" max="2" customWidth="true" style="23" width="17.0" collapsed="false"/>
    <col min="3" max="3" customWidth="true" style="91" width="17.140625" collapsed="false"/>
    <col min="4" max="4" customWidth="true" style="291" width="16.42578125" collapsed="false"/>
    <col min="5" max="5" customWidth="true" style="291" width="13.7109375" collapsed="false"/>
    <col min="6" max="6" customWidth="true" style="291" width="14.7109375" collapsed="false"/>
    <col min="7" max="7" customWidth="true" style="291" width="13.5703125" collapsed="false"/>
    <col min="8" max="8" customWidth="true" style="291" width="21.5703125" collapsed="false"/>
    <col min="9" max="9" customWidth="true" style="291" width="14.140625" collapsed="false"/>
    <col min="10" max="10" customWidth="true" style="291" width="15.5703125" collapsed="false"/>
    <col min="11" max="16384" style="91" width="9.140625" collapsed="false"/>
  </cols>
  <sheetData>
    <row r="1" spans="1:10">
      <c r="B1" s="1890"/>
      <c r="C1" s="1890"/>
      <c r="D1" s="1890"/>
      <c r="J1" s="292" t="s">
        <v>2014</v>
      </c>
    </row>
    <row r="2" spans="1:10">
      <c r="A2" s="1704" t="s">
        <v>1362</v>
      </c>
      <c r="B2" s="1704"/>
      <c r="C2" s="1704"/>
      <c r="D2" s="1704"/>
      <c r="E2" s="1704"/>
      <c r="F2" s="1704"/>
      <c r="G2" s="1704"/>
      <c r="H2" s="1704"/>
      <c r="I2" s="1704"/>
      <c r="J2" s="1704"/>
    </row>
    <row customFormat="1" r="3" s="609" spans="1:10">
      <c r="A3" s="611"/>
      <c r="C3" s="1095"/>
      <c r="D3" s="1095"/>
      <c r="E3" s="406"/>
      <c r="F3" s="406"/>
      <c r="G3" s="406"/>
      <c r="H3" s="406"/>
      <c r="J3" s="406"/>
    </row>
    <row customFormat="1" customHeight="1" ht="19.5" r="4" s="609" spans="1:10">
      <c r="C4" s="1859" t="str">
        <f>"Байгууллагын нэр: "&amp;ЧХ!$C$7</f>
        <v xml:space="preserve">Байгууллагын нэр: </v>
      </c>
      <c r="D4" s="1859"/>
      <c r="E4" s="1859"/>
      <c r="F4" s="1859"/>
      <c r="G4" s="1859"/>
      <c r="H4" s="1859"/>
      <c r="I4" s="1859"/>
      <c r="J4" s="607"/>
    </row>
    <row customFormat="1" r="5" s="609" spans="1:10">
      <c r="C5" s="607" t="str">
        <f>"тайлант он: " &amp;ЧХ!$C$8</f>
        <v xml:space="preserve">тайлант он: </v>
      </c>
      <c r="D5" s="406"/>
      <c r="E5" s="406"/>
      <c r="F5" s="406"/>
      <c r="G5" s="406"/>
      <c r="H5" s="406"/>
      <c r="J5" s="608"/>
    </row>
    <row customFormat="1" r="6" s="609" spans="1:10">
      <c r="B6" s="605"/>
      <c r="D6" s="608"/>
      <c r="E6" s="608"/>
      <c r="F6" s="608"/>
      <c r="G6" s="608"/>
      <c r="H6" s="608"/>
      <c r="I6" s="608"/>
      <c r="J6" s="610" t="s">
        <v>1364</v>
      </c>
    </row>
    <row customHeight="1" ht="15.75" r="7" spans="1:10">
      <c r="A7" s="1781" t="s">
        <v>1267</v>
      </c>
      <c r="B7" s="1781" t="s">
        <v>1268</v>
      </c>
      <c r="C7" s="1781" t="s">
        <v>12</v>
      </c>
      <c r="D7" s="1891" t="s">
        <v>1269</v>
      </c>
      <c r="E7" s="1866" t="s">
        <v>1270</v>
      </c>
      <c r="F7" s="1866"/>
      <c r="G7" s="1866"/>
      <c r="H7" s="1866"/>
      <c r="I7" s="1866"/>
      <c r="J7" s="1867" t="s">
        <v>701</v>
      </c>
    </row>
    <row customHeight="1" ht="52.5" r="8" spans="1:10">
      <c r="A8" s="1781"/>
      <c r="B8" s="1781"/>
      <c r="C8" s="1781"/>
      <c r="D8" s="1892"/>
      <c r="E8" s="296" t="s">
        <v>1271</v>
      </c>
      <c r="F8" s="296" t="s">
        <v>1272</v>
      </c>
      <c r="G8" s="296" t="s">
        <v>1360</v>
      </c>
      <c r="H8" s="296" t="s">
        <v>1363</v>
      </c>
      <c r="I8" s="296" t="s">
        <v>1275</v>
      </c>
      <c r="J8" s="1867"/>
    </row>
    <row r="9" spans="1:10">
      <c r="A9" s="1781">
        <v>1</v>
      </c>
      <c r="B9" s="1688" t="s">
        <v>1237</v>
      </c>
      <c r="C9" s="99" t="s">
        <v>49</v>
      </c>
      <c r="D9" s="9">
        <f>'2.CT1A'!C147</f>
        <v>0</v>
      </c>
      <c r="E9" s="3">
        <v>0</v>
      </c>
      <c r="F9" s="3">
        <v>0</v>
      </c>
      <c r="G9" s="3">
        <v>0</v>
      </c>
      <c r="H9" s="3">
        <v>0</v>
      </c>
      <c r="I9" s="3">
        <v>0</v>
      </c>
      <c r="J9" s="3"/>
    </row>
    <row r="10" spans="1:10">
      <c r="A10" s="1781"/>
      <c r="B10" s="1688"/>
      <c r="C10" s="99" t="s">
        <v>1277</v>
      </c>
      <c r="D10" s="657">
        <f>+'13.CTT8'!E9</f>
        <v>0</v>
      </c>
      <c r="E10" s="3">
        <v>0</v>
      </c>
      <c r="F10" s="3">
        <v>0</v>
      </c>
      <c r="G10" s="3">
        <v>0</v>
      </c>
      <c r="H10" s="3">
        <v>0</v>
      </c>
      <c r="I10" s="3">
        <v>0</v>
      </c>
      <c r="J10" s="4"/>
    </row>
    <row r="11" spans="1:10">
      <c r="A11" s="1781"/>
      <c r="B11" s="1688"/>
      <c r="C11" s="99" t="s">
        <v>1278</v>
      </c>
      <c r="D11" s="657">
        <f>+'13.CTT8'!D9</f>
        <v>0</v>
      </c>
      <c r="E11" s="3">
        <v>0</v>
      </c>
      <c r="F11" s="3">
        <v>0</v>
      </c>
      <c r="G11" s="3">
        <v>0</v>
      </c>
      <c r="H11" s="3">
        <v>0</v>
      </c>
      <c r="I11" s="3">
        <v>0</v>
      </c>
      <c r="J11" s="4"/>
    </row>
    <row customHeight="1" ht="16.5" r="12" spans="1:10">
      <c r="A12" s="1781"/>
      <c r="B12" s="1688"/>
      <c r="C12" s="99" t="s">
        <v>50</v>
      </c>
      <c r="D12" s="9">
        <f>'2.CT1A'!D147</f>
        <v>0</v>
      </c>
      <c r="E12" s="3">
        <v>0</v>
      </c>
      <c r="F12" s="3">
        <v>0</v>
      </c>
      <c r="G12" s="3">
        <v>0</v>
      </c>
      <c r="H12" s="3">
        <v>0</v>
      </c>
      <c r="I12" s="3">
        <v>0</v>
      </c>
      <c r="J12" s="4"/>
    </row>
    <row r="13" spans="1:10">
      <c r="A13" s="1781">
        <v>2</v>
      </c>
      <c r="B13" s="1688" t="s">
        <v>1238</v>
      </c>
      <c r="C13" s="99" t="s">
        <v>49</v>
      </c>
      <c r="D13" s="9">
        <f>'2.CT1A'!C156</f>
        <v>0</v>
      </c>
      <c r="E13" s="3">
        <v>0</v>
      </c>
      <c r="F13" s="3">
        <v>0</v>
      </c>
      <c r="G13" s="3">
        <v>0</v>
      </c>
      <c r="H13" s="3">
        <v>0</v>
      </c>
      <c r="I13" s="3">
        <v>0</v>
      </c>
      <c r="J13" s="4"/>
    </row>
    <row r="14" spans="1:10">
      <c r="A14" s="1781"/>
      <c r="B14" s="1688"/>
      <c r="C14" s="99" t="s">
        <v>1277</v>
      </c>
      <c r="D14" s="657">
        <f>+'13.CTT8'!E18</f>
        <v>0</v>
      </c>
      <c r="E14" s="3">
        <v>0</v>
      </c>
      <c r="F14" s="3">
        <v>0</v>
      </c>
      <c r="G14" s="3">
        <v>0</v>
      </c>
      <c r="H14" s="3">
        <v>0</v>
      </c>
      <c r="I14" s="3">
        <v>0</v>
      </c>
      <c r="J14" s="4"/>
    </row>
    <row r="15" spans="1:10">
      <c r="A15" s="1781"/>
      <c r="B15" s="1688"/>
      <c r="C15" s="99" t="s">
        <v>1278</v>
      </c>
      <c r="D15" s="657">
        <f>+'13.CTT8'!D18</f>
        <v>0</v>
      </c>
      <c r="E15" s="3">
        <v>0</v>
      </c>
      <c r="F15" s="3">
        <v>0</v>
      </c>
      <c r="G15" s="3">
        <v>0</v>
      </c>
      <c r="H15" s="3">
        <v>0</v>
      </c>
      <c r="I15" s="3">
        <v>0</v>
      </c>
      <c r="J15" s="4"/>
    </row>
    <row customHeight="1" ht="14.25" r="16" spans="1:10">
      <c r="A16" s="1781"/>
      <c r="B16" s="1688"/>
      <c r="C16" s="99" t="s">
        <v>50</v>
      </c>
      <c r="D16" s="9">
        <f>'2.CT1A'!D156</f>
        <v>0</v>
      </c>
      <c r="E16" s="3">
        <v>0</v>
      </c>
      <c r="F16" s="3">
        <v>0</v>
      </c>
      <c r="G16" s="3">
        <v>0</v>
      </c>
      <c r="H16" s="3">
        <v>0</v>
      </c>
      <c r="I16" s="3">
        <v>0</v>
      </c>
      <c r="J16" s="4"/>
    </row>
    <row r="17" spans="1:10">
      <c r="A17" s="1781">
        <v>3</v>
      </c>
      <c r="B17" s="1688" t="s">
        <v>1917</v>
      </c>
      <c r="C17" s="99" t="s">
        <v>49</v>
      </c>
      <c r="D17" s="9">
        <f>'2.CT1A'!C171</f>
        <v>0</v>
      </c>
      <c r="E17" s="3">
        <v>0</v>
      </c>
      <c r="F17" s="3">
        <v>0</v>
      </c>
      <c r="G17" s="3">
        <v>0</v>
      </c>
      <c r="H17" s="3">
        <v>0</v>
      </c>
      <c r="I17" s="3">
        <v>0</v>
      </c>
      <c r="J17" s="4"/>
    </row>
    <row r="18" spans="1:10">
      <c r="A18" s="1781"/>
      <c r="B18" s="1688"/>
      <c r="C18" s="99" t="s">
        <v>1277</v>
      </c>
      <c r="D18" s="657">
        <f>+'13.CTT8'!E33</f>
        <v>0</v>
      </c>
      <c r="E18" s="3">
        <v>0</v>
      </c>
      <c r="F18" s="3">
        <v>0</v>
      </c>
      <c r="G18" s="3">
        <v>0</v>
      </c>
      <c r="H18" s="3">
        <v>0</v>
      </c>
      <c r="I18" s="3">
        <v>0</v>
      </c>
      <c r="J18" s="4"/>
    </row>
    <row r="19" spans="1:10">
      <c r="A19" s="1781"/>
      <c r="B19" s="1688"/>
      <c r="C19" s="99" t="s">
        <v>1278</v>
      </c>
      <c r="D19" s="657">
        <f>+'13.CTT8'!D33</f>
        <v>0</v>
      </c>
      <c r="E19" s="3">
        <v>0</v>
      </c>
      <c r="F19" s="3">
        <v>0</v>
      </c>
      <c r="G19" s="3">
        <v>0</v>
      </c>
      <c r="H19" s="3">
        <v>0</v>
      </c>
      <c r="I19" s="3">
        <v>0</v>
      </c>
      <c r="J19" s="4"/>
    </row>
    <row customHeight="1" ht="15" r="20" spans="1:10">
      <c r="A20" s="1781"/>
      <c r="B20" s="1688"/>
      <c r="C20" s="99" t="s">
        <v>50</v>
      </c>
      <c r="D20" s="9">
        <f>'2.CT1A'!D171</f>
        <v>0</v>
      </c>
      <c r="E20" s="3">
        <v>0</v>
      </c>
      <c r="F20" s="3">
        <v>0</v>
      </c>
      <c r="G20" s="3">
        <v>0</v>
      </c>
      <c r="H20" s="3">
        <v>0</v>
      </c>
      <c r="I20" s="3">
        <v>0</v>
      </c>
      <c r="J20" s="4"/>
    </row>
    <row customHeight="1" ht="15" r="21" spans="1:10">
      <c r="A21" s="1781">
        <v>4</v>
      </c>
      <c r="B21" s="1688" t="s">
        <v>2421</v>
      </c>
      <c r="C21" s="99" t="s">
        <v>49</v>
      </c>
      <c r="D21" s="9">
        <f>'2.CT1A'!C184</f>
        <v>0</v>
      </c>
      <c r="E21" s="3">
        <v>0</v>
      </c>
      <c r="F21" s="3">
        <v>0</v>
      </c>
      <c r="G21" s="3">
        <v>0</v>
      </c>
      <c r="H21" s="3">
        <v>0</v>
      </c>
      <c r="I21" s="3">
        <v>0</v>
      </c>
      <c r="J21" s="4"/>
    </row>
    <row r="22" spans="1:10">
      <c r="A22" s="1781"/>
      <c r="B22" s="1688"/>
      <c r="C22" s="99" t="s">
        <v>1277</v>
      </c>
      <c r="D22" s="657">
        <f>+'13.CTT8'!E63</f>
        <v>0</v>
      </c>
      <c r="E22" s="3">
        <v>0</v>
      </c>
      <c r="F22" s="3">
        <v>0</v>
      </c>
      <c r="G22" s="3">
        <v>0</v>
      </c>
      <c r="H22" s="3">
        <v>0</v>
      </c>
      <c r="I22" s="3">
        <v>0</v>
      </c>
      <c r="J22" s="4"/>
    </row>
    <row r="23" spans="1:10">
      <c r="A23" s="1781"/>
      <c r="B23" s="1688"/>
      <c r="C23" s="99" t="s">
        <v>1278</v>
      </c>
      <c r="D23" s="657">
        <f>+'13.CTT8'!D63</f>
        <v>0</v>
      </c>
      <c r="E23" s="3">
        <v>0</v>
      </c>
      <c r="F23" s="3">
        <v>0</v>
      </c>
      <c r="G23" s="3">
        <v>0</v>
      </c>
      <c r="H23" s="3">
        <v>0</v>
      </c>
      <c r="I23" s="3">
        <v>0</v>
      </c>
      <c r="J23" s="4"/>
    </row>
    <row customHeight="1" ht="18" r="24" spans="1:10">
      <c r="A24" s="1781"/>
      <c r="B24" s="1688"/>
      <c r="C24" s="99" t="s">
        <v>50</v>
      </c>
      <c r="D24" s="9">
        <f>'2.CT1A'!D184</f>
        <v>0</v>
      </c>
      <c r="E24" s="3">
        <v>0</v>
      </c>
      <c r="F24" s="3">
        <v>0</v>
      </c>
      <c r="G24" s="3">
        <v>0</v>
      </c>
      <c r="H24" s="3">
        <v>0</v>
      </c>
      <c r="I24" s="3">
        <v>0</v>
      </c>
      <c r="J24" s="4"/>
    </row>
    <row r="25" spans="1:10">
      <c r="A25" s="1759">
        <v>5</v>
      </c>
      <c r="B25" s="1691" t="s">
        <v>1239</v>
      </c>
      <c r="C25" s="99" t="s">
        <v>49</v>
      </c>
      <c r="D25" s="9">
        <f>'2.CT1A'!C191</f>
        <v>0</v>
      </c>
      <c r="E25" s="3">
        <v>0</v>
      </c>
      <c r="F25" s="3">
        <v>0</v>
      </c>
      <c r="G25" s="3">
        <v>0</v>
      </c>
      <c r="H25" s="3">
        <v>0</v>
      </c>
      <c r="I25" s="3">
        <v>0</v>
      </c>
      <c r="J25" s="4"/>
    </row>
    <row r="26" spans="1:10">
      <c r="A26" s="1785"/>
      <c r="B26" s="1692"/>
      <c r="C26" s="99" t="s">
        <v>1277</v>
      </c>
      <c r="D26" s="657">
        <f>+'14.CTT9'!E9</f>
        <v>0</v>
      </c>
      <c r="E26" s="3">
        <v>0</v>
      </c>
      <c r="F26" s="3">
        <v>0</v>
      </c>
      <c r="G26" s="3">
        <v>0</v>
      </c>
      <c r="H26" s="3">
        <v>0</v>
      </c>
      <c r="I26" s="3">
        <v>0</v>
      </c>
      <c r="J26" s="4"/>
    </row>
    <row r="27" spans="1:10">
      <c r="A27" s="1785"/>
      <c r="B27" s="1692"/>
      <c r="C27" s="99" t="s">
        <v>1278</v>
      </c>
      <c r="D27" s="657">
        <f>+'14.CTT9'!D9</f>
        <v>0</v>
      </c>
      <c r="E27" s="3">
        <v>0</v>
      </c>
      <c r="F27" s="3">
        <v>0</v>
      </c>
      <c r="G27" s="3">
        <v>0</v>
      </c>
      <c r="H27" s="3">
        <v>0</v>
      </c>
      <c r="I27" s="3">
        <v>0</v>
      </c>
      <c r="J27" s="4"/>
    </row>
    <row customHeight="1" ht="13.5" r="28" spans="1:10">
      <c r="A28" s="1760"/>
      <c r="B28" s="1693"/>
      <c r="C28" s="99" t="s">
        <v>50</v>
      </c>
      <c r="D28" s="9">
        <f>+'2.CT1A'!D191</f>
        <v>0</v>
      </c>
      <c r="E28" s="3">
        <v>0</v>
      </c>
      <c r="F28" s="3">
        <v>0</v>
      </c>
      <c r="G28" s="3">
        <v>0</v>
      </c>
      <c r="H28" s="3">
        <v>0</v>
      </c>
      <c r="I28" s="3">
        <v>0</v>
      </c>
      <c r="J28" s="4"/>
    </row>
    <row r="29" spans="1:10">
      <c r="A29" s="1759">
        <v>6</v>
      </c>
      <c r="B29" s="1691" t="s">
        <v>1240</v>
      </c>
      <c r="C29" s="99" t="s">
        <v>49</v>
      </c>
      <c r="D29" s="9">
        <f>'2.CT1A'!C200</f>
        <v>0</v>
      </c>
      <c r="E29" s="3">
        <v>0</v>
      </c>
      <c r="F29" s="3">
        <v>0</v>
      </c>
      <c r="G29" s="3">
        <v>0</v>
      </c>
      <c r="H29" s="3">
        <v>0</v>
      </c>
      <c r="I29" s="3">
        <v>0</v>
      </c>
      <c r="J29" s="4"/>
    </row>
    <row r="30" spans="1:10">
      <c r="A30" s="1785"/>
      <c r="B30" s="1692"/>
      <c r="C30" s="99" t="s">
        <v>1277</v>
      </c>
      <c r="D30" s="657">
        <f>+'14.CTT9'!E18</f>
        <v>0</v>
      </c>
      <c r="E30" s="3">
        <v>0</v>
      </c>
      <c r="F30" s="3">
        <v>0</v>
      </c>
      <c r="G30" s="3">
        <v>0</v>
      </c>
      <c r="H30" s="3">
        <v>0</v>
      </c>
      <c r="I30" s="3">
        <v>0</v>
      </c>
      <c r="J30" s="4"/>
    </row>
    <row r="31" spans="1:10">
      <c r="A31" s="1785"/>
      <c r="B31" s="1692"/>
      <c r="C31" s="99" t="s">
        <v>1278</v>
      </c>
      <c r="D31" s="657">
        <f>+'14.CTT9'!D18</f>
        <v>0</v>
      </c>
      <c r="E31" s="3">
        <v>0</v>
      </c>
      <c r="F31" s="3">
        <v>0</v>
      </c>
      <c r="G31" s="3">
        <v>0</v>
      </c>
      <c r="H31" s="3">
        <v>0</v>
      </c>
      <c r="I31" s="3">
        <v>0</v>
      </c>
      <c r="J31" s="4"/>
    </row>
    <row customHeight="1" ht="15" r="32" spans="1:10">
      <c r="A32" s="1760"/>
      <c r="B32" s="1693"/>
      <c r="C32" s="99" t="s">
        <v>50</v>
      </c>
      <c r="D32" s="9">
        <f>+'2.CT1A'!D200</f>
        <v>0</v>
      </c>
      <c r="E32" s="3">
        <v>0</v>
      </c>
      <c r="F32" s="3">
        <v>0</v>
      </c>
      <c r="G32" s="3">
        <v>0</v>
      </c>
      <c r="H32" s="3">
        <v>0</v>
      </c>
      <c r="I32" s="3">
        <v>0</v>
      </c>
      <c r="J32" s="4"/>
    </row>
    <row customHeight="1" ht="12.75" r="33" spans="1:10">
      <c r="A33" s="1878" t="s">
        <v>1731</v>
      </c>
      <c r="B33" s="1879"/>
      <c r="C33" s="99" t="s">
        <v>49</v>
      </c>
      <c r="D33" s="8">
        <f>+D9+D13+D17+D21+D25+D29</f>
        <v>0</v>
      </c>
      <c r="E33" s="3">
        <f ref="E33:J33" si="0" t="shared">+E9+E13+E17+E21+E25+E29</f>
        <v>0</v>
      </c>
      <c r="F33" s="3">
        <f si="0" t="shared"/>
        <v>0</v>
      </c>
      <c r="G33" s="3">
        <f si="0" t="shared"/>
        <v>0</v>
      </c>
      <c r="H33" s="3">
        <f si="0" t="shared"/>
        <v>0</v>
      </c>
      <c r="I33" s="3">
        <f si="0" t="shared"/>
        <v>0</v>
      </c>
      <c r="J33" s="3">
        <f si="0" t="shared"/>
        <v>0</v>
      </c>
    </row>
    <row r="34" spans="1:10">
      <c r="A34" s="1880"/>
      <c r="B34" s="1881"/>
      <c r="C34" s="99" t="s">
        <v>1277</v>
      </c>
      <c r="D34" s="658">
        <f ref="D34:J36" si="1" t="shared">+D10+D14+D18+D22+D26+D30</f>
        <v>0</v>
      </c>
      <c r="E34" s="3">
        <f si="1" t="shared"/>
        <v>0</v>
      </c>
      <c r="F34" s="3">
        <f si="1" t="shared"/>
        <v>0</v>
      </c>
      <c r="G34" s="3">
        <f si="1" t="shared"/>
        <v>0</v>
      </c>
      <c r="H34" s="3">
        <f si="1" t="shared"/>
        <v>0</v>
      </c>
      <c r="I34" s="3">
        <f si="1" t="shared"/>
        <v>0</v>
      </c>
      <c r="J34" s="3">
        <f si="1" t="shared"/>
        <v>0</v>
      </c>
    </row>
    <row r="35" spans="1:10">
      <c r="A35" s="1880"/>
      <c r="B35" s="1881"/>
      <c r="C35" s="99" t="s">
        <v>1278</v>
      </c>
      <c r="D35" s="658">
        <f si="1" t="shared"/>
        <v>0</v>
      </c>
      <c r="E35" s="3">
        <f si="1" t="shared"/>
        <v>0</v>
      </c>
      <c r="F35" s="3">
        <f si="1" t="shared"/>
        <v>0</v>
      </c>
      <c r="G35" s="3">
        <f si="1" t="shared"/>
        <v>0</v>
      </c>
      <c r="H35" s="3">
        <f si="1" t="shared"/>
        <v>0</v>
      </c>
      <c r="I35" s="3">
        <f si="1" t="shared"/>
        <v>0</v>
      </c>
      <c r="J35" s="3">
        <f si="1" t="shared"/>
        <v>0</v>
      </c>
    </row>
    <row customHeight="1" ht="14.25" r="36" spans="1:10">
      <c r="A36" s="1882"/>
      <c r="B36" s="1883"/>
      <c r="C36" s="99" t="s">
        <v>50</v>
      </c>
      <c r="D36" s="3">
        <f si="1" t="shared"/>
        <v>0</v>
      </c>
      <c r="E36" s="3">
        <f si="1" t="shared"/>
        <v>0</v>
      </c>
      <c r="F36" s="3">
        <f si="1" t="shared"/>
        <v>0</v>
      </c>
      <c r="G36" s="3">
        <f si="1" t="shared"/>
        <v>0</v>
      </c>
      <c r="H36" s="3">
        <f si="1" t="shared"/>
        <v>0</v>
      </c>
      <c r="I36" s="3">
        <f si="1" t="shared"/>
        <v>0</v>
      </c>
      <c r="J36" s="3">
        <f si="1" t="shared"/>
        <v>0</v>
      </c>
    </row>
    <row r="37" spans="1:10">
      <c r="A37" s="60"/>
      <c r="B37" s="293"/>
      <c r="C37" s="60"/>
      <c r="D37" s="294"/>
      <c r="E37" s="294"/>
      <c r="F37" s="294"/>
      <c r="I37" s="294"/>
    </row>
    <row r="38" spans="1:10">
      <c r="D38" s="607" t="s">
        <v>1897</v>
      </c>
      <c r="E38" s="406"/>
      <c r="F38" s="608"/>
    </row>
    <row r="39" spans="1:10">
      <c r="D39" s="406">
        <f>+ЧХ!$C$15</f>
        <v>0</v>
      </c>
      <c r="E39" s="406"/>
      <c r="F39" s="608"/>
      <c r="G39" s="602">
        <f>+ЧХ!$C$16</f>
        <v>0</v>
      </c>
    </row>
    <row r="40" spans="1:10">
      <c r="D40" s="406"/>
      <c r="E40" s="609"/>
      <c r="F40" s="91"/>
    </row>
    <row r="41" spans="1:10">
      <c r="D41" s="607" t="s">
        <v>2368</v>
      </c>
      <c r="E41" s="406"/>
      <c r="F41" s="609"/>
    </row>
    <row r="42" spans="1:10">
      <c r="D42" s="406" t="str">
        <f>+ЧХ!$B$6</f>
        <v>Аудитын менежер</v>
      </c>
      <c r="E42" s="406"/>
      <c r="F42" s="608"/>
      <c r="G42" s="602">
        <f>+ЧХ!$C$6</f>
        <v>0</v>
      </c>
    </row>
    <row r="43" spans="1:10">
      <c r="D43" s="406"/>
      <c r="E43" s="609"/>
      <c r="F43" s="91"/>
      <c r="G43" s="91"/>
    </row>
    <row r="44" spans="1:10">
      <c r="D44" s="406" t="s">
        <v>2369</v>
      </c>
      <c r="E44" s="406"/>
      <c r="F44" s="608"/>
    </row>
    <row r="45" spans="1:10">
      <c r="D45" s="406" t="str">
        <f>+ЧХ!$B$5</f>
        <v>Тэргүүлэх аудитор</v>
      </c>
      <c r="E45" s="406"/>
      <c r="F45" s="608"/>
      <c r="G45" s="603" t="str">
        <f>+ЧХ!$C$5</f>
        <v>С.Энхбаатар</v>
      </c>
    </row>
    <row r="46" spans="1:10">
      <c r="D46" s="608"/>
      <c r="E46" s="608"/>
      <c r="F46" s="91"/>
    </row>
    <row r="47" spans="1:10">
      <c r="B47" s="406" t="str">
        <f>+ЧХ!$B$6&amp;"ийн санал: ………………………………………………………………………………………"</f>
        <v>Аудитын менежерийн санал: ………………………………………………………………………………………</v>
      </c>
    </row>
    <row r="48" spans="1:10">
      <c r="B48" s="406"/>
    </row>
    <row r="49" spans="2:2">
      <c r="B49" s="406"/>
    </row>
    <row r="50" spans="2:2">
      <c r="B50" s="406" t="str">
        <f>+ЧХ!$B$5&amp;"ын санал: ..........................................................................................................."</f>
        <v>Тэргүүлэх аудиторын санал: ...........................................................................................................</v>
      </c>
    </row>
  </sheetData>
  <mergeCells count="22">
    <mergeCell ref="A21:A24"/>
    <mergeCell ref="B21:B24"/>
    <mergeCell ref="A25:A28"/>
    <mergeCell ref="B25:B28"/>
    <mergeCell ref="A29:A32"/>
    <mergeCell ref="B29:B3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s>
  <pageMargins bottom="0.75" footer="0.3" header="0.3" left="0.7" right="0.7" top="0.75"/>
  <pageSetup orientation="landscape" r:id="rId1" scale="80"/>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Y28"/>
  <sheetViews>
    <sheetView workbookViewId="0">
      <selection activeCell="F4" sqref="F4:H4"/>
    </sheetView>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2.85546875" collapsed="false"/>
    <col min="6" max="6" customWidth="true" style="85" width="10.0" collapsed="false"/>
    <col min="7" max="7" customWidth="true" style="85" width="8.5703125" collapsed="false"/>
    <col min="8" max="8" customWidth="true" style="85" width="14.5703125" collapsed="false"/>
    <col min="9" max="9" customWidth="true" style="85" width="6.42578125" collapsed="false"/>
    <col min="10" max="11" customWidth="true" style="85" width="6.5703125" collapsed="false"/>
    <col min="12" max="12" customWidth="true" style="85" width="7.140625" collapsed="false"/>
    <col min="13" max="13" customWidth="true" style="85" width="8.7109375" collapsed="false"/>
    <col min="14" max="14" customWidth="true" style="85" width="12.85546875" collapsed="false"/>
    <col min="15" max="15" customWidth="true" style="85" width="19.42578125" collapsed="false"/>
    <col min="16" max="16" customWidth="true" style="85" width="38.140625" collapsed="false"/>
    <col min="17" max="17" customWidth="true" style="85" width="45.5703125" collapsed="false"/>
    <col min="18" max="16384" style="85" width="9.140625" collapsed="false"/>
  </cols>
  <sheetData>
    <row ht="15" r="1" spans="1:25">
      <c r="A1" s="32"/>
      <c r="R1" s="362">
        <v>31216</v>
      </c>
      <c r="S1" s="355">
        <v>3122</v>
      </c>
      <c r="T1" s="359">
        <v>31221</v>
      </c>
      <c r="U1" s="359">
        <v>31222</v>
      </c>
      <c r="V1" s="359">
        <v>31223</v>
      </c>
      <c r="W1" s="359">
        <v>31224</v>
      </c>
      <c r="X1" s="359">
        <v>31500</v>
      </c>
      <c r="Y1" s="359">
        <v>31400</v>
      </c>
    </row>
    <row r="2" spans="1:25">
      <c r="B2" s="89"/>
      <c r="D2" s="44" t="s">
        <v>1314</v>
      </c>
      <c r="F2" s="89"/>
      <c r="G2" s="89"/>
      <c r="H2" s="89"/>
      <c r="I2" s="89"/>
    </row>
    <row r="3" spans="1:25">
      <c r="A3" s="89"/>
      <c r="B3" s="89"/>
      <c r="C3" s="89"/>
      <c r="D3" s="89"/>
      <c r="E3" s="89"/>
      <c r="F3" s="89"/>
      <c r="G3" s="89"/>
      <c r="H3" s="89"/>
      <c r="I3" s="89"/>
    </row>
    <row customHeight="1" ht="30" r="4" spans="1:25">
      <c r="A4" s="1901" t="s">
        <v>1315</v>
      </c>
      <c r="B4" s="1901"/>
      <c r="C4" s="1901"/>
      <c r="D4" s="836" t="s">
        <v>2967</v>
      </c>
      <c r="E4" s="31"/>
      <c r="F4" s="1685" t="s">
        <v>1316</v>
      </c>
      <c r="G4" s="1686"/>
      <c r="H4" s="1687"/>
      <c r="I4" s="1506">
        <v>0</v>
      </c>
      <c r="J4" s="1507"/>
      <c r="K4" s="1507"/>
      <c r="L4" s="1508"/>
    </row>
    <row customHeight="1" ht="30" r="5" spans="1:25">
      <c r="A5" s="1901" t="s">
        <v>1317</v>
      </c>
      <c r="B5" s="1901"/>
      <c r="C5" s="1901"/>
      <c r="D5" s="827">
        <f>+ЧХ!C7</f>
        <v>0</v>
      </c>
      <c r="E5" s="31"/>
      <c r="F5" s="1685" t="s">
        <v>1318</v>
      </c>
      <c r="G5" s="1686"/>
      <c r="H5" s="1687"/>
      <c r="I5" s="1506">
        <v>0</v>
      </c>
      <c r="J5" s="1507"/>
      <c r="K5" s="1507"/>
      <c r="L5" s="1508"/>
    </row>
    <row customHeight="1" ht="21" r="6" spans="1:25">
      <c r="A6" s="1662" t="s">
        <v>2220</v>
      </c>
      <c r="B6" s="1663"/>
      <c r="C6" s="1664"/>
      <c r="D6" s="836" t="s">
        <v>1851</v>
      </c>
      <c r="E6" s="31"/>
      <c r="F6" s="1902" t="s">
        <v>1319</v>
      </c>
      <c r="G6" s="1903"/>
      <c r="H6" s="1904"/>
      <c r="I6" s="1509">
        <v>0</v>
      </c>
      <c r="J6" s="1510"/>
      <c r="K6" s="1510"/>
      <c r="L6" s="1511"/>
    </row>
    <row customFormat="1" customHeight="1" ht="19.5" r="7" s="406" spans="1:25">
      <c r="A7" s="1662" t="s">
        <v>2219</v>
      </c>
      <c r="B7" s="1663"/>
      <c r="C7" s="1664"/>
      <c r="D7" s="836">
        <f>ЧХ!C8</f>
        <v>0</v>
      </c>
      <c r="E7" s="31"/>
      <c r="F7" s="1905"/>
      <c r="G7" s="1906"/>
      <c r="H7" s="1907"/>
      <c r="I7" s="1512"/>
      <c r="J7" s="1513"/>
      <c r="K7" s="1513"/>
      <c r="L7" s="1514"/>
    </row>
    <row customHeight="1" ht="30" r="8" spans="1:25">
      <c r="A8" s="1709" t="s">
        <v>1320</v>
      </c>
      <c r="B8" s="1709"/>
      <c r="C8" s="1709"/>
      <c r="D8" s="1504"/>
      <c r="E8" s="31"/>
      <c r="F8" s="1685" t="s">
        <v>1321</v>
      </c>
      <c r="G8" s="1686"/>
      <c r="H8" s="1687"/>
      <c r="I8" s="1506">
        <v>0</v>
      </c>
      <c r="J8" s="1507"/>
      <c r="K8" s="1507"/>
      <c r="L8" s="1508"/>
    </row>
    <row customHeight="1" ht="30" r="9" spans="1:25">
      <c r="A9" s="1901" t="s">
        <v>1322</v>
      </c>
      <c r="B9" s="1901"/>
      <c r="C9" s="1901"/>
      <c r="D9" s="836">
        <v>5</v>
      </c>
      <c r="E9" s="31"/>
      <c r="F9" s="1662" t="s">
        <v>1323</v>
      </c>
      <c r="G9" s="1663"/>
      <c r="H9" s="1664"/>
      <c r="I9" s="1506">
        <v>0</v>
      </c>
      <c r="J9" s="1507"/>
      <c r="K9" s="1507"/>
      <c r="L9" s="1508"/>
    </row>
    <row customFormat="1" customHeight="1" ht="10.5" r="10" s="406" spans="1:25">
      <c r="A10" s="98"/>
      <c r="B10" s="98"/>
      <c r="C10" s="98"/>
      <c r="D10" s="350"/>
      <c r="E10" s="88"/>
      <c r="F10" s="59"/>
      <c r="G10" s="59"/>
      <c r="H10" s="59"/>
      <c r="I10" s="59"/>
      <c r="J10" s="59"/>
      <c r="K10" s="59"/>
      <c r="L10" s="59"/>
      <c r="M10" s="59"/>
    </row>
    <row r="11" spans="1:25">
      <c r="H11" s="406"/>
      <c r="I11" s="467"/>
      <c r="J11" s="467"/>
      <c r="K11" s="467"/>
      <c r="L11" s="467"/>
      <c r="M11" s="467"/>
      <c r="N11" s="406"/>
    </row>
    <row customFormat="1" customHeight="1" ht="37.5" r="12" s="406" spans="1:2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3216</v>
      </c>
    </row>
    <row customHeight="1" ht="39" r="13" spans="1:25">
      <c r="A13" s="1894"/>
      <c r="B13" s="1898"/>
      <c r="C13" s="1894"/>
      <c r="D13" s="1894"/>
      <c r="E13" s="467"/>
      <c r="F13" s="1894"/>
      <c r="G13" s="1894"/>
      <c r="H13" s="1894"/>
      <c r="I13" s="468" t="s">
        <v>2224</v>
      </c>
      <c r="J13" s="468" t="s">
        <v>2225</v>
      </c>
      <c r="K13" s="468" t="s">
        <v>2226</v>
      </c>
      <c r="L13" s="468" t="s">
        <v>2227</v>
      </c>
      <c r="M13" s="468" t="s">
        <v>2228</v>
      </c>
      <c r="N13" s="1894"/>
      <c r="O13" s="1896"/>
      <c r="P13" s="1329" t="s">
        <v>3217</v>
      </c>
      <c r="Q13" s="1329" t="s">
        <v>3218</v>
      </c>
    </row>
    <row customHeight="1" ht="39.75" r="14" spans="1:25">
      <c r="Q14" s="406"/>
    </row>
    <row r="15" spans="1:25">
      <c r="P15" s="406"/>
    </row>
    <row r="24" spans="17:17">
      <c r="Q24" s="556"/>
    </row>
    <row customHeight="1" ht="39" r="25" spans="17:17"/>
    <row customHeight="1" ht="87.75" r="28" spans="17:17"/>
  </sheetData>
  <mergeCells count="21">
    <mergeCell ref="A9:C9"/>
    <mergeCell ref="F9:H9"/>
    <mergeCell ref="A4:C4"/>
    <mergeCell ref="F4:H4"/>
    <mergeCell ref="A5:C5"/>
    <mergeCell ref="F5:H5"/>
    <mergeCell ref="A8:C8"/>
    <mergeCell ref="F8:H8"/>
    <mergeCell ref="A6:C6"/>
    <mergeCell ref="A7:C7"/>
    <mergeCell ref="F6:H7"/>
    <mergeCell ref="G12:G13"/>
    <mergeCell ref="H12:H13"/>
    <mergeCell ref="N12:N13"/>
    <mergeCell ref="O12:O13"/>
    <mergeCell ref="A12:A13"/>
    <mergeCell ref="B12:B13"/>
    <mergeCell ref="C12:C13"/>
    <mergeCell ref="D12:D13"/>
    <mergeCell ref="F12:F13"/>
    <mergeCell ref="I12:M12"/>
  </mergeCells>
  <pageMargins bottom="0.75" footer="0.3" header="0.3" left="0.7" right="0.7" top="0.75"/>
  <pageSetup orientation="landscape" r:id="rId1"/>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28515625" collapsed="false"/>
    <col min="10" max="10" customWidth="true" style="85" width="4.0" collapsed="false"/>
    <col min="11" max="11" customWidth="true" style="85" width="4.42578125" collapsed="false"/>
    <col min="12" max="12" customWidth="true" style="85" width="4.85546875" collapsed="false"/>
    <col min="13" max="13" customWidth="true" style="85" width="3.0"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20.25" r="4" spans="1:15">
      <c r="A4" s="1901" t="s">
        <v>1315</v>
      </c>
      <c r="B4" s="1901"/>
      <c r="C4" s="1901"/>
      <c r="D4" s="836" t="s">
        <v>2960</v>
      </c>
      <c r="E4" s="843"/>
      <c r="F4" s="1685" t="s">
        <v>1316</v>
      </c>
      <c r="G4" s="1686"/>
      <c r="H4" s="1687"/>
      <c r="I4" s="1909">
        <v>0</v>
      </c>
      <c r="J4" s="1909"/>
      <c r="K4" s="1909"/>
      <c r="L4" s="1909"/>
      <c r="M4" s="406"/>
      <c r="N4" s="406"/>
      <c r="O4" s="406"/>
    </row>
    <row customHeight="1" ht="38.25" r="5" spans="1:15">
      <c r="A5" s="1901" t="s">
        <v>1317</v>
      </c>
      <c r="B5" s="1901"/>
      <c r="C5" s="1901"/>
      <c r="D5" s="827">
        <f>+ЧХ!C7</f>
        <v>0</v>
      </c>
      <c r="E5" s="843"/>
      <c r="F5" s="1685" t="s">
        <v>1318</v>
      </c>
      <c r="G5" s="1686"/>
      <c r="H5" s="1687"/>
      <c r="I5" s="1909">
        <v>0</v>
      </c>
      <c r="J5" s="1909"/>
      <c r="K5" s="1909"/>
      <c r="L5" s="1909"/>
      <c r="M5" s="406"/>
      <c r="N5" s="406"/>
      <c r="O5" s="406"/>
    </row>
    <row customHeight="1" ht="30" r="6" spans="1:15">
      <c r="A6" s="1662" t="s">
        <v>2220</v>
      </c>
      <c r="B6" s="1663"/>
      <c r="C6" s="1664"/>
      <c r="D6" s="836" t="s">
        <v>1882</v>
      </c>
      <c r="E6" s="843"/>
      <c r="F6" s="1902" t="s">
        <v>1319</v>
      </c>
      <c r="G6" s="1903"/>
      <c r="H6" s="1904"/>
      <c r="I6" s="1908">
        <v>0</v>
      </c>
      <c r="J6" s="1908"/>
      <c r="K6" s="1908"/>
      <c r="L6" s="1908"/>
      <c r="M6" s="406"/>
      <c r="N6" s="406"/>
      <c r="O6" s="406"/>
    </row>
    <row customHeight="1" ht="30" r="7" spans="1:15">
      <c r="A7" s="1662" t="s">
        <v>2219</v>
      </c>
      <c r="B7" s="1663"/>
      <c r="C7" s="1664"/>
      <c r="D7" s="836">
        <f>ЧХ!C8</f>
        <v>0</v>
      </c>
      <c r="E7" s="843"/>
      <c r="F7" s="1905"/>
      <c r="G7" s="1906"/>
      <c r="H7" s="1907"/>
      <c r="I7" s="1908"/>
      <c r="J7" s="1908"/>
      <c r="K7" s="1908"/>
      <c r="L7" s="1908"/>
      <c r="M7" s="406"/>
      <c r="N7" s="406"/>
      <c r="O7" s="406"/>
    </row>
    <row customHeight="1" ht="30" r="8" spans="1:15">
      <c r="A8" s="1709" t="s">
        <v>1320</v>
      </c>
      <c r="B8" s="1709"/>
      <c r="C8" s="1709"/>
      <c r="D8" s="836"/>
      <c r="E8" s="843"/>
      <c r="F8" s="1685" t="s">
        <v>1321</v>
      </c>
      <c r="G8" s="1686"/>
      <c r="H8" s="1687"/>
      <c r="I8" s="1909">
        <v>0</v>
      </c>
      <c r="J8" s="1909"/>
      <c r="K8" s="1909"/>
      <c r="L8" s="1909"/>
      <c r="M8" s="406"/>
      <c r="N8" s="406"/>
      <c r="O8" s="406"/>
    </row>
    <row customHeight="1" ht="30" r="9" spans="1:15">
      <c r="A9" s="1901" t="s">
        <v>1322</v>
      </c>
      <c r="B9" s="1901"/>
      <c r="C9" s="1901"/>
      <c r="D9" s="836">
        <v>5</v>
      </c>
      <c r="E9" s="843"/>
      <c r="F9" s="1662" t="s">
        <v>1323</v>
      </c>
      <c r="G9" s="1663"/>
      <c r="H9" s="1664"/>
      <c r="I9" s="1909">
        <v>0</v>
      </c>
      <c r="J9" s="1909"/>
      <c r="K9" s="1909"/>
      <c r="L9" s="1909"/>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589" t="s">
        <v>2224</v>
      </c>
      <c r="J13" s="589" t="s">
        <v>2225</v>
      </c>
      <c r="K13" s="589" t="s">
        <v>2226</v>
      </c>
      <c r="L13" s="589" t="s">
        <v>2227</v>
      </c>
      <c r="M13" s="589" t="s">
        <v>2228</v>
      </c>
      <c r="N13" s="1894"/>
      <c r="O13" s="1896"/>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4.85546875" collapsed="false"/>
    <col min="10" max="10" customWidth="true" style="85" width="4.7109375" collapsed="false"/>
    <col min="11" max="11" customWidth="true" style="85" width="4.5703125" collapsed="false"/>
    <col min="12" max="12" customWidth="true" style="85" width="4.7109375" collapsed="false"/>
    <col min="13" max="13" customWidth="true" style="85" width="4.28515625"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18.75" r="4" spans="1:15">
      <c r="A4" s="1901" t="s">
        <v>1315</v>
      </c>
      <c r="B4" s="1901"/>
      <c r="C4" s="1901"/>
      <c r="D4" s="836" t="s">
        <v>2961</v>
      </c>
      <c r="E4" s="843"/>
      <c r="F4" s="1685" t="s">
        <v>1316</v>
      </c>
      <c r="G4" s="1686"/>
      <c r="H4" s="1687"/>
      <c r="I4" s="1909">
        <v>0</v>
      </c>
      <c r="J4" s="1909"/>
      <c r="K4" s="1909"/>
      <c r="L4" s="1909"/>
      <c r="M4" s="406"/>
      <c r="N4" s="406"/>
      <c r="O4" s="406"/>
    </row>
    <row customHeight="1" ht="35.25" r="5" spans="1:15">
      <c r="A5" s="1901" t="s">
        <v>1317</v>
      </c>
      <c r="B5" s="1901"/>
      <c r="C5" s="1901"/>
      <c r="D5" s="827">
        <f>+ЧХ!C7</f>
        <v>0</v>
      </c>
      <c r="E5" s="843"/>
      <c r="F5" s="1685" t="s">
        <v>1318</v>
      </c>
      <c r="G5" s="1686"/>
      <c r="H5" s="1687"/>
      <c r="I5" s="1909">
        <v>0</v>
      </c>
      <c r="J5" s="1909"/>
      <c r="K5" s="1909"/>
      <c r="L5" s="1909"/>
      <c r="M5" s="406"/>
      <c r="N5" s="406"/>
      <c r="O5" s="406"/>
    </row>
    <row customHeight="1" ht="30" r="6" spans="1:15">
      <c r="A6" s="1662" t="s">
        <v>2220</v>
      </c>
      <c r="B6" s="1663"/>
      <c r="C6" s="1664"/>
      <c r="D6" s="836" t="s">
        <v>1855</v>
      </c>
      <c r="E6" s="843"/>
      <c r="F6" s="1902" t="s">
        <v>1319</v>
      </c>
      <c r="G6" s="1903"/>
      <c r="H6" s="1904"/>
      <c r="I6" s="1908">
        <v>0</v>
      </c>
      <c r="J6" s="1908"/>
      <c r="K6" s="1908"/>
      <c r="L6" s="1908"/>
      <c r="M6" s="406"/>
      <c r="N6" s="406"/>
      <c r="O6" s="406"/>
    </row>
    <row customHeight="1" ht="30" r="7" spans="1:15">
      <c r="A7" s="1662" t="s">
        <v>2219</v>
      </c>
      <c r="B7" s="1663"/>
      <c r="C7" s="1664"/>
      <c r="D7" s="836">
        <f>+ЧХ!C8</f>
        <v>0</v>
      </c>
      <c r="E7" s="843"/>
      <c r="F7" s="1905"/>
      <c r="G7" s="1906"/>
      <c r="H7" s="1907"/>
      <c r="I7" s="1908"/>
      <c r="J7" s="1908"/>
      <c r="K7" s="1908"/>
      <c r="L7" s="1908"/>
      <c r="M7" s="406"/>
      <c r="N7" s="406"/>
      <c r="O7" s="406"/>
    </row>
    <row customHeight="1" ht="30" r="8" spans="1:15">
      <c r="A8" s="1709" t="s">
        <v>1320</v>
      </c>
      <c r="B8" s="1709"/>
      <c r="C8" s="1709"/>
      <c r="D8" s="836"/>
      <c r="E8" s="843"/>
      <c r="F8" s="1685" t="s">
        <v>1321</v>
      </c>
      <c r="G8" s="1686"/>
      <c r="H8" s="1687"/>
      <c r="I8" s="1909">
        <v>0</v>
      </c>
      <c r="J8" s="1909"/>
      <c r="K8" s="1909"/>
      <c r="L8" s="1909"/>
      <c r="M8" s="406"/>
      <c r="N8" s="406"/>
      <c r="O8" s="406"/>
    </row>
    <row customHeight="1" ht="30" r="9" spans="1:15">
      <c r="A9" s="1901" t="s">
        <v>1322</v>
      </c>
      <c r="B9" s="1901"/>
      <c r="C9" s="1901"/>
      <c r="D9" s="836">
        <v>5</v>
      </c>
      <c r="E9" s="843"/>
      <c r="F9" s="1662" t="s">
        <v>1323</v>
      </c>
      <c r="G9" s="1663"/>
      <c r="H9" s="1664"/>
      <c r="I9" s="1909">
        <v>0</v>
      </c>
      <c r="J9" s="1909"/>
      <c r="K9" s="1909"/>
      <c r="L9" s="1909"/>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589" t="s">
        <v>2224</v>
      </c>
      <c r="J13" s="589" t="s">
        <v>2225</v>
      </c>
      <c r="K13" s="589" t="s">
        <v>2226</v>
      </c>
      <c r="L13" s="589" t="s">
        <v>2227</v>
      </c>
      <c r="M13" s="589" t="s">
        <v>2228</v>
      </c>
      <c r="N13" s="1894"/>
      <c r="O13" s="1896"/>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0" collapsed="false"/>
    <col min="10" max="10" customWidth="true" style="85" width="6.0" collapsed="false"/>
    <col min="11" max="11" customWidth="true" style="85" width="5.28515625" collapsed="false"/>
    <col min="12" max="12" customWidth="true" style="85" width="4.28515625" collapsed="false"/>
    <col min="13" max="13" customWidth="true" style="85" width="3.0"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16.5" r="4" spans="1:15">
      <c r="A4" s="1901" t="s">
        <v>1315</v>
      </c>
      <c r="B4" s="1901"/>
      <c r="C4" s="1901"/>
      <c r="D4" s="836" t="s">
        <v>2962</v>
      </c>
      <c r="E4" s="31"/>
      <c r="F4" s="1685" t="s">
        <v>1316</v>
      </c>
      <c r="G4" s="1686"/>
      <c r="H4" s="1687"/>
      <c r="I4" s="1911">
        <v>0</v>
      </c>
      <c r="J4" s="1911"/>
      <c r="K4" s="1911"/>
      <c r="L4" s="1911"/>
      <c r="M4" s="406"/>
      <c r="N4" s="406"/>
      <c r="O4" s="406"/>
    </row>
    <row customHeight="1" ht="16.5" r="5" spans="1:15">
      <c r="A5" s="1901" t="s">
        <v>1317</v>
      </c>
      <c r="B5" s="1901"/>
      <c r="C5" s="1901"/>
      <c r="D5" s="827">
        <f>+ЧХ!C7</f>
        <v>0</v>
      </c>
      <c r="E5" s="31"/>
      <c r="F5" s="1685" t="s">
        <v>1318</v>
      </c>
      <c r="G5" s="1686"/>
      <c r="H5" s="1687"/>
      <c r="I5" s="1911">
        <v>0</v>
      </c>
      <c r="J5" s="1911"/>
      <c r="K5" s="1911"/>
      <c r="L5" s="1911"/>
      <c r="M5" s="406"/>
      <c r="N5" s="406"/>
      <c r="O5" s="406"/>
    </row>
    <row customHeight="1" ht="30" r="6" spans="1:15">
      <c r="A6" s="1662" t="s">
        <v>2220</v>
      </c>
      <c r="B6" s="1663"/>
      <c r="C6" s="1664"/>
      <c r="D6" s="836" t="s">
        <v>1863</v>
      </c>
      <c r="E6" s="31"/>
      <c r="F6" s="1902" t="s">
        <v>1319</v>
      </c>
      <c r="G6" s="1903"/>
      <c r="H6" s="1904"/>
      <c r="I6" s="1910">
        <v>0</v>
      </c>
      <c r="J6" s="1910"/>
      <c r="K6" s="1910"/>
      <c r="L6" s="1910"/>
      <c r="M6" s="406"/>
      <c r="N6" s="406"/>
      <c r="O6" s="406"/>
    </row>
    <row customHeight="1" ht="30" r="7" spans="1:15">
      <c r="A7" s="1662" t="s">
        <v>2219</v>
      </c>
      <c r="B7" s="1663"/>
      <c r="C7" s="1664"/>
      <c r="D7" s="836">
        <f>+ЧХ!C8</f>
        <v>0</v>
      </c>
      <c r="E7" s="31"/>
      <c r="F7" s="1905"/>
      <c r="G7" s="1906"/>
      <c r="H7" s="1907"/>
      <c r="I7" s="1910"/>
      <c r="J7" s="1910"/>
      <c r="K7" s="1910"/>
      <c r="L7" s="1910"/>
      <c r="M7" s="406"/>
      <c r="N7" s="406"/>
      <c r="O7" s="406"/>
    </row>
    <row customHeight="1" ht="30" r="8" spans="1:15">
      <c r="A8" s="1709" t="s">
        <v>1320</v>
      </c>
      <c r="B8" s="1709"/>
      <c r="C8" s="1709"/>
      <c r="D8" s="836"/>
      <c r="E8" s="31"/>
      <c r="F8" s="1685" t="s">
        <v>1321</v>
      </c>
      <c r="G8" s="1686"/>
      <c r="H8" s="1687"/>
      <c r="I8" s="1911">
        <v>0</v>
      </c>
      <c r="J8" s="1911"/>
      <c r="K8" s="1911"/>
      <c r="L8" s="1911"/>
      <c r="M8" s="406"/>
      <c r="N8" s="406"/>
      <c r="O8" s="406"/>
    </row>
    <row customHeight="1" ht="30" r="9" spans="1:15">
      <c r="A9" s="1901" t="s">
        <v>1322</v>
      </c>
      <c r="B9" s="1901"/>
      <c r="C9" s="1901"/>
      <c r="D9" s="836">
        <v>5</v>
      </c>
      <c r="E9" s="31"/>
      <c r="F9" s="1662" t="s">
        <v>1323</v>
      </c>
      <c r="G9" s="1663"/>
      <c r="H9" s="1664"/>
      <c r="I9" s="1911">
        <v>0</v>
      </c>
      <c r="J9" s="1911"/>
      <c r="K9" s="1911"/>
      <c r="L9" s="1911"/>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589" t="s">
        <v>2224</v>
      </c>
      <c r="J13" s="589" t="s">
        <v>2225</v>
      </c>
      <c r="K13" s="589" t="s">
        <v>2226</v>
      </c>
      <c r="L13" s="589" t="s">
        <v>2227</v>
      </c>
      <c r="M13" s="589" t="s">
        <v>2228</v>
      </c>
      <c r="N13" s="1894"/>
      <c r="O13" s="1896"/>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6.140625" collapsed="false"/>
    <col min="10" max="10" customWidth="true" style="406" width="5.85546875" collapsed="false"/>
    <col min="11" max="11" customWidth="true" style="406" width="5.5703125" collapsed="false"/>
    <col min="12" max="12" customWidth="true" style="406" width="5.71093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5.75" r="4" spans="1:15">
      <c r="A4" s="1901" t="s">
        <v>1315</v>
      </c>
      <c r="B4" s="1901"/>
      <c r="C4" s="1901"/>
      <c r="D4" s="836" t="s">
        <v>2963</v>
      </c>
      <c r="E4" s="843"/>
      <c r="F4" s="1685" t="s">
        <v>1316</v>
      </c>
      <c r="G4" s="1686"/>
      <c r="H4" s="1687"/>
      <c r="I4" s="1912">
        <v>0</v>
      </c>
      <c r="J4" s="1912"/>
      <c r="K4" s="1912"/>
      <c r="L4" s="1912"/>
    </row>
    <row customHeight="1" ht="16.5" r="5" spans="1:15">
      <c r="A5" s="1901" t="s">
        <v>1317</v>
      </c>
      <c r="B5" s="1901"/>
      <c r="C5" s="1901"/>
      <c r="D5" s="827">
        <f>+ЧХ!C7</f>
        <v>0</v>
      </c>
      <c r="E5" s="843"/>
      <c r="F5" s="1685" t="s">
        <v>1318</v>
      </c>
      <c r="G5" s="1686"/>
      <c r="H5" s="1687"/>
      <c r="I5" s="1912">
        <v>0</v>
      </c>
      <c r="J5" s="1912"/>
      <c r="K5" s="1912"/>
      <c r="L5" s="1912"/>
    </row>
    <row customHeight="1" ht="30" r="6" spans="1:15">
      <c r="A6" s="1662" t="s">
        <v>2220</v>
      </c>
      <c r="B6" s="1663"/>
      <c r="C6" s="1664"/>
      <c r="D6" s="836" t="s">
        <v>2981</v>
      </c>
      <c r="E6" s="843"/>
      <c r="F6" s="1902" t="s">
        <v>1319</v>
      </c>
      <c r="G6" s="1903"/>
      <c r="H6" s="1904"/>
      <c r="I6" s="1913">
        <v>0</v>
      </c>
      <c r="J6" s="1914"/>
      <c r="K6" s="1914"/>
      <c r="L6" s="1915"/>
    </row>
    <row customHeight="1" ht="30" r="7" spans="1:15">
      <c r="A7" s="1662" t="s">
        <v>2219</v>
      </c>
      <c r="B7" s="1663"/>
      <c r="C7" s="1664"/>
      <c r="D7" s="836">
        <f>+ЧХ!C8</f>
        <v>0</v>
      </c>
      <c r="E7" s="843"/>
      <c r="F7" s="1905"/>
      <c r="G7" s="1906"/>
      <c r="H7" s="1907"/>
      <c r="I7" s="1916"/>
      <c r="J7" s="1917"/>
      <c r="K7" s="1917"/>
      <c r="L7" s="1918"/>
    </row>
    <row customHeight="1" ht="30" r="8" spans="1:15">
      <c r="A8" s="1709" t="s">
        <v>1320</v>
      </c>
      <c r="B8" s="1709"/>
      <c r="C8" s="1709"/>
      <c r="D8" s="836"/>
      <c r="E8" s="843"/>
      <c r="F8" s="1685" t="s">
        <v>1321</v>
      </c>
      <c r="G8" s="1686"/>
      <c r="H8" s="1687"/>
      <c r="I8" s="1912">
        <v>0</v>
      </c>
      <c r="J8" s="1912"/>
      <c r="K8" s="1912"/>
      <c r="L8" s="1912"/>
    </row>
    <row customHeight="1" ht="30" r="9" spans="1:15">
      <c r="A9" s="1901" t="s">
        <v>1322</v>
      </c>
      <c r="B9" s="1901"/>
      <c r="C9" s="1901"/>
      <c r="D9" s="836">
        <v>5</v>
      </c>
      <c r="E9" s="843"/>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634" t="s">
        <v>2224</v>
      </c>
      <c r="J13" s="634" t="s">
        <v>2225</v>
      </c>
      <c r="K13" s="634" t="s">
        <v>2226</v>
      </c>
      <c r="L13" s="634" t="s">
        <v>2227</v>
      </c>
      <c r="M13" s="634" t="s">
        <v>2228</v>
      </c>
      <c r="N13" s="1894"/>
      <c r="O13" s="1896"/>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28515625" collapsed="false"/>
    <col min="10" max="12" customWidth="true" style="406" width="5.0" collapsed="false"/>
    <col min="13" max="13" customWidth="true" style="406" width="4.140625"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8" r="4" spans="1:15">
      <c r="A4" s="1901" t="s">
        <v>1315</v>
      </c>
      <c r="B4" s="1901"/>
      <c r="C4" s="1901"/>
      <c r="D4" s="622" t="s">
        <v>2964</v>
      </c>
      <c r="E4" s="31"/>
      <c r="F4" s="1685" t="s">
        <v>1316</v>
      </c>
      <c r="G4" s="1686"/>
      <c r="H4" s="1687"/>
      <c r="I4" s="1912">
        <v>0</v>
      </c>
      <c r="J4" s="1912"/>
      <c r="K4" s="1912"/>
      <c r="L4" s="1912"/>
    </row>
    <row customHeight="1" ht="18.75" r="5" spans="1:15">
      <c r="A5" s="1901" t="s">
        <v>1317</v>
      </c>
      <c r="B5" s="1901"/>
      <c r="C5" s="1901"/>
      <c r="D5" s="626">
        <f>+ЧХ!C7</f>
        <v>0</v>
      </c>
      <c r="E5" s="31"/>
      <c r="F5" s="1685" t="s">
        <v>1318</v>
      </c>
      <c r="G5" s="1686"/>
      <c r="H5" s="1687"/>
      <c r="I5" s="1912">
        <v>0</v>
      </c>
      <c r="J5" s="1912"/>
      <c r="K5" s="1912"/>
      <c r="L5" s="1912"/>
    </row>
    <row customHeight="1" ht="30" r="6" spans="1:15">
      <c r="A6" s="1662" t="s">
        <v>2220</v>
      </c>
      <c r="B6" s="1663"/>
      <c r="C6" s="1664"/>
      <c r="D6" s="622" t="s">
        <v>2980</v>
      </c>
      <c r="E6" s="31"/>
      <c r="F6" s="1902" t="s">
        <v>1319</v>
      </c>
      <c r="G6" s="1903"/>
      <c r="H6" s="1904"/>
      <c r="I6" s="1913">
        <v>0</v>
      </c>
      <c r="J6" s="1914"/>
      <c r="K6" s="1914"/>
      <c r="L6" s="1915"/>
    </row>
    <row customHeight="1" ht="30" r="7" spans="1:15">
      <c r="A7" s="1662" t="s">
        <v>2219</v>
      </c>
      <c r="B7" s="1663"/>
      <c r="C7" s="1664"/>
      <c r="D7" s="836">
        <f>+ЧХ!C8</f>
        <v>0</v>
      </c>
      <c r="E7" s="31"/>
      <c r="F7" s="1905"/>
      <c r="G7" s="1906"/>
      <c r="H7" s="1907"/>
      <c r="I7" s="1916"/>
      <c r="J7" s="1917"/>
      <c r="K7" s="1917"/>
      <c r="L7" s="1918"/>
    </row>
    <row customHeight="1" ht="30" r="8" spans="1:15">
      <c r="A8" s="1709" t="s">
        <v>1320</v>
      </c>
      <c r="B8" s="1709"/>
      <c r="C8" s="1709"/>
      <c r="D8" s="637"/>
      <c r="E8" s="31"/>
      <c r="F8" s="1685" t="s">
        <v>1321</v>
      </c>
      <c r="G8" s="1686"/>
      <c r="H8" s="1687"/>
      <c r="I8" s="1912">
        <v>0</v>
      </c>
      <c r="J8" s="1912"/>
      <c r="K8" s="1912"/>
      <c r="L8" s="1912"/>
    </row>
    <row customHeight="1" ht="30" r="9" spans="1:15">
      <c r="A9" s="1901" t="s">
        <v>1322</v>
      </c>
      <c r="B9" s="1901"/>
      <c r="C9" s="1901"/>
      <c r="D9" s="622">
        <v>5</v>
      </c>
      <c r="E9" s="31"/>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634" t="s">
        <v>2224</v>
      </c>
      <c r="J13" s="634" t="s">
        <v>2225</v>
      </c>
      <c r="K13" s="634" t="s">
        <v>2226</v>
      </c>
      <c r="L13" s="634" t="s">
        <v>2227</v>
      </c>
      <c r="M13" s="634" t="s">
        <v>2228</v>
      </c>
      <c r="N13" s="1894"/>
      <c r="O13" s="1896"/>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5.75" r="4" spans="1:15">
      <c r="A4" s="1901" t="s">
        <v>1315</v>
      </c>
      <c r="B4" s="1901"/>
      <c r="C4" s="1901"/>
      <c r="D4" s="622" t="s">
        <v>2965</v>
      </c>
      <c r="E4" s="31"/>
      <c r="F4" s="1685" t="s">
        <v>1316</v>
      </c>
      <c r="G4" s="1686"/>
      <c r="H4" s="1687"/>
      <c r="I4" s="1912">
        <v>0</v>
      </c>
      <c r="J4" s="1912"/>
      <c r="K4" s="1912"/>
      <c r="L4" s="1912"/>
    </row>
    <row customHeight="1" ht="17.25" r="5" spans="1:15">
      <c r="A5" s="1901" t="s">
        <v>1317</v>
      </c>
      <c r="B5" s="1901"/>
      <c r="C5" s="1901"/>
      <c r="D5" s="626">
        <f>+ЧХ!C7</f>
        <v>0</v>
      </c>
      <c r="E5" s="31"/>
      <c r="F5" s="1685" t="s">
        <v>1318</v>
      </c>
      <c r="G5" s="1686"/>
      <c r="H5" s="1687"/>
      <c r="I5" s="1912">
        <v>0</v>
      </c>
      <c r="J5" s="1912"/>
      <c r="K5" s="1912"/>
      <c r="L5" s="1912"/>
    </row>
    <row customHeight="1" ht="30" r="6" spans="1:15">
      <c r="A6" s="1662" t="s">
        <v>2220</v>
      </c>
      <c r="B6" s="1663"/>
      <c r="C6" s="1664"/>
      <c r="D6" s="622" t="s">
        <v>32</v>
      </c>
      <c r="E6" s="31"/>
      <c r="F6" s="1902" t="s">
        <v>1319</v>
      </c>
      <c r="G6" s="1903"/>
      <c r="H6" s="1904"/>
      <c r="I6" s="1913">
        <v>0</v>
      </c>
      <c r="J6" s="1914"/>
      <c r="K6" s="1914"/>
      <c r="L6" s="1915"/>
    </row>
    <row customHeight="1" ht="30" r="7" spans="1:15">
      <c r="A7" s="1662" t="s">
        <v>2219</v>
      </c>
      <c r="B7" s="1663"/>
      <c r="C7" s="1664"/>
      <c r="D7" s="836">
        <f>+ЧХ!C8</f>
        <v>0</v>
      </c>
      <c r="E7" s="31"/>
      <c r="F7" s="1905"/>
      <c r="G7" s="1906"/>
      <c r="H7" s="1907"/>
      <c r="I7" s="1916"/>
      <c r="J7" s="1917"/>
      <c r="K7" s="1917"/>
      <c r="L7" s="1918"/>
    </row>
    <row customHeight="1" ht="30" r="8" spans="1:15">
      <c r="A8" s="1709" t="s">
        <v>1320</v>
      </c>
      <c r="B8" s="1709"/>
      <c r="C8" s="1709"/>
      <c r="D8" s="637"/>
      <c r="E8" s="31"/>
      <c r="F8" s="1685" t="s">
        <v>1321</v>
      </c>
      <c r="G8" s="1686"/>
      <c r="H8" s="1687"/>
      <c r="I8" s="1912">
        <v>0</v>
      </c>
      <c r="J8" s="1912"/>
      <c r="K8" s="1912"/>
      <c r="L8" s="1912"/>
    </row>
    <row customHeight="1" ht="30" r="9" spans="1:15">
      <c r="A9" s="1901" t="s">
        <v>1322</v>
      </c>
      <c r="B9" s="1901"/>
      <c r="C9" s="1901"/>
      <c r="D9" s="622">
        <v>5</v>
      </c>
      <c r="E9" s="31"/>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634" t="s">
        <v>2224</v>
      </c>
      <c r="J13" s="634" t="s">
        <v>2225</v>
      </c>
      <c r="K13" s="634" t="s">
        <v>2226</v>
      </c>
      <c r="L13" s="634" t="s">
        <v>2227</v>
      </c>
      <c r="M13" s="634" t="s">
        <v>2228</v>
      </c>
      <c r="N13" s="1894"/>
      <c r="O13" s="1896"/>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840" t="s">
        <v>1314</v>
      </c>
      <c r="F2" s="89"/>
      <c r="G2" s="89"/>
      <c r="H2" s="89"/>
      <c r="I2" s="89"/>
    </row>
    <row r="3" spans="1:15">
      <c r="A3" s="89"/>
      <c r="B3" s="89"/>
      <c r="C3" s="89"/>
      <c r="D3" s="89"/>
      <c r="E3" s="89"/>
      <c r="F3" s="89"/>
      <c r="G3" s="89"/>
      <c r="H3" s="89"/>
      <c r="I3" s="89"/>
    </row>
    <row customHeight="1" ht="15.75" r="4" spans="1:15">
      <c r="A4" s="1901" t="s">
        <v>1315</v>
      </c>
      <c r="B4" s="1901"/>
      <c r="C4" s="1901"/>
      <c r="D4" s="838" t="s">
        <v>2979</v>
      </c>
      <c r="E4" s="31"/>
      <c r="F4" s="1685" t="s">
        <v>1316</v>
      </c>
      <c r="G4" s="1686"/>
      <c r="H4" s="1687"/>
      <c r="I4" s="1912">
        <v>0</v>
      </c>
      <c r="J4" s="1912"/>
      <c r="K4" s="1912"/>
      <c r="L4" s="1912"/>
    </row>
    <row customHeight="1" ht="17.25" r="5" spans="1:15">
      <c r="A5" s="1901" t="s">
        <v>1317</v>
      </c>
      <c r="B5" s="1901"/>
      <c r="C5" s="1901"/>
      <c r="D5" s="839">
        <f>+ЧХ!C7</f>
        <v>0</v>
      </c>
      <c r="E5" s="31"/>
      <c r="F5" s="1685" t="s">
        <v>1318</v>
      </c>
      <c r="G5" s="1686"/>
      <c r="H5" s="1687"/>
      <c r="I5" s="1912">
        <v>0</v>
      </c>
      <c r="J5" s="1912"/>
      <c r="K5" s="1912"/>
      <c r="L5" s="1912"/>
    </row>
    <row customHeight="1" ht="30" r="6" spans="1:15">
      <c r="A6" s="1662" t="s">
        <v>2220</v>
      </c>
      <c r="B6" s="1663"/>
      <c r="C6" s="1664"/>
      <c r="D6" s="838" t="s">
        <v>92</v>
      </c>
      <c r="E6" s="31"/>
      <c r="F6" s="1902" t="s">
        <v>1319</v>
      </c>
      <c r="G6" s="1903"/>
      <c r="H6" s="1904"/>
      <c r="I6" s="1913">
        <v>0</v>
      </c>
      <c r="J6" s="1914"/>
      <c r="K6" s="1914"/>
      <c r="L6" s="1915"/>
    </row>
    <row customHeight="1" ht="30" r="7" spans="1:15">
      <c r="A7" s="1662" t="s">
        <v>2219</v>
      </c>
      <c r="B7" s="1663"/>
      <c r="C7" s="1664"/>
      <c r="D7" s="842">
        <f>+ЧХ!C8</f>
        <v>0</v>
      </c>
      <c r="E7" s="31"/>
      <c r="F7" s="1905"/>
      <c r="G7" s="1906"/>
      <c r="H7" s="1907"/>
      <c r="I7" s="1916"/>
      <c r="J7" s="1917"/>
      <c r="K7" s="1917"/>
      <c r="L7" s="1918"/>
    </row>
    <row customHeight="1" ht="30" r="8" spans="1:15">
      <c r="A8" s="1709" t="s">
        <v>1320</v>
      </c>
      <c r="B8" s="1709"/>
      <c r="C8" s="1709"/>
      <c r="D8" s="842"/>
      <c r="E8" s="31"/>
      <c r="F8" s="1685" t="s">
        <v>1321</v>
      </c>
      <c r="G8" s="1686"/>
      <c r="H8" s="1687"/>
      <c r="I8" s="1912">
        <v>0</v>
      </c>
      <c r="J8" s="1912"/>
      <c r="K8" s="1912"/>
      <c r="L8" s="1912"/>
    </row>
    <row customHeight="1" ht="30" r="9" spans="1:15">
      <c r="A9" s="1901" t="s">
        <v>1322</v>
      </c>
      <c r="B9" s="1901"/>
      <c r="C9" s="1901"/>
      <c r="D9" s="838">
        <v>5</v>
      </c>
      <c r="E9" s="31"/>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841" t="s">
        <v>2224</v>
      </c>
      <c r="J13" s="841" t="s">
        <v>2225</v>
      </c>
      <c r="K13" s="841" t="s">
        <v>2226</v>
      </c>
      <c r="L13" s="841" t="s">
        <v>2227</v>
      </c>
      <c r="M13" s="841" t="s">
        <v>2228</v>
      </c>
      <c r="N13" s="1894"/>
      <c r="O13" s="1896"/>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D19" sqref="D19"/>
    </sheetView>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1452" t="s">
        <v>1314</v>
      </c>
      <c r="F2" s="89"/>
      <c r="G2" s="89"/>
      <c r="H2" s="89"/>
      <c r="I2" s="89"/>
    </row>
    <row r="3" spans="1:15">
      <c r="A3" s="89"/>
      <c r="B3" s="89"/>
      <c r="C3" s="89"/>
      <c r="D3" s="89"/>
      <c r="E3" s="89"/>
      <c r="F3" s="89"/>
      <c r="G3" s="89"/>
      <c r="H3" s="89"/>
      <c r="I3" s="89"/>
    </row>
    <row customHeight="1" ht="15.75" r="4" spans="1:15">
      <c r="A4" s="1901" t="s">
        <v>1315</v>
      </c>
      <c r="B4" s="1901"/>
      <c r="C4" s="1901"/>
      <c r="D4" s="1453" t="s">
        <v>3491</v>
      </c>
      <c r="E4" s="31"/>
      <c r="F4" s="1685" t="s">
        <v>1316</v>
      </c>
      <c r="G4" s="1686"/>
      <c r="H4" s="1687"/>
      <c r="I4" s="1912">
        <v>0</v>
      </c>
      <c r="J4" s="1912"/>
      <c r="K4" s="1912"/>
      <c r="L4" s="1912"/>
    </row>
    <row customHeight="1" ht="17.25" r="5" spans="1:15">
      <c r="A5" s="1901" t="s">
        <v>1317</v>
      </c>
      <c r="B5" s="1901"/>
      <c r="C5" s="1901"/>
      <c r="D5" s="1451">
        <f>+ЧХ!C7</f>
        <v>0</v>
      </c>
      <c r="E5" s="31"/>
      <c r="F5" s="1685" t="s">
        <v>1318</v>
      </c>
      <c r="G5" s="1686"/>
      <c r="H5" s="1687"/>
      <c r="I5" s="1912">
        <v>0</v>
      </c>
      <c r="J5" s="1912"/>
      <c r="K5" s="1912"/>
      <c r="L5" s="1912"/>
    </row>
    <row customHeight="1" ht="30" r="6" spans="1:15">
      <c r="A6" s="1662" t="s">
        <v>2220</v>
      </c>
      <c r="B6" s="1663"/>
      <c r="C6" s="1664"/>
      <c r="D6" s="1453" t="s">
        <v>92</v>
      </c>
      <c r="E6" s="31"/>
      <c r="F6" s="1902" t="s">
        <v>1319</v>
      </c>
      <c r="G6" s="1903"/>
      <c r="H6" s="1904"/>
      <c r="I6" s="1913">
        <v>0</v>
      </c>
      <c r="J6" s="1914"/>
      <c r="K6" s="1914"/>
      <c r="L6" s="1915"/>
    </row>
    <row customHeight="1" ht="30" r="7" spans="1:15">
      <c r="A7" s="1662" t="s">
        <v>2219</v>
      </c>
      <c r="B7" s="1663"/>
      <c r="C7" s="1664"/>
      <c r="D7" s="1450">
        <f>+ЧХ!C8</f>
        <v>0</v>
      </c>
      <c r="E7" s="31"/>
      <c r="F7" s="1905"/>
      <c r="G7" s="1906"/>
      <c r="H7" s="1907"/>
      <c r="I7" s="1916"/>
      <c r="J7" s="1917"/>
      <c r="K7" s="1917"/>
      <c r="L7" s="1918"/>
    </row>
    <row customHeight="1" ht="30" r="8" spans="1:15">
      <c r="A8" s="1709" t="s">
        <v>1320</v>
      </c>
      <c r="B8" s="1709"/>
      <c r="C8" s="1709"/>
      <c r="D8" s="1450"/>
      <c r="E8" s="31"/>
      <c r="F8" s="1685" t="s">
        <v>1321</v>
      </c>
      <c r="G8" s="1686"/>
      <c r="H8" s="1687"/>
      <c r="I8" s="1912">
        <v>0</v>
      </c>
      <c r="J8" s="1912"/>
      <c r="K8" s="1912"/>
      <c r="L8" s="1912"/>
    </row>
    <row customHeight="1" ht="30" r="9" spans="1:15">
      <c r="A9" s="1901" t="s">
        <v>1322</v>
      </c>
      <c r="B9" s="1901"/>
      <c r="C9" s="1901"/>
      <c r="D9" s="1453">
        <v>5</v>
      </c>
      <c r="E9" s="31"/>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1454" t="s">
        <v>2224</v>
      </c>
      <c r="J13" s="1454" t="s">
        <v>2225</v>
      </c>
      <c r="K13" s="1454" t="s">
        <v>2226</v>
      </c>
      <c r="L13" s="1454" t="s">
        <v>2227</v>
      </c>
      <c r="M13" s="1454" t="s">
        <v>2228</v>
      </c>
      <c r="N13" s="1894"/>
      <c r="O13" s="1896"/>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P9" sqref="P9"/>
    </sheetView>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1452" t="s">
        <v>1314</v>
      </c>
      <c r="F2" s="89"/>
      <c r="G2" s="89"/>
      <c r="H2" s="89"/>
      <c r="I2" s="89"/>
    </row>
    <row r="3" spans="1:15">
      <c r="A3" s="89"/>
      <c r="B3" s="89"/>
      <c r="C3" s="89"/>
      <c r="D3" s="89"/>
      <c r="E3" s="89"/>
      <c r="F3" s="89"/>
      <c r="G3" s="89"/>
      <c r="H3" s="89"/>
      <c r="I3" s="89"/>
    </row>
    <row customHeight="1" ht="15.75" r="4" spans="1:15">
      <c r="A4" s="1901" t="s">
        <v>1315</v>
      </c>
      <c r="B4" s="1901"/>
      <c r="C4" s="1901"/>
      <c r="D4" s="1453" t="s">
        <v>3492</v>
      </c>
      <c r="E4" s="31"/>
      <c r="F4" s="1685" t="s">
        <v>1316</v>
      </c>
      <c r="G4" s="1686"/>
      <c r="H4" s="1687"/>
      <c r="I4" s="1912">
        <v>0</v>
      </c>
      <c r="J4" s="1912"/>
      <c r="K4" s="1912"/>
      <c r="L4" s="1912"/>
    </row>
    <row customHeight="1" ht="17.25" r="5" spans="1:15">
      <c r="A5" s="1901" t="s">
        <v>1317</v>
      </c>
      <c r="B5" s="1901"/>
      <c r="C5" s="1901"/>
      <c r="D5" s="1451">
        <f>+ЧХ!C7</f>
        <v>0</v>
      </c>
      <c r="E5" s="31"/>
      <c r="F5" s="1685" t="s">
        <v>1318</v>
      </c>
      <c r="G5" s="1686"/>
      <c r="H5" s="1687"/>
      <c r="I5" s="1912">
        <v>0</v>
      </c>
      <c r="J5" s="1912"/>
      <c r="K5" s="1912"/>
      <c r="L5" s="1912"/>
    </row>
    <row customHeight="1" ht="30" r="6" spans="1:15">
      <c r="A6" s="1662" t="s">
        <v>2220</v>
      </c>
      <c r="B6" s="1663"/>
      <c r="C6" s="1664"/>
      <c r="D6" s="1453" t="s">
        <v>92</v>
      </c>
      <c r="E6" s="31"/>
      <c r="F6" s="1902" t="s">
        <v>1319</v>
      </c>
      <c r="G6" s="1903"/>
      <c r="H6" s="1904"/>
      <c r="I6" s="1913">
        <v>0</v>
      </c>
      <c r="J6" s="1914"/>
      <c r="K6" s="1914"/>
      <c r="L6" s="1915"/>
    </row>
    <row customHeight="1" ht="30" r="7" spans="1:15">
      <c r="A7" s="1662" t="s">
        <v>2219</v>
      </c>
      <c r="B7" s="1663"/>
      <c r="C7" s="1664"/>
      <c r="D7" s="1450">
        <f>+ЧХ!C8</f>
        <v>0</v>
      </c>
      <c r="E7" s="31"/>
      <c r="F7" s="1905"/>
      <c r="G7" s="1906"/>
      <c r="H7" s="1907"/>
      <c r="I7" s="1916"/>
      <c r="J7" s="1917"/>
      <c r="K7" s="1917"/>
      <c r="L7" s="1918"/>
    </row>
    <row customHeight="1" ht="30" r="8" spans="1:15">
      <c r="A8" s="1709" t="s">
        <v>1320</v>
      </c>
      <c r="B8" s="1709"/>
      <c r="C8" s="1709"/>
      <c r="D8" s="1450"/>
      <c r="E8" s="31"/>
      <c r="F8" s="1685" t="s">
        <v>1321</v>
      </c>
      <c r="G8" s="1686"/>
      <c r="H8" s="1687"/>
      <c r="I8" s="1912">
        <v>0</v>
      </c>
      <c r="J8" s="1912"/>
      <c r="K8" s="1912"/>
      <c r="L8" s="1912"/>
    </row>
    <row customHeight="1" ht="30" r="9" spans="1:15">
      <c r="A9" s="1901" t="s">
        <v>1322</v>
      </c>
      <c r="B9" s="1901"/>
      <c r="C9" s="1901"/>
      <c r="D9" s="1453">
        <v>5</v>
      </c>
      <c r="E9" s="31"/>
      <c r="F9" s="1662" t="s">
        <v>1323</v>
      </c>
      <c r="G9" s="1663"/>
      <c r="H9" s="1664"/>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893" t="s">
        <v>1373</v>
      </c>
      <c r="B12" s="1897" t="s">
        <v>28</v>
      </c>
      <c r="C12" s="1893" t="s">
        <v>27</v>
      </c>
      <c r="D12" s="1893" t="s">
        <v>34</v>
      </c>
      <c r="E12" s="467"/>
      <c r="F12" s="1893" t="s">
        <v>38</v>
      </c>
      <c r="G12" s="1893" t="s">
        <v>39</v>
      </c>
      <c r="H12" s="1893" t="s">
        <v>40</v>
      </c>
      <c r="I12" s="1896" t="s">
        <v>2221</v>
      </c>
      <c r="J12" s="1899"/>
      <c r="K12" s="1899"/>
      <c r="L12" s="1899"/>
      <c r="M12" s="1900"/>
      <c r="N12" s="1893" t="s">
        <v>2222</v>
      </c>
      <c r="O12" s="1895" t="s">
        <v>2223</v>
      </c>
    </row>
    <row r="13" spans="1:15">
      <c r="A13" s="1894"/>
      <c r="B13" s="1898"/>
      <c r="C13" s="1894"/>
      <c r="D13" s="1894"/>
      <c r="E13" s="467"/>
      <c r="F13" s="1894"/>
      <c r="G13" s="1894"/>
      <c r="H13" s="1894"/>
      <c r="I13" s="1454" t="s">
        <v>2224</v>
      </c>
      <c r="J13" s="1454" t="s">
        <v>2225</v>
      </c>
      <c r="K13" s="1454" t="s">
        <v>2226</v>
      </c>
      <c r="L13" s="1454" t="s">
        <v>2227</v>
      </c>
      <c r="M13" s="1454" t="s">
        <v>2228</v>
      </c>
      <c r="N13" s="1894"/>
      <c r="O13" s="1896"/>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customWidth="true" style="85" width="29.85546875" collapsed="false"/>
    <col min="2" max="2" customWidth="true" style="85" width="14.5703125" collapsed="false"/>
    <col min="3" max="3" customWidth="true" style="85" width="21.7109375" collapsed="false"/>
    <col min="4" max="4" customWidth="true" style="85" width="11.85546875" collapsed="false"/>
    <col min="5" max="5" customWidth="true" style="85" width="10.5703125" collapsed="false"/>
    <col min="6" max="16384" style="85" width="9.140625" collapsed="false"/>
  </cols>
  <sheetData>
    <row customHeight="1" ht="15" r="1" spans="1:6">
      <c r="D1" s="1933" t="s">
        <v>1483</v>
      </c>
      <c r="E1" s="1933"/>
    </row>
    <row r="2" spans="1:6">
      <c r="A2" s="24"/>
    </row>
    <row r="3" spans="1:6">
      <c r="A3" s="2" t="s">
        <v>1484</v>
      </c>
    </row>
    <row r="4" spans="1:6">
      <c r="A4" s="24"/>
    </row>
    <row customFormat="1" customHeight="1" ht="26.25" r="5" s="406" spans="1:6">
      <c r="A5" s="1712" t="str">
        <f>"Байгууллагын нэр: "&amp;ЧХ!$C$7</f>
        <v xml:space="preserve">Байгууллагын нэр: </v>
      </c>
      <c r="B5" s="1930"/>
      <c r="C5" s="1713"/>
      <c r="D5" s="1790" t="str">
        <f>"тайлант он: " &amp;ЧХ!$C$8</f>
        <v xml:space="preserve">тайлант он: </v>
      </c>
      <c r="E5" s="1790"/>
    </row>
    <row customHeight="1" ht="72.75" r="6" spans="1:6">
      <c r="A6" s="1922" t="s">
        <v>1485</v>
      </c>
      <c r="B6" s="1922"/>
      <c r="C6" s="1922"/>
      <c r="D6" s="1922"/>
      <c r="E6" s="1922"/>
    </row>
    <row r="7" spans="1:6">
      <c r="A7" s="1919" t="s">
        <v>1486</v>
      </c>
      <c r="B7" s="1919"/>
      <c r="C7" s="1919"/>
      <c r="D7" s="1919"/>
      <c r="E7" s="1919"/>
    </row>
    <row customHeight="1" ht="12.75" r="8" spans="1:6">
      <c r="A8" s="1931" t="s">
        <v>2104</v>
      </c>
      <c r="B8" s="1931"/>
      <c r="C8" s="1931"/>
      <c r="D8" s="1931"/>
      <c r="E8" s="1931"/>
    </row>
    <row customHeight="1" ht="12.75" r="9" spans="1:6">
      <c r="A9" s="1931" t="s">
        <v>2125</v>
      </c>
      <c r="B9" s="1931"/>
      <c r="C9" s="1931"/>
      <c r="D9" s="1931"/>
      <c r="E9" s="1931"/>
    </row>
    <row customHeight="1" ht="12.75" r="10" spans="1:6">
      <c r="A10" s="1931" t="s">
        <v>2105</v>
      </c>
      <c r="B10" s="1931"/>
      <c r="C10" s="1931"/>
      <c r="D10" s="1931"/>
      <c r="E10" s="1931"/>
    </row>
    <row r="11" spans="1:6">
      <c r="A11" s="1931" t="s">
        <v>2106</v>
      </c>
      <c r="B11" s="1931"/>
      <c r="C11" s="1931"/>
      <c r="D11" s="1931"/>
      <c r="E11" s="1931"/>
      <c r="F11" s="1"/>
    </row>
    <row r="12" spans="1:6">
      <c r="A12" s="1931" t="s">
        <v>2107</v>
      </c>
      <c r="B12" s="1931"/>
      <c r="C12" s="1931"/>
      <c r="D12" s="1931"/>
      <c r="E12" s="1931"/>
    </row>
    <row r="13" spans="1:6">
      <c r="A13" s="1931" t="s">
        <v>2108</v>
      </c>
      <c r="B13" s="1931"/>
      <c r="C13" s="1931"/>
      <c r="D13" s="1931"/>
      <c r="E13" s="1931"/>
    </row>
    <row r="14" spans="1:6">
      <c r="A14" s="1931" t="s">
        <v>2109</v>
      </c>
      <c r="B14" s="1931"/>
      <c r="C14" s="1931"/>
      <c r="D14" s="1931"/>
      <c r="E14" s="1931"/>
    </row>
    <row r="15" spans="1:6">
      <c r="A15" s="1931" t="s">
        <v>2110</v>
      </c>
      <c r="B15" s="1931"/>
      <c r="C15" s="1931"/>
      <c r="D15" s="1931"/>
      <c r="E15" s="1931"/>
    </row>
    <row r="16" spans="1:6">
      <c r="A16" s="1931" t="s">
        <v>2111</v>
      </c>
      <c r="B16" s="1931"/>
      <c r="C16" s="1931"/>
      <c r="D16" s="1931"/>
      <c r="E16" s="1931"/>
    </row>
    <row r="17" spans="1:5">
      <c r="A17" s="1919" t="s">
        <v>2216</v>
      </c>
      <c r="B17" s="1919"/>
      <c r="C17" s="1919"/>
      <c r="D17" s="1919"/>
      <c r="E17" s="1919"/>
    </row>
    <row r="18" spans="1:5">
      <c r="A18" s="1929" t="s">
        <v>2112</v>
      </c>
      <c r="B18" s="1929"/>
      <c r="C18" s="1929"/>
      <c r="D18" s="1929"/>
      <c r="E18" s="1929"/>
    </row>
    <row r="19" spans="1:5">
      <c r="A19" s="1929" t="s">
        <v>2113</v>
      </c>
      <c r="B19" s="1929"/>
      <c r="C19" s="1929"/>
      <c r="D19" s="1929"/>
      <c r="E19" s="1929"/>
    </row>
    <row r="20" spans="1:5">
      <c r="A20" s="1929" t="s">
        <v>2114</v>
      </c>
      <c r="B20" s="1929"/>
      <c r="C20" s="1929"/>
      <c r="D20" s="1929"/>
      <c r="E20" s="1929"/>
    </row>
    <row r="21" spans="1:5">
      <c r="A21" s="1929" t="s">
        <v>2115</v>
      </c>
      <c r="B21" s="1929"/>
      <c r="C21" s="1929"/>
      <c r="D21" s="1929"/>
      <c r="E21" s="1929"/>
    </row>
    <row r="22" spans="1:5">
      <c r="A22" s="1929" t="s">
        <v>2116</v>
      </c>
      <c r="B22" s="1929"/>
      <c r="C22" s="1929"/>
      <c r="D22" s="1929"/>
      <c r="E22" s="1929"/>
    </row>
    <row r="23" spans="1:5">
      <c r="A23" s="1934" t="s">
        <v>2117</v>
      </c>
      <c r="B23" s="1934"/>
      <c r="C23" s="1934"/>
      <c r="D23" s="1934"/>
      <c r="E23" s="1934"/>
    </row>
    <row r="24" spans="1:5">
      <c r="A24" s="1929" t="s">
        <v>2118</v>
      </c>
      <c r="B24" s="1929"/>
      <c r="C24" s="1929"/>
      <c r="D24" s="1929"/>
      <c r="E24" s="1929"/>
    </row>
    <row customFormat="1" customHeight="1" ht="15" r="25" s="327" spans="1:5">
      <c r="A25" s="1924" t="s">
        <v>2217</v>
      </c>
      <c r="B25" s="1924"/>
      <c r="C25" s="1924"/>
      <c r="D25" s="1932" t="s">
        <v>1488</v>
      </c>
      <c r="E25" s="1932" t="s">
        <v>2122</v>
      </c>
    </row>
    <row customFormat="1" customHeight="1" ht="15.75" r="26" s="327" spans="1:5">
      <c r="A26" s="1924"/>
      <c r="B26" s="1924"/>
      <c r="C26" s="1924"/>
      <c r="D26" s="1932"/>
      <c r="E26" s="1932"/>
    </row>
    <row customHeight="1" ht="36.75" r="27" spans="1:5">
      <c r="A27" s="1925">
        <f>IF('А-7.1'!C9=1,'А-7.1'!A9,0)</f>
        <v>0</v>
      </c>
      <c r="B27" s="1926"/>
      <c r="C27" s="1927"/>
      <c r="D27" s="325">
        <v>0</v>
      </c>
      <c r="E27" s="437">
        <f>IF(D27=1,"АБ-1",0)</f>
        <v>0</v>
      </c>
    </row>
    <row customHeight="1" ht="44.25" r="28" spans="1:5">
      <c r="A28" s="1925">
        <f>IF('А-7.1'!C10=1,'А-7.1'!A10,0)</f>
        <v>0</v>
      </c>
      <c r="B28" s="1926"/>
      <c r="C28" s="1927"/>
      <c r="D28" s="325">
        <v>0</v>
      </c>
      <c r="E28" s="437">
        <f ref="E28:E33" si="0" t="shared">IF(D28=1,"В-3.1Т",0)</f>
        <v>0</v>
      </c>
    </row>
    <row customHeight="1" ht="110.25" r="29" spans="1:5">
      <c r="A29" s="1662">
        <f>IF('А-7.1'!C11=1,'А-7.1'!A11,0)</f>
        <v>0</v>
      </c>
      <c r="B29" s="1663"/>
      <c r="C29" s="1664"/>
      <c r="D29" s="325">
        <v>0</v>
      </c>
      <c r="E29" s="437">
        <f si="0" t="shared"/>
        <v>0</v>
      </c>
    </row>
    <row customFormat="1" customHeight="1" ht="37.5" r="30" s="1484" spans="1:5">
      <c r="A30" s="1925">
        <f>IF('А-7.1'!C12=1,'А-7.1'!A12,0)</f>
        <v>0</v>
      </c>
      <c r="B30" s="1926"/>
      <c r="C30" s="1927"/>
      <c r="D30" s="1490">
        <v>0</v>
      </c>
      <c r="E30" s="1490">
        <f si="0" t="shared"/>
        <v>0</v>
      </c>
    </row>
    <row customFormat="1" customHeight="1" ht="37.5" r="31" s="1484" spans="1:5">
      <c r="A31" s="1925">
        <f>IF('А-7.1'!C13=1,'А-7.1'!A13,0)</f>
        <v>0</v>
      </c>
      <c r="B31" s="1926"/>
      <c r="C31" s="1927"/>
      <c r="D31" s="1490">
        <v>0</v>
      </c>
      <c r="E31" s="1490">
        <f si="0" t="shared"/>
        <v>0</v>
      </c>
    </row>
    <row customFormat="1" customHeight="1" ht="37.5" r="32" s="406" spans="1:5">
      <c r="A32" s="1925">
        <f>IF('А-7.1'!C14=1,'А-7.1'!A14,0)</f>
        <v>0</v>
      </c>
      <c r="B32" s="1926"/>
      <c r="C32" s="1927"/>
      <c r="D32" s="437">
        <v>0</v>
      </c>
      <c r="E32" s="437">
        <f si="0" t="shared"/>
        <v>0</v>
      </c>
    </row>
    <row customFormat="1" customHeight="1" ht="70.5" r="33" s="406" spans="1:5">
      <c r="A33" s="1925">
        <f>IF('А-7.1'!C15=1,'А-7.1'!A15,0)</f>
        <v>0</v>
      </c>
      <c r="B33" s="1926"/>
      <c r="C33" s="1927"/>
      <c r="D33" s="437">
        <v>0</v>
      </c>
      <c r="E33" s="437">
        <f si="0" t="shared"/>
        <v>0</v>
      </c>
    </row>
    <row customFormat="1" customHeight="1" ht="55.5" r="34" s="406" spans="1:5">
      <c r="A34" s="1925">
        <f>IF('А-7.1'!C16=1,'А-7.1'!A16,0)</f>
        <v>0</v>
      </c>
      <c r="B34" s="1926"/>
      <c r="C34" s="1927"/>
      <c r="D34" s="437">
        <v>0</v>
      </c>
      <c r="E34" s="437">
        <f>IF(D34=1,"АБ-3",0)</f>
        <v>0</v>
      </c>
    </row>
    <row customHeight="1" ht="15.75" r="35" spans="1:5">
      <c r="A35" s="1928" t="s">
        <v>1490</v>
      </c>
      <c r="B35" s="1928"/>
      <c r="C35" s="1928"/>
      <c r="D35" s="325" t="s">
        <v>1434</v>
      </c>
      <c r="E35" s="324"/>
    </row>
    <row r="36" spans="1:5">
      <c r="A36" s="1929" t="s">
        <v>1491</v>
      </c>
      <c r="B36" s="1929"/>
      <c r="C36" s="1929"/>
      <c r="D36" s="325" t="s">
        <v>1434</v>
      </c>
      <c r="E36" s="324"/>
    </row>
    <row r="37" spans="1:5">
      <c r="A37" s="1921" t="s">
        <v>1492</v>
      </c>
      <c r="B37" s="1921"/>
      <c r="C37" s="1921"/>
      <c r="D37" s="325" t="s">
        <v>1434</v>
      </c>
      <c r="E37" s="324"/>
    </row>
    <row r="38" spans="1:5">
      <c r="A38" s="1709" t="s">
        <v>1493</v>
      </c>
      <c r="B38" s="1709"/>
      <c r="C38" s="1709"/>
      <c r="D38" s="324"/>
      <c r="E38" s="324"/>
    </row>
    <row r="39" spans="1:5">
      <c r="A39" s="1922" t="s">
        <v>1494</v>
      </c>
      <c r="B39" s="1922"/>
      <c r="C39" s="1922"/>
      <c r="D39" s="1922"/>
      <c r="E39" s="1922"/>
    </row>
    <row r="40" spans="1:5">
      <c r="A40" s="1922" t="s">
        <v>1495</v>
      </c>
      <c r="B40" s="1922"/>
      <c r="C40" s="1922"/>
      <c r="D40" s="1922"/>
      <c r="E40" s="1922"/>
    </row>
    <row r="41" spans="1:5">
      <c r="A41" s="1919" t="s">
        <v>1496</v>
      </c>
      <c r="B41" s="1919"/>
      <c r="C41" s="1919"/>
      <c r="D41" s="1919"/>
      <c r="E41" s="1919"/>
    </row>
    <row r="42" spans="1:5">
      <c r="A42" s="1923"/>
      <c r="B42" s="1923"/>
      <c r="C42" s="1923"/>
      <c r="D42" s="1923"/>
      <c r="E42" s="1923"/>
    </row>
    <row customHeight="1" ht="25.5" r="43" spans="1:5">
      <c r="A43" s="1932" t="s">
        <v>1497</v>
      </c>
      <c r="B43" s="1932"/>
      <c r="C43" s="1932" t="s">
        <v>1542</v>
      </c>
      <c r="D43" s="1932"/>
      <c r="E43" s="1932"/>
    </row>
    <row customHeight="1" ht="13.5" r="44" spans="1:5">
      <c r="A44" s="1781" t="s">
        <v>2057</v>
      </c>
      <c r="B44" s="1781"/>
      <c r="C44" s="1781" t="s">
        <v>2058</v>
      </c>
      <c r="D44" s="1781"/>
      <c r="E44" s="1781"/>
    </row>
    <row r="45" spans="1:5">
      <c r="A45" s="1919" t="s">
        <v>1498</v>
      </c>
      <c r="B45" s="1919"/>
      <c r="C45" s="1919"/>
      <c r="D45" s="1919"/>
      <c r="E45" s="1919"/>
    </row>
    <row r="46" spans="1:5">
      <c r="A46" s="1920" t="s">
        <v>2056</v>
      </c>
      <c r="B46" s="1920"/>
      <c r="C46" s="1920"/>
      <c r="D46" s="1920"/>
      <c r="E46" s="1920"/>
    </row>
    <row r="47" spans="1:5">
      <c r="A47" s="328"/>
      <c r="B47" s="328"/>
      <c r="C47" s="328"/>
      <c r="D47" s="326"/>
      <c r="E47" s="328"/>
    </row>
    <row r="48" spans="1:5">
      <c r="A48" s="328"/>
      <c r="B48" s="328"/>
      <c r="C48" s="328"/>
      <c r="D48" s="326"/>
      <c r="E48" s="328"/>
    </row>
    <row r="49" spans="1:5">
      <c r="A49" s="329" t="s">
        <v>1897</v>
      </c>
      <c r="B49" s="327"/>
      <c r="C49" s="327"/>
      <c r="D49" s="44"/>
      <c r="E49" s="327"/>
    </row>
    <row r="50" spans="1:5">
      <c r="A50" s="327">
        <f>+ЧХ!$C$15</f>
        <v>0</v>
      </c>
      <c r="B50" s="1679">
        <f>+ЧХ!$C$16</f>
        <v>0</v>
      </c>
      <c r="C50" s="1679"/>
      <c r="D50" s="44" t="s">
        <v>1777</v>
      </c>
      <c r="E50" s="327"/>
    </row>
    <row r="51" spans="1:5">
      <c r="A51" s="329" t="s">
        <v>1873</v>
      </c>
      <c r="B51" s="327"/>
      <c r="C51" s="327"/>
      <c r="D51" s="44"/>
      <c r="E51" s="327"/>
    </row>
    <row r="52" spans="1:5">
      <c r="A52" s="327" t="str">
        <f>+ЧХ!$B$6</f>
        <v>Аудитын менежер</v>
      </c>
      <c r="B52" s="1679">
        <f>+ЧХ!$C$6</f>
        <v>0</v>
      </c>
      <c r="C52" s="1679"/>
      <c r="D52" s="44" t="s">
        <v>1777</v>
      </c>
      <c r="E52" s="327"/>
    </row>
    <row r="53" spans="1:5">
      <c r="A53" s="329" t="s">
        <v>2035</v>
      </c>
      <c r="B53" s="327"/>
      <c r="C53" s="327"/>
      <c r="D53" s="44"/>
      <c r="E53" s="327"/>
    </row>
    <row r="54" spans="1:5">
      <c r="A54" s="327" t="str">
        <f>+ЧХ!$B$5</f>
        <v>Тэргүүлэх аудитор</v>
      </c>
      <c r="B54" s="1679" t="str">
        <f>+ЧХ!$C$5</f>
        <v>С.Энхбаатар</v>
      </c>
      <c r="C54" s="1679"/>
      <c r="D54" s="44" t="s">
        <v>1777</v>
      </c>
      <c r="E54" s="327"/>
    </row>
    <row r="55" spans="1:5">
      <c r="A55" s="327"/>
      <c r="B55" s="327"/>
      <c r="C55" s="327"/>
      <c r="D55" s="44"/>
      <c r="E55" s="327"/>
    </row>
    <row r="56" spans="1:5">
      <c r="A56" s="85" t="str">
        <f>ЧХ!$B$6</f>
        <v>Аудитын менежер</v>
      </c>
    </row>
    <row r="57" spans="1:5">
      <c r="A57" s="327" t="s">
        <v>2142</v>
      </c>
    </row>
    <row r="59" spans="1:5">
      <c r="A59" s="85" t="str">
        <f>ЧХ!$B$5</f>
        <v>Тэргүүлэх аудитор</v>
      </c>
    </row>
    <row r="60" spans="1:5">
      <c r="A60" s="85" t="s">
        <v>2142</v>
      </c>
    </row>
  </sheetData>
  <mergeCells count="50">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A25:C26"/>
    <mergeCell ref="A28:C28"/>
    <mergeCell ref="A29:C29"/>
    <mergeCell ref="A35:C35"/>
    <mergeCell ref="A36:C36"/>
    <mergeCell ref="A32:C32"/>
    <mergeCell ref="A33:C33"/>
    <mergeCell ref="A34:C34"/>
    <mergeCell ref="A30:C30"/>
    <mergeCell ref="A31:C31"/>
    <mergeCell ref="A45:E45"/>
    <mergeCell ref="A46:E46"/>
    <mergeCell ref="A37:C37"/>
    <mergeCell ref="A38:C38"/>
    <mergeCell ref="A39:E39"/>
    <mergeCell ref="A40:E40"/>
    <mergeCell ref="A41:E41"/>
    <mergeCell ref="A42:E42"/>
  </mergeCells>
  <pageMargins bottom="0.75" footer="0.3" header="0.3" left="0.7" right="0.7" top="0.75"/>
  <pageSetup orientation="portrait" r:id="rId1"/>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customHeight="1" ht="15" r="1" spans="1:5">
      <c r="D1" s="1943" t="s">
        <v>1499</v>
      </c>
      <c r="E1" s="1943"/>
    </row>
    <row customHeight="1" ht="16.5" r="2" spans="1:5">
      <c r="A2" s="1704" t="s">
        <v>2123</v>
      </c>
      <c r="B2" s="1704"/>
      <c r="C2" s="1704"/>
      <c r="D2" s="1704"/>
      <c r="E2" s="1704"/>
    </row>
    <row r="3" spans="1:5">
      <c r="A3" s="2"/>
    </row>
    <row customFormat="1" customHeight="1" ht="28.5" r="4" s="406" spans="1:5">
      <c r="A4" s="1712" t="str">
        <f>"Байгууллагын нэр: "&amp;ЧХ!$C$7</f>
        <v xml:space="preserve">Байгууллагын нэр: </v>
      </c>
      <c r="B4" s="1930"/>
      <c r="C4" s="1713"/>
      <c r="D4" s="1790" t="str">
        <f>"тайлант он: " &amp;ЧХ!$C$8</f>
        <v xml:space="preserve">тайлант он: </v>
      </c>
      <c r="E4" s="1790"/>
    </row>
    <row customHeight="1" ht="66.75" r="5" spans="1:5">
      <c r="A5" s="1922" t="s">
        <v>3022</v>
      </c>
      <c r="B5" s="1922"/>
      <c r="C5" s="1922"/>
      <c r="D5" s="1922"/>
      <c r="E5" s="1922"/>
    </row>
    <row r="6" spans="1:5">
      <c r="A6" s="1919" t="s">
        <v>1486</v>
      </c>
      <c r="B6" s="1919"/>
      <c r="C6" s="1919"/>
      <c r="D6" s="1919"/>
      <c r="E6" s="1919"/>
    </row>
    <row customHeight="1" ht="12.75" r="7" spans="1:5">
      <c r="A7" s="1934" t="s">
        <v>2089</v>
      </c>
      <c r="B7" s="1934"/>
      <c r="C7" s="1934"/>
      <c r="D7" s="1934"/>
      <c r="E7" s="1934"/>
    </row>
    <row customHeight="1" ht="12.75" r="8" spans="1:5">
      <c r="A8" s="1934" t="s">
        <v>2090</v>
      </c>
      <c r="B8" s="1934"/>
      <c r="C8" s="1934"/>
      <c r="D8" s="1934"/>
      <c r="E8" s="1934"/>
    </row>
    <row r="9" spans="1:5">
      <c r="A9" s="1934" t="s">
        <v>2091</v>
      </c>
      <c r="B9" s="1934"/>
      <c r="C9" s="1934"/>
      <c r="D9" s="1934"/>
      <c r="E9" s="1934"/>
    </row>
    <row r="10" spans="1:5">
      <c r="A10" s="1934" t="s">
        <v>2092</v>
      </c>
      <c r="B10" s="1934"/>
      <c r="C10" s="1934"/>
      <c r="D10" s="1934"/>
      <c r="E10" s="1934"/>
    </row>
    <row r="11" spans="1:5">
      <c r="A11" s="1934" t="s">
        <v>2093</v>
      </c>
      <c r="B11" s="1934"/>
      <c r="C11" s="1934"/>
      <c r="D11" s="1934"/>
      <c r="E11" s="1934"/>
    </row>
    <row r="12" spans="1:5">
      <c r="A12" s="1934" t="s">
        <v>2094</v>
      </c>
      <c r="B12" s="1934"/>
      <c r="C12" s="1934"/>
      <c r="D12" s="1934"/>
      <c r="E12" s="1934"/>
    </row>
    <row r="13" spans="1:5">
      <c r="A13" s="1934" t="s">
        <v>2095</v>
      </c>
      <c r="B13" s="1934"/>
      <c r="C13" s="1934"/>
      <c r="D13" s="1934"/>
      <c r="E13" s="1934"/>
    </row>
    <row customHeight="1" ht="25.5" r="14" spans="1:5">
      <c r="A14" s="1934" t="s">
        <v>2124</v>
      </c>
      <c r="B14" s="1934"/>
      <c r="C14" s="1934"/>
      <c r="D14" s="1934"/>
      <c r="E14" s="1934"/>
    </row>
    <row r="15" spans="1:5">
      <c r="A15" s="1929" t="s">
        <v>2096</v>
      </c>
      <c r="B15" s="1929"/>
      <c r="C15" s="1929"/>
      <c r="D15" s="1929"/>
      <c r="E15" s="1929"/>
    </row>
    <row r="16" spans="1:5">
      <c r="A16" s="1920" t="s">
        <v>2097</v>
      </c>
      <c r="B16" s="1920"/>
      <c r="C16" s="1920"/>
      <c r="D16" s="1920"/>
      <c r="E16" s="1920"/>
    </row>
    <row r="17" spans="1:5">
      <c r="A17" s="1920" t="s">
        <v>2098</v>
      </c>
      <c r="B17" s="1920"/>
      <c r="C17" s="1920"/>
      <c r="D17" s="1920"/>
      <c r="E17" s="1920"/>
    </row>
    <row r="18" spans="1:5">
      <c r="A18" s="1920" t="s">
        <v>2099</v>
      </c>
      <c r="B18" s="1920"/>
      <c r="C18" s="1920"/>
      <c r="D18" s="1920"/>
      <c r="E18" s="1920"/>
    </row>
    <row r="19" spans="1:5">
      <c r="A19" s="1920" t="s">
        <v>2100</v>
      </c>
      <c r="B19" s="1920"/>
      <c r="C19" s="1920"/>
      <c r="D19" s="1920"/>
      <c r="E19" s="1920"/>
    </row>
    <row r="20" spans="1:5">
      <c r="A20" s="1920" t="s">
        <v>2101</v>
      </c>
      <c r="B20" s="1920"/>
      <c r="C20" s="1920"/>
      <c r="D20" s="1920"/>
      <c r="E20" s="1920"/>
    </row>
    <row r="21" spans="1:5">
      <c r="A21" s="1920" t="s">
        <v>2102</v>
      </c>
      <c r="B21" s="1920"/>
      <c r="C21" s="1920"/>
      <c r="D21" s="1920"/>
      <c r="E21" s="1920"/>
    </row>
    <row customHeight="1" ht="15" r="22" spans="1:5">
      <c r="A22" s="1937" t="s">
        <v>1487</v>
      </c>
      <c r="B22" s="1938"/>
      <c r="C22" s="1939"/>
      <c r="D22" s="1935" t="s">
        <v>1488</v>
      </c>
      <c r="E22" s="1932" t="s">
        <v>2122</v>
      </c>
    </row>
    <row customHeight="1" ht="15.75" r="23" spans="1:5">
      <c r="A23" s="1940"/>
      <c r="B23" s="1941"/>
      <c r="C23" s="1942"/>
      <c r="D23" s="1936"/>
      <c r="E23" s="1932"/>
    </row>
    <row customHeight="1" ht="36.75" r="24" spans="1:5">
      <c r="A24" s="1662">
        <f>IF('А-7.2'!C9=1,'А-7.2'!A9,0)</f>
        <v>0</v>
      </c>
      <c r="B24" s="1663"/>
      <c r="C24" s="1664"/>
      <c r="D24" s="325">
        <v>0</v>
      </c>
      <c r="E24" s="324"/>
    </row>
    <row customHeight="1" ht="39" r="25" spans="1:5">
      <c r="A25" s="1662">
        <f>IF('А-7.2'!C10=1,'А-7.2'!A10,0)</f>
        <v>0</v>
      </c>
      <c r="B25" s="1663"/>
      <c r="C25" s="1664"/>
      <c r="D25" s="1490">
        <v>0</v>
      </c>
      <c r="E25" s="335"/>
    </row>
    <row customHeight="1" ht="28.5" r="26" spans="1:5">
      <c r="A26" s="1662">
        <f>IF('А-7.2'!C11=1,'А-7.2'!A11,0)</f>
        <v>0</v>
      </c>
      <c r="B26" s="1663"/>
      <c r="C26" s="1664"/>
      <c r="D26" s="1490">
        <v>0</v>
      </c>
      <c r="E26" s="335"/>
    </row>
    <row customHeight="1" ht="54.75" r="27" spans="1:5">
      <c r="A27" s="1662">
        <f>IF('А-7.2'!C12=1,'А-7.2'!A12,0)</f>
        <v>0</v>
      </c>
      <c r="B27" s="1663"/>
      <c r="C27" s="1664"/>
      <c r="D27" s="1490">
        <v>0</v>
      </c>
      <c r="E27" s="336"/>
    </row>
    <row customHeight="1" ht="37.5" r="28" spans="1:5">
      <c r="A28" s="1662">
        <f>IF('А-7.2'!C13=1,'А-7.2'!A13,0)</f>
        <v>0</v>
      </c>
      <c r="B28" s="1663"/>
      <c r="C28" s="1664"/>
      <c r="D28" s="1490">
        <v>0</v>
      </c>
      <c r="E28" s="337"/>
    </row>
    <row customHeight="1" ht="30" r="29" spans="1:5">
      <c r="A29" s="1662">
        <f>IF('А-7.2'!C14=1,'А-7.2'!A14,0)</f>
        <v>0</v>
      </c>
      <c r="B29" s="1663"/>
      <c r="C29" s="1664"/>
      <c r="D29" s="1490">
        <v>0</v>
      </c>
      <c r="E29" s="335"/>
    </row>
    <row r="30" spans="1:5">
      <c r="A30" s="1919" t="s">
        <v>1503</v>
      </c>
      <c r="B30" s="1919"/>
      <c r="C30" s="1919"/>
      <c r="D30" s="1919"/>
      <c r="E30" s="1919"/>
    </row>
    <row r="31" spans="1:5">
      <c r="A31" s="1920" t="s">
        <v>2061</v>
      </c>
      <c r="B31" s="1920"/>
      <c r="C31" s="1920"/>
      <c r="D31" s="1920"/>
      <c r="E31" s="1920"/>
    </row>
    <row r="32" spans="1:5">
      <c r="A32" s="1919" t="s">
        <v>1504</v>
      </c>
      <c r="B32" s="1919"/>
      <c r="C32" s="1919"/>
      <c r="D32" s="1919"/>
      <c r="E32" s="1919"/>
    </row>
    <row r="33" spans="1:5">
      <c r="A33" s="1920" t="s">
        <v>2103</v>
      </c>
      <c r="B33" s="1920"/>
      <c r="C33" s="1920"/>
      <c r="D33" s="1920"/>
      <c r="E33" s="1920"/>
    </row>
    <row customHeight="1" ht="18" r="34" spans="1:5">
      <c r="A34" s="1932" t="s">
        <v>1497</v>
      </c>
      <c r="B34" s="1932"/>
      <c r="C34" s="1932" t="s">
        <v>1542</v>
      </c>
      <c r="D34" s="1932"/>
      <c r="E34" s="1932"/>
    </row>
    <row r="35" spans="1:5">
      <c r="A35" s="1781" t="s">
        <v>2057</v>
      </c>
      <c r="B35" s="1781"/>
      <c r="C35" s="1781" t="s">
        <v>2058</v>
      </c>
      <c r="D35" s="1781"/>
      <c r="E35" s="1781"/>
    </row>
    <row r="36" spans="1:5">
      <c r="A36" s="1919" t="s">
        <v>1498</v>
      </c>
      <c r="B36" s="1919"/>
      <c r="C36" s="1919"/>
      <c r="D36" s="1919"/>
      <c r="E36" s="1919"/>
    </row>
    <row r="37" spans="1:5">
      <c r="A37" s="1920" t="s">
        <v>2056</v>
      </c>
      <c r="B37" s="1920"/>
      <c r="C37" s="1920"/>
      <c r="D37" s="1920"/>
      <c r="E37" s="1920"/>
    </row>
    <row r="38" spans="1:5">
      <c r="A38" s="328"/>
      <c r="B38" s="328"/>
      <c r="C38" s="328"/>
      <c r="D38" s="326"/>
      <c r="E38" s="328"/>
    </row>
    <row r="39" spans="1:5">
      <c r="A39" s="329" t="s">
        <v>1897</v>
      </c>
      <c r="B39" s="327"/>
      <c r="C39" s="327"/>
      <c r="E39" s="327"/>
    </row>
    <row r="40" spans="1:5">
      <c r="A40" s="1631">
        <f>+ЧХ!$C$15</f>
        <v>0</v>
      </c>
      <c r="B40" s="1679">
        <f>+ЧХ!$C$16</f>
        <v>0</v>
      </c>
      <c r="C40" s="1679"/>
      <c r="D40" s="44" t="s">
        <v>1777</v>
      </c>
      <c r="E40" s="327"/>
    </row>
    <row r="41" spans="1:5">
      <c r="A41" s="329" t="s">
        <v>2448</v>
      </c>
      <c r="B41" s="327"/>
      <c r="C41" s="327"/>
      <c r="E41" s="327"/>
    </row>
    <row r="42" spans="1:5">
      <c r="A42" s="327" t="str">
        <f>+ЧХ!$B$6</f>
        <v>Аудитын менежер</v>
      </c>
      <c r="B42" s="1679">
        <f>+ЧХ!$C$6</f>
        <v>0</v>
      </c>
      <c r="C42" s="1679"/>
      <c r="D42" s="44" t="s">
        <v>1777</v>
      </c>
      <c r="E42" s="327"/>
    </row>
    <row r="43" spans="1:5">
      <c r="A43" s="329" t="s">
        <v>2447</v>
      </c>
      <c r="B43" s="327"/>
      <c r="C43" s="327"/>
      <c r="E43" s="327"/>
    </row>
    <row r="44" spans="1:5">
      <c r="A44" s="327" t="str">
        <f>+ЧХ!$B$5</f>
        <v>Тэргүүлэх аудитор</v>
      </c>
      <c r="B44" s="1679" t="str">
        <f>+ЧХ!$C$5</f>
        <v>С.Энхбаатар</v>
      </c>
      <c r="C44" s="1679"/>
      <c r="D44" s="44" t="s">
        <v>1777</v>
      </c>
      <c r="E44" s="327"/>
    </row>
    <row r="46" spans="1:5">
      <c r="A46" s="406" t="str">
        <f>+ЧХ!$B$6&amp;"ийн санал: ………………………………………………………………………………………"</f>
        <v>Аудитын менежерийн санал: ………………………………………………………………………………………</v>
      </c>
    </row>
    <row r="47" spans="1:5">
      <c r="A47" s="406"/>
    </row>
    <row r="48" spans="1:5">
      <c r="A48" s="406"/>
    </row>
    <row r="49" spans="1:1">
      <c r="A49" s="406" t="str">
        <f>+ЧХ!$B$5&amp;"ын санал: ..........................................................................................................."</f>
        <v>Тэргүүлэх аудиторын санал: ...........................................................................................................</v>
      </c>
    </row>
  </sheetData>
  <mergeCells count="43">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A15:E15"/>
    <mergeCell ref="A16:E16"/>
    <mergeCell ref="A17:E17"/>
    <mergeCell ref="A19:E19"/>
    <mergeCell ref="A20:E20"/>
    <mergeCell ref="A29:C29"/>
    <mergeCell ref="A21:E21"/>
    <mergeCell ref="E22:E23"/>
    <mergeCell ref="A24:C24"/>
    <mergeCell ref="A25:C25"/>
    <mergeCell ref="A26:C26"/>
  </mergeCells>
  <pageMargins bottom="0.75" footer="0.3" header="0.3" left="0.7" right="0.7" top="0.75"/>
  <pageSetup orientation="portrait" r:id="rId1"/>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5" r="1" spans="1:6">
      <c r="A1" s="406"/>
      <c r="B1" s="406"/>
      <c r="C1" s="406"/>
      <c r="D1" s="1943" t="s">
        <v>1505</v>
      </c>
      <c r="E1" s="1943"/>
    </row>
    <row r="2" spans="1:6">
      <c r="A2" s="613"/>
      <c r="B2" s="406"/>
      <c r="C2" s="406"/>
      <c r="D2" s="406"/>
      <c r="E2" s="406"/>
    </row>
    <row r="3" spans="1:6">
      <c r="A3" s="1699" t="s">
        <v>1506</v>
      </c>
      <c r="B3" s="1699"/>
      <c r="C3" s="1699"/>
      <c r="D3" s="1699"/>
      <c r="E3" s="1699"/>
    </row>
    <row r="4" spans="1:6">
      <c r="A4" s="406"/>
      <c r="B4" s="406"/>
      <c r="C4" s="406"/>
      <c r="D4" s="406"/>
      <c r="E4" s="406"/>
      <c r="F4" s="406"/>
    </row>
    <row customHeight="1" ht="27" r="5" spans="1:6">
      <c r="A5" s="1712" t="str">
        <f>"Байгууллагын нэр: "&amp;ЧХ!$C$7</f>
        <v xml:space="preserve">Байгууллагын нэр: </v>
      </c>
      <c r="B5" s="1930"/>
      <c r="C5" s="1713"/>
      <c r="D5" s="1790" t="str">
        <f>"Тайлант огноо: "&amp;ЧХ!$C$8</f>
        <v xml:space="preserve">Тайлант огноо: </v>
      </c>
      <c r="E5" s="1790"/>
    </row>
    <row customHeight="1" ht="38.25" r="6" spans="1:6">
      <c r="A6" s="1922" t="s">
        <v>1507</v>
      </c>
      <c r="B6" s="1922"/>
      <c r="C6" s="1922"/>
      <c r="D6" s="1922"/>
      <c r="E6" s="1922"/>
    </row>
    <row r="7" spans="1:6">
      <c r="A7" s="1919" t="s">
        <v>1486</v>
      </c>
      <c r="B7" s="1919"/>
      <c r="C7" s="1919"/>
      <c r="D7" s="1919"/>
      <c r="E7" s="1919"/>
    </row>
    <row r="8" spans="1:6">
      <c r="A8" s="1944" t="s">
        <v>2076</v>
      </c>
      <c r="B8" s="1944"/>
      <c r="C8" s="1944"/>
      <c r="D8" s="1944"/>
      <c r="E8" s="1944"/>
    </row>
    <row r="9" spans="1:6">
      <c r="A9" s="1944" t="s">
        <v>2077</v>
      </c>
      <c r="B9" s="1944"/>
      <c r="C9" s="1944"/>
      <c r="D9" s="1944"/>
      <c r="E9" s="1944"/>
    </row>
    <row r="10" spans="1:6">
      <c r="A10" s="1944" t="s">
        <v>2078</v>
      </c>
      <c r="B10" s="1944"/>
      <c r="C10" s="1944"/>
      <c r="D10" s="1944"/>
      <c r="E10" s="1944"/>
    </row>
    <row r="11" spans="1:6">
      <c r="A11" s="1944" t="s">
        <v>2079</v>
      </c>
      <c r="B11" s="1944"/>
      <c r="C11" s="1944"/>
      <c r="D11" s="1944"/>
      <c r="E11" s="1944"/>
    </row>
    <row r="12" spans="1:6">
      <c r="A12" s="1919" t="s">
        <v>1500</v>
      </c>
      <c r="B12" s="1919"/>
      <c r="C12" s="1919"/>
      <c r="D12" s="1919"/>
      <c r="E12" s="1919"/>
    </row>
    <row r="13" spans="1:6">
      <c r="A13" s="1929" t="s">
        <v>2080</v>
      </c>
      <c r="B13" s="1929"/>
      <c r="C13" s="1929"/>
      <c r="D13" s="1929"/>
      <c r="E13" s="1929"/>
    </row>
    <row r="14" spans="1:6">
      <c r="A14" s="1920" t="s">
        <v>2081</v>
      </c>
      <c r="B14" s="1920"/>
      <c r="C14" s="1920"/>
      <c r="D14" s="1920"/>
      <c r="E14" s="1920"/>
    </row>
    <row r="15" spans="1:6">
      <c r="A15" s="1920" t="s">
        <v>2082</v>
      </c>
      <c r="B15" s="1920"/>
      <c r="C15" s="1920"/>
      <c r="D15" s="1920"/>
      <c r="E15" s="1920"/>
    </row>
    <row r="16" spans="1:6">
      <c r="A16" s="1920" t="s">
        <v>2083</v>
      </c>
      <c r="B16" s="1920"/>
      <c r="C16" s="1920"/>
      <c r="D16" s="1920"/>
      <c r="E16" s="1920"/>
    </row>
    <row r="17" spans="1:5">
      <c r="A17" s="1920" t="s">
        <v>2084</v>
      </c>
      <c r="B17" s="1920"/>
      <c r="C17" s="1920"/>
      <c r="D17" s="1920"/>
      <c r="E17" s="1920"/>
    </row>
    <row r="18" spans="1:5">
      <c r="A18" s="1920" t="s">
        <v>2085</v>
      </c>
      <c r="B18" s="1920"/>
      <c r="C18" s="1920"/>
      <c r="D18" s="1920"/>
      <c r="E18" s="1920"/>
    </row>
    <row r="19" spans="1:5">
      <c r="A19" s="1920" t="s">
        <v>2086</v>
      </c>
      <c r="B19" s="1920"/>
      <c r="C19" s="1920"/>
      <c r="D19" s="1920"/>
      <c r="E19" s="1920"/>
    </row>
    <row r="20" spans="1:5">
      <c r="A20" s="1920" t="s">
        <v>2087</v>
      </c>
      <c r="B20" s="1920"/>
      <c r="C20" s="1920"/>
      <c r="D20" s="1920"/>
      <c r="E20" s="1920"/>
    </row>
    <row customFormat="1" customHeight="1" ht="15" r="21" s="327" spans="1:5">
      <c r="A21" s="1937" t="s">
        <v>1487</v>
      </c>
      <c r="B21" s="1938"/>
      <c r="C21" s="1939"/>
      <c r="D21" s="1935" t="s">
        <v>1488</v>
      </c>
      <c r="E21" s="1932" t="s">
        <v>2122</v>
      </c>
    </row>
    <row customFormat="1" customHeight="1" ht="15.75" r="22" s="327" spans="1:5">
      <c r="A22" s="1940"/>
      <c r="B22" s="1941"/>
      <c r="C22" s="1942"/>
      <c r="D22" s="1936"/>
      <c r="E22" s="1932"/>
    </row>
    <row customHeight="1" ht="28.5" r="23" spans="1:5">
      <c r="A23" s="1662">
        <f>IF('А-7.3'!C9=1,'А-7.3'!A9,0)</f>
        <v>0</v>
      </c>
      <c r="B23" s="1663"/>
      <c r="C23" s="1664"/>
      <c r="D23" s="325">
        <v>0</v>
      </c>
      <c r="E23" s="324"/>
    </row>
    <row customHeight="1" ht="27.75" r="24" spans="1:5">
      <c r="A24" s="1662">
        <f>IF('А-7.3'!C10=1,'А-7.3'!A10,0)</f>
        <v>0</v>
      </c>
      <c r="B24" s="1663"/>
      <c r="C24" s="1664"/>
      <c r="D24" s="1490">
        <v>0</v>
      </c>
      <c r="E24" s="325"/>
    </row>
    <row customHeight="1" ht="19.5" r="25" spans="1:5">
      <c r="A25" s="1662">
        <f>IF('А-7.3'!C11=1,'А-7.3'!A11,0)</f>
        <v>0</v>
      </c>
      <c r="B25" s="1663"/>
      <c r="C25" s="1664"/>
      <c r="D25" s="1490">
        <v>0</v>
      </c>
      <c r="E25" s="325"/>
    </row>
    <row customHeight="1" ht="30.75" r="26" spans="1:5">
      <c r="A26" s="1662">
        <f>IF('А-7.3'!C12=1,'А-7.3'!A12,0)</f>
        <v>0</v>
      </c>
      <c r="B26" s="1663"/>
      <c r="C26" s="1664"/>
      <c r="D26" s="1490">
        <v>0</v>
      </c>
      <c r="E26" s="324"/>
    </row>
    <row customHeight="1" ht="32.25" r="27" spans="1:5">
      <c r="A27" s="1662">
        <f>IF('А-7.3'!C13=1,'А-7.3'!A13,0)</f>
        <v>0</v>
      </c>
      <c r="B27" s="1663"/>
      <c r="C27" s="1664"/>
      <c r="D27" s="1490">
        <v>0</v>
      </c>
      <c r="E27" s="324"/>
    </row>
    <row customHeight="1" ht="28.5" r="28" spans="1:5">
      <c r="A28" s="1662">
        <f>IF('А-7.3'!C14=1,'А-7.3'!A14,0)</f>
        <v>0</v>
      </c>
      <c r="B28" s="1663"/>
      <c r="C28" s="1664"/>
      <c r="D28" s="1490">
        <v>0</v>
      </c>
      <c r="E28" s="324"/>
    </row>
    <row customHeight="1" ht="27.75" r="29" spans="1:5">
      <c r="A29" s="1662">
        <f>IF('А-7.3'!C15=1,'А-7.3'!A15,0)</f>
        <v>0</v>
      </c>
      <c r="B29" s="1663"/>
      <c r="C29" s="1664"/>
      <c r="D29" s="1490">
        <v>0</v>
      </c>
      <c r="E29" s="324"/>
    </row>
    <row customHeight="1" ht="41.25" r="30" spans="1:5">
      <c r="A30" s="1662">
        <f>IF('А-7.3'!C16=1,'А-7.3'!A16,0)</f>
        <v>0</v>
      </c>
      <c r="B30" s="1663"/>
      <c r="C30" s="1664"/>
      <c r="D30" s="1490">
        <v>0</v>
      </c>
      <c r="E30" s="324"/>
    </row>
    <row customHeight="1" ht="31.5" r="31" spans="1:5">
      <c r="A31" s="1662">
        <f>IF('А-7.3'!C17=1,'А-7.3'!A17,0)</f>
        <v>0</v>
      </c>
      <c r="B31" s="1663"/>
      <c r="C31" s="1664"/>
      <c r="D31" s="1490">
        <v>0</v>
      </c>
      <c r="E31" s="324"/>
    </row>
    <row customHeight="1" ht="27.75" r="32" spans="1:5">
      <c r="A32" s="1662">
        <f>IF('А-7.3'!C18=1,'А-7.3'!A18,0)</f>
        <v>0</v>
      </c>
      <c r="B32" s="1663"/>
      <c r="C32" s="1664"/>
      <c r="D32" s="1490">
        <v>0</v>
      </c>
      <c r="E32" s="324"/>
    </row>
    <row customHeight="1" ht="24.75" r="33" spans="1:5">
      <c r="A33" s="1662">
        <f>IF('А-7.3'!C19=1,'А-7.3'!A19,0)</f>
        <v>0</v>
      </c>
      <c r="B33" s="1663"/>
      <c r="C33" s="1664"/>
      <c r="D33" s="1490">
        <v>0</v>
      </c>
      <c r="E33" s="324"/>
    </row>
    <row customHeight="1" ht="32.25" r="34" spans="1:5">
      <c r="A34" s="1662">
        <f>IF('А-7.3'!C20=1,'А-7.3'!A20,0)</f>
        <v>0</v>
      </c>
      <c r="B34" s="1663"/>
      <c r="C34" s="1664"/>
      <c r="D34" s="1490">
        <v>0</v>
      </c>
      <c r="E34" s="324"/>
    </row>
    <row customHeight="1" ht="21" r="35" spans="1:5">
      <c r="A35" s="1662">
        <f>IF('А-7.3'!C21=1,'А-7.3'!A21,0)</f>
        <v>0</v>
      </c>
      <c r="B35" s="1663"/>
      <c r="C35" s="1664"/>
      <c r="D35" s="1490">
        <v>0</v>
      </c>
      <c r="E35" s="324"/>
    </row>
    <row r="36" spans="1:5">
      <c r="A36" s="1922" t="s">
        <v>1513</v>
      </c>
      <c r="B36" s="1922"/>
      <c r="C36" s="1922"/>
      <c r="D36" s="1922"/>
      <c r="E36" s="1922"/>
    </row>
    <row r="37" spans="1:5">
      <c r="A37" s="1929" t="s">
        <v>2088</v>
      </c>
      <c r="B37" s="1929"/>
      <c r="C37" s="1929"/>
      <c r="D37" s="1929"/>
      <c r="E37" s="1929"/>
    </row>
    <row r="38" spans="1:5">
      <c r="A38" s="1919" t="s">
        <v>1495</v>
      </c>
      <c r="B38" s="1919"/>
      <c r="C38" s="1919"/>
      <c r="D38" s="1919"/>
      <c r="E38" s="1919"/>
    </row>
    <row r="39" spans="1:5">
      <c r="A39" s="1920" t="s">
        <v>2061</v>
      </c>
      <c r="B39" s="1920"/>
      <c r="C39" s="1920"/>
      <c r="D39" s="1920"/>
      <c r="E39" s="1920"/>
    </row>
    <row r="40" spans="1:5">
      <c r="A40" s="1919" t="s">
        <v>1514</v>
      </c>
      <c r="B40" s="1919"/>
      <c r="C40" s="1919"/>
      <c r="D40" s="1919"/>
      <c r="E40" s="1919"/>
    </row>
    <row r="41" spans="1:5">
      <c r="A41" s="1920" t="s">
        <v>2061</v>
      </c>
      <c r="B41" s="1920"/>
      <c r="C41" s="1920"/>
      <c r="D41" s="1920"/>
      <c r="E41" s="1920"/>
    </row>
    <row customHeight="1" ht="25.5" r="42" spans="1:5">
      <c r="A42" s="1932" t="s">
        <v>1497</v>
      </c>
      <c r="B42" s="1932"/>
      <c r="C42" s="1932" t="s">
        <v>1542</v>
      </c>
      <c r="D42" s="1932"/>
      <c r="E42" s="1932"/>
    </row>
    <row customHeight="1" ht="13.5" r="43" spans="1:5">
      <c r="A43" s="1781" t="s">
        <v>2057</v>
      </c>
      <c r="B43" s="1781"/>
      <c r="C43" s="1781" t="s">
        <v>2058</v>
      </c>
      <c r="D43" s="1781"/>
      <c r="E43" s="1781"/>
    </row>
    <row r="44" spans="1:5">
      <c r="A44" s="1919" t="s">
        <v>1498</v>
      </c>
      <c r="B44" s="1919"/>
      <c r="C44" s="1919"/>
      <c r="D44" s="1919"/>
      <c r="E44" s="1919"/>
    </row>
    <row r="45" spans="1:5">
      <c r="A45" s="1920" t="s">
        <v>2056</v>
      </c>
      <c r="B45" s="1920"/>
      <c r="C45" s="1920"/>
      <c r="D45" s="1920"/>
      <c r="E45" s="1920"/>
    </row>
    <row r="46" spans="1:5">
      <c r="A46" s="328"/>
      <c r="B46" s="328"/>
      <c r="C46" s="328"/>
      <c r="D46" s="326"/>
      <c r="E46" s="328"/>
    </row>
    <row r="47" spans="1:5">
      <c r="A47" s="328"/>
      <c r="B47" s="328"/>
      <c r="C47" s="328"/>
      <c r="D47" s="326"/>
      <c r="E47" s="328"/>
    </row>
    <row r="48" spans="1:5">
      <c r="A48" s="329" t="s">
        <v>1897</v>
      </c>
      <c r="B48" s="327"/>
      <c r="C48" s="327"/>
      <c r="D48" s="44"/>
      <c r="E48" s="327"/>
    </row>
    <row r="49" spans="1:5">
      <c r="A49" s="327">
        <f>+ЧХ!$C$15</f>
        <v>0</v>
      </c>
      <c r="B49" s="1679">
        <f>+ЧХ!$C$16</f>
        <v>0</v>
      </c>
      <c r="C49" s="1679"/>
      <c r="D49" s="44" t="s">
        <v>1777</v>
      </c>
      <c r="E49" s="327"/>
    </row>
    <row r="50" spans="1:5">
      <c r="A50" s="329" t="s">
        <v>1873</v>
      </c>
      <c r="B50" s="327"/>
      <c r="C50" s="327"/>
      <c r="D50" s="44"/>
      <c r="E50" s="327"/>
    </row>
    <row r="51" spans="1:5">
      <c r="A51" s="327" t="str">
        <f>+ЧХ!$B$6</f>
        <v>Аудитын менежер</v>
      </c>
      <c r="B51" s="1679">
        <f>+ЧХ!$C$6</f>
        <v>0</v>
      </c>
      <c r="C51" s="1679"/>
      <c r="D51" s="44" t="s">
        <v>1777</v>
      </c>
      <c r="E51" s="327"/>
    </row>
    <row r="52" spans="1:5">
      <c r="A52" s="329" t="s">
        <v>2035</v>
      </c>
      <c r="B52" s="327"/>
      <c r="C52" s="327"/>
      <c r="D52" s="44"/>
      <c r="E52" s="327"/>
    </row>
    <row r="53" spans="1:5">
      <c r="A53" s="327" t="str">
        <f>+ЧХ!$B$5</f>
        <v>Тэргүүлэх аудитор</v>
      </c>
      <c r="B53" s="1679" t="str">
        <f>+ЧХ!$C$5</f>
        <v>С.Энхбаатар</v>
      </c>
      <c r="C53" s="1679"/>
      <c r="D53" s="44" t="s">
        <v>1777</v>
      </c>
      <c r="E53" s="327"/>
    </row>
    <row r="54" spans="1:5">
      <c r="A54" s="327"/>
      <c r="B54" s="327"/>
      <c r="C54" s="327"/>
      <c r="D54" s="44"/>
      <c r="E54" s="327"/>
    </row>
    <row customFormat="1" r="55" s="327" spans="1:5">
      <c r="A55" s="327" t="str">
        <f>ЧХ!$B$6</f>
        <v>Аудитын менежер</v>
      </c>
    </row>
    <row customFormat="1" r="56" s="327" spans="1:5">
      <c r="A56" s="327" t="s">
        <v>2142</v>
      </c>
    </row>
    <row customFormat="1" r="57" s="327" spans="1:5"/>
    <row customFormat="1" r="58" s="327" spans="1:5">
      <c r="A58" s="327" t="str">
        <f>ЧХ!$B$5</f>
        <v>Тэргүүлэх аудитор</v>
      </c>
    </row>
    <row customFormat="1" r="59" s="327" spans="1:5">
      <c r="A59" s="327" t="s">
        <v>2142</v>
      </c>
    </row>
  </sheetData>
  <mergeCells count="50">
    <mergeCell ref="D1:E1"/>
    <mergeCell ref="A3:E3"/>
    <mergeCell ref="A5:C5"/>
    <mergeCell ref="D5:E5"/>
    <mergeCell ref="A17:E17"/>
    <mergeCell ref="A6:E6"/>
    <mergeCell ref="A7:E7"/>
    <mergeCell ref="A18:E18"/>
    <mergeCell ref="A19:E19"/>
    <mergeCell ref="A8:E8"/>
    <mergeCell ref="A9:E9"/>
    <mergeCell ref="A10:E10"/>
    <mergeCell ref="A11:E11"/>
    <mergeCell ref="A12:E12"/>
    <mergeCell ref="A13:E13"/>
    <mergeCell ref="A14:E14"/>
    <mergeCell ref="A15:E15"/>
    <mergeCell ref="A16:E16"/>
    <mergeCell ref="A28:C28"/>
    <mergeCell ref="A20:E20"/>
    <mergeCell ref="E21:E22"/>
    <mergeCell ref="A32:C32"/>
    <mergeCell ref="A33:C33"/>
    <mergeCell ref="A23:C23"/>
    <mergeCell ref="A24:C24"/>
    <mergeCell ref="A25:C25"/>
    <mergeCell ref="A26:C26"/>
    <mergeCell ref="A27:C27"/>
    <mergeCell ref="A21:C22"/>
    <mergeCell ref="D21:D22"/>
    <mergeCell ref="A40:E40"/>
    <mergeCell ref="A34:C34"/>
    <mergeCell ref="A35:C35"/>
    <mergeCell ref="A29:C29"/>
    <mergeCell ref="A30:C30"/>
    <mergeCell ref="A31:C31"/>
    <mergeCell ref="A36:E36"/>
    <mergeCell ref="A37:E37"/>
    <mergeCell ref="A38:E38"/>
    <mergeCell ref="A39:E39"/>
    <mergeCell ref="A42:B42"/>
    <mergeCell ref="C42:E42"/>
    <mergeCell ref="A43:B43"/>
    <mergeCell ref="C43:E43"/>
    <mergeCell ref="A41:E41"/>
    <mergeCell ref="B49:C49"/>
    <mergeCell ref="B51:C51"/>
    <mergeCell ref="B53:C53"/>
    <mergeCell ref="A44:E44"/>
    <mergeCell ref="A45:E45"/>
  </mergeCells>
  <pageMargins bottom="0.75" footer="0.3" header="0.3" left="0.7" right="0.7" top="0.75"/>
  <pageSetup orientation="portrait" r:id="rId1"/>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customWidth="true" style="85" width="29.85546875" collapsed="false"/>
    <col min="2" max="2" customWidth="true" style="327" width="14.5703125" collapsed="false"/>
    <col min="3" max="3" customWidth="true" style="85" width="22.28515625" collapsed="false"/>
    <col min="4" max="4" customWidth="true" style="85" width="11.85546875" collapsed="false"/>
    <col min="5" max="6" customWidth="true" style="85" width="10.5703125" collapsed="false"/>
    <col min="7" max="16384" style="85" width="9.140625" collapsed="false"/>
  </cols>
  <sheetData>
    <row r="1" spans="1:5">
      <c r="A1" s="549"/>
      <c r="B1" s="549"/>
      <c r="C1" s="406"/>
      <c r="D1" s="406"/>
      <c r="E1" s="549" t="s">
        <v>1515</v>
      </c>
    </row>
    <row r="2" spans="1:5">
      <c r="A2" s="406"/>
      <c r="B2" s="406"/>
      <c r="C2" s="406"/>
      <c r="D2" s="406"/>
      <c r="E2" s="406"/>
    </row>
    <row r="3" spans="1:5">
      <c r="A3" s="1699" t="s">
        <v>2126</v>
      </c>
      <c r="B3" s="1699"/>
      <c r="C3" s="1699"/>
      <c r="D3" s="1699"/>
      <c r="E3" s="1699"/>
    </row>
    <row customFormat="1" r="4" s="100" spans="1:5">
      <c r="A4" s="406"/>
      <c r="B4" s="406"/>
      <c r="C4" s="406"/>
      <c r="D4" s="406"/>
      <c r="E4" s="406"/>
    </row>
    <row customHeight="1" ht="28.5"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38.25" r="6" spans="1:5">
      <c r="A6" s="1922" t="s">
        <v>1516</v>
      </c>
      <c r="B6" s="1922"/>
      <c r="C6" s="1922"/>
      <c r="D6" s="1922"/>
      <c r="E6" s="1922"/>
    </row>
    <row r="7" spans="1:5">
      <c r="A7" s="1919" t="s">
        <v>1486</v>
      </c>
      <c r="B7" s="1919"/>
      <c r="C7" s="1919"/>
      <c r="D7" s="1919"/>
      <c r="E7" s="1919"/>
    </row>
    <row customHeight="1" ht="12.75" r="8" spans="1:5">
      <c r="A8" s="1945" t="s">
        <v>1517</v>
      </c>
      <c r="B8" s="1945"/>
      <c r="C8" s="1945"/>
      <c r="D8" s="1945"/>
      <c r="E8" s="1945"/>
    </row>
    <row customHeight="1" ht="12.75" r="9" spans="1:5">
      <c r="A9" s="1945" t="s">
        <v>1518</v>
      </c>
      <c r="B9" s="1945"/>
      <c r="C9" s="1945"/>
      <c r="D9" s="1945"/>
      <c r="E9" s="1945"/>
    </row>
    <row customHeight="1" ht="12.75" r="10" spans="1:5">
      <c r="A10" s="1945" t="s">
        <v>1519</v>
      </c>
      <c r="B10" s="1945"/>
      <c r="C10" s="1945"/>
      <c r="D10" s="1945"/>
      <c r="E10" s="1945"/>
    </row>
    <row customHeight="1" ht="12.75" r="11" spans="1:5">
      <c r="A11" s="1945" t="s">
        <v>1520</v>
      </c>
      <c r="B11" s="1945"/>
      <c r="C11" s="1945"/>
      <c r="D11" s="1945"/>
      <c r="E11" s="1945"/>
    </row>
    <row customHeight="1" ht="13.5" r="12" spans="1:5">
      <c r="A12" s="1929" t="s">
        <v>1521</v>
      </c>
      <c r="B12" s="1929"/>
      <c r="C12" s="1929"/>
      <c r="D12" s="1929"/>
      <c r="E12" s="1929"/>
    </row>
    <row r="13" spans="1:5">
      <c r="A13" s="1919" t="s">
        <v>1522</v>
      </c>
      <c r="B13" s="1919"/>
      <c r="C13" s="1919"/>
      <c r="D13" s="1919"/>
      <c r="E13" s="1919"/>
    </row>
    <row customHeight="1" ht="12.75" r="14" spans="1:5">
      <c r="A14" s="1920" t="s">
        <v>2067</v>
      </c>
      <c r="B14" s="1920"/>
      <c r="C14" s="1920"/>
      <c r="D14" s="1920"/>
      <c r="E14" s="1920"/>
    </row>
    <row customHeight="1" ht="12.75" r="15" spans="1:5">
      <c r="A15" s="1920" t="s">
        <v>2068</v>
      </c>
      <c r="B15" s="1920"/>
      <c r="C15" s="1920"/>
      <c r="D15" s="1920"/>
      <c r="E15" s="1920"/>
    </row>
    <row customHeight="1" ht="12.75" r="16" spans="1:5">
      <c r="A16" s="1920" t="s">
        <v>2069</v>
      </c>
      <c r="B16" s="1920"/>
      <c r="C16" s="1920"/>
      <c r="D16" s="1920"/>
      <c r="E16" s="1920"/>
    </row>
    <row customHeight="1" ht="12.75" r="17" spans="1:5">
      <c r="A17" s="1920" t="s">
        <v>2070</v>
      </c>
      <c r="B17" s="1920"/>
      <c r="C17" s="1920"/>
      <c r="D17" s="1920"/>
      <c r="E17" s="1920"/>
    </row>
    <row customHeight="1" ht="12.75" r="18" spans="1:5">
      <c r="A18" s="1920" t="s">
        <v>2071</v>
      </c>
      <c r="B18" s="1920"/>
      <c r="C18" s="1920"/>
      <c r="D18" s="1920"/>
      <c r="E18" s="1920"/>
    </row>
    <row customHeight="1" ht="12.75" r="19" spans="1:5">
      <c r="A19" s="1920" t="s">
        <v>2072</v>
      </c>
      <c r="B19" s="1920"/>
      <c r="C19" s="1920"/>
      <c r="D19" s="1920"/>
      <c r="E19" s="1920"/>
    </row>
    <row customHeight="1" ht="12.75" r="20" spans="1:5">
      <c r="A20" s="1920" t="s">
        <v>2073</v>
      </c>
      <c r="B20" s="1920"/>
      <c r="C20" s="1920"/>
      <c r="D20" s="1920"/>
      <c r="E20" s="1920"/>
    </row>
    <row customHeight="1" ht="13.5" r="21" spans="1:5">
      <c r="A21" s="1946" t="s">
        <v>2074</v>
      </c>
      <c r="B21" s="1946"/>
      <c r="C21" s="1946"/>
      <c r="D21" s="1946"/>
      <c r="E21" s="1946"/>
    </row>
    <row customFormat="1" customHeight="1" ht="15" r="22" s="327" spans="1:5">
      <c r="A22" s="1924" t="s">
        <v>1487</v>
      </c>
      <c r="B22" s="1924"/>
      <c r="C22" s="1924"/>
      <c r="D22" s="1932" t="s">
        <v>1488</v>
      </c>
      <c r="E22" s="1932" t="s">
        <v>2122</v>
      </c>
    </row>
    <row customFormat="1" customHeight="1" ht="15.75" r="23" s="327" spans="1:5">
      <c r="A23" s="1924"/>
      <c r="B23" s="1924"/>
      <c r="C23" s="1924"/>
      <c r="D23" s="1932"/>
      <c r="E23" s="1932"/>
    </row>
    <row customHeight="1" ht="25.5" r="24" spans="1:5">
      <c r="A24" s="1662">
        <f>IF('А-7.4'!C9=1,'А-7.4'!A9,0)</f>
        <v>0</v>
      </c>
      <c r="B24" s="1663"/>
      <c r="C24" s="1664"/>
      <c r="D24" s="325">
        <v>0</v>
      </c>
      <c r="E24" s="325"/>
    </row>
    <row customHeight="1" ht="25.5" r="25" spans="1:5">
      <c r="A25" s="1662">
        <f>IF('А-7.4'!C10=1,'А-7.4'!A10,0)</f>
        <v>0</v>
      </c>
      <c r="B25" s="1663"/>
      <c r="C25" s="1664"/>
      <c r="D25" s="1490">
        <v>0</v>
      </c>
      <c r="E25" s="325"/>
    </row>
    <row customHeight="1" ht="13.5" r="26" spans="1:5">
      <c r="A26" s="1662">
        <f>IF('А-7.4'!C11=1,'А-7.4'!A11,0)</f>
        <v>0</v>
      </c>
      <c r="B26" s="1663"/>
      <c r="C26" s="1664"/>
      <c r="D26" s="1490">
        <v>0</v>
      </c>
      <c r="E26" s="325"/>
    </row>
    <row customHeight="1" ht="25.5" r="27" spans="1:5">
      <c r="A27" s="1662">
        <f>IF('А-7.4'!C12=1,'А-7.4'!A12,0)</f>
        <v>0</v>
      </c>
      <c r="B27" s="1663"/>
      <c r="C27" s="1664"/>
      <c r="D27" s="1490">
        <v>0</v>
      </c>
      <c r="E27" s="325"/>
    </row>
    <row customHeight="1" ht="13.5" r="28" spans="1:5">
      <c r="A28" s="1662">
        <f>IF('А-7.4'!C13=1,'А-7.4'!A13,0)</f>
        <v>0</v>
      </c>
      <c r="B28" s="1663"/>
      <c r="C28" s="1664"/>
      <c r="D28" s="1490">
        <v>0</v>
      </c>
      <c r="E28" s="325"/>
    </row>
    <row customHeight="1" ht="13.5" r="29" spans="1:5">
      <c r="A29" s="1662">
        <f>IF('А-7.4'!C14=1,'А-7.4'!A14,0)</f>
        <v>0</v>
      </c>
      <c r="B29" s="1663"/>
      <c r="C29" s="1664"/>
      <c r="D29" s="1490">
        <v>0</v>
      </c>
      <c r="E29" s="325"/>
    </row>
    <row customHeight="1" ht="25.5" r="30" spans="1:5">
      <c r="A30" s="1662">
        <f>IF('А-7.4'!C15=1,'А-7.4'!A15,0)</f>
        <v>0</v>
      </c>
      <c r="B30" s="1663"/>
      <c r="C30" s="1664"/>
      <c r="D30" s="1490">
        <v>0</v>
      </c>
      <c r="E30" s="325"/>
    </row>
    <row customHeight="1" ht="13.5" r="31" spans="1:5">
      <c r="A31" s="1662">
        <f>IF('А-7.4'!C16=1,'А-7.4'!A16,0)</f>
        <v>0</v>
      </c>
      <c r="B31" s="1663"/>
      <c r="C31" s="1664"/>
      <c r="D31" s="1490">
        <v>0</v>
      </c>
      <c r="E31" s="325"/>
    </row>
    <row customHeight="1" ht="25.5" r="32" spans="1:5">
      <c r="A32" s="1662">
        <f>IF('А-7.4'!C17=1,'А-7.4'!A17,0)</f>
        <v>0</v>
      </c>
      <c r="B32" s="1663"/>
      <c r="C32" s="1664"/>
      <c r="D32" s="1490">
        <v>0</v>
      </c>
      <c r="E32" s="325"/>
    </row>
    <row customHeight="1" ht="13.5" r="33" spans="1:5">
      <c r="A33" s="1662">
        <f>IF('А-7.4'!C18=1,'А-7.4'!A18,0)</f>
        <v>0</v>
      </c>
      <c r="B33" s="1663"/>
      <c r="C33" s="1664"/>
      <c r="D33" s="1490">
        <v>0</v>
      </c>
      <c r="E33" s="325"/>
    </row>
    <row customHeight="1" ht="13.5" r="34" spans="1:5">
      <c r="A34" s="1662">
        <f>IF('А-7.4'!C19=1,'А-7.4'!A19,0)</f>
        <v>0</v>
      </c>
      <c r="B34" s="1663"/>
      <c r="C34" s="1664"/>
      <c r="D34" s="1490">
        <v>0</v>
      </c>
      <c r="E34" s="339"/>
    </row>
    <row customFormat="1" customHeight="1" ht="13.5" r="35" s="1484" spans="1:5">
      <c r="A35" s="1662">
        <f>IF('А-7.4'!C20=1,'А-7.4'!A20,0)</f>
        <v>0</v>
      </c>
      <c r="B35" s="1663"/>
      <c r="C35" s="1664"/>
      <c r="D35" s="1490">
        <v>0</v>
      </c>
      <c r="E35" s="339"/>
    </row>
    <row customHeight="1" ht="13.5" r="36" spans="1:5">
      <c r="A36" s="1662">
        <f>IF('А-7.4'!C21=1,'А-7.4'!A21,0)</f>
        <v>0</v>
      </c>
      <c r="B36" s="1663"/>
      <c r="C36" s="1664"/>
      <c r="D36" s="1490">
        <v>0</v>
      </c>
      <c r="E36" s="339"/>
    </row>
    <row r="37" spans="1:5">
      <c r="A37" s="1922" t="s">
        <v>1513</v>
      </c>
      <c r="B37" s="1922"/>
      <c r="C37" s="1922"/>
      <c r="D37" s="1922"/>
      <c r="E37" s="1922"/>
    </row>
    <row r="38" spans="1:5">
      <c r="A38" s="1929" t="s">
        <v>2061</v>
      </c>
      <c r="B38" s="1929"/>
      <c r="C38" s="1929"/>
      <c r="D38" s="1929"/>
      <c r="E38" s="1929"/>
    </row>
    <row r="39" spans="1:5">
      <c r="A39" s="1922" t="s">
        <v>2075</v>
      </c>
      <c r="B39" s="1922"/>
      <c r="C39" s="1922"/>
      <c r="D39" s="1922"/>
      <c r="E39" s="1922"/>
    </row>
    <row r="40" spans="1:5">
      <c r="A40" s="1929" t="s">
        <v>2056</v>
      </c>
      <c r="B40" s="1929"/>
      <c r="C40" s="1929"/>
      <c r="D40" s="1929"/>
      <c r="E40" s="1929"/>
    </row>
    <row r="41" spans="1:5">
      <c r="A41" s="1919" t="s">
        <v>1531</v>
      </c>
      <c r="B41" s="1919"/>
      <c r="C41" s="1919"/>
      <c r="D41" s="1919"/>
      <c r="E41" s="1919"/>
    </row>
    <row r="42" spans="1:5">
      <c r="A42" s="1920" t="s">
        <v>2056</v>
      </c>
      <c r="B42" s="1920"/>
      <c r="C42" s="1920"/>
      <c r="D42" s="1920"/>
      <c r="E42" s="1920"/>
    </row>
    <row r="43" spans="1:5">
      <c r="A43" s="1932" t="s">
        <v>1497</v>
      </c>
      <c r="B43" s="1932"/>
      <c r="C43" s="1932" t="s">
        <v>1542</v>
      </c>
      <c r="D43" s="1932"/>
      <c r="E43" s="1932"/>
    </row>
    <row r="44" spans="1:5">
      <c r="A44" s="1781" t="s">
        <v>2057</v>
      </c>
      <c r="B44" s="1781"/>
      <c r="C44" s="1781" t="s">
        <v>2058</v>
      </c>
      <c r="D44" s="1781"/>
      <c r="E44" s="1781"/>
    </row>
    <row r="45" spans="1:5">
      <c r="A45" s="1919" t="s">
        <v>1498</v>
      </c>
      <c r="B45" s="1919"/>
      <c r="C45" s="1919"/>
      <c r="D45" s="1919"/>
      <c r="E45" s="1919"/>
    </row>
    <row r="46" spans="1:5">
      <c r="A46" s="1920" t="s">
        <v>2056</v>
      </c>
      <c r="B46" s="1920"/>
      <c r="C46" s="1920"/>
      <c r="D46" s="1920"/>
      <c r="E46" s="1920"/>
    </row>
    <row r="47" spans="1:5">
      <c r="A47" s="328"/>
      <c r="B47" s="328"/>
      <c r="C47" s="328"/>
      <c r="D47" s="326"/>
      <c r="E47" s="328"/>
    </row>
    <row r="48" spans="1:5">
      <c r="A48" s="328"/>
      <c r="B48" s="328"/>
      <c r="C48" s="328"/>
      <c r="D48" s="326"/>
      <c r="E48" s="328"/>
    </row>
    <row r="49" spans="1:5">
      <c r="A49" s="329" t="s">
        <v>1897</v>
      </c>
      <c r="C49" s="327"/>
      <c r="D49" s="44"/>
      <c r="E49" s="327"/>
    </row>
    <row r="50" spans="1:5">
      <c r="A50" s="327">
        <f>+ЧХ!$C$15</f>
        <v>0</v>
      </c>
      <c r="B50" s="1679">
        <f>+ЧХ!$C$16</f>
        <v>0</v>
      </c>
      <c r="C50" s="1679"/>
      <c r="D50" s="44" t="s">
        <v>1777</v>
      </c>
      <c r="E50" s="327"/>
    </row>
    <row r="51" spans="1:5">
      <c r="A51" s="329" t="s">
        <v>1873</v>
      </c>
      <c r="C51" s="327"/>
      <c r="D51" s="44"/>
      <c r="E51" s="327"/>
    </row>
    <row r="52" spans="1:5">
      <c r="A52" s="327" t="str">
        <f>+ЧХ!$B$6</f>
        <v>Аудитын менежер</v>
      </c>
      <c r="B52" s="1679">
        <f>+ЧХ!$C$6</f>
        <v>0</v>
      </c>
      <c r="C52" s="1679"/>
      <c r="D52" s="44" t="s">
        <v>1777</v>
      </c>
      <c r="E52" s="327"/>
    </row>
    <row r="53" spans="1:5">
      <c r="A53" s="329" t="s">
        <v>2035</v>
      </c>
      <c r="C53" s="327"/>
      <c r="D53" s="44"/>
      <c r="E53" s="327"/>
    </row>
    <row r="54" spans="1:5">
      <c r="A54" s="327" t="str">
        <f>+ЧХ!$B$5</f>
        <v>Тэргүүлэх аудитор</v>
      </c>
      <c r="B54" s="1679" t="str">
        <f>+ЧХ!$C$5</f>
        <v>С.Энхбаатар</v>
      </c>
      <c r="C54" s="1679"/>
      <c r="D54" s="44" t="s">
        <v>1777</v>
      </c>
      <c r="E54" s="327"/>
    </row>
    <row r="55" spans="1:5">
      <c r="A55" s="25"/>
      <c r="B55" s="25"/>
    </row>
    <row customFormat="1" r="56" s="327" spans="1:5">
      <c r="A56" s="327" t="str">
        <f>ЧХ!$B$6</f>
        <v>Аудитын менежер</v>
      </c>
    </row>
    <row customFormat="1" r="57" s="327" spans="1:5">
      <c r="A57" s="327" t="s">
        <v>2142</v>
      </c>
    </row>
    <row customFormat="1" r="58" s="327" spans="1:5"/>
    <row customFormat="1" r="59" s="327" spans="1:5">
      <c r="A59" s="327" t="str">
        <f>ЧХ!$B$5</f>
        <v>Тэргүүлэх аудитор</v>
      </c>
    </row>
    <row customFormat="1" r="60" s="327" spans="1:5">
      <c r="A60" s="327" t="s">
        <v>2142</v>
      </c>
    </row>
  </sheetData>
  <mergeCells count="50">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 ref="A20:E20"/>
    <mergeCell ref="A9:E9"/>
    <mergeCell ref="A10:E10"/>
    <mergeCell ref="A11:E11"/>
    <mergeCell ref="A12:E12"/>
    <mergeCell ref="A13:E13"/>
    <mergeCell ref="A14:E14"/>
    <mergeCell ref="A39:E39"/>
    <mergeCell ref="A40:E40"/>
    <mergeCell ref="A41:E41"/>
    <mergeCell ref="A43:B43"/>
    <mergeCell ref="B54:C54"/>
    <mergeCell ref="C44:E44"/>
    <mergeCell ref="A45:E45"/>
    <mergeCell ref="A46:E46"/>
    <mergeCell ref="B50:C50"/>
    <mergeCell ref="B52:C52"/>
    <mergeCell ref="A42:E42"/>
    <mergeCell ref="C43:E43"/>
    <mergeCell ref="A44:B44"/>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s>
  <pageMargins bottom="0.75" footer="0.3" header="0.3" left="0.7" right="0.7" top="0.75"/>
  <pageSetup orientation="portrait" r:id="rId1"/>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6"/>
      <c r="B1" s="406"/>
      <c r="C1" s="406"/>
      <c r="D1" s="406"/>
      <c r="E1" s="549" t="s">
        <v>1532</v>
      </c>
    </row>
    <row r="2" spans="1:5">
      <c r="A2" s="590"/>
      <c r="B2" s="406"/>
      <c r="C2" s="406"/>
      <c r="D2" s="406"/>
      <c r="E2" s="406"/>
    </row>
    <row r="3" spans="1:5">
      <c r="A3" s="1699" t="s">
        <v>1533</v>
      </c>
      <c r="B3" s="1699"/>
      <c r="C3" s="1699"/>
      <c r="D3" s="1699"/>
      <c r="E3" s="1699"/>
    </row>
    <row r="4" spans="1:5">
      <c r="A4" s="576"/>
      <c r="B4" s="406"/>
      <c r="C4" s="406"/>
      <c r="D4" s="406"/>
      <c r="E4" s="406"/>
    </row>
    <row customHeight="1" ht="21"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66" r="6" spans="1:5">
      <c r="A6" s="1924" t="s">
        <v>1534</v>
      </c>
      <c r="B6" s="1924"/>
      <c r="C6" s="1924"/>
      <c r="D6" s="1924"/>
      <c r="E6" s="1924"/>
    </row>
    <row r="7" spans="1:5">
      <c r="A7" s="1924" t="s">
        <v>1486</v>
      </c>
      <c r="B7" s="1924"/>
      <c r="C7" s="1924"/>
      <c r="D7" s="1924"/>
      <c r="E7" s="1924"/>
    </row>
    <row r="8" spans="1:5">
      <c r="A8" s="1688" t="s">
        <v>2127</v>
      </c>
      <c r="B8" s="1688"/>
      <c r="C8" s="1688"/>
      <c r="D8" s="1688"/>
      <c r="E8" s="1688"/>
    </row>
    <row customHeight="1" ht="12.75" r="9" spans="1:5">
      <c r="A9" s="1688" t="s">
        <v>2128</v>
      </c>
      <c r="B9" s="1688"/>
      <c r="C9" s="1688"/>
      <c r="D9" s="1688"/>
      <c r="E9" s="1688"/>
    </row>
    <row customHeight="1" ht="12.75" r="10" spans="1:5">
      <c r="A10" s="1688" t="s">
        <v>2129</v>
      </c>
      <c r="B10" s="1688"/>
      <c r="C10" s="1688"/>
      <c r="D10" s="1688"/>
      <c r="E10" s="1688"/>
    </row>
    <row r="11" spans="1:5">
      <c r="A11" s="1924" t="s">
        <v>2135</v>
      </c>
      <c r="B11" s="1924"/>
      <c r="C11" s="1924"/>
      <c r="D11" s="1924"/>
      <c r="E11" s="1924"/>
    </row>
    <row r="12" spans="1:5">
      <c r="A12" s="1690" t="s">
        <v>2130</v>
      </c>
      <c r="B12" s="1690"/>
      <c r="C12" s="1690"/>
      <c r="D12" s="1690"/>
      <c r="E12" s="1690"/>
    </row>
    <row customHeight="1" ht="12.75" r="13" spans="1:5">
      <c r="A13" s="1690" t="s">
        <v>2131</v>
      </c>
      <c r="B13" s="1690"/>
      <c r="C13" s="1690"/>
      <c r="D13" s="1690"/>
      <c r="E13" s="1690"/>
    </row>
    <row customHeight="1" ht="12.75" r="14" spans="1:5">
      <c r="A14" s="1690" t="s">
        <v>2132</v>
      </c>
      <c r="B14" s="1690"/>
      <c r="C14" s="1690"/>
      <c r="D14" s="1690"/>
      <c r="E14" s="1690"/>
    </row>
    <row customHeight="1" ht="12.75" r="15" spans="1:5">
      <c r="A15" s="1690" t="s">
        <v>2133</v>
      </c>
      <c r="B15" s="1690"/>
      <c r="C15" s="1690"/>
      <c r="D15" s="1690"/>
      <c r="E15" s="1690"/>
    </row>
    <row customHeight="1" ht="12.75" r="16" spans="1:5">
      <c r="A16" s="1690" t="s">
        <v>2134</v>
      </c>
      <c r="B16" s="1690"/>
      <c r="C16" s="1690"/>
      <c r="D16" s="1690"/>
      <c r="E16" s="1690"/>
    </row>
    <row customHeight="1" ht="12.75" r="17" spans="1:5">
      <c r="A17" s="1690" t="s">
        <v>2138</v>
      </c>
      <c r="B17" s="1690"/>
      <c r="C17" s="1690"/>
      <c r="D17" s="1690"/>
      <c r="E17" s="1690"/>
    </row>
    <row customFormat="1" customHeight="1" ht="15" r="18" s="327" spans="1:5">
      <c r="A18" s="1924" t="s">
        <v>2136</v>
      </c>
      <c r="B18" s="1924"/>
      <c r="C18" s="1924"/>
      <c r="D18" s="1932" t="s">
        <v>1488</v>
      </c>
      <c r="E18" s="1932" t="s">
        <v>2122</v>
      </c>
    </row>
    <row customFormat="1" customHeight="1" ht="15.75" r="19" s="327" spans="1:5">
      <c r="A19" s="1924"/>
      <c r="B19" s="1924"/>
      <c r="C19" s="1924"/>
      <c r="D19" s="1932"/>
      <c r="E19" s="1932"/>
    </row>
    <row customHeight="1" ht="35.25" r="20" spans="1:5">
      <c r="A20" s="1662">
        <f>IF('А-7.5'!C9=1,'А-7.5'!A9,0)</f>
        <v>0</v>
      </c>
      <c r="B20" s="1663"/>
      <c r="C20" s="1664"/>
      <c r="D20" s="325">
        <v>0</v>
      </c>
      <c r="E20" s="324"/>
    </row>
    <row customHeight="1" ht="27" r="21" spans="1:5">
      <c r="A21" s="1662">
        <f>IF('А-7.5'!C10=1,'А-7.5'!A10,0)</f>
        <v>0</v>
      </c>
      <c r="B21" s="1663"/>
      <c r="C21" s="1664"/>
      <c r="D21" s="1490">
        <v>0</v>
      </c>
      <c r="E21" s="324"/>
    </row>
    <row customHeight="1" ht="28.5" r="22" spans="1:5">
      <c r="A22" s="1662">
        <f>IF('А-7.5'!C11=1,'А-7.5'!A11,0)</f>
        <v>0</v>
      </c>
      <c r="B22" s="1663"/>
      <c r="C22" s="1664"/>
      <c r="D22" s="1490">
        <v>0</v>
      </c>
      <c r="E22" s="324"/>
    </row>
    <row customHeight="1" ht="33" r="23" spans="1:5">
      <c r="A23" s="1662">
        <f>IF('А-7.5'!C12=1,'А-7.5'!A12,0)</f>
        <v>0</v>
      </c>
      <c r="B23" s="1663"/>
      <c r="C23" s="1664"/>
      <c r="D23" s="1490">
        <v>0</v>
      </c>
      <c r="E23" s="324"/>
    </row>
    <row customHeight="1" ht="27.75" r="24" spans="1:5">
      <c r="A24" s="1662">
        <f>IF('А-7.5'!C13=1,'А-7.5'!A13,0)</f>
        <v>0</v>
      </c>
      <c r="B24" s="1663"/>
      <c r="C24" s="1664"/>
      <c r="D24" s="1490">
        <v>0</v>
      </c>
      <c r="E24" s="324"/>
    </row>
    <row customHeight="1" ht="27.75" r="25" spans="1:5">
      <c r="A25" s="1662">
        <f>IF('А-7.5'!C14=1,'А-7.5'!A14,0)</f>
        <v>0</v>
      </c>
      <c r="B25" s="1663"/>
      <c r="C25" s="1664"/>
      <c r="D25" s="1490">
        <v>0</v>
      </c>
      <c r="E25" s="324"/>
    </row>
    <row customHeight="1" ht="27" r="26" spans="1:5">
      <c r="A26" s="1662">
        <f>IF('А-7.5'!C15=1,'А-7.5'!A15,0)</f>
        <v>0</v>
      </c>
      <c r="B26" s="1663"/>
      <c r="C26" s="1664"/>
      <c r="D26" s="1490">
        <v>0</v>
      </c>
      <c r="E26" s="324"/>
    </row>
    <row customHeight="1" ht="28.5" r="27" spans="1:5">
      <c r="A27" s="1662">
        <f>IF('А-7.5'!C16=1,'А-7.5'!A16,0)</f>
        <v>0</v>
      </c>
      <c r="B27" s="1663"/>
      <c r="C27" s="1664"/>
      <c r="D27" s="1490">
        <v>0</v>
      </c>
      <c r="E27" s="324"/>
    </row>
    <row customHeight="1" ht="28.5" r="28" spans="1:5">
      <c r="A28" s="1662">
        <f>IF('А-7.5'!C17=1,'А-7.5'!A17,0)</f>
        <v>0</v>
      </c>
      <c r="B28" s="1663"/>
      <c r="C28" s="1664"/>
      <c r="D28" s="1490">
        <v>0</v>
      </c>
      <c r="E28" s="324"/>
    </row>
    <row customHeight="1" ht="15.75" r="29" spans="1:5">
      <c r="A29" s="1662">
        <f>IF('А-7.5'!C18=1,'А-7.5'!A18,0)</f>
        <v>0</v>
      </c>
      <c r="B29" s="1663"/>
      <c r="C29" s="1664"/>
      <c r="D29" s="1490">
        <v>0</v>
      </c>
      <c r="E29" s="324"/>
    </row>
    <row r="30" spans="1:5">
      <c r="A30" s="1924" t="s">
        <v>1513</v>
      </c>
      <c r="B30" s="1924"/>
      <c r="C30" s="1924"/>
      <c r="D30" s="1924"/>
      <c r="E30" s="1924"/>
    </row>
    <row r="31" spans="1:5">
      <c r="A31" s="1924" t="s">
        <v>2061</v>
      </c>
      <c r="B31" s="1924"/>
      <c r="C31" s="1924"/>
      <c r="D31" s="1924"/>
      <c r="E31" s="1924"/>
    </row>
    <row r="32" spans="1:5">
      <c r="A32" s="1924" t="s">
        <v>1503</v>
      </c>
      <c r="B32" s="1924"/>
      <c r="C32" s="1924"/>
      <c r="D32" s="1924"/>
      <c r="E32" s="1924"/>
    </row>
    <row r="33" spans="1:5">
      <c r="A33" s="1924" t="s">
        <v>2061</v>
      </c>
      <c r="B33" s="1924"/>
      <c r="C33" s="1924"/>
      <c r="D33" s="1924"/>
      <c r="E33" s="1924"/>
    </row>
    <row r="34" spans="1:5">
      <c r="A34" s="1924" t="s">
        <v>1514</v>
      </c>
      <c r="B34" s="1924"/>
      <c r="C34" s="1924"/>
      <c r="D34" s="1924"/>
      <c r="E34" s="1924"/>
    </row>
    <row r="35" spans="1:5">
      <c r="A35" s="1924" t="s">
        <v>2061</v>
      </c>
      <c r="B35" s="1924"/>
      <c r="C35" s="1924"/>
      <c r="D35" s="1924"/>
      <c r="E35" s="1924"/>
    </row>
    <row customHeight="1" ht="25.5" r="36" spans="1:5">
      <c r="A36" s="1932" t="s">
        <v>1497</v>
      </c>
      <c r="B36" s="1932"/>
      <c r="C36" s="1932" t="s">
        <v>1542</v>
      </c>
      <c r="D36" s="1932"/>
      <c r="E36" s="1932"/>
    </row>
    <row customHeight="1" ht="12.75" r="37" spans="1:5">
      <c r="A37" s="1781" t="s">
        <v>2057</v>
      </c>
      <c r="B37" s="1781"/>
      <c r="C37" s="1781" t="s">
        <v>2058</v>
      </c>
      <c r="D37" s="1781"/>
      <c r="E37" s="1781"/>
    </row>
    <row r="38" spans="1:5">
      <c r="A38" s="1919" t="s">
        <v>1498</v>
      </c>
      <c r="B38" s="1919"/>
      <c r="C38" s="1919"/>
      <c r="D38" s="1919"/>
      <c r="E38" s="1919"/>
    </row>
    <row r="39" spans="1:5">
      <c r="A39" s="1920" t="s">
        <v>2056</v>
      </c>
      <c r="B39" s="1920"/>
      <c r="C39" s="1920"/>
      <c r="D39" s="1920"/>
      <c r="E39" s="1920"/>
    </row>
    <row r="40" spans="1:5">
      <c r="A40" s="328"/>
      <c r="B40" s="328"/>
      <c r="C40" s="328"/>
      <c r="D40" s="326"/>
      <c r="E40" s="328"/>
    </row>
    <row r="41" spans="1:5">
      <c r="A41" s="328"/>
      <c r="B41" s="328"/>
      <c r="C41" s="328"/>
      <c r="D41" s="326"/>
      <c r="E41" s="328"/>
    </row>
    <row r="42" spans="1:5">
      <c r="A42" s="329" t="s">
        <v>1897</v>
      </c>
      <c r="B42" s="327"/>
      <c r="C42" s="327"/>
      <c r="D42" s="44"/>
      <c r="E42" s="327"/>
    </row>
    <row r="43" spans="1:5">
      <c r="A43" s="327">
        <f>+ЧХ!$C$15</f>
        <v>0</v>
      </c>
      <c r="B43" s="1679">
        <f>+ЧХ!$C$16</f>
        <v>0</v>
      </c>
      <c r="C43" s="1679"/>
      <c r="D43" s="44" t="s">
        <v>1777</v>
      </c>
      <c r="E43" s="327"/>
    </row>
    <row r="44" spans="1:5">
      <c r="A44" s="329" t="s">
        <v>1873</v>
      </c>
      <c r="B44" s="327"/>
      <c r="C44" s="327"/>
      <c r="D44" s="44"/>
      <c r="E44" s="327"/>
    </row>
    <row r="45" spans="1:5">
      <c r="A45" s="327" t="str">
        <f>+ЧХ!$B$6</f>
        <v>Аудитын менежер</v>
      </c>
      <c r="B45" s="1679">
        <f>+ЧХ!$C$6</f>
        <v>0</v>
      </c>
      <c r="C45" s="1679"/>
      <c r="D45" s="44" t="s">
        <v>1777</v>
      </c>
      <c r="E45" s="327"/>
    </row>
    <row r="46" spans="1:5">
      <c r="A46" s="329" t="s">
        <v>2035</v>
      </c>
      <c r="B46" s="327"/>
      <c r="C46" s="327"/>
      <c r="D46" s="44"/>
      <c r="E46" s="327"/>
    </row>
    <row r="47" spans="1:5">
      <c r="A47" s="327" t="str">
        <f>+ЧХ!$B$5</f>
        <v>Тэргүүлэх аудитор</v>
      </c>
      <c r="B47" s="1679" t="str">
        <f>+ЧХ!$C$5</f>
        <v>С.Энхбаатар</v>
      </c>
      <c r="C47" s="1679"/>
      <c r="D47" s="44" t="s">
        <v>1777</v>
      </c>
      <c r="E47" s="327"/>
    </row>
    <row r="48" spans="1:5">
      <c r="A48" s="25"/>
    </row>
    <row customFormat="1" r="49" s="327" spans="1:1">
      <c r="A49" s="327" t="str">
        <f>ЧХ!$B$6</f>
        <v>Аудитын менежер</v>
      </c>
    </row>
    <row customFormat="1" r="50" s="327" spans="1:1">
      <c r="A50" s="327" t="s">
        <v>2142</v>
      </c>
    </row>
    <row customFormat="1" r="51" s="327" spans="1:1"/>
    <row customFormat="1" r="52" s="327" spans="1:1">
      <c r="A52" s="327" t="str">
        <f>ЧХ!$B$5</f>
        <v>Тэргүүлэх аудитор</v>
      </c>
    </row>
    <row customFormat="1" r="53" s="327" spans="1:1">
      <c r="A53" s="327" t="s">
        <v>2142</v>
      </c>
    </row>
  </sheetData>
  <mergeCells count="43">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1:E31"/>
    <mergeCell ref="A32:E32"/>
    <mergeCell ref="A6:E6"/>
    <mergeCell ref="A7:E7"/>
    <mergeCell ref="A8:E8"/>
    <mergeCell ref="A25:C25"/>
    <mergeCell ref="A26:C26"/>
    <mergeCell ref="A27:C27"/>
    <mergeCell ref="A28:C28"/>
    <mergeCell ref="A29:C29"/>
    <mergeCell ref="A24:C24"/>
  </mergeCells>
  <pageMargins bottom="0.75" footer="0.3" header="0.3" left="0.7" right="0.7" top="0.75"/>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r="1" spans="1:5">
      <c r="A1" s="406"/>
      <c r="B1" s="406"/>
      <c r="C1" s="406"/>
      <c r="D1" s="581"/>
      <c r="E1" s="549" t="s">
        <v>1538</v>
      </c>
    </row>
    <row r="2" spans="1:5">
      <c r="A2" s="613"/>
      <c r="B2" s="406"/>
      <c r="C2" s="406"/>
      <c r="D2" s="581"/>
      <c r="E2" s="406"/>
    </row>
    <row r="3" spans="1:5">
      <c r="A3" s="1699" t="s">
        <v>2120</v>
      </c>
      <c r="B3" s="1699"/>
      <c r="C3" s="1699"/>
      <c r="D3" s="1699"/>
      <c r="E3" s="1699"/>
    </row>
    <row r="4" spans="1:5">
      <c r="A4" s="576"/>
      <c r="B4" s="406"/>
      <c r="C4" s="406"/>
      <c r="D4" s="581"/>
      <c r="E4" s="406"/>
    </row>
    <row customHeight="1" ht="25.5"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71.25" r="6" spans="1:5">
      <c r="A6" s="1922" t="s">
        <v>1544</v>
      </c>
      <c r="B6" s="1922"/>
      <c r="C6" s="1922"/>
      <c r="D6" s="1922"/>
      <c r="E6" s="1922"/>
    </row>
    <row r="7" spans="1:5">
      <c r="A7" s="1919" t="s">
        <v>1486</v>
      </c>
      <c r="B7" s="1919"/>
      <c r="C7" s="1919"/>
      <c r="D7" s="1919"/>
      <c r="E7" s="1919"/>
    </row>
    <row customHeight="1" ht="25.5" r="8" spans="1:5">
      <c r="A8" s="1945" t="s">
        <v>1545</v>
      </c>
      <c r="B8" s="1945"/>
      <c r="C8" s="1945"/>
      <c r="D8" s="1945"/>
      <c r="E8" s="1945"/>
    </row>
    <row r="9" spans="1:5">
      <c r="A9" s="1945" t="s">
        <v>1546</v>
      </c>
      <c r="B9" s="1945"/>
      <c r="C9" s="1945"/>
      <c r="D9" s="1945"/>
      <c r="E9" s="1945"/>
    </row>
    <row r="10" spans="1:5">
      <c r="A10" s="1945" t="s">
        <v>1547</v>
      </c>
      <c r="B10" s="1945"/>
      <c r="C10" s="1945"/>
      <c r="D10" s="1945"/>
      <c r="E10" s="1945"/>
    </row>
    <row r="11" spans="1:5">
      <c r="A11" s="1945" t="s">
        <v>1548</v>
      </c>
      <c r="B11" s="1945"/>
      <c r="C11" s="1945"/>
      <c r="D11" s="1945"/>
      <c r="E11" s="1945"/>
    </row>
    <row r="12" spans="1:5">
      <c r="A12" s="1919" t="s">
        <v>1500</v>
      </c>
      <c r="B12" s="1919"/>
      <c r="C12" s="1919"/>
      <c r="D12" s="1919"/>
      <c r="E12" s="1919"/>
    </row>
    <row r="13" spans="1:5">
      <c r="A13" s="1945" t="s">
        <v>1549</v>
      </c>
      <c r="B13" s="1945"/>
      <c r="C13" s="1945"/>
      <c r="D13" s="1945"/>
      <c r="E13" s="1945"/>
    </row>
    <row r="14" spans="1:5">
      <c r="A14" s="1945" t="s">
        <v>1550</v>
      </c>
      <c r="B14" s="1945"/>
      <c r="C14" s="1945"/>
      <c r="D14" s="1945"/>
      <c r="E14" s="1945"/>
    </row>
    <row r="15" spans="1:5">
      <c r="A15" s="1945" t="s">
        <v>1551</v>
      </c>
      <c r="B15" s="1945"/>
      <c r="C15" s="1945"/>
      <c r="D15" s="1945"/>
      <c r="E15" s="1945"/>
    </row>
    <row r="16" spans="1:5">
      <c r="A16" s="1945" t="s">
        <v>1552</v>
      </c>
      <c r="B16" s="1945"/>
      <c r="C16" s="1945"/>
      <c r="D16" s="1945"/>
      <c r="E16" s="1945"/>
    </row>
    <row r="17" spans="1:5">
      <c r="A17" s="1945" t="s">
        <v>1553</v>
      </c>
      <c r="B17" s="1945"/>
      <c r="C17" s="1945"/>
      <c r="D17" s="1945"/>
      <c r="E17" s="1945"/>
    </row>
    <row r="18" spans="1:5">
      <c r="A18" s="1945" t="s">
        <v>1554</v>
      </c>
      <c r="B18" s="1945"/>
      <c r="C18" s="1945"/>
      <c r="D18" s="1945"/>
      <c r="E18" s="1945"/>
    </row>
    <row r="19" spans="1:5">
      <c r="A19" s="1945" t="s">
        <v>1555</v>
      </c>
      <c r="B19" s="1945"/>
      <c r="C19" s="1945"/>
      <c r="D19" s="1945"/>
      <c r="E19" s="1945"/>
    </row>
    <row r="20" spans="1:5">
      <c r="A20" s="1945" t="s">
        <v>1556</v>
      </c>
      <c r="B20" s="1945"/>
      <c r="C20" s="1945"/>
      <c r="D20" s="1945"/>
      <c r="E20" s="1945"/>
    </row>
    <row r="21" spans="1:5">
      <c r="A21" s="1945" t="s">
        <v>1557</v>
      </c>
      <c r="B21" s="1945"/>
      <c r="C21" s="1945"/>
      <c r="D21" s="1945"/>
      <c r="E21" s="1945"/>
    </row>
    <row r="22" spans="1:5">
      <c r="A22" s="1945" t="s">
        <v>1558</v>
      </c>
      <c r="B22" s="1945"/>
      <c r="C22" s="1945"/>
      <c r="D22" s="1945"/>
      <c r="E22" s="1945"/>
    </row>
    <row r="23" spans="1:5">
      <c r="A23" s="1945" t="s">
        <v>1559</v>
      </c>
      <c r="B23" s="1945"/>
      <c r="C23" s="1945"/>
      <c r="D23" s="1945"/>
      <c r="E23" s="1945"/>
    </row>
    <row r="24" spans="1:5">
      <c r="A24" s="1945" t="s">
        <v>1560</v>
      </c>
      <c r="B24" s="1945"/>
      <c r="C24" s="1945"/>
      <c r="D24" s="1945"/>
      <c r="E24" s="1945"/>
    </row>
    <row r="25" spans="1:5">
      <c r="A25" s="1945" t="s">
        <v>1561</v>
      </c>
      <c r="B25" s="1945"/>
      <c r="C25" s="1945"/>
      <c r="D25" s="1945"/>
      <c r="E25" s="1945"/>
    </row>
    <row r="26" spans="1:5">
      <c r="A26" s="1945" t="s">
        <v>1562</v>
      </c>
      <c r="B26" s="1945"/>
      <c r="C26" s="1945"/>
      <c r="D26" s="1945"/>
      <c r="E26" s="1945"/>
    </row>
    <row r="27" spans="1:5">
      <c r="A27" s="1945" t="s">
        <v>1563</v>
      </c>
      <c r="B27" s="1945"/>
      <c r="C27" s="1945"/>
      <c r="D27" s="1945"/>
      <c r="E27" s="1945"/>
    </row>
    <row customHeight="1" ht="25.5" r="28" spans="1:5">
      <c r="A28" s="1945" t="s">
        <v>1564</v>
      </c>
      <c r="B28" s="1945"/>
      <c r="C28" s="1945"/>
      <c r="D28" s="1945"/>
      <c r="E28" s="1945"/>
    </row>
    <row customFormat="1" customHeight="1" ht="15" r="29" s="327" spans="1:5">
      <c r="A29" s="1937" t="s">
        <v>1487</v>
      </c>
      <c r="B29" s="1938"/>
      <c r="C29" s="1939"/>
      <c r="D29" s="1935" t="s">
        <v>1488</v>
      </c>
      <c r="E29" s="1932" t="s">
        <v>2122</v>
      </c>
    </row>
    <row customFormat="1" customHeight="1" ht="15.75" r="30" s="327" spans="1:5">
      <c r="A30" s="1940"/>
      <c r="B30" s="1941"/>
      <c r="C30" s="1942"/>
      <c r="D30" s="1936"/>
      <c r="E30" s="1932"/>
    </row>
    <row customHeight="1" ht="25.5" r="31" spans="1:5">
      <c r="A31" s="1662">
        <f>IF('А-7.6'!C9=1,'А-7.6'!A9,0)</f>
        <v>0</v>
      </c>
      <c r="B31" s="1663"/>
      <c r="C31" s="1664"/>
      <c r="D31" s="92">
        <v>0</v>
      </c>
      <c r="E31" s="99"/>
    </row>
    <row customHeight="1" ht="24.75" r="32" spans="1:5">
      <c r="A32" s="1662">
        <f>IF('А-7.6'!C10=1,'А-7.6'!A10,0)</f>
        <v>0</v>
      </c>
      <c r="B32" s="1663"/>
      <c r="C32" s="1664"/>
      <c r="D32" s="1490">
        <v>0</v>
      </c>
      <c r="E32" s="99"/>
    </row>
    <row r="33" spans="1:5">
      <c r="A33" s="1662">
        <f>IF('А-7.6'!C11=1,'А-7.6'!A11,0)</f>
        <v>0</v>
      </c>
      <c r="B33" s="1663"/>
      <c r="C33" s="1664"/>
      <c r="D33" s="1490">
        <v>0</v>
      </c>
      <c r="E33" s="99"/>
    </row>
    <row customHeight="1" ht="12.75" r="34" spans="1:5">
      <c r="A34" s="1662">
        <f>IF('А-7.6'!C12=1,'А-7.6'!A12,0)</f>
        <v>0</v>
      </c>
      <c r="B34" s="1663"/>
      <c r="C34" s="1664"/>
      <c r="D34" s="1490">
        <v>0</v>
      </c>
      <c r="E34" s="99"/>
    </row>
    <row r="35" spans="1:5">
      <c r="A35" s="1662">
        <f>IF('А-7.6'!C13=1,'А-7.6'!A13,0)</f>
        <v>0</v>
      </c>
      <c r="B35" s="1663"/>
      <c r="C35" s="1664"/>
      <c r="D35" s="1490">
        <v>0</v>
      </c>
      <c r="E35" s="99"/>
    </row>
    <row r="36" spans="1:5">
      <c r="A36" s="1662">
        <f>IF('А-7.6'!C14=1,'А-7.6'!A14,0)</f>
        <v>0</v>
      </c>
      <c r="B36" s="1663"/>
      <c r="C36" s="1664"/>
      <c r="D36" s="1490">
        <v>0</v>
      </c>
      <c r="E36" s="99"/>
    </row>
    <row customHeight="1" ht="29.25" r="37" spans="1:5">
      <c r="A37" s="1662">
        <f>IF('А-7.6'!C15=1,'А-7.6'!A15,0)</f>
        <v>0</v>
      </c>
      <c r="B37" s="1663"/>
      <c r="C37" s="1664"/>
      <c r="D37" s="1490">
        <v>0</v>
      </c>
      <c r="E37" s="324"/>
    </row>
    <row customHeight="1" ht="23.25" r="38" spans="1:5">
      <c r="A38" s="1662">
        <f>IF('А-7.6'!C16=1,'А-7.6'!A16,0)</f>
        <v>0</v>
      </c>
      <c r="B38" s="1663"/>
      <c r="C38" s="1664"/>
      <c r="D38" s="1490">
        <v>0</v>
      </c>
      <c r="E38" s="99"/>
    </row>
    <row customHeight="1" ht="27" r="39" spans="1:5">
      <c r="A39" s="1662">
        <f>IF('А-7.6'!C17=1,'А-7.6'!A17,0)</f>
        <v>0</v>
      </c>
      <c r="B39" s="1663"/>
      <c r="C39" s="1664"/>
      <c r="D39" s="1490">
        <v>0</v>
      </c>
      <c r="E39" s="99"/>
    </row>
    <row customHeight="1" ht="18" r="40" spans="1:5">
      <c r="A40" s="1662">
        <f>IF('А-7.6'!C18=1,'А-7.6'!A18,0)</f>
        <v>0</v>
      </c>
      <c r="B40" s="1663"/>
      <c r="C40" s="1664"/>
      <c r="D40" s="1490">
        <v>0</v>
      </c>
      <c r="E40" s="99"/>
    </row>
    <row r="41" spans="1:5">
      <c r="A41" s="1922" t="s">
        <v>1513</v>
      </c>
      <c r="B41" s="1922"/>
      <c r="C41" s="1922"/>
      <c r="D41" s="1922"/>
      <c r="E41" s="1922"/>
    </row>
    <row r="42" spans="1:5">
      <c r="A42" s="1929" t="s">
        <v>2060</v>
      </c>
      <c r="B42" s="1929"/>
      <c r="C42" s="1929"/>
      <c r="D42" s="1929"/>
      <c r="E42" s="1929"/>
    </row>
    <row r="43" spans="1:5">
      <c r="A43" s="1919" t="s">
        <v>1503</v>
      </c>
      <c r="B43" s="1919"/>
      <c r="C43" s="1919"/>
      <c r="D43" s="1919"/>
      <c r="E43" s="1919"/>
    </row>
    <row r="44" spans="1:5">
      <c r="A44" s="1920" t="s">
        <v>2060</v>
      </c>
      <c r="B44" s="1920"/>
      <c r="C44" s="1920"/>
      <c r="D44" s="1920"/>
      <c r="E44" s="1920"/>
    </row>
    <row r="45" spans="1:5">
      <c r="A45" s="1919" t="s">
        <v>1531</v>
      </c>
      <c r="B45" s="1919"/>
      <c r="C45" s="1919"/>
      <c r="D45" s="1919"/>
      <c r="E45" s="1919"/>
    </row>
    <row r="46" spans="1:5">
      <c r="A46" s="1920" t="s">
        <v>2061</v>
      </c>
      <c r="B46" s="1920"/>
      <c r="C46" s="1920"/>
      <c r="D46" s="1920"/>
      <c r="E46" s="1920"/>
    </row>
    <row r="47" spans="1:5">
      <c r="A47" s="1932" t="s">
        <v>1497</v>
      </c>
      <c r="B47" s="1932"/>
      <c r="C47" s="1932" t="s">
        <v>1542</v>
      </c>
      <c r="D47" s="1932"/>
      <c r="E47" s="1932"/>
    </row>
    <row r="48" spans="1:5">
      <c r="A48" s="1781" t="s">
        <v>2057</v>
      </c>
      <c r="B48" s="1781"/>
      <c r="C48" s="1781" t="s">
        <v>2058</v>
      </c>
      <c r="D48" s="1781"/>
      <c r="E48" s="1781"/>
    </row>
    <row r="49" spans="1:5">
      <c r="A49" s="1919" t="s">
        <v>1498</v>
      </c>
      <c r="B49" s="1919"/>
      <c r="C49" s="1919"/>
      <c r="D49" s="1919"/>
      <c r="E49" s="1919"/>
    </row>
    <row r="50" spans="1:5">
      <c r="A50" s="1920" t="s">
        <v>2056</v>
      </c>
      <c r="B50" s="1920"/>
      <c r="C50" s="1920"/>
      <c r="D50" s="1920"/>
      <c r="E50" s="1920"/>
    </row>
    <row r="51" spans="1:5">
      <c r="A51" s="328"/>
      <c r="B51" s="328"/>
      <c r="C51" s="328"/>
      <c r="D51" s="326"/>
      <c r="E51" s="328"/>
    </row>
    <row r="52" spans="1:5">
      <c r="A52" s="328"/>
      <c r="B52" s="328"/>
      <c r="C52" s="328"/>
      <c r="D52" s="326"/>
      <c r="E52" s="328"/>
    </row>
    <row r="53" spans="1:5">
      <c r="A53" s="329" t="s">
        <v>1897</v>
      </c>
      <c r="B53" s="327"/>
      <c r="C53" s="327"/>
      <c r="E53" s="327"/>
    </row>
    <row r="54" spans="1:5">
      <c r="A54" s="327">
        <f>+ЧХ!$C$15</f>
        <v>0</v>
      </c>
      <c r="B54" s="1679">
        <f>+ЧХ!$C$16</f>
        <v>0</v>
      </c>
      <c r="C54" s="1679"/>
      <c r="D54" s="44" t="s">
        <v>1777</v>
      </c>
      <c r="E54" s="327"/>
    </row>
    <row r="55" spans="1:5">
      <c r="A55" s="329" t="s">
        <v>1873</v>
      </c>
      <c r="B55" s="327"/>
      <c r="C55" s="327"/>
      <c r="E55" s="327"/>
    </row>
    <row r="56" spans="1:5">
      <c r="A56" s="327" t="str">
        <f>+ЧХ!$B$6</f>
        <v>Аудитын менежер</v>
      </c>
      <c r="B56" s="1679">
        <f>+ЧХ!$C$6</f>
        <v>0</v>
      </c>
      <c r="C56" s="1679"/>
      <c r="D56" s="44" t="s">
        <v>1777</v>
      </c>
      <c r="E56" s="327"/>
    </row>
    <row r="57" spans="1:5">
      <c r="A57" s="329" t="s">
        <v>2035</v>
      </c>
      <c r="B57" s="327"/>
      <c r="C57" s="327"/>
      <c r="E57" s="327"/>
    </row>
    <row r="58" spans="1:5">
      <c r="A58" s="327" t="str">
        <f>+ЧХ!$B$5</f>
        <v>Тэргүүлэх аудитор</v>
      </c>
      <c r="B58" s="1679" t="str">
        <f>+ЧХ!$C$5</f>
        <v>С.Энхбаатар</v>
      </c>
      <c r="C58" s="1679"/>
      <c r="D58" s="44" t="s">
        <v>1777</v>
      </c>
      <c r="E58" s="327"/>
    </row>
    <row r="59" spans="1:5">
      <c r="D59" s="85"/>
    </row>
    <row customFormat="1" r="60" s="327" spans="1:5">
      <c r="A60" s="327" t="str">
        <f>ЧХ!$B$6</f>
        <v>Аудитын менежер</v>
      </c>
    </row>
    <row customFormat="1" r="61" s="327" spans="1:5">
      <c r="A61" s="327" t="s">
        <v>2142</v>
      </c>
    </row>
    <row customFormat="1" r="62" s="327" spans="1:5"/>
    <row customFormat="1" r="63" s="327" spans="1:5">
      <c r="A63" s="327" t="str">
        <f>ЧХ!$B$5</f>
        <v>Тэргүүлэх аудитор</v>
      </c>
    </row>
    <row customFormat="1" r="64" s="327" spans="1:5">
      <c r="A64" s="327" t="s">
        <v>2142</v>
      </c>
    </row>
  </sheetData>
  <mergeCells count="54">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 ref="A11:E11"/>
    <mergeCell ref="A12:E12"/>
    <mergeCell ref="A13:E13"/>
    <mergeCell ref="A26:E26"/>
    <mergeCell ref="A27:E27"/>
    <mergeCell ref="A28:E28"/>
    <mergeCell ref="E29:E30"/>
    <mergeCell ref="A19:E19"/>
    <mergeCell ref="A20:E20"/>
    <mergeCell ref="A21:E21"/>
    <mergeCell ref="A22:E22"/>
    <mergeCell ref="A23:E23"/>
    <mergeCell ref="A24:E24"/>
    <mergeCell ref="A25:E25"/>
    <mergeCell ref="D29:D30"/>
    <mergeCell ref="A29:C30"/>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36:C36"/>
    <mergeCell ref="A31:C31"/>
    <mergeCell ref="A32:C32"/>
    <mergeCell ref="A33:C33"/>
    <mergeCell ref="A34:C34"/>
    <mergeCell ref="A35:C35"/>
  </mergeCells>
  <pageMargins bottom="0.75" footer="0.3" header="0.3" left="0.7" right="0.7" top="0.75"/>
  <pageSetup orientation="portrait" r:id="rId1"/>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2" r="1" spans="1:5">
      <c r="A1" s="406"/>
      <c r="B1" s="406"/>
      <c r="C1" s="406"/>
      <c r="D1" s="406"/>
      <c r="E1" s="549" t="s">
        <v>1543</v>
      </c>
    </row>
    <row customFormat="1" customHeight="1" ht="12" r="2" s="327" spans="1:5">
      <c r="A2" s="406"/>
      <c r="B2" s="406"/>
      <c r="C2" s="406"/>
      <c r="D2" s="406"/>
      <c r="E2" s="549"/>
    </row>
    <row customHeight="1" ht="18" r="3" spans="1:5">
      <c r="A3" s="1955" t="s">
        <v>2034</v>
      </c>
      <c r="B3" s="1955"/>
      <c r="C3" s="1955"/>
      <c r="D3" s="1955"/>
      <c r="E3" s="1955"/>
    </row>
    <row customHeight="1" ht="14.25" r="4" spans="1:5">
      <c r="A4" s="406"/>
      <c r="B4" s="406"/>
      <c r="C4" s="406"/>
      <c r="D4" s="406"/>
      <c r="E4" s="406"/>
    </row>
    <row customHeight="1" ht="32.25"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68.25" r="6" spans="1:5">
      <c r="A6" s="1924" t="s">
        <v>1679</v>
      </c>
      <c r="B6" s="1924"/>
      <c r="C6" s="1924"/>
      <c r="D6" s="1924"/>
      <c r="E6" s="1924"/>
    </row>
    <row customHeight="1" ht="30" r="7" spans="1:5">
      <c r="A7" s="1919" t="s">
        <v>1540</v>
      </c>
      <c r="B7" s="1919"/>
      <c r="C7" s="1919"/>
      <c r="D7" s="1919"/>
      <c r="E7" s="1919"/>
    </row>
    <row r="8" spans="1:5">
      <c r="A8" s="1919" t="s">
        <v>1500</v>
      </c>
      <c r="B8" s="1919"/>
      <c r="C8" s="1919"/>
      <c r="D8" s="1919"/>
      <c r="E8" s="1919"/>
    </row>
    <row customHeight="1" ht="15" r="9" spans="1:5">
      <c r="A9" s="1688" t="s">
        <v>2050</v>
      </c>
      <c r="B9" s="1688"/>
      <c r="C9" s="1688"/>
      <c r="D9" s="1688"/>
      <c r="E9" s="1688"/>
    </row>
    <row customHeight="1" ht="15" r="10" spans="1:5">
      <c r="A10" s="1688" t="s">
        <v>2051</v>
      </c>
      <c r="B10" s="1688"/>
      <c r="C10" s="1688"/>
      <c r="D10" s="1688"/>
      <c r="E10" s="1688"/>
    </row>
    <row customHeight="1" ht="15" r="11" spans="1:5">
      <c r="A11" s="1688" t="s">
        <v>2052</v>
      </c>
      <c r="B11" s="1688"/>
      <c r="C11" s="1688"/>
      <c r="D11" s="1688"/>
      <c r="E11" s="1688"/>
    </row>
    <row customHeight="1" ht="15" r="12" spans="1:5">
      <c r="A12" s="1688" t="s">
        <v>2053</v>
      </c>
      <c r="B12" s="1688"/>
      <c r="C12" s="1688"/>
      <c r="D12" s="1688"/>
      <c r="E12" s="1688"/>
    </row>
    <row customHeight="1" ht="15" r="13" spans="1:5">
      <c r="A13" s="1688" t="s">
        <v>2054</v>
      </c>
      <c r="B13" s="1688"/>
      <c r="C13" s="1688"/>
      <c r="D13" s="1688"/>
      <c r="E13" s="1688"/>
    </row>
    <row customHeight="1" ht="15" r="14" spans="1:5">
      <c r="A14" s="1688" t="s">
        <v>2055</v>
      </c>
      <c r="B14" s="1688"/>
      <c r="C14" s="1688"/>
      <c r="D14" s="1688"/>
      <c r="E14" s="1688"/>
    </row>
    <row customHeight="1" ht="24" r="15" spans="1:5">
      <c r="A15" s="1688" t="s">
        <v>2121</v>
      </c>
      <c r="B15" s="1688"/>
      <c r="C15" s="1688"/>
      <c r="D15" s="1688"/>
      <c r="E15" s="1688"/>
    </row>
    <row customFormat="1" customHeight="1" ht="15" r="16" s="327" spans="1:5">
      <c r="A16" s="1937" t="s">
        <v>2137</v>
      </c>
      <c r="B16" s="1938"/>
      <c r="C16" s="1939"/>
      <c r="D16" s="1935" t="s">
        <v>1488</v>
      </c>
      <c r="E16" s="1932" t="s">
        <v>2122</v>
      </c>
    </row>
    <row customFormat="1" customHeight="1" ht="15.75" r="17" s="327" spans="1:5">
      <c r="A17" s="1940"/>
      <c r="B17" s="1941"/>
      <c r="C17" s="1942"/>
      <c r="D17" s="1936"/>
      <c r="E17" s="1932"/>
    </row>
    <row customHeight="1" ht="27.75" r="18" spans="1:5">
      <c r="A18" s="1662">
        <f>IF('А-7.7'!C9=1,'А-7.7'!A9,0)</f>
        <v>0</v>
      </c>
      <c r="B18" s="1663"/>
      <c r="C18" s="1664"/>
      <c r="D18" s="92">
        <v>0</v>
      </c>
      <c r="E18" s="99"/>
    </row>
    <row customHeight="1" ht="26.25" r="19" spans="1:5">
      <c r="A19" s="1662">
        <f>IF('А-7.7'!C10=1,'А-7.7'!A10,0)</f>
        <v>0</v>
      </c>
      <c r="B19" s="1663"/>
      <c r="C19" s="1664"/>
      <c r="D19" s="1490">
        <v>0</v>
      </c>
      <c r="E19" s="92"/>
    </row>
    <row customHeight="1" ht="29.25" r="20" spans="1:5">
      <c r="A20" s="1662">
        <f>IF('А-7.7'!C11=1,'А-7.7'!A11,0)</f>
        <v>0</v>
      </c>
      <c r="B20" s="1663"/>
      <c r="C20" s="1664"/>
      <c r="D20" s="1490">
        <v>0</v>
      </c>
      <c r="E20" s="99"/>
    </row>
    <row customHeight="1" ht="23.25" r="21" spans="1:5">
      <c r="A21" s="1662">
        <f>IF('А-7.7'!C12=1,'А-7.7'!A12,0)</f>
        <v>0</v>
      </c>
      <c r="B21" s="1663"/>
      <c r="C21" s="1664"/>
      <c r="D21" s="1490">
        <v>0</v>
      </c>
      <c r="E21" s="99"/>
    </row>
    <row customHeight="1" ht="23.25" r="22" spans="1:5">
      <c r="A22" s="1662">
        <f>IF('А-7.7'!C13=1,'А-7.7'!A13,0)</f>
        <v>0</v>
      </c>
      <c r="B22" s="1663"/>
      <c r="C22" s="1664"/>
      <c r="D22" s="1490">
        <v>0</v>
      </c>
      <c r="E22" s="99"/>
    </row>
    <row customFormat="1" customHeight="1" ht="22.5" r="23" s="1484" spans="1:5">
      <c r="A23" s="1662">
        <f>IF('А-7.7'!C14=1,'А-7.7'!A14,0)</f>
        <v>0</v>
      </c>
      <c r="B23" s="1663"/>
      <c r="C23" s="1664"/>
      <c r="D23" s="1490">
        <v>0</v>
      </c>
      <c r="E23" s="1489"/>
    </row>
    <row customFormat="1" customHeight="1" ht="30.75" r="24" s="1484" spans="1:5">
      <c r="A24" s="1662">
        <f>IF('А-7.7'!C15=1,'А-7.7'!A15,0)</f>
        <v>0</v>
      </c>
      <c r="B24" s="1663"/>
      <c r="C24" s="1664"/>
      <c r="D24" s="1490">
        <v>0</v>
      </c>
      <c r="E24" s="1489"/>
    </row>
    <row customFormat="1" customHeight="1" ht="36" r="25" s="1484" spans="1:5">
      <c r="A25" s="1662">
        <f>IF('А-7.7'!C16=1,'А-7.7'!A16,0)</f>
        <v>0</v>
      </c>
      <c r="B25" s="1663"/>
      <c r="C25" s="1664"/>
      <c r="D25" s="1490">
        <v>0</v>
      </c>
      <c r="E25" s="1489"/>
    </row>
    <row customHeight="1" ht="30.75" r="26" spans="1:5">
      <c r="A26" s="1662">
        <f>IF('А-7.7'!C17=1,'А-7.7'!A17,0)</f>
        <v>0</v>
      </c>
      <c r="B26" s="1663"/>
      <c r="C26" s="1664"/>
      <c r="D26" s="1490">
        <v>0</v>
      </c>
      <c r="E26" s="99"/>
    </row>
    <row r="27" spans="1:5">
      <c r="A27" s="1919" t="s">
        <v>1541</v>
      </c>
      <c r="B27" s="1919"/>
      <c r="C27" s="1919"/>
      <c r="D27" s="1919"/>
      <c r="E27" s="1919"/>
    </row>
    <row customHeight="1" ht="13.5" r="28" spans="1:5">
      <c r="A28" s="1920" t="s">
        <v>2060</v>
      </c>
      <c r="B28" s="1920"/>
      <c r="C28" s="1920"/>
      <c r="D28" s="1920"/>
      <c r="E28" s="1920"/>
    </row>
    <row r="29" spans="1:5">
      <c r="A29" s="1919" t="s">
        <v>1503</v>
      </c>
      <c r="B29" s="1919"/>
      <c r="C29" s="1919"/>
      <c r="D29" s="1919"/>
      <c r="E29" s="1919"/>
    </row>
    <row r="30" spans="1:5">
      <c r="A30" s="1920" t="s">
        <v>2056</v>
      </c>
      <c r="B30" s="1920"/>
      <c r="C30" s="1920"/>
      <c r="D30" s="1920"/>
      <c r="E30" s="1920"/>
    </row>
    <row r="31" spans="1:5">
      <c r="A31" s="1919" t="s">
        <v>1514</v>
      </c>
      <c r="B31" s="1919"/>
      <c r="C31" s="1919"/>
      <c r="D31" s="1919"/>
      <c r="E31" s="1919"/>
    </row>
    <row r="32" spans="1:5">
      <c r="A32" s="1920" t="s">
        <v>2056</v>
      </c>
      <c r="B32" s="1920"/>
      <c r="C32" s="1920"/>
      <c r="D32" s="1920"/>
      <c r="E32" s="1920"/>
    </row>
    <row customHeight="1" ht="25.5" r="33" spans="1:5">
      <c r="A33" s="1947" t="s">
        <v>1497</v>
      </c>
      <c r="B33" s="1949"/>
      <c r="C33" s="1947" t="s">
        <v>1542</v>
      </c>
      <c r="D33" s="1948"/>
      <c r="E33" s="1949"/>
    </row>
    <row r="34" spans="1:5">
      <c r="A34" s="1953" t="s">
        <v>2057</v>
      </c>
      <c r="B34" s="1954"/>
      <c r="C34" s="1950" t="s">
        <v>2058</v>
      </c>
      <c r="D34" s="1951"/>
      <c r="E34" s="1952"/>
    </row>
    <row r="35" spans="1:5">
      <c r="A35" s="1919" t="s">
        <v>1498</v>
      </c>
      <c r="B35" s="1919"/>
      <c r="C35" s="1919"/>
      <c r="D35" s="1919"/>
      <c r="E35" s="1919"/>
    </row>
    <row r="36" spans="1:5">
      <c r="A36" s="1709" t="s">
        <v>2056</v>
      </c>
      <c r="B36" s="1709"/>
      <c r="C36" s="1709"/>
      <c r="D36" s="1709"/>
      <c r="E36" s="1709"/>
    </row>
    <row r="37" spans="1:5">
      <c r="A37" s="60"/>
      <c r="B37" s="60"/>
      <c r="C37" s="60"/>
      <c r="D37" s="60"/>
      <c r="E37" s="60"/>
    </row>
    <row r="38" spans="1:5">
      <c r="A38" s="60"/>
      <c r="B38" s="60"/>
      <c r="C38" s="60"/>
      <c r="D38" s="60"/>
      <c r="E38" s="60"/>
    </row>
    <row r="39" spans="1:5">
      <c r="A39" s="51" t="s">
        <v>1897</v>
      </c>
    </row>
    <row r="40" spans="1:5">
      <c r="A40" s="85">
        <f>+ЧХ!$C$15</f>
        <v>0</v>
      </c>
      <c r="B40" s="1679">
        <f>+ЧХ!$C$16</f>
        <v>0</v>
      </c>
      <c r="C40" s="1679"/>
      <c r="D40" s="85" t="s">
        <v>1777</v>
      </c>
    </row>
    <row r="41" spans="1:5">
      <c r="A41" s="51" t="s">
        <v>1873</v>
      </c>
    </row>
    <row r="42" spans="1:5">
      <c r="A42" s="85" t="str">
        <f>+ЧХ!$B$6</f>
        <v>Аудитын менежер</v>
      </c>
      <c r="B42" s="1679">
        <f>+ЧХ!$C$6</f>
        <v>0</v>
      </c>
      <c r="C42" s="1679"/>
      <c r="D42" s="85" t="s">
        <v>1777</v>
      </c>
    </row>
    <row r="43" spans="1:5">
      <c r="A43" s="51" t="s">
        <v>2035</v>
      </c>
    </row>
    <row r="44" spans="1:5">
      <c r="A44" s="85" t="str">
        <f>+ЧХ!$B$5</f>
        <v>Тэргүүлэх аудитор</v>
      </c>
      <c r="B44" s="1679" t="str">
        <f>+ЧХ!$C$5</f>
        <v>С.Энхбаатар</v>
      </c>
      <c r="C44" s="1679"/>
      <c r="D44" s="85" t="s">
        <v>1777</v>
      </c>
    </row>
    <row customFormat="1" r="46" s="327" spans="1:5">
      <c r="A46" s="327" t="str">
        <f>ЧХ!$B$6</f>
        <v>Аудитын менежер</v>
      </c>
    </row>
    <row customFormat="1" r="47" s="327" spans="1:5">
      <c r="A47" s="327" t="s">
        <v>2142</v>
      </c>
    </row>
    <row customFormat="1" r="48" s="327" spans="1:5"/>
    <row customFormat="1" r="49" s="327" spans="1:1">
      <c r="A49" s="327" t="str">
        <f>ЧХ!$B$5</f>
        <v>Тэргүүлэх аудитор</v>
      </c>
    </row>
    <row customFormat="1" r="50" s="327" spans="1:1">
      <c r="A50" s="327" t="s">
        <v>2142</v>
      </c>
    </row>
  </sheetData>
  <mergeCells count="40">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 ref="A3:E3"/>
    <mergeCell ref="A6:E6"/>
    <mergeCell ref="A7:E7"/>
    <mergeCell ref="A8:E8"/>
    <mergeCell ref="A9:E9"/>
    <mergeCell ref="D5:E5"/>
    <mergeCell ref="A5:C5"/>
    <mergeCell ref="A10:E10"/>
    <mergeCell ref="A11:E11"/>
    <mergeCell ref="A12:E12"/>
    <mergeCell ref="A13:E13"/>
    <mergeCell ref="A14:E14"/>
    <mergeCell ref="C33:E33"/>
    <mergeCell ref="C34:E34"/>
    <mergeCell ref="A33:B33"/>
    <mergeCell ref="A34:B34"/>
    <mergeCell ref="A15:E15"/>
    <mergeCell ref="E16:E17"/>
    <mergeCell ref="A20:C20"/>
    <mergeCell ref="A21:C21"/>
    <mergeCell ref="A22:C22"/>
    <mergeCell ref="A23:C23"/>
    <mergeCell ref="A24:C24"/>
    <mergeCell ref="A25:C25"/>
  </mergeCells>
  <pageMargins bottom="0.75" footer="0.3" header="0.3" left="0.7" right="0.7" top="0.75"/>
  <pageSetup orientation="portrait" r:id="rId1"/>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E1" s="549" t="s">
        <v>1565</v>
      </c>
    </row>
    <row customFormat="1" r="2" s="327" spans="1:5">
      <c r="E2" s="25"/>
    </row>
    <row r="3" spans="1:5">
      <c r="A3" s="1699" t="s">
        <v>1539</v>
      </c>
      <c r="B3" s="1699"/>
      <c r="C3" s="1699"/>
      <c r="D3" s="1699"/>
      <c r="E3" s="1699"/>
    </row>
    <row customFormat="1" r="4" s="327" spans="1:5">
      <c r="A4" s="406"/>
      <c r="B4" s="406"/>
      <c r="C4" s="406"/>
      <c r="D4" s="406"/>
      <c r="E4" s="406"/>
    </row>
    <row customHeight="1" ht="32.25"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70.5" r="6" spans="1:5">
      <c r="A6" s="1929" t="s">
        <v>2374</v>
      </c>
      <c r="B6" s="1929"/>
      <c r="C6" s="1929"/>
      <c r="D6" s="1929"/>
      <c r="E6" s="1929"/>
    </row>
    <row customHeight="1" ht="31.5" r="7" spans="1:5">
      <c r="A7" s="1709" t="s">
        <v>2375</v>
      </c>
      <c r="B7" s="1709"/>
      <c r="C7" s="1709"/>
      <c r="D7" s="1709"/>
      <c r="E7" s="1709"/>
    </row>
    <row customHeight="1" ht="15" r="8" spans="1:5">
      <c r="A8" s="1709" t="s">
        <v>1500</v>
      </c>
      <c r="B8" s="1709"/>
      <c r="C8" s="1709"/>
      <c r="D8" s="1709"/>
      <c r="E8" s="1709"/>
    </row>
    <row customHeight="1" ht="15" r="9" spans="1:5">
      <c r="A9" s="1920" t="s">
        <v>2065</v>
      </c>
      <c r="B9" s="1920"/>
      <c r="C9" s="1920"/>
      <c r="D9" s="1920"/>
      <c r="E9" s="1920"/>
    </row>
    <row customHeight="1" ht="15" r="10" spans="1:5">
      <c r="A10" s="1920" t="s">
        <v>2051</v>
      </c>
      <c r="B10" s="1920"/>
      <c r="C10" s="1920"/>
      <c r="D10" s="1920"/>
      <c r="E10" s="1920"/>
    </row>
    <row customHeight="1" ht="15" r="11" spans="1:5">
      <c r="A11" s="1920" t="s">
        <v>2052</v>
      </c>
      <c r="B11" s="1920"/>
      <c r="C11" s="1920"/>
      <c r="D11" s="1920"/>
      <c r="E11" s="1920"/>
    </row>
    <row customHeight="1" ht="15" r="12" spans="1:5">
      <c r="A12" s="1920" t="s">
        <v>2066</v>
      </c>
      <c r="B12" s="1920"/>
      <c r="C12" s="1920"/>
      <c r="D12" s="1920"/>
      <c r="E12" s="1920"/>
    </row>
    <row r="13" spans="1:5">
      <c r="A13" s="1920" t="s">
        <v>2054</v>
      </c>
      <c r="B13" s="1920"/>
      <c r="C13" s="1920"/>
      <c r="D13" s="1920"/>
      <c r="E13" s="1920"/>
    </row>
    <row customFormat="1" customHeight="1" ht="15" r="14" s="327" spans="1:5">
      <c r="A14" s="1920" t="s">
        <v>2055</v>
      </c>
      <c r="B14" s="1920"/>
      <c r="C14" s="1920"/>
      <c r="D14" s="1920"/>
      <c r="E14" s="1920"/>
    </row>
    <row customFormat="1" r="15" s="327" spans="1:5">
      <c r="A15" s="1920" t="s">
        <v>2059</v>
      </c>
      <c r="B15" s="1920"/>
      <c r="C15" s="1920"/>
      <c r="D15" s="1920"/>
      <c r="E15" s="1920"/>
    </row>
    <row r="16" spans="1:5">
      <c r="A16" s="1688" t="s">
        <v>2137</v>
      </c>
      <c r="B16" s="1688"/>
      <c r="C16" s="1688"/>
      <c r="D16" s="1781" t="s">
        <v>1488</v>
      </c>
      <c r="E16" s="1781" t="s">
        <v>2122</v>
      </c>
    </row>
    <row r="17" spans="1:5">
      <c r="A17" s="1688"/>
      <c r="B17" s="1688"/>
      <c r="C17" s="1688"/>
      <c r="D17" s="1781"/>
      <c r="E17" s="1781"/>
    </row>
    <row customHeight="1" ht="30" r="18" spans="1:5">
      <c r="A18" s="1662">
        <f>IF('А-7.8'!C9=1,'А-7.8'!A9,0)</f>
        <v>0</v>
      </c>
      <c r="B18" s="1663"/>
      <c r="C18" s="1664"/>
      <c r="D18" s="325">
        <v>0</v>
      </c>
      <c r="E18" s="324"/>
    </row>
    <row customHeight="1" ht="30" r="19" spans="1:5">
      <c r="A19" s="1662">
        <f>IF('А-7.8'!C10=1,'А-7.8'!A10,0)</f>
        <v>0</v>
      </c>
      <c r="B19" s="1663"/>
      <c r="C19" s="1664"/>
      <c r="D19" s="1490">
        <v>0</v>
      </c>
      <c r="E19" s="325"/>
    </row>
    <row customHeight="1" ht="24.75" r="20" spans="1:5">
      <c r="A20" s="1662">
        <f>IF('А-7.8'!C11=1,'А-7.8'!A11,0)</f>
        <v>0</v>
      </c>
      <c r="B20" s="1663"/>
      <c r="C20" s="1664"/>
      <c r="D20" s="1490">
        <v>0</v>
      </c>
      <c r="E20" s="324"/>
    </row>
    <row customHeight="1" ht="21" r="21" spans="1:5">
      <c r="A21" s="1662">
        <f>IF('А-7.8'!C12=1,'А-7.8'!A12,0)</f>
        <v>0</v>
      </c>
      <c r="B21" s="1663"/>
      <c r="C21" s="1664"/>
      <c r="D21" s="1490">
        <v>0</v>
      </c>
      <c r="E21" s="324"/>
    </row>
    <row customHeight="1" ht="30" r="22" spans="1:5">
      <c r="A22" s="1662">
        <f>IF('А-7.8'!C13=1,'А-7.8'!A13,0)</f>
        <v>0</v>
      </c>
      <c r="B22" s="1663"/>
      <c r="C22" s="1664"/>
      <c r="D22" s="1490">
        <v>0</v>
      </c>
      <c r="E22" s="324"/>
    </row>
    <row customHeight="1" ht="30.75" r="23" spans="1:5">
      <c r="A23" s="1662">
        <f>IF('А-7.8'!C14=1,'А-7.8'!A14,0)</f>
        <v>0</v>
      </c>
      <c r="B23" s="1663"/>
      <c r="C23" s="1664"/>
      <c r="D23" s="1490">
        <v>0</v>
      </c>
      <c r="E23" s="324"/>
    </row>
    <row customHeight="1" ht="39.75" r="24" spans="1:5">
      <c r="A24" s="1662">
        <f>IF('А-7.8'!C15=1,'А-7.8'!A15,0)</f>
        <v>0</v>
      </c>
      <c r="B24" s="1663"/>
      <c r="C24" s="1664"/>
      <c r="D24" s="1490">
        <v>0</v>
      </c>
      <c r="E24" s="324"/>
    </row>
    <row r="25" spans="1:5">
      <c r="A25" s="1709" t="s">
        <v>1541</v>
      </c>
      <c r="B25" s="1709"/>
      <c r="C25" s="1709"/>
      <c r="D25" s="1709"/>
      <c r="E25" s="1709"/>
    </row>
    <row r="26" spans="1:5">
      <c r="A26" s="1920" t="s">
        <v>2060</v>
      </c>
      <c r="B26" s="1920"/>
      <c r="C26" s="1920"/>
      <c r="D26" s="1920"/>
      <c r="E26" s="1920"/>
    </row>
    <row r="27" spans="1:5">
      <c r="A27" s="1709" t="s">
        <v>1503</v>
      </c>
      <c r="B27" s="1709"/>
      <c r="C27" s="1709"/>
      <c r="D27" s="1709"/>
      <c r="E27" s="1709"/>
    </row>
    <row r="28" spans="1:5">
      <c r="A28" s="1920" t="s">
        <v>2056</v>
      </c>
      <c r="B28" s="1920"/>
      <c r="C28" s="1920"/>
      <c r="D28" s="1920"/>
      <c r="E28" s="1920"/>
    </row>
    <row customFormat="1" customHeight="1" ht="18.75" r="29" s="327" spans="1:5">
      <c r="A29" s="1709" t="s">
        <v>1514</v>
      </c>
      <c r="B29" s="1709"/>
      <c r="C29" s="1709"/>
      <c r="D29" s="1709"/>
      <c r="E29" s="1709"/>
    </row>
    <row customFormat="1" r="30" s="327" spans="1:5">
      <c r="A30" s="1920" t="s">
        <v>2056</v>
      </c>
      <c r="B30" s="1920"/>
      <c r="C30" s="1920"/>
      <c r="D30" s="1920"/>
      <c r="E30" s="1920"/>
    </row>
    <row customFormat="1" r="31" s="327" spans="1:5">
      <c r="A31" s="1781" t="s">
        <v>1497</v>
      </c>
      <c r="B31" s="1781"/>
      <c r="C31" s="1781" t="s">
        <v>1542</v>
      </c>
      <c r="D31" s="1781"/>
      <c r="E31" s="1781"/>
    </row>
    <row customFormat="1" r="32" s="327" spans="1:5">
      <c r="A32" s="1688" t="s">
        <v>2057</v>
      </c>
      <c r="B32" s="1688"/>
      <c r="C32" s="1781" t="s">
        <v>2058</v>
      </c>
      <c r="D32" s="1781"/>
      <c r="E32" s="1781"/>
    </row>
    <row customFormat="1" r="33" s="327" spans="1:5">
      <c r="A33" s="1709" t="s">
        <v>1498</v>
      </c>
      <c r="B33" s="1709"/>
      <c r="C33" s="1709"/>
      <c r="D33" s="1709"/>
      <c r="E33" s="1709"/>
    </row>
    <row customFormat="1" r="34" s="327" spans="1:5">
      <c r="A34" s="1709" t="s">
        <v>2056</v>
      </c>
      <c r="B34" s="1709"/>
      <c r="C34" s="1709"/>
      <c r="D34" s="1709"/>
      <c r="E34" s="1709"/>
    </row>
    <row customFormat="1" r="35" s="327" spans="1:5">
      <c r="A35" s="328"/>
      <c r="B35" s="328"/>
      <c r="C35" s="328"/>
      <c r="D35" s="328"/>
      <c r="E35" s="328"/>
    </row>
    <row customFormat="1" r="36" s="327" spans="1:5">
      <c r="A36" s="328"/>
      <c r="B36" s="328"/>
      <c r="C36" s="328"/>
      <c r="D36" s="328"/>
      <c r="E36" s="328"/>
    </row>
    <row customFormat="1" r="37" s="327" spans="1:5">
      <c r="A37" s="329" t="s">
        <v>1897</v>
      </c>
    </row>
    <row customFormat="1" r="38" s="327" spans="1:5">
      <c r="A38" s="327">
        <f>+ЧХ!$C$15</f>
        <v>0</v>
      </c>
      <c r="B38" s="1679">
        <f>+ЧХ!$C$16</f>
        <v>0</v>
      </c>
      <c r="C38" s="1679"/>
      <c r="D38" s="327" t="s">
        <v>1777</v>
      </c>
    </row>
    <row customFormat="1" r="39" s="327" spans="1:5">
      <c r="A39" s="329" t="s">
        <v>1873</v>
      </c>
    </row>
    <row customFormat="1" r="40" s="327" spans="1:5">
      <c r="A40" s="327" t="str">
        <f>+ЧХ!$B$6</f>
        <v>Аудитын менежер</v>
      </c>
      <c r="B40" s="1679">
        <f>+ЧХ!$C$6</f>
        <v>0</v>
      </c>
      <c r="C40" s="1679"/>
      <c r="D40" s="327" t="s">
        <v>1777</v>
      </c>
    </row>
    <row customFormat="1" r="41" s="327" spans="1:5">
      <c r="A41" s="329" t="s">
        <v>2035</v>
      </c>
    </row>
    <row customFormat="1" r="42" s="327" spans="1:5">
      <c r="A42" s="327" t="str">
        <f>+ЧХ!$B$5</f>
        <v>Тэргүүлэх аудитор</v>
      </c>
      <c r="B42" s="1679" t="str">
        <f>+ЧХ!$C$5</f>
        <v>С.Энхбаатар</v>
      </c>
      <c r="C42" s="1679"/>
      <c r="D42" s="327" t="s">
        <v>1777</v>
      </c>
    </row>
    <row customFormat="1" r="43" s="327" spans="1:5"/>
    <row customFormat="1" r="44" s="327" spans="1:5">
      <c r="A44" s="327" t="str">
        <f>ЧХ!$B$6</f>
        <v>Аудитын менежер</v>
      </c>
    </row>
    <row customFormat="1" r="45" s="327" spans="1:5">
      <c r="A45" s="327" t="s">
        <v>2142</v>
      </c>
    </row>
    <row customFormat="1" r="46" s="327" spans="1:5"/>
    <row r="47" spans="1:5">
      <c r="A47" s="327" t="str">
        <f>ЧХ!$B$5</f>
        <v>Тэргүүлэх аудитор</v>
      </c>
      <c r="B47" s="327"/>
      <c r="C47" s="327"/>
      <c r="D47" s="327"/>
      <c r="E47" s="327"/>
    </row>
    <row r="48" spans="1:5">
      <c r="A48" s="327" t="s">
        <v>2142</v>
      </c>
      <c r="B48" s="327"/>
      <c r="C48" s="327"/>
      <c r="D48" s="327"/>
      <c r="E48" s="327"/>
    </row>
  </sheetData>
  <mergeCells count="38">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C32:E32"/>
    <mergeCell ref="E16:E17"/>
    <mergeCell ref="A18:C18"/>
    <mergeCell ref="A19:C19"/>
    <mergeCell ref="A20:C20"/>
    <mergeCell ref="A21:C21"/>
  </mergeCells>
  <pageMargins bottom="0.75" footer="0.3" header="0.3" left="0.7" right="0.7" top="0.75"/>
  <pageSetup orientation="portrait" r:id="rId1"/>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6"/>
      <c r="B1" s="406"/>
      <c r="C1" s="406"/>
      <c r="D1" s="406"/>
      <c r="E1" s="549" t="s">
        <v>1680</v>
      </c>
    </row>
    <row r="2" spans="1:5">
      <c r="A2" s="613"/>
      <c r="B2" s="406"/>
      <c r="C2" s="406"/>
      <c r="D2" s="406"/>
      <c r="E2" s="406"/>
    </row>
    <row r="3" spans="1:5">
      <c r="A3" s="1699" t="s">
        <v>2143</v>
      </c>
      <c r="B3" s="1699"/>
      <c r="C3" s="1699"/>
      <c r="D3" s="1699"/>
      <c r="E3" s="1699"/>
    </row>
    <row r="4" spans="1:5">
      <c r="A4" s="576"/>
      <c r="B4" s="406"/>
      <c r="C4" s="406"/>
      <c r="D4" s="406"/>
      <c r="E4" s="406"/>
    </row>
    <row customHeight="1" ht="38.25" r="5" spans="1:5">
      <c r="A5" s="1712" t="str">
        <f>"Байгууллагын нэр: "&amp;ЧХ!$C$7</f>
        <v xml:space="preserve">Байгууллагын нэр: </v>
      </c>
      <c r="B5" s="1930"/>
      <c r="C5" s="1713"/>
      <c r="D5" s="1790" t="str">
        <f>"Тайлант огноо: "&amp;ЧХ!$C$8</f>
        <v xml:space="preserve">Тайлант огноо: </v>
      </c>
      <c r="E5" s="1790"/>
    </row>
    <row customHeight="1" ht="57" r="6" spans="1:5">
      <c r="A6" s="1924" t="s">
        <v>1566</v>
      </c>
      <c r="B6" s="1924"/>
      <c r="C6" s="1924"/>
      <c r="D6" s="1924"/>
      <c r="E6" s="1924"/>
    </row>
    <row customHeight="1" ht="15.75" r="7" spans="1:5">
      <c r="A7" s="1688" t="s">
        <v>1486</v>
      </c>
      <c r="B7" s="1688"/>
      <c r="C7" s="1688"/>
      <c r="D7" s="1688"/>
      <c r="E7" s="1688"/>
    </row>
    <row customHeight="1" ht="12.75" r="8" spans="1:5">
      <c r="A8" s="1688" t="s">
        <v>1567</v>
      </c>
      <c r="B8" s="1688"/>
      <c r="C8" s="1688"/>
      <c r="D8" s="1688"/>
      <c r="E8" s="1688"/>
    </row>
    <row customHeight="1" ht="12.75" r="9" spans="1:5">
      <c r="A9" s="1688" t="s">
        <v>1568</v>
      </c>
      <c r="B9" s="1688"/>
      <c r="C9" s="1688"/>
      <c r="D9" s="1688"/>
      <c r="E9" s="1688"/>
    </row>
    <row customHeight="1" ht="12.75" r="10" spans="1:5">
      <c r="A10" s="1688" t="s">
        <v>1569</v>
      </c>
      <c r="B10" s="1688"/>
      <c r="C10" s="1688"/>
      <c r="D10" s="1688"/>
      <c r="E10" s="1688"/>
    </row>
    <row customHeight="1" ht="13.5" r="11" spans="1:5">
      <c r="A11" s="1688" t="s">
        <v>1570</v>
      </c>
      <c r="B11" s="1688"/>
      <c r="C11" s="1688"/>
      <c r="D11" s="1688"/>
      <c r="E11" s="1688"/>
    </row>
    <row customHeight="1" ht="15.75" r="12" spans="1:5">
      <c r="A12" s="1688" t="s">
        <v>1500</v>
      </c>
      <c r="B12" s="1688"/>
      <c r="C12" s="1688"/>
      <c r="D12" s="1688"/>
      <c r="E12" s="1688"/>
    </row>
    <row customHeight="1" ht="12.75" r="13" spans="1:5">
      <c r="A13" s="1688" t="s">
        <v>1571</v>
      </c>
      <c r="B13" s="1688"/>
      <c r="C13" s="1688"/>
      <c r="D13" s="1688"/>
      <c r="E13" s="1688"/>
    </row>
    <row customHeight="1" ht="12.75" r="14" spans="1:5">
      <c r="A14" s="1688" t="s">
        <v>1572</v>
      </c>
      <c r="B14" s="1688"/>
      <c r="C14" s="1688"/>
      <c r="D14" s="1688"/>
      <c r="E14" s="1688"/>
    </row>
    <row customHeight="1" ht="13.5" r="15" spans="1:5">
      <c r="A15" s="1688" t="s">
        <v>1573</v>
      </c>
      <c r="B15" s="1688"/>
      <c r="C15" s="1688"/>
      <c r="D15" s="1688"/>
      <c r="E15" s="1688"/>
    </row>
    <row customFormat="1" r="16" s="327" spans="1:5">
      <c r="A16" s="1688" t="s">
        <v>2137</v>
      </c>
      <c r="B16" s="1688"/>
      <c r="C16" s="1688"/>
      <c r="D16" s="1781" t="s">
        <v>1488</v>
      </c>
      <c r="E16" s="1781" t="s">
        <v>2122</v>
      </c>
    </row>
    <row customFormat="1" r="17" s="327" spans="1:5">
      <c r="A17" s="1688"/>
      <c r="B17" s="1688"/>
      <c r="C17" s="1688"/>
      <c r="D17" s="1781"/>
      <c r="E17" s="1781"/>
    </row>
    <row customHeight="1" ht="35.25" r="18" spans="1:5">
      <c r="A18" s="1662">
        <f>IF('А-7.9'!C9=1,'А-7.9'!A9,0)</f>
        <v>0</v>
      </c>
      <c r="B18" s="1663"/>
      <c r="C18" s="1664"/>
      <c r="D18" s="579">
        <v>0</v>
      </c>
      <c r="E18" s="577"/>
    </row>
    <row customHeight="1" ht="25.5" r="19" spans="1:5">
      <c r="A19" s="1662">
        <f>IF('А-7.9'!C10=1,'А-7.9'!A10,0)</f>
        <v>0</v>
      </c>
      <c r="B19" s="1663"/>
      <c r="C19" s="1664"/>
      <c r="D19" s="1490">
        <v>0</v>
      </c>
      <c r="E19" s="577"/>
    </row>
    <row customHeight="1" ht="26.25" r="20" spans="1:5">
      <c r="A20" s="1662">
        <f>IF('А-7.9'!C11=1,'А-7.9'!A11,0)</f>
        <v>0</v>
      </c>
      <c r="B20" s="1663"/>
      <c r="C20" s="1664"/>
      <c r="D20" s="1490">
        <v>0</v>
      </c>
      <c r="E20" s="577"/>
    </row>
    <row customHeight="1" ht="24.75" r="21" spans="1:5">
      <c r="A21" s="1662">
        <f>IF('А-7.9'!C12=1,'А-7.9'!A12,0)</f>
        <v>0</v>
      </c>
      <c r="B21" s="1663"/>
      <c r="C21" s="1664"/>
      <c r="D21" s="1490">
        <v>0</v>
      </c>
      <c r="E21" s="577"/>
    </row>
    <row customHeight="1" ht="42.75" r="22" spans="1:5">
      <c r="A22" s="1662">
        <f>IF('А-7.9'!C13=1,'А-7.9'!A13,0)</f>
        <v>0</v>
      </c>
      <c r="B22" s="1663"/>
      <c r="C22" s="1664"/>
      <c r="D22" s="1490">
        <v>0</v>
      </c>
      <c r="E22" s="577"/>
    </row>
    <row customHeight="1" ht="15" r="23" spans="1:5">
      <c r="A23" s="1688" t="s">
        <v>1513</v>
      </c>
      <c r="B23" s="1688"/>
      <c r="C23" s="1688"/>
      <c r="D23" s="1688"/>
      <c r="E23" s="1688"/>
    </row>
    <row customHeight="1" ht="15.75" r="24" spans="1:5">
      <c r="A24" s="1688" t="s">
        <v>2060</v>
      </c>
      <c r="B24" s="1688"/>
      <c r="C24" s="1688"/>
      <c r="D24" s="1688"/>
      <c r="E24" s="1688"/>
    </row>
    <row customHeight="1" ht="15" r="25" spans="1:5">
      <c r="A25" s="1688" t="s">
        <v>1503</v>
      </c>
      <c r="B25" s="1688"/>
      <c r="C25" s="1688"/>
      <c r="D25" s="1688"/>
      <c r="E25" s="1688"/>
    </row>
    <row customHeight="1" ht="15.75" r="26" spans="1:5">
      <c r="A26" s="1688" t="s">
        <v>2056</v>
      </c>
      <c r="B26" s="1688"/>
      <c r="C26" s="1688"/>
      <c r="D26" s="1688"/>
      <c r="E26" s="1688"/>
    </row>
    <row customHeight="1" ht="15" r="27" spans="1:5">
      <c r="A27" s="1688" t="s">
        <v>1496</v>
      </c>
      <c r="B27" s="1688"/>
      <c r="C27" s="1688"/>
      <c r="D27" s="1688"/>
      <c r="E27" s="1688"/>
    </row>
    <row customHeight="1" ht="15.75" r="28" spans="1:5">
      <c r="A28" s="1688" t="s">
        <v>2056</v>
      </c>
      <c r="B28" s="1688"/>
      <c r="C28" s="1688"/>
      <c r="D28" s="1688"/>
      <c r="E28" s="1688"/>
    </row>
    <row customHeight="1" ht="25.5" r="29" spans="1:5">
      <c r="A29" s="1781" t="s">
        <v>1497</v>
      </c>
      <c r="B29" s="1781"/>
      <c r="C29" s="1781" t="s">
        <v>1542</v>
      </c>
      <c r="D29" s="1781"/>
      <c r="E29" s="1781"/>
    </row>
    <row r="30" spans="1:5">
      <c r="A30" s="1688" t="s">
        <v>2057</v>
      </c>
      <c r="B30" s="1688"/>
      <c r="C30" s="1781" t="s">
        <v>2058</v>
      </c>
      <c r="D30" s="1781"/>
      <c r="E30" s="1781"/>
    </row>
    <row customHeight="1" ht="13.5" r="31" spans="1:5">
      <c r="A31" s="1709" t="s">
        <v>1498</v>
      </c>
      <c r="B31" s="1709"/>
      <c r="C31" s="1709"/>
      <c r="D31" s="1709"/>
      <c r="E31" s="1709"/>
    </row>
    <row r="32" spans="1:5">
      <c r="A32" s="1709" t="s">
        <v>2056</v>
      </c>
      <c r="B32" s="1709"/>
      <c r="C32" s="1709"/>
      <c r="D32" s="1709"/>
      <c r="E32" s="1709"/>
    </row>
    <row r="33" spans="1:5">
      <c r="A33" s="328"/>
      <c r="B33" s="328"/>
      <c r="C33" s="328"/>
      <c r="D33" s="328"/>
      <c r="E33" s="328"/>
    </row>
    <row r="34" spans="1:5">
      <c r="A34" s="328"/>
      <c r="B34" s="328"/>
      <c r="C34" s="328"/>
      <c r="D34" s="328"/>
      <c r="E34" s="328"/>
    </row>
    <row r="35" spans="1:5">
      <c r="A35" s="329" t="s">
        <v>1897</v>
      </c>
      <c r="B35" s="327"/>
      <c r="C35" s="327"/>
      <c r="D35" s="327"/>
      <c r="E35" s="327"/>
    </row>
    <row r="36" spans="1:5">
      <c r="A36" s="327">
        <f>+ЧХ!$C$15</f>
        <v>0</v>
      </c>
      <c r="B36" s="1679">
        <f>+ЧХ!$C$16</f>
        <v>0</v>
      </c>
      <c r="C36" s="1679"/>
      <c r="D36" s="327" t="s">
        <v>1777</v>
      </c>
      <c r="E36" s="327"/>
    </row>
    <row r="37" spans="1:5">
      <c r="A37" s="329" t="s">
        <v>1873</v>
      </c>
      <c r="B37" s="327"/>
      <c r="C37" s="327"/>
      <c r="D37" s="327"/>
      <c r="E37" s="327"/>
    </row>
    <row r="38" spans="1:5">
      <c r="A38" s="327" t="str">
        <f>+ЧХ!$B$6</f>
        <v>Аудитын менежер</v>
      </c>
      <c r="B38" s="1679">
        <f>+ЧХ!$C$6</f>
        <v>0</v>
      </c>
      <c r="C38" s="1679"/>
      <c r="D38" s="327" t="s">
        <v>1777</v>
      </c>
      <c r="E38" s="327"/>
    </row>
    <row r="39" spans="1:5">
      <c r="A39" s="329" t="s">
        <v>2035</v>
      </c>
      <c r="B39" s="327"/>
      <c r="C39" s="327"/>
      <c r="D39" s="327"/>
      <c r="E39" s="327"/>
    </row>
    <row r="40" spans="1:5">
      <c r="A40" s="327" t="str">
        <f>+ЧХ!$B$5</f>
        <v>Тэргүүлэх аудитор</v>
      </c>
      <c r="B40" s="1679" t="str">
        <f>+ЧХ!$C$5</f>
        <v>С.Энхбаатар</v>
      </c>
      <c r="C40" s="1679"/>
      <c r="D40" s="327" t="s">
        <v>1777</v>
      </c>
      <c r="E40" s="327"/>
    </row>
    <row r="41" spans="1:5">
      <c r="A41" s="327"/>
      <c r="B41" s="327"/>
      <c r="C41" s="327"/>
      <c r="D41" s="327"/>
      <c r="E41" s="327"/>
    </row>
    <row r="42" spans="1:5">
      <c r="A42" s="327" t="str">
        <f>ЧХ!$B$6</f>
        <v>Аудитын менежер</v>
      </c>
      <c r="B42" s="327"/>
      <c r="C42" s="327"/>
      <c r="D42" s="327"/>
      <c r="E42" s="327"/>
    </row>
    <row r="43" spans="1:5">
      <c r="A43" s="327" t="s">
        <v>2142</v>
      </c>
      <c r="B43" s="327"/>
      <c r="C43" s="327"/>
      <c r="D43" s="327"/>
      <c r="E43" s="327"/>
    </row>
    <row r="44" spans="1:5">
      <c r="A44" s="327"/>
      <c r="B44" s="327"/>
      <c r="C44" s="327"/>
      <c r="D44" s="327"/>
      <c r="E44" s="327"/>
    </row>
    <row r="45" spans="1:5">
      <c r="A45" s="327" t="str">
        <f>ЧХ!$B$5</f>
        <v>Тэргүүлэх аудитор</v>
      </c>
      <c r="B45" s="327"/>
      <c r="C45" s="327"/>
      <c r="D45" s="327"/>
      <c r="E45" s="327"/>
    </row>
    <row r="46" spans="1:5">
      <c r="A46" s="327" t="s">
        <v>2142</v>
      </c>
      <c r="B46" s="327"/>
      <c r="C46" s="327"/>
      <c r="D46" s="327"/>
      <c r="E46" s="327"/>
    </row>
  </sheetData>
  <mergeCells count="36">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A7:E7"/>
    <mergeCell ref="A16:C17"/>
    <mergeCell ref="A15:E15"/>
    <mergeCell ref="A13:E13"/>
    <mergeCell ref="A14:E14"/>
  </mergeCells>
  <pageMargins bottom="0.75" footer="0.3" header="0.3" left="0.7" right="0.7" top="0.75"/>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39"/>
  <sheetViews>
    <sheetView workbookViewId="0">
      <selection activeCell="J27" sqref="J27"/>
    </sheetView>
  </sheetViews>
  <sheetFormatPr defaultRowHeight="12.75"/>
  <cols>
    <col min="1" max="1" customWidth="true" style="1" width="6.5703125" collapsed="false"/>
    <col min="2" max="2" customWidth="true" style="1" width="31.5703125" collapsed="false"/>
    <col min="3" max="3" customWidth="true" style="1" width="19.140625" collapsed="false"/>
    <col min="4" max="4" customWidth="true" style="1" width="20.28515625" collapsed="false"/>
    <col min="5" max="5" customWidth="true" style="1" width="21.85546875" collapsed="false"/>
    <col min="6" max="16384" style="1" width="9.140625" collapsed="false"/>
  </cols>
  <sheetData>
    <row r="1" spans="1:5">
      <c r="E1" s="13" t="s">
        <v>2019</v>
      </c>
    </row>
    <row r="2" spans="1:5">
      <c r="A2" s="1838" t="s">
        <v>1453</v>
      </c>
      <c r="B2" s="1838"/>
      <c r="C2" s="1838"/>
      <c r="D2" s="1838"/>
      <c r="E2" s="1838"/>
    </row>
    <row r="3" spans="1:5">
      <c r="A3" s="1838" t="s">
        <v>1454</v>
      </c>
      <c r="B3" s="1838"/>
      <c r="C3" s="1838"/>
      <c r="D3" s="1838"/>
      <c r="E3" s="1838"/>
    </row>
    <row r="5" spans="1:5">
      <c r="B5" s="583" t="str">
        <f>"Байгууллагын нэр: "&amp;ЧХ!$C$7</f>
        <v xml:space="preserve">Байгууллагын нэр: </v>
      </c>
    </row>
    <row r="6" spans="1:5">
      <c r="B6" s="573" t="str">
        <f>"Тайлант он: " &amp;ЧХ!$C$8</f>
        <v xml:space="preserve">Тайлант он: </v>
      </c>
    </row>
    <row r="7" spans="1:5">
      <c r="A7" s="266"/>
      <c r="E7" s="50" t="s">
        <v>1455</v>
      </c>
    </row>
    <row customHeight="1" ht="24" r="8" spans="1:5">
      <c r="A8" s="36" t="s">
        <v>1267</v>
      </c>
      <c r="B8" s="36" t="s">
        <v>1456</v>
      </c>
      <c r="C8" s="36" t="s">
        <v>1457</v>
      </c>
      <c r="D8" s="36" t="s">
        <v>1458</v>
      </c>
      <c r="E8" s="36" t="s">
        <v>1459</v>
      </c>
    </row>
    <row customHeight="1" ht="19.5" r="9" spans="1:5">
      <c r="A9" s="837">
        <v>1</v>
      </c>
      <c r="B9" s="835" t="s">
        <v>2968</v>
      </c>
      <c r="C9" s="837" t="s">
        <v>1461</v>
      </c>
      <c r="D9" s="837" t="s">
        <v>1461</v>
      </c>
      <c r="E9" s="837" t="s">
        <v>1461</v>
      </c>
    </row>
    <row r="10" spans="1:5">
      <c r="A10" s="837">
        <v>2</v>
      </c>
      <c r="B10" s="17" t="s">
        <v>1460</v>
      </c>
      <c r="C10" s="595" t="s">
        <v>1461</v>
      </c>
      <c r="D10" s="595" t="s">
        <v>1461</v>
      </c>
      <c r="E10" s="595" t="s">
        <v>1461</v>
      </c>
    </row>
    <row r="11" spans="1:5">
      <c r="A11" s="837">
        <v>3</v>
      </c>
      <c r="B11" s="17" t="s">
        <v>1462</v>
      </c>
      <c r="C11" s="595" t="s">
        <v>1461</v>
      </c>
      <c r="D11" s="595" t="s">
        <v>1461</v>
      </c>
      <c r="E11" s="595" t="s">
        <v>1461</v>
      </c>
    </row>
    <row r="12" spans="1:5">
      <c r="A12" s="595">
        <v>4</v>
      </c>
      <c r="B12" s="17" t="s">
        <v>1463</v>
      </c>
      <c r="C12" s="595" t="s">
        <v>1461</v>
      </c>
      <c r="D12" s="595" t="s">
        <v>1461</v>
      </c>
      <c r="E12" s="595" t="s">
        <v>1461</v>
      </c>
    </row>
    <row r="13" spans="1:5">
      <c r="A13" s="612"/>
      <c r="B13" s="618"/>
      <c r="C13" s="612"/>
      <c r="D13" s="612"/>
      <c r="E13" s="612"/>
    </row>
    <row r="15" spans="1:5">
      <c r="C15" s="1" t="s">
        <v>2020</v>
      </c>
    </row>
    <row r="39" spans="1:1">
      <c r="A39" s="85"/>
    </row>
  </sheetData>
  <mergeCells count="2">
    <mergeCell ref="A2:E2"/>
    <mergeCell ref="A3:E3"/>
  </mergeCells>
  <printOptions horizontalCentered="1"/>
  <pageMargins bottom="0.25" footer="0.3" header="0.3" left="0.7" right="0.2" top="0.75"/>
  <pageSetup orientation="portrait" paperSize="9" r:id="rId1" scale="80"/>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9"/>
  <sheetViews>
    <sheetView workbookViewId="0"/>
  </sheetViews>
  <sheetFormatPr defaultRowHeight="12.75"/>
  <cols>
    <col min="1" max="1" customWidth="true" style="44" width="7.0" collapsed="false"/>
    <col min="2" max="5" customWidth="true" style="85" width="22.85546875" collapsed="false"/>
    <col min="6" max="16384" style="85" width="9.140625" collapsed="false"/>
  </cols>
  <sheetData>
    <row r="1" spans="1:5">
      <c r="E1" s="13" t="s">
        <v>2018</v>
      </c>
    </row>
    <row customHeight="1" ht="19.5" r="2" spans="1:5">
      <c r="A2" s="1834" t="s">
        <v>1480</v>
      </c>
      <c r="B2" s="1834"/>
      <c r="C2" s="1834"/>
      <c r="D2" s="1834"/>
      <c r="E2" s="1834"/>
    </row>
    <row r="3" spans="1:5">
      <c r="A3" s="70"/>
      <c r="B3" s="583"/>
      <c r="C3" s="1"/>
      <c r="D3" s="1"/>
      <c r="E3" s="1"/>
    </row>
    <row r="4" spans="1:5">
      <c r="A4" s="70"/>
      <c r="B4" s="1859" t="str">
        <f>"Байгууллагын нэр: "&amp;ЧХ!$C$7</f>
        <v xml:space="preserve">Байгууллагын нэр: </v>
      </c>
      <c r="C4" s="1859"/>
      <c r="D4" s="1859"/>
      <c r="E4" s="1859"/>
    </row>
    <row r="5" spans="1:5">
      <c r="A5" s="406"/>
      <c r="B5" s="573" t="str">
        <f>"Тайлант он: " &amp;ЧХ!$C$8</f>
        <v xml:space="preserve">Тайлант он: </v>
      </c>
      <c r="C5" s="406"/>
      <c r="D5" s="406"/>
    </row>
    <row customFormat="1" r="6" s="406" spans="1:5"/>
    <row customHeight="1" ht="33" r="7" spans="1:5">
      <c r="A7" s="595" t="s">
        <v>1267</v>
      </c>
      <c r="B7" s="595" t="s">
        <v>1681</v>
      </c>
      <c r="C7" s="595" t="s">
        <v>1458</v>
      </c>
      <c r="D7" s="595" t="s">
        <v>1682</v>
      </c>
      <c r="E7" s="595" t="s">
        <v>1683</v>
      </c>
    </row>
    <row customHeight="1" ht="50.25" r="8" spans="1:5">
      <c r="A8" s="595">
        <v>1</v>
      </c>
      <c r="B8" s="588"/>
      <c r="C8" s="588"/>
      <c r="D8" s="588"/>
      <c r="E8" s="588"/>
    </row>
    <row customHeight="1" ht="60.75" r="9" spans="1:5">
      <c r="A9" s="97">
        <v>2</v>
      </c>
      <c r="B9" s="17"/>
      <c r="C9" s="17"/>
      <c r="D9" s="17"/>
      <c r="E9" s="17"/>
    </row>
  </sheetData>
  <mergeCells count="2">
    <mergeCell ref="A2:E2"/>
    <mergeCell ref="B4:E4"/>
  </mergeCells>
  <pageMargins bottom="0.75" footer="0.3" header="0.3" left="0.7" right="0.7" top="0.75"/>
  <pageSetup horizontalDpi="0" orientation="portrait" r:id="rId1" verticalDpi="0"/>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C14"/>
  <sheetViews>
    <sheetView workbookViewId="0">
      <selection activeCell="C17" sqref="C17"/>
    </sheetView>
  </sheetViews>
  <sheetFormatPr defaultRowHeight="12.75"/>
  <cols>
    <col min="1" max="1" bestFit="true" customWidth="true" style="85" width="12.42578125" collapsed="false"/>
    <col min="2" max="2" customWidth="true" style="85" width="24.42578125" collapsed="false"/>
    <col min="3" max="3" customWidth="true" style="85" width="33.140625" collapsed="false"/>
    <col min="4" max="16384" style="85" width="9.140625" collapsed="false"/>
  </cols>
  <sheetData>
    <row r="1" spans="1:3">
      <c r="C1" s="69" t="s">
        <v>2031</v>
      </c>
    </row>
    <row r="2" spans="1:3">
      <c r="C2" s="69"/>
    </row>
    <row customHeight="1" ht="36" r="3" spans="1:3">
      <c r="A3" s="1701" t="s">
        <v>1695</v>
      </c>
      <c r="B3" s="1701"/>
      <c r="C3" s="1701"/>
    </row>
    <row ht="25.5" r="5" spans="1:3">
      <c r="A5" s="1414" t="s">
        <v>1684</v>
      </c>
      <c r="B5" s="79" t="s">
        <v>1685</v>
      </c>
      <c r="C5" s="582" t="s">
        <v>1694</v>
      </c>
    </row>
    <row r="6" spans="1:3">
      <c r="A6" s="1956" t="s">
        <v>1687</v>
      </c>
      <c r="B6" s="79" t="s">
        <v>1686</v>
      </c>
      <c r="C6" s="79" t="s">
        <v>1687</v>
      </c>
    </row>
    <row r="7" spans="1:3">
      <c r="A7" s="1957"/>
      <c r="B7" s="79" t="s">
        <v>1688</v>
      </c>
      <c r="C7" s="79" t="s">
        <v>1689</v>
      </c>
    </row>
    <row r="8" spans="1:3">
      <c r="A8" s="1958"/>
      <c r="B8" s="79" t="s">
        <v>1690</v>
      </c>
      <c r="C8" s="79" t="s">
        <v>1691</v>
      </c>
    </row>
    <row r="9" spans="1:3">
      <c r="A9" s="1956" t="s">
        <v>1688</v>
      </c>
      <c r="B9" s="79" t="s">
        <v>1686</v>
      </c>
      <c r="C9" s="79" t="s">
        <v>1689</v>
      </c>
    </row>
    <row r="10" spans="1:3">
      <c r="A10" s="1957"/>
      <c r="B10" s="79" t="s">
        <v>1688</v>
      </c>
      <c r="C10" s="79" t="s">
        <v>1688</v>
      </c>
    </row>
    <row r="11" spans="1:3">
      <c r="A11" s="1958"/>
      <c r="B11" s="79" t="s">
        <v>1690</v>
      </c>
      <c r="C11" s="79" t="s">
        <v>1692</v>
      </c>
    </row>
    <row r="12" spans="1:3">
      <c r="A12" s="1956" t="s">
        <v>1692</v>
      </c>
      <c r="B12" s="79" t="s">
        <v>1686</v>
      </c>
      <c r="C12" s="79" t="s">
        <v>1691</v>
      </c>
    </row>
    <row r="13" spans="1:3">
      <c r="A13" s="1957"/>
      <c r="B13" s="79" t="s">
        <v>1688</v>
      </c>
      <c r="C13" s="79" t="s">
        <v>1692</v>
      </c>
    </row>
    <row r="14" spans="1:3">
      <c r="A14" s="1958"/>
      <c r="B14" s="79" t="s">
        <v>1690</v>
      </c>
      <c r="C14" s="79" t="s">
        <v>1693</v>
      </c>
    </row>
  </sheetData>
  <mergeCells count="4">
    <mergeCell ref="A6:A8"/>
    <mergeCell ref="A9:A11"/>
    <mergeCell ref="A3:C3"/>
    <mergeCell ref="A12:A14"/>
  </mergeCells>
  <pageMargins bottom="0.75" footer="0.3" header="0.3" left="0.7" right="0.7" top="0.75"/>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customWidth="true" style="85" width="12.0" collapsed="false"/>
    <col min="2" max="2" customWidth="true" style="85" width="27.0" collapsed="false"/>
    <col min="3" max="3" customWidth="true" style="85" width="28.85546875" collapsed="false"/>
    <col min="4" max="4" customWidth="true" style="85" width="14.0" collapsed="false"/>
    <col min="5" max="5" customWidth="true" style="85" width="42.0" collapsed="false"/>
    <col min="6" max="16384" style="85" width="9.140625" collapsed="false"/>
  </cols>
  <sheetData>
    <row r="1" spans="1:4">
      <c r="D1" s="69" t="s">
        <v>2030</v>
      </c>
    </row>
    <row r="2" spans="1:4">
      <c r="B2" s="1678" t="s">
        <v>1725</v>
      </c>
      <c r="C2" s="1678"/>
    </row>
    <row ht="51" r="4" spans="1:4">
      <c r="A4" s="82" t="s">
        <v>1696</v>
      </c>
      <c r="B4" s="79" t="s">
        <v>1697</v>
      </c>
      <c r="C4" s="79" t="s">
        <v>1698</v>
      </c>
      <c r="D4" s="80" t="s">
        <v>1699</v>
      </c>
    </row>
    <row r="5" spans="1:4">
      <c r="A5" s="1763" t="s">
        <v>1700</v>
      </c>
      <c r="B5" s="1763" t="s">
        <v>1701</v>
      </c>
      <c r="C5" s="1763" t="s">
        <v>1702</v>
      </c>
      <c r="D5" s="1761" t="s">
        <v>2027</v>
      </c>
    </row>
    <row customHeight="1" ht="27.75" r="6" spans="1:4">
      <c r="A6" s="1763"/>
      <c r="B6" s="1763"/>
      <c r="C6" s="1763"/>
      <c r="D6" s="1762"/>
    </row>
    <row r="7" spans="1:4">
      <c r="A7" s="1813" t="s">
        <v>1703</v>
      </c>
      <c r="B7" s="1763" t="s">
        <v>1704</v>
      </c>
      <c r="C7" s="1763" t="s">
        <v>1705</v>
      </c>
      <c r="D7" s="1761" t="s">
        <v>2027</v>
      </c>
    </row>
    <row customHeight="1" ht="51" r="8" spans="1:4">
      <c r="A8" s="1813"/>
      <c r="B8" s="1763"/>
      <c r="C8" s="1763"/>
      <c r="D8" s="1762"/>
    </row>
    <row r="9" spans="1:4">
      <c r="A9" s="1813" t="s">
        <v>1706</v>
      </c>
      <c r="B9" s="1763" t="s">
        <v>1707</v>
      </c>
      <c r="C9" s="1763" t="s">
        <v>1708</v>
      </c>
      <c r="D9" s="1761" t="s">
        <v>2027</v>
      </c>
    </row>
    <row customHeight="1" ht="51" r="10" spans="1:4">
      <c r="A10" s="1813"/>
      <c r="B10" s="1763"/>
      <c r="C10" s="1763"/>
      <c r="D10" s="1762"/>
    </row>
    <row customHeight="1" ht="23.25" r="11" spans="1:4">
      <c r="A11" s="1813" t="s">
        <v>1709</v>
      </c>
      <c r="B11" s="1763" t="s">
        <v>1710</v>
      </c>
      <c r="C11" s="1763" t="s">
        <v>1711</v>
      </c>
      <c r="D11" s="1761" t="s">
        <v>2027</v>
      </c>
    </row>
    <row customHeight="1" ht="85.5" r="12" spans="1:4">
      <c r="A12" s="1813"/>
      <c r="B12" s="1763"/>
      <c r="C12" s="1763"/>
      <c r="D12" s="1762"/>
    </row>
    <row customHeight="1" ht="71.25" r="13" spans="1:4">
      <c r="A13" s="1763" t="s">
        <v>1712</v>
      </c>
      <c r="B13" s="1763" t="s">
        <v>1713</v>
      </c>
      <c r="C13" s="1763" t="s">
        <v>1714</v>
      </c>
      <c r="D13" s="1761" t="s">
        <v>2027</v>
      </c>
    </row>
    <row hidden="1" r="14" spans="1:4">
      <c r="A14" s="1763"/>
      <c r="B14" s="1763"/>
      <c r="C14" s="1763"/>
      <c r="D14" s="1762"/>
    </row>
    <row r="15" spans="1:4">
      <c r="A15" s="1813" t="s">
        <v>1715</v>
      </c>
      <c r="B15" s="1763" t="s">
        <v>1716</v>
      </c>
      <c r="C15" s="1763" t="s">
        <v>1717</v>
      </c>
      <c r="D15" s="1761" t="s">
        <v>2027</v>
      </c>
    </row>
    <row customHeight="1" ht="54.75" r="16" spans="1:4">
      <c r="A16" s="1813"/>
      <c r="B16" s="1763"/>
      <c r="C16" s="1763"/>
      <c r="D16" s="1762"/>
    </row>
    <row customHeight="1" ht="55.5" r="17" spans="1:4">
      <c r="A17" s="79" t="s">
        <v>1718</v>
      </c>
      <c r="B17" s="79" t="s">
        <v>1719</v>
      </c>
      <c r="C17" s="79" t="s">
        <v>1720</v>
      </c>
      <c r="D17" s="79" t="s">
        <v>1721</v>
      </c>
    </row>
    <row customHeight="1" ht="84" r="18" spans="1:4">
      <c r="A18" s="79" t="s">
        <v>1722</v>
      </c>
      <c r="B18" s="79" t="s">
        <v>1723</v>
      </c>
      <c r="C18" s="79" t="s">
        <v>1724</v>
      </c>
      <c r="D18" s="79" t="s">
        <v>1721</v>
      </c>
    </row>
  </sheetData>
  <mergeCells count="25">
    <mergeCell ref="A5:A6"/>
    <mergeCell ref="B5:B6"/>
    <mergeCell ref="C5:C6"/>
    <mergeCell ref="A7:A8"/>
    <mergeCell ref="B7:B8"/>
    <mergeCell ref="C7:C8"/>
    <mergeCell ref="A9:A10"/>
    <mergeCell ref="B9:B10"/>
    <mergeCell ref="C9:C10"/>
    <mergeCell ref="A11:A12"/>
    <mergeCell ref="B11:B12"/>
    <mergeCell ref="C11:C12"/>
    <mergeCell ref="A13:A14"/>
    <mergeCell ref="B13:B14"/>
    <mergeCell ref="C13:C14"/>
    <mergeCell ref="A15:A16"/>
    <mergeCell ref="B15:B16"/>
    <mergeCell ref="C15:C16"/>
    <mergeCell ref="B2:C2"/>
    <mergeCell ref="D15:D16"/>
    <mergeCell ref="D5:D6"/>
    <mergeCell ref="D7:D8"/>
    <mergeCell ref="D9:D10"/>
    <mergeCell ref="D11:D12"/>
    <mergeCell ref="D13:D14"/>
  </mergeCells>
  <pageMargins bottom="0.75" footer="0.3" header="0.3" left="0.7" right="0.7" top="0.75"/>
  <pageSetup orientation="portrait" r:id="rId1"/>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15"/>
  <sheetViews>
    <sheetView workbookViewId="0">
      <selection activeCell="B46" sqref="B46"/>
    </sheetView>
  </sheetViews>
  <sheetFormatPr defaultRowHeight="12.75"/>
  <cols>
    <col min="1" max="1" customWidth="true" style="581" width="5.5703125" collapsed="false"/>
    <col min="2" max="2" customWidth="true" style="85" width="18.140625" collapsed="false"/>
    <col min="3" max="3" customWidth="true" style="85" width="18.28515625" collapsed="false"/>
    <col min="4" max="16384" style="85" width="9.140625" collapsed="false"/>
  </cols>
  <sheetData>
    <row r="1" spans="1:8">
      <c r="H1" s="267" t="s">
        <v>2028</v>
      </c>
    </row>
    <row r="2" spans="1:8">
      <c r="A2" s="1820" t="s">
        <v>1481</v>
      </c>
      <c r="B2" s="1820"/>
      <c r="C2" s="1820"/>
      <c r="D2" s="1820"/>
      <c r="E2" s="1820"/>
      <c r="F2" s="1820"/>
      <c r="G2" s="1820"/>
      <c r="H2" s="1820"/>
    </row>
    <row r="3" spans="1:8">
      <c r="B3" s="583"/>
      <c r="C3" s="1"/>
      <c r="D3" s="1"/>
      <c r="E3" s="1"/>
      <c r="H3" s="267"/>
    </row>
    <row customHeight="1" ht="16.5" r="4" spans="1:8">
      <c r="B4" s="1859" t="str">
        <f>"Байгууллагын нэр: "&amp;ЧХ!$C$7</f>
        <v xml:space="preserve">Байгууллагын нэр: </v>
      </c>
      <c r="C4" s="1859"/>
      <c r="D4" s="1859"/>
      <c r="E4" s="1859"/>
      <c r="F4" s="1859"/>
      <c r="G4" s="1859"/>
      <c r="H4" s="267"/>
    </row>
    <row r="5" spans="1:8">
      <c r="B5" s="573" t="str">
        <f>"тайлант он: " &amp;ЧХ!$C$8</f>
        <v xml:space="preserve">тайлант он: </v>
      </c>
    </row>
    <row customFormat="1" r="6" s="406" spans="1:8">
      <c r="A6" s="581"/>
      <c r="B6" s="573"/>
    </row>
    <row customHeight="1" ht="31.5" r="7" spans="1:8">
      <c r="A7" s="1781" t="s">
        <v>1267</v>
      </c>
      <c r="B7" s="1781" t="s">
        <v>1726</v>
      </c>
      <c r="C7" s="1781" t="s">
        <v>1727</v>
      </c>
      <c r="D7" s="1781" t="s">
        <v>1728</v>
      </c>
      <c r="E7" s="1781"/>
      <c r="F7" s="1781"/>
      <c r="G7" s="1781"/>
      <c r="H7" s="1781"/>
    </row>
    <row customHeight="1" ht="23.25" r="8" spans="1:8">
      <c r="A8" s="1781"/>
      <c r="B8" s="1781"/>
      <c r="C8" s="1781"/>
      <c r="D8" s="593" t="s">
        <v>62</v>
      </c>
      <c r="E8" s="593" t="s">
        <v>27</v>
      </c>
      <c r="F8" s="593" t="s">
        <v>1729</v>
      </c>
      <c r="G8" s="593" t="s">
        <v>1730</v>
      </c>
      <c r="H8" s="593"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0" t="s">
        <v>1731</v>
      </c>
      <c r="C15" s="46"/>
      <c r="D15" s="46"/>
      <c r="E15" s="46"/>
      <c r="F15" s="46"/>
      <c r="G15" s="46"/>
      <c r="H15" s="46"/>
    </row>
  </sheetData>
  <mergeCells count="6">
    <mergeCell ref="B4:G4"/>
    <mergeCell ref="A2:H2"/>
    <mergeCell ref="A7:A8"/>
    <mergeCell ref="B7:B8"/>
    <mergeCell ref="C7:C8"/>
    <mergeCell ref="D7:H7"/>
  </mergeCells>
  <pageMargins bottom="0.75" footer="0.3" header="0.3" left="0.7" right="0.7" top="0.75"/>
  <pageSetup orientation="portrait" r:id="rId1"/>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36"/>
  <sheetViews>
    <sheetView workbookViewId="0"/>
  </sheetViews>
  <sheetFormatPr defaultRowHeight="12.75"/>
  <cols>
    <col min="1" max="7" customWidth="true" style="1" width="18.42578125" collapsed="false"/>
    <col min="8" max="16384" style="1" width="9.140625" collapsed="false"/>
  </cols>
  <sheetData>
    <row r="1" spans="1:8">
      <c r="G1" s="267" t="s">
        <v>2029</v>
      </c>
    </row>
    <row r="2" spans="1:8">
      <c r="A2" s="1838" t="s">
        <v>1482</v>
      </c>
      <c r="B2" s="1838"/>
      <c r="C2" s="1838"/>
      <c r="D2" s="1838"/>
      <c r="E2" s="1838"/>
      <c r="F2" s="1838"/>
      <c r="G2" s="1838"/>
    </row>
    <row r="3" spans="1:8">
      <c r="B3" s="583"/>
    </row>
    <row customHeight="1" ht="15" r="4" spans="1:8">
      <c r="B4" s="1859" t="str">
        <f>"Байгууллагын нэр: "&amp;ЧХ!$C$7</f>
        <v xml:space="preserve">Байгууллагын нэр: </v>
      </c>
      <c r="C4" s="1859"/>
      <c r="D4" s="1859"/>
      <c r="E4" s="1859"/>
      <c r="F4" s="1859"/>
    </row>
    <row r="5" spans="1:8">
      <c r="A5" s="33"/>
      <c r="B5" s="573" t="str">
        <f>"тайлант он: " &amp;ЧХ!$C$8</f>
        <v xml:space="preserve">тайлант он: </v>
      </c>
    </row>
    <row r="6" spans="1:8">
      <c r="A6" s="33"/>
      <c r="B6" s="69"/>
      <c r="G6" s="267" t="s">
        <v>1732</v>
      </c>
    </row>
    <row customHeight="1" ht="32.25" r="7" spans="1:8">
      <c r="A7" s="1959" t="s">
        <v>1733</v>
      </c>
      <c r="B7" s="1960" t="s">
        <v>1734</v>
      </c>
      <c r="C7" s="1961"/>
      <c r="D7" s="1959" t="s">
        <v>1735</v>
      </c>
      <c r="E7" s="1959" t="s">
        <v>1234</v>
      </c>
      <c r="F7" s="1959"/>
      <c r="G7" s="1959"/>
      <c r="H7" s="12"/>
    </row>
    <row customHeight="1" ht="24" r="8" spans="1:8">
      <c r="A8" s="1959"/>
      <c r="B8" s="595" t="s">
        <v>1736</v>
      </c>
      <c r="C8" s="595" t="s">
        <v>1737</v>
      </c>
      <c r="D8" s="1959"/>
      <c r="E8" s="469" t="s">
        <v>36</v>
      </c>
      <c r="F8" s="469" t="s">
        <v>1738</v>
      </c>
      <c r="G8" s="469" t="s">
        <v>1670</v>
      </c>
      <c r="H8" s="12"/>
    </row>
    <row customHeight="1" ht="30.75" r="9" spans="1:8">
      <c r="A9" s="96"/>
      <c r="B9" s="96"/>
      <c r="C9" s="96"/>
      <c r="D9" s="96"/>
      <c r="E9" s="35"/>
      <c r="F9" s="35"/>
      <c r="G9" s="35"/>
      <c r="H9" s="12"/>
    </row>
    <row customHeight="1" ht="30.75" r="10" spans="1:8">
      <c r="A10" s="96"/>
      <c r="B10" s="96"/>
      <c r="C10" s="96"/>
      <c r="D10" s="96"/>
      <c r="E10" s="35"/>
      <c r="F10" s="35"/>
      <c r="G10" s="35"/>
      <c r="H10" s="12"/>
    </row>
    <row customHeight="1" ht="30.75" r="11" spans="1:8">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bottom="0.75" footer="0.3" header="0.3" left="0.7" right="0.7" top="0.75"/>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Y33"/>
  <sheetViews>
    <sheetView workbookViewId="0" zoomScaleNormal="100">
      <selection activeCell="A28" sqref="A28:B32"/>
    </sheetView>
  </sheetViews>
  <sheetFormatPr defaultRowHeight="12.75"/>
  <cols>
    <col min="1" max="1" customWidth="true" style="859" width="5.0" collapsed="true"/>
    <col min="2" max="2" customWidth="true" style="406" width="16.5703125" collapsed="true"/>
    <col min="3" max="3" customWidth="true" style="859" width="30.85546875" collapsed="true"/>
    <col min="4" max="4" customWidth="true" style="41" width="17.5703125" collapsed="true"/>
    <col min="5" max="5" customWidth="true" style="859" width="23.42578125" collapsed="true"/>
    <col min="6" max="6" customWidth="true" style="406" width="23.140625" collapsed="true"/>
    <col min="7" max="7" customWidth="true" style="406" width="24.5703125" collapsed="true"/>
    <col min="8" max="8" customWidth="true" style="406" width="20.140625" collapsed="true"/>
    <col min="9" max="9" customWidth="true" style="406" width="15.0" collapsed="false"/>
    <col min="10" max="10" customWidth="true" style="406" width="15.7109375" collapsed="true"/>
    <col min="11" max="11" customWidth="true" style="911" width="14.140625" collapsed="true"/>
    <col min="12" max="12" customWidth="true" style="784" width="23.28515625" collapsed="true"/>
    <col min="13" max="13" customWidth="true" style="784" width="19.140625" collapsed="true"/>
    <col min="14" max="14" customWidth="true" style="406" width="12.5703125" collapsed="true"/>
    <col min="15" max="15" customWidth="true" style="406" width="11.85546875" collapsed="true"/>
    <col min="16" max="16" customWidth="true" style="406" width="14.5703125" collapsed="true"/>
    <col min="17" max="17" customWidth="true" style="406" width="19.42578125" collapsed="true"/>
    <col min="18" max="25" style="406" width="9.140625" collapsed="false"/>
    <col min="26" max="16384" style="406" width="9.140625" collapsed="true"/>
  </cols>
  <sheetData>
    <row r="1" spans="1:14">
      <c r="A1" s="1118"/>
      <c r="C1" s="1118"/>
      <c r="E1" s="1118"/>
      <c r="H1" s="1117" t="s">
        <v>2032</v>
      </c>
      <c r="I1" s="1148"/>
      <c r="K1" s="1101"/>
    </row>
    <row customHeight="1" ht="15" r="2" spans="1:14">
      <c r="C2" s="1699" t="s">
        <v>2995</v>
      </c>
      <c r="D2" s="1699"/>
      <c r="E2" s="1699"/>
      <c r="F2" s="1699"/>
      <c r="G2" s="1699"/>
    </row>
    <row customHeight="1" ht="15" r="3" spans="1:14">
      <c r="A3" s="1118"/>
      <c r="C3" s="1101"/>
      <c r="D3" s="1101"/>
      <c r="E3" s="1101"/>
      <c r="F3" s="1101"/>
      <c r="G3" s="1101"/>
      <c r="K3" s="1101"/>
    </row>
    <row r="4" spans="1:14">
      <c r="A4" s="611"/>
      <c r="B4" s="1859" t="str">
        <f>"Байгууллагын нэр: "&amp;ЧХ!$C$7</f>
        <v xml:space="preserve">Байгууллагын нэр: </v>
      </c>
      <c r="C4" s="1859"/>
      <c r="D4" s="1859"/>
      <c r="E4" s="1859"/>
      <c r="F4" s="1859"/>
      <c r="G4" s="1859"/>
    </row>
    <row customHeight="1" ht="13.5" r="5" spans="1:14">
      <c r="A5" s="611"/>
      <c r="B5" s="846" t="str">
        <f>"тайлант он: " &amp;ЧХ!$C$8</f>
        <v xml:space="preserve">тайлант он: </v>
      </c>
    </row>
    <row customHeight="1" ht="12.75" r="6" spans="1:14">
      <c r="J6" s="1094"/>
      <c r="K6" s="1121"/>
    </row>
    <row customFormat="1" customHeight="1" ht="51.75" r="7" s="859" spans="1:14">
      <c r="A7" s="909" t="s">
        <v>649</v>
      </c>
      <c r="B7" s="1326" t="s">
        <v>1661</v>
      </c>
      <c r="C7" s="849" t="s">
        <v>1660</v>
      </c>
      <c r="D7" s="917" t="s">
        <v>36</v>
      </c>
      <c r="E7" s="847" t="s">
        <v>1659</v>
      </c>
      <c r="F7" s="847" t="s">
        <v>2996</v>
      </c>
      <c r="G7" s="847" t="s">
        <v>2997</v>
      </c>
      <c r="H7" s="849" t="s">
        <v>1658</v>
      </c>
      <c r="I7" s="1326" t="s">
        <v>3217</v>
      </c>
      <c r="J7" s="1326" t="s">
        <v>3218</v>
      </c>
      <c r="K7" s="1326" t="s">
        <v>3215</v>
      </c>
      <c r="L7" s="783"/>
      <c r="M7" s="783"/>
    </row>
    <row ht="25.5" r="8" spans="1:14">
      <c r="A8" s="849"/>
      <c r="B8" s="912" t="s">
        <v>1851</v>
      </c>
      <c r="C8" s="908" t="s">
        <v>3339</v>
      </c>
      <c r="D8" s="918">
        <v>500000</v>
      </c>
      <c r="E8" s="1092"/>
      <c r="F8" s="1088" t="s">
        <v>3224</v>
      </c>
      <c r="G8" s="849" t="s">
        <v>3341</v>
      </c>
      <c r="H8" s="849"/>
      <c r="I8" s="1326"/>
      <c r="J8" s="1326"/>
      <c r="K8" s="1325"/>
      <c r="L8" s="1340">
        <f>+D8</f>
        <v>500000</v>
      </c>
      <c r="M8" s="784" t="str">
        <f>+C8</f>
        <v>Анхан шатны баримтын бүрдэл дутуу</v>
      </c>
      <c r="N8" s="1"/>
    </row>
    <row customHeight="1" ht="14.25" r="9" spans="1:14">
      <c r="A9" s="849"/>
      <c r="B9" s="845"/>
      <c r="C9" s="848"/>
      <c r="D9" s="918"/>
      <c r="E9" s="1141"/>
      <c r="F9" s="1088" t="s">
        <v>3223</v>
      </c>
      <c r="G9" s="849"/>
      <c r="H9" s="849"/>
      <c r="I9" s="1326"/>
      <c r="J9" s="1326"/>
      <c r="K9" s="1327"/>
      <c r="L9" s="1340">
        <f ref="L9:L16" si="0" t="shared">+D9</f>
        <v>0</v>
      </c>
      <c r="M9" s="784">
        <f ref="M9:M16" si="1" t="shared">+C9</f>
        <v>0</v>
      </c>
      <c r="N9" s="1"/>
    </row>
    <row r="10" spans="1:14">
      <c r="A10" s="1092"/>
      <c r="B10" s="1090"/>
      <c r="C10" s="1091"/>
      <c r="D10" s="918"/>
      <c r="E10" s="1095"/>
      <c r="F10" s="1088" t="s">
        <v>3333</v>
      </c>
      <c r="G10" s="1092"/>
      <c r="H10" s="1092"/>
      <c r="I10" s="1326"/>
      <c r="J10" s="1326"/>
      <c r="K10" s="1327"/>
      <c r="L10" s="1340">
        <f si="0" t="shared"/>
        <v>0</v>
      </c>
      <c r="M10" s="784">
        <f si="1" t="shared"/>
        <v>0</v>
      </c>
      <c r="N10" s="1"/>
    </row>
    <row r="11" spans="1:14">
      <c r="A11" s="849"/>
      <c r="B11" s="912"/>
      <c r="C11" s="908"/>
      <c r="D11" s="918"/>
      <c r="E11" s="1092"/>
      <c r="F11" s="849"/>
      <c r="G11" s="860"/>
      <c r="H11" s="849"/>
      <c r="I11" s="1326"/>
      <c r="J11" s="1326"/>
      <c r="K11" s="1327"/>
      <c r="L11" s="1340">
        <f si="0" t="shared"/>
        <v>0</v>
      </c>
      <c r="M11" s="784">
        <f si="1" t="shared"/>
        <v>0</v>
      </c>
      <c r="N11" s="1"/>
    </row>
    <row r="12" spans="1:14">
      <c r="A12" s="852"/>
      <c r="B12" s="59"/>
      <c r="C12" s="88"/>
      <c r="D12" s="919"/>
      <c r="E12" s="1093"/>
      <c r="F12" s="852"/>
      <c r="G12" s="612"/>
      <c r="H12" s="852"/>
      <c r="I12" s="1143"/>
      <c r="J12" s="911"/>
      <c r="L12" s="1340">
        <f si="0" t="shared"/>
        <v>0</v>
      </c>
      <c r="M12" s="784">
        <f si="1" t="shared"/>
        <v>0</v>
      </c>
      <c r="N12" s="1"/>
    </row>
    <row r="13" spans="1:14">
      <c r="A13" s="852"/>
      <c r="B13" s="59"/>
      <c r="C13" s="88"/>
      <c r="D13" s="919"/>
      <c r="E13" s="1093"/>
      <c r="F13" s="1093"/>
      <c r="G13" s="1093"/>
      <c r="H13" s="852"/>
      <c r="I13" s="1143"/>
      <c r="K13" s="406"/>
      <c r="L13" s="1340">
        <f si="0" t="shared"/>
        <v>0</v>
      </c>
      <c r="M13" s="784">
        <f si="1" t="shared"/>
        <v>0</v>
      </c>
    </row>
    <row r="14" spans="1:14">
      <c r="A14" s="852"/>
      <c r="B14" s="59"/>
      <c r="C14" s="88"/>
      <c r="D14" s="919"/>
      <c r="E14" s="852"/>
      <c r="F14" s="852"/>
      <c r="G14" s="612"/>
      <c r="H14" s="852"/>
      <c r="I14" s="1143"/>
      <c r="L14" s="1340">
        <f si="0" t="shared"/>
        <v>0</v>
      </c>
      <c r="M14" s="784">
        <f si="1" t="shared"/>
        <v>0</v>
      </c>
    </row>
    <row r="15" spans="1:14">
      <c r="A15" s="851"/>
      <c r="B15" s="861"/>
      <c r="C15" s="851"/>
      <c r="D15" s="920"/>
      <c r="E15" s="851"/>
      <c r="F15" s="861"/>
      <c r="G15" s="861"/>
      <c r="H15" s="861"/>
      <c r="I15" s="1152"/>
      <c r="L15" s="1340">
        <f si="0" t="shared"/>
        <v>0</v>
      </c>
      <c r="M15" s="784">
        <f si="1" t="shared"/>
        <v>0</v>
      </c>
    </row>
    <row r="16" spans="1:14">
      <c r="A16" s="859" t="s">
        <v>2397</v>
      </c>
      <c r="L16" s="1340">
        <f si="0" t="shared"/>
        <v>0</v>
      </c>
      <c r="M16" s="784">
        <f si="1" t="shared"/>
        <v>0</v>
      </c>
    </row>
    <row r="17" spans="1:12">
      <c r="A17" s="27"/>
      <c r="B17" s="406">
        <f>ЧХ!$C$15</f>
        <v>0</v>
      </c>
      <c r="C17" s="27"/>
      <c r="D17" s="921"/>
      <c r="E17" s="27"/>
      <c r="L17" s="1340"/>
    </row>
    <row r="18" spans="1:12">
      <c r="A18" s="406"/>
      <c r="C18" s="846">
        <f>ЧХ!$C$16</f>
        <v>0</v>
      </c>
      <c r="D18" s="922"/>
      <c r="E18" s="846"/>
      <c r="G18" s="846" t="s">
        <v>27</v>
      </c>
      <c r="L18" s="1340"/>
    </row>
    <row r="19" spans="1:12">
      <c r="A19" s="406"/>
      <c r="B19" s="846"/>
      <c r="C19" s="846"/>
      <c r="D19" s="922"/>
      <c r="E19" s="846"/>
    </row>
    <row r="20" spans="1:12">
      <c r="A20" s="853" t="s">
        <v>1873</v>
      </c>
      <c r="C20" s="406"/>
      <c r="D20" s="415"/>
      <c r="E20" s="406"/>
    </row>
    <row r="21" spans="1:12">
      <c r="A21" s="27"/>
      <c r="B21" s="406" t="str">
        <f>+ЧХ!$B$6</f>
        <v>Аудитын менежер</v>
      </c>
      <c r="C21" s="27"/>
      <c r="D21" s="921"/>
      <c r="E21" s="27"/>
    </row>
    <row r="22" spans="1:12">
      <c r="A22" s="406"/>
      <c r="C22" s="846">
        <f>ЧХ!$C$6</f>
        <v>0</v>
      </c>
      <c r="D22" s="922"/>
      <c r="E22" s="846"/>
      <c r="G22" s="846" t="s">
        <v>27</v>
      </c>
    </row>
    <row r="23" spans="1:12">
      <c r="A23" s="406"/>
      <c r="B23" s="846"/>
      <c r="C23" s="846"/>
      <c r="D23" s="922"/>
      <c r="E23" s="846"/>
    </row>
    <row r="24" spans="1:12">
      <c r="A24" s="853" t="s">
        <v>2035</v>
      </c>
      <c r="C24" s="406"/>
      <c r="D24" s="415"/>
      <c r="E24" s="406"/>
    </row>
    <row r="25" spans="1:12">
      <c r="A25" s="27"/>
      <c r="B25" s="406" t="str">
        <f>+ЧХ!$B$5</f>
        <v>Тэргүүлэх аудитор</v>
      </c>
      <c r="C25" s="27"/>
      <c r="D25" s="921"/>
      <c r="E25" s="27"/>
    </row>
    <row r="26" spans="1:12">
      <c r="A26" s="406"/>
      <c r="C26" s="846" t="str">
        <f>ЧХ!$C$5</f>
        <v>С.Энхбаатар</v>
      </c>
      <c r="D26" s="922"/>
      <c r="E26" s="846"/>
      <c r="G26" s="846" t="s">
        <v>27</v>
      </c>
    </row>
    <row r="27" spans="1:12">
      <c r="A27" s="406"/>
      <c r="C27" s="406"/>
      <c r="D27" s="415"/>
      <c r="E27" s="406"/>
    </row>
    <row r="28" spans="1:12">
      <c r="A28" s="406" t="str">
        <f>ЧХ!$B$6</f>
        <v>Аудитын менежер</v>
      </c>
      <c r="C28" s="406"/>
      <c r="D28" s="415"/>
      <c r="E28" s="406"/>
    </row>
    <row r="29" spans="1:12">
      <c r="A29" s="406" t="s">
        <v>2142</v>
      </c>
      <c r="C29" s="406"/>
      <c r="D29" s="415"/>
      <c r="E29" s="406"/>
    </row>
    <row r="30" spans="1:12">
      <c r="A30" s="406"/>
      <c r="C30" s="406"/>
      <c r="D30" s="415"/>
      <c r="E30" s="406"/>
    </row>
    <row r="31" spans="1:12">
      <c r="A31" s="406" t="str">
        <f>ЧХ!$B$5</f>
        <v>Тэргүүлэх аудитор</v>
      </c>
      <c r="C31" s="406"/>
      <c r="D31" s="415"/>
      <c r="E31" s="406"/>
    </row>
    <row r="32" spans="1:12">
      <c r="A32" s="406" t="s">
        <v>2142</v>
      </c>
      <c r="C32" s="406"/>
      <c r="D32" s="415"/>
      <c r="E32" s="406"/>
    </row>
    <row r="33" spans="1:5">
      <c r="A33" s="406"/>
      <c r="C33" s="406"/>
      <c r="D33" s="415"/>
      <c r="E33" s="406"/>
    </row>
  </sheetData>
  <mergeCells count="2">
    <mergeCell ref="C2:G2"/>
    <mergeCell ref="B4:G4"/>
  </mergeCells>
  <dataValidations count="2">
    <dataValidation allowBlank="1" showErrorMessage="1" showInputMessage="1" sqref="F8:F10" type="list">
      <formula1>"Залруулах, Акт тавих, Албан шаардлага өгөх, Зөвлөмж өгөх "</formula1>
    </dataValidation>
    <dataValidation allowBlank="1" showErrorMessage="1" showInputMessage="1" sqref="E14" type="list">
      <formula1>"Материаллаг, Материаллаг бус"</formula1>
    </dataValidation>
  </dataValidations>
  <pageMargins bottom="0.75" footer="0.3" header="0.3" left="0.7" right="0.7" top="0.75"/>
  <pageSetup orientation="portrait" r:id="rId1" verticalDpi="0"/>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1:H55"/>
  <sheetViews>
    <sheetView workbookViewId="0">
      <selection activeCell="K10" sqref="K10"/>
    </sheetView>
  </sheetViews>
  <sheetFormatPr defaultColWidth="9.140625" defaultRowHeight="12.75"/>
  <cols>
    <col min="1" max="1" customWidth="true" style="231" width="8.28515625" collapsed="false"/>
    <col min="2" max="2" customWidth="true" style="406" width="40.28515625" collapsed="false"/>
    <col min="3" max="3" customWidth="true" style="406" width="14.0" collapsed="false"/>
    <col min="4" max="4" customWidth="true" style="410" width="19.42578125" collapsed="false"/>
    <col min="5" max="5" customWidth="true" style="410" width="18.5703125" collapsed="false"/>
    <col min="6" max="6" customWidth="true" style="410" width="18.28515625" collapsed="false"/>
    <col min="7" max="7" customWidth="true" style="410" width="18.5703125" collapsed="false"/>
    <col min="8" max="8" customWidth="true" style="1369" width="18.85546875" collapsed="false"/>
    <col min="9" max="9" customWidth="true" style="406" width="12.7109375" collapsed="false"/>
    <col min="10" max="16384" style="406" width="9.140625" collapsed="false"/>
  </cols>
  <sheetData>
    <row r="1" spans="1:8">
      <c r="A1" s="1371"/>
      <c r="D1" s="406"/>
      <c r="E1" s="406"/>
      <c r="F1" s="406"/>
      <c r="G1" s="406"/>
      <c r="H1" s="69" t="s">
        <v>1756</v>
      </c>
    </row>
    <row customHeight="1" ht="18" r="2" spans="1:8">
      <c r="A2" s="1371"/>
      <c r="B2" s="1699" t="s">
        <v>1478</v>
      </c>
      <c r="C2" s="1699"/>
      <c r="D2" s="1699"/>
      <c r="E2" s="1699"/>
      <c r="F2" s="1371"/>
      <c r="G2" s="1371"/>
      <c r="H2" s="1371"/>
    </row>
    <row r="3" spans="1:8">
      <c r="A3" s="1371"/>
      <c r="B3" s="1369"/>
      <c r="C3" s="1369"/>
      <c r="D3" s="1369"/>
      <c r="E3" s="1369"/>
      <c r="F3" s="1369"/>
      <c r="G3" s="1369"/>
    </row>
    <row r="4" spans="1:8">
      <c r="A4" s="1371"/>
      <c r="B4" s="1370" t="str">
        <f>"Байгууллагын нэр: "&amp;ЧХ!$C$7</f>
        <v xml:space="preserve">Байгууллагын нэр: </v>
      </c>
      <c r="C4" s="1370"/>
      <c r="D4" s="406"/>
      <c r="E4" s="406"/>
      <c r="F4" s="406"/>
      <c r="G4" s="406"/>
      <c r="H4" s="406"/>
    </row>
    <row r="5" spans="1:8">
      <c r="A5" s="1371"/>
      <c r="B5" s="1366" t="str">
        <f>"тайлант он: " &amp;ЧХ!$C$8</f>
        <v xml:space="preserve">тайлант он: </v>
      </c>
      <c r="C5" s="1366"/>
      <c r="D5" s="1371"/>
      <c r="E5" s="1371"/>
      <c r="F5" s="1371"/>
      <c r="G5" s="1371"/>
      <c r="H5" s="406"/>
    </row>
    <row r="6" spans="1:8">
      <c r="A6" s="1371"/>
      <c r="B6" s="1366"/>
      <c r="C6" s="1366"/>
      <c r="D6" s="406"/>
      <c r="E6" s="406"/>
      <c r="F6" s="406"/>
      <c r="G6" s="153"/>
      <c r="H6" s="69" t="s">
        <v>2396</v>
      </c>
    </row>
    <row customHeight="1" ht="38.25" r="7" spans="1:8">
      <c r="A7" s="1964" t="s">
        <v>64</v>
      </c>
      <c r="B7" s="1964" t="s">
        <v>78</v>
      </c>
      <c r="C7" s="1950" t="s">
        <v>1757</v>
      </c>
      <c r="D7" s="1952"/>
      <c r="E7" s="1759" t="s">
        <v>1758</v>
      </c>
      <c r="F7" s="1962" t="s">
        <v>3332</v>
      </c>
      <c r="G7" s="1759" t="s">
        <v>3330</v>
      </c>
      <c r="H7" s="1962" t="s">
        <v>1234</v>
      </c>
    </row>
    <row customHeight="1" ht="40.5" r="8" spans="1:8">
      <c r="A8" s="1965"/>
      <c r="B8" s="1965"/>
      <c r="C8" s="1367" t="s">
        <v>1759</v>
      </c>
      <c r="D8" s="1367" t="s">
        <v>3331</v>
      </c>
      <c r="E8" s="1760"/>
      <c r="F8" s="1963"/>
      <c r="G8" s="1760"/>
      <c r="H8" s="1963"/>
    </row>
    <row customHeight="1" ht="17.25" r="9" spans="1:8">
      <c r="A9" s="695">
        <v>1</v>
      </c>
      <c r="B9" s="441" t="s">
        <v>121</v>
      </c>
      <c r="C9" s="397"/>
      <c r="D9" s="1374">
        <f>'2.CT1A'!$D$8</f>
        <v>0</v>
      </c>
      <c r="E9" s="1374"/>
      <c r="F9" s="1374">
        <f ref="F9:G9" si="0" t="shared">+F10+F11+F12+F13+F14+F15</f>
        <v>0</v>
      </c>
      <c r="G9" s="1374">
        <f si="0" t="shared"/>
        <v>0</v>
      </c>
      <c r="H9" s="1374">
        <f>+E9-F9</f>
        <v>0</v>
      </c>
    </row>
    <row customHeight="1" ht="17.25" r="10" spans="1:8">
      <c r="A10" s="695">
        <v>31</v>
      </c>
      <c r="B10" s="441" t="s">
        <v>123</v>
      </c>
      <c r="C10" s="397"/>
      <c r="D10" s="1374">
        <f>'2.CT1A'!$D$9</f>
        <v>0</v>
      </c>
      <c r="E10" s="1374"/>
      <c r="F10" s="1374"/>
      <c r="G10" s="1374">
        <f>+D10</f>
        <v>0</v>
      </c>
      <c r="H10" s="1374">
        <f ref="H10:H39" si="1" t="shared">+E10-F10</f>
        <v>0</v>
      </c>
    </row>
    <row customHeight="1" ht="18" r="11" spans="1:8">
      <c r="A11" s="695">
        <v>32</v>
      </c>
      <c r="B11" s="441" t="s">
        <v>140</v>
      </c>
      <c r="C11" s="397"/>
      <c r="D11" s="1374">
        <f>'2.CT1A'!$D$30</f>
        <v>0</v>
      </c>
      <c r="E11" s="1374"/>
      <c r="F11" s="1374"/>
      <c r="G11" s="1374">
        <f ref="G11:G15" si="2" t="shared">+D11</f>
        <v>0</v>
      </c>
      <c r="H11" s="1374">
        <f si="1" t="shared"/>
        <v>0</v>
      </c>
    </row>
    <row customHeight="1" ht="17.25" r="12" spans="1:8">
      <c r="A12" s="695">
        <v>33</v>
      </c>
      <c r="B12" s="441" t="s">
        <v>143</v>
      </c>
      <c r="C12" s="397"/>
      <c r="D12" s="1374">
        <f>'2.CT1A'!$D$34</f>
        <v>0</v>
      </c>
      <c r="E12" s="1374"/>
      <c r="F12" s="1374"/>
      <c r="G12" s="1374">
        <f si="2" t="shared"/>
        <v>0</v>
      </c>
      <c r="H12" s="1374">
        <f si="1" t="shared"/>
        <v>0</v>
      </c>
    </row>
    <row customHeight="1" ht="18" r="13" spans="1:8">
      <c r="A13" s="695">
        <v>34</v>
      </c>
      <c r="B13" s="441" t="s">
        <v>160</v>
      </c>
      <c r="C13" s="397"/>
      <c r="D13" s="1374">
        <f>'2.CT1A'!$D$55</f>
        <v>0</v>
      </c>
      <c r="E13" s="1374"/>
      <c r="F13" s="1374"/>
      <c r="G13" s="1374">
        <f si="2" t="shared"/>
        <v>0</v>
      </c>
      <c r="H13" s="1374">
        <f si="1" t="shared"/>
        <v>0</v>
      </c>
    </row>
    <row customHeight="1" ht="16.5" r="14" spans="1:8">
      <c r="A14" s="695">
        <v>35</v>
      </c>
      <c r="B14" s="441" t="s">
        <v>3210</v>
      </c>
      <c r="C14" s="397"/>
      <c r="D14" s="1374">
        <f>'2.CT1A'!$D$67</f>
        <v>0</v>
      </c>
      <c r="E14" s="1374"/>
      <c r="F14" s="1374"/>
      <c r="G14" s="1374">
        <f si="2" t="shared"/>
        <v>0</v>
      </c>
      <c r="H14" s="1374">
        <f si="1" t="shared"/>
        <v>0</v>
      </c>
    </row>
    <row customHeight="1" ht="15" r="15" spans="1:8">
      <c r="A15" s="695">
        <v>36</v>
      </c>
      <c r="B15" s="441" t="s">
        <v>202</v>
      </c>
      <c r="C15" s="397"/>
      <c r="D15" s="1374">
        <f>'2.CT1A'!$D$83</f>
        <v>0</v>
      </c>
      <c r="E15" s="1374"/>
      <c r="F15" s="1374"/>
      <c r="G15" s="1374">
        <f si="2" t="shared"/>
        <v>0</v>
      </c>
      <c r="H15" s="1374">
        <f si="1" t="shared"/>
        <v>0</v>
      </c>
    </row>
    <row r="16" spans="1:8">
      <c r="A16" s="695">
        <v>2</v>
      </c>
      <c r="B16" s="441" t="s">
        <v>209</v>
      </c>
      <c r="C16" s="397"/>
      <c r="D16" s="1374">
        <f>'2.CT1A'!$D$93</f>
        <v>0</v>
      </c>
      <c r="E16" s="1374"/>
      <c r="F16" s="1374">
        <f ref="F16:G16" si="3" t="shared">+F17+F18</f>
        <v>0</v>
      </c>
      <c r="G16" s="1374">
        <f si="3" t="shared"/>
        <v>0</v>
      </c>
      <c r="H16" s="1374">
        <f si="1" t="shared"/>
        <v>0</v>
      </c>
    </row>
    <row r="17" spans="1:8">
      <c r="A17" s="695">
        <v>37</v>
      </c>
      <c r="B17" s="441" t="s">
        <v>211</v>
      </c>
      <c r="C17" s="397"/>
      <c r="D17" s="1374">
        <f>'2.CT1A'!$D$94</f>
        <v>0</v>
      </c>
      <c r="E17" s="1374"/>
      <c r="F17" s="1374"/>
      <c r="G17" s="1374">
        <f>+D17</f>
        <v>0</v>
      </c>
      <c r="H17" s="1374">
        <f si="1" t="shared"/>
        <v>0</v>
      </c>
    </row>
    <row r="18" spans="1:8">
      <c r="A18" s="695">
        <v>39</v>
      </c>
      <c r="B18" s="441" t="s">
        <v>215</v>
      </c>
      <c r="C18" s="397"/>
      <c r="D18" s="1374">
        <f>'2.CT1A'!$D$113</f>
        <v>0</v>
      </c>
      <c r="E18" s="1374"/>
      <c r="F18" s="1374"/>
      <c r="G18" s="1374">
        <f ref="G18:G19" si="4" t="shared">+D18</f>
        <v>0</v>
      </c>
      <c r="H18" s="1374">
        <f si="1" t="shared"/>
        <v>0</v>
      </c>
    </row>
    <row customFormat="1" ht="15" r="19" s="381" spans="1:8">
      <c r="A19" s="1388">
        <v>393</v>
      </c>
      <c r="B19" s="441" t="s">
        <v>238</v>
      </c>
      <c r="C19" s="397"/>
      <c r="D19" s="1374">
        <f>'2.CT1A'!$D$133</f>
        <v>0</v>
      </c>
      <c r="E19" s="1374"/>
      <c r="F19" s="1374"/>
      <c r="G19" s="1374">
        <f si="4" t="shared"/>
        <v>0</v>
      </c>
      <c r="H19" s="1374">
        <f si="1" t="shared"/>
        <v>0</v>
      </c>
    </row>
    <row customFormat="1" customHeight="1" ht="18.75" r="20" s="415" spans="1:8">
      <c r="A20" s="698">
        <v>3</v>
      </c>
      <c r="B20" s="699" t="s">
        <v>2036</v>
      </c>
      <c r="C20" s="414"/>
      <c r="D20" s="1377">
        <f>'2.CT1A'!$D$144</f>
        <v>0</v>
      </c>
      <c r="E20" s="1377"/>
      <c r="F20" s="1378"/>
      <c r="G20" s="1378"/>
      <c r="H20" s="1377">
        <f>+E20-F20</f>
        <v>0</v>
      </c>
    </row>
    <row r="21" spans="1:8">
      <c r="A21" s="695">
        <v>4</v>
      </c>
      <c r="B21" s="441" t="s">
        <v>243</v>
      </c>
      <c r="C21" s="397"/>
      <c r="D21" s="1374">
        <f>'2.CT1A'!$D$145</f>
        <v>0</v>
      </c>
      <c r="E21" s="1374"/>
      <c r="F21" s="1375"/>
      <c r="G21" s="1374">
        <f>+G22+G23</f>
        <v>0</v>
      </c>
      <c r="H21" s="1374">
        <f si="1" t="shared"/>
        <v>0</v>
      </c>
    </row>
    <row r="22" spans="1:8">
      <c r="A22" s="695">
        <v>41</v>
      </c>
      <c r="B22" s="441" t="s">
        <v>244</v>
      </c>
      <c r="C22" s="397"/>
      <c r="D22" s="1374">
        <f>'2.CT1A'!$D$146</f>
        <v>0</v>
      </c>
      <c r="E22" s="1374"/>
      <c r="F22" s="1375"/>
      <c r="G22" s="1374">
        <f>+D22</f>
        <v>0</v>
      </c>
      <c r="H22" s="1374">
        <f si="1" t="shared"/>
        <v>0</v>
      </c>
    </row>
    <row r="23" spans="1:8">
      <c r="A23" s="695">
        <v>42</v>
      </c>
      <c r="B23" s="441" t="s">
        <v>276</v>
      </c>
      <c r="C23" s="397"/>
      <c r="D23" s="1374">
        <f>'2.CT1A'!$D$190</f>
        <v>0</v>
      </c>
      <c r="E23" s="1374"/>
      <c r="F23" s="1375"/>
      <c r="G23" s="1374">
        <f>+D23</f>
        <v>0</v>
      </c>
      <c r="H23" s="1374">
        <f si="1" t="shared"/>
        <v>0</v>
      </c>
    </row>
    <row r="24" spans="1:8">
      <c r="A24" s="695">
        <v>5</v>
      </c>
      <c r="B24" s="441" t="s">
        <v>281</v>
      </c>
      <c r="C24" s="397"/>
      <c r="D24" s="1374">
        <f>'2.CT1A'!$D$221</f>
        <v>0</v>
      </c>
      <c r="E24" s="1374"/>
      <c r="F24" s="1375"/>
      <c r="G24" s="1374">
        <f>+G25</f>
        <v>0</v>
      </c>
      <c r="H24" s="1374">
        <f si="1" t="shared"/>
        <v>0</v>
      </c>
    </row>
    <row r="25" spans="1:8">
      <c r="A25" s="695">
        <v>51</v>
      </c>
      <c r="B25" s="441" t="s">
        <v>282</v>
      </c>
      <c r="C25" s="397"/>
      <c r="D25" s="1374">
        <f>'2.CT1A'!$D$222</f>
        <v>0</v>
      </c>
      <c r="E25" s="1374"/>
      <c r="F25" s="1375"/>
      <c r="G25" s="1374">
        <f>+D25</f>
        <v>0</v>
      </c>
      <c r="H25" s="1374">
        <f si="1" t="shared"/>
        <v>0</v>
      </c>
    </row>
    <row customFormat="1" customHeight="1" ht="26.25" r="26" s="415" spans="1:8">
      <c r="A26" s="1384">
        <v>6</v>
      </c>
      <c r="B26" s="1385" t="s">
        <v>291</v>
      </c>
      <c r="C26" s="471"/>
      <c r="D26" s="1377">
        <f>'2.CT1A'!$D$238</f>
        <v>0</v>
      </c>
      <c r="E26" s="1377"/>
      <c r="F26" s="1378"/>
      <c r="G26" s="1378"/>
      <c r="H26" s="1377">
        <f>+E26-F26</f>
        <v>0</v>
      </c>
    </row>
    <row r="27" spans="1:8">
      <c r="A27" s="1386" t="s">
        <v>6</v>
      </c>
      <c r="B27" s="1387"/>
      <c r="C27" s="420"/>
      <c r="D27" s="1379"/>
      <c r="E27" s="1379"/>
      <c r="F27" s="1380"/>
      <c r="G27" s="1380"/>
      <c r="H27" s="1374">
        <f si="1" t="shared"/>
        <v>0</v>
      </c>
    </row>
    <row r="28" spans="1:8">
      <c r="A28" s="693">
        <v>1</v>
      </c>
      <c r="B28" s="1368" t="s">
        <v>293</v>
      </c>
      <c r="C28" s="419"/>
      <c r="D28" s="1381">
        <f>'3.CT2A'!D8</f>
        <v>0</v>
      </c>
      <c r="E28" s="1381"/>
      <c r="F28" s="1382"/>
      <c r="G28" s="1383"/>
      <c r="H28" s="1374">
        <f si="1" t="shared"/>
        <v>0</v>
      </c>
    </row>
    <row r="29" spans="1:8">
      <c r="A29" s="694">
        <v>11</v>
      </c>
      <c r="B29" s="441" t="s">
        <v>799</v>
      </c>
      <c r="C29" s="397"/>
      <c r="D29" s="1374">
        <f>'3.CT2A'!D9</f>
        <v>0</v>
      </c>
      <c r="E29" s="1374"/>
      <c r="F29" s="1375"/>
      <c r="G29" s="1376"/>
      <c r="H29" s="1374">
        <f si="1" t="shared"/>
        <v>0</v>
      </c>
    </row>
    <row r="30" spans="1:8">
      <c r="A30" s="695">
        <v>12</v>
      </c>
      <c r="B30" s="441" t="s">
        <v>869</v>
      </c>
      <c r="C30" s="397"/>
      <c r="D30" s="1374">
        <f>'3.CT2A'!D83</f>
        <v>0</v>
      </c>
      <c r="E30" s="1374"/>
      <c r="F30" s="1375"/>
      <c r="G30" s="1376"/>
      <c r="H30" s="1374">
        <f si="1" t="shared"/>
        <v>0</v>
      </c>
    </row>
    <row r="31" spans="1:8">
      <c r="A31" s="695">
        <v>13</v>
      </c>
      <c r="B31" s="441" t="s">
        <v>887</v>
      </c>
      <c r="C31" s="397"/>
      <c r="D31" s="1374">
        <f>'3.CT2A'!D117</f>
        <v>0</v>
      </c>
      <c r="E31" s="1374"/>
      <c r="F31" s="1375"/>
      <c r="G31" s="1376"/>
      <c r="H31" s="1374">
        <f si="1" t="shared"/>
        <v>0</v>
      </c>
    </row>
    <row r="32" spans="1:8">
      <c r="A32" s="694">
        <v>2</v>
      </c>
      <c r="B32" s="441" t="s">
        <v>328</v>
      </c>
      <c r="C32" s="397"/>
      <c r="D32" s="1374">
        <f>'3.CT2A'!D153</f>
        <v>0</v>
      </c>
      <c r="E32" s="1374"/>
      <c r="F32" s="1375"/>
      <c r="G32" s="1376"/>
      <c r="H32" s="1374">
        <f si="1" t="shared"/>
        <v>0</v>
      </c>
    </row>
    <row r="33" spans="1:8">
      <c r="A33" s="695">
        <v>21</v>
      </c>
      <c r="B33" s="441" t="s">
        <v>920</v>
      </c>
      <c r="C33" s="397"/>
      <c r="D33" s="1374">
        <f>'3.CT2A'!D154</f>
        <v>0</v>
      </c>
      <c r="E33" s="1374"/>
      <c r="F33" s="1375"/>
      <c r="G33" s="1376"/>
      <c r="H33" s="1374">
        <f si="1" t="shared"/>
        <v>0</v>
      </c>
    </row>
    <row r="34" spans="1:8">
      <c r="A34" s="695">
        <v>22</v>
      </c>
      <c r="B34" s="441" t="s">
        <v>1014</v>
      </c>
      <c r="C34" s="397"/>
      <c r="D34" s="1374">
        <f>'3.CT2A'!D259</f>
        <v>0</v>
      </c>
      <c r="E34" s="1374"/>
      <c r="F34" s="1375"/>
      <c r="G34" s="1376"/>
      <c r="H34" s="1374">
        <f si="1" t="shared"/>
        <v>0</v>
      </c>
    </row>
    <row r="35" spans="1:8">
      <c r="A35" s="694">
        <v>3</v>
      </c>
      <c r="B35" s="441" t="s">
        <v>1083</v>
      </c>
      <c r="C35" s="397"/>
      <c r="D35" s="1374">
        <f>'3.CT2A'!D274</f>
        <v>0</v>
      </c>
      <c r="E35" s="1374"/>
      <c r="F35" s="1375"/>
      <c r="G35" s="1376"/>
      <c r="H35" s="1374">
        <f si="1" t="shared"/>
        <v>0</v>
      </c>
    </row>
    <row r="36" spans="1:8">
      <c r="A36" s="694">
        <v>145</v>
      </c>
      <c r="B36" s="441" t="s">
        <v>445</v>
      </c>
      <c r="C36" s="397"/>
      <c r="D36" s="1374">
        <f>'3.CT2A'!D275</f>
        <v>0</v>
      </c>
      <c r="E36" s="1374"/>
      <c r="F36" s="1375"/>
      <c r="G36" s="1376"/>
      <c r="H36" s="1374">
        <f si="1" t="shared"/>
        <v>0</v>
      </c>
    </row>
    <row r="37" spans="1:8">
      <c r="A37" s="694">
        <v>225</v>
      </c>
      <c r="B37" s="441" t="s">
        <v>447</v>
      </c>
      <c r="C37" s="397"/>
      <c r="D37" s="1374">
        <f>'3.CT2A'!D282</f>
        <v>0</v>
      </c>
      <c r="E37" s="1374"/>
      <c r="F37" s="1375"/>
      <c r="G37" s="1376"/>
      <c r="H37" s="1374">
        <f si="1" t="shared"/>
        <v>0</v>
      </c>
    </row>
    <row customHeight="1" ht="23.25" r="38" spans="1:8">
      <c r="A38" s="696">
        <v>4</v>
      </c>
      <c r="B38" s="441" t="s">
        <v>2037</v>
      </c>
      <c r="C38" s="397"/>
      <c r="D38" s="1374">
        <f>'3.CT2A'!D293</f>
        <v>0</v>
      </c>
      <c r="E38" s="1374"/>
      <c r="F38" s="1375"/>
      <c r="G38" s="1375"/>
      <c r="H38" s="1374">
        <f si="1" t="shared"/>
        <v>0</v>
      </c>
    </row>
    <row r="39" spans="1:8">
      <c r="A39" s="694">
        <v>5</v>
      </c>
      <c r="B39" s="449" t="s">
        <v>1084</v>
      </c>
      <c r="C39" s="401"/>
      <c r="D39" s="1374">
        <f>'3.CT2A'!D294</f>
        <v>0</v>
      </c>
      <c r="E39" s="1374"/>
      <c r="F39" s="1375"/>
      <c r="G39" s="1375"/>
      <c r="H39" s="1374">
        <f si="1" t="shared"/>
        <v>0</v>
      </c>
    </row>
    <row customFormat="1" r="40" s="410" spans="1:8">
      <c r="A40" s="229" t="s">
        <v>102</v>
      </c>
      <c r="B40" s="230" t="s">
        <v>102</v>
      </c>
      <c r="C40" s="230"/>
      <c r="H40" s="1369"/>
    </row>
    <row customFormat="1" r="41" s="410" spans="1:8">
      <c r="A41" s="229" t="s">
        <v>102</v>
      </c>
      <c r="B41" s="230" t="s">
        <v>102</v>
      </c>
      <c r="C41" s="230"/>
      <c r="H41" s="1369"/>
    </row>
    <row customFormat="1" r="42" s="410" spans="1:8">
      <c r="A42" s="229" t="s">
        <v>102</v>
      </c>
      <c r="B42" s="230" t="s">
        <v>102</v>
      </c>
      <c r="C42" s="230"/>
      <c r="H42" s="1369"/>
    </row>
    <row customFormat="1" r="43" s="410" spans="1:8">
      <c r="A43" s="229"/>
      <c r="B43" s="590" t="s">
        <v>1897</v>
      </c>
      <c r="C43" s="406"/>
      <c r="D43" s="85"/>
      <c r="E43" s="85"/>
      <c r="F43" s="85"/>
      <c r="H43" s="1369"/>
    </row>
    <row r="44" spans="1:8">
      <c r="B44" s="406">
        <f>+ЧХ!$C$15</f>
        <v>0</v>
      </c>
      <c r="C44" s="85"/>
      <c r="D44" s="39"/>
      <c r="E44" s="39"/>
      <c r="F44" s="39"/>
    </row>
    <row r="45" spans="1:8">
      <c r="B45" s="573">
        <f>+ЧХ!$C$16</f>
        <v>0</v>
      </c>
      <c r="D45" s="85"/>
      <c r="E45" s="85"/>
      <c r="F45" s="85"/>
    </row>
    <row r="46" spans="1:8">
      <c r="C46" s="573"/>
      <c r="D46" s="39"/>
      <c r="E46" s="85"/>
      <c r="F46" s="85"/>
    </row>
    <row r="47" spans="1:8">
      <c r="B47" s="583" t="s">
        <v>1873</v>
      </c>
      <c r="D47" s="85"/>
      <c r="E47" s="85"/>
      <c r="F47" s="85"/>
    </row>
    <row r="48" spans="1:8">
      <c r="B48" s="406" t="str">
        <f>+ЧХ!$B$6</f>
        <v>Аудитын менежер</v>
      </c>
      <c r="C48" s="85"/>
      <c r="D48" s="39"/>
      <c r="E48" s="85"/>
      <c r="F48" s="85"/>
    </row>
    <row r="49" spans="2:6">
      <c r="B49" s="573">
        <f>+ЧХ!$C$6</f>
        <v>0</v>
      </c>
      <c r="D49" s="85"/>
      <c r="E49" s="85"/>
      <c r="F49" s="85"/>
    </row>
    <row r="50" spans="2:6">
      <c r="C50" s="573"/>
      <c r="D50" s="85"/>
      <c r="E50" s="85"/>
      <c r="F50" s="85"/>
    </row>
    <row r="51" spans="2:6">
      <c r="B51" s="583" t="s">
        <v>2035</v>
      </c>
      <c r="D51" s="85"/>
      <c r="E51" s="85"/>
      <c r="F51" s="85"/>
    </row>
    <row r="52" spans="2:6">
      <c r="B52" s="406" t="str">
        <f>+ЧХ!$B$5</f>
        <v>Тэргүүлэх аудитор</v>
      </c>
      <c r="C52" s="85"/>
      <c r="D52" s="85"/>
      <c r="E52" s="85"/>
      <c r="F52" s="85"/>
    </row>
    <row r="53" spans="2:6">
      <c r="B53" s="573"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bottom="0.28999999999999998" footer="0.28000000000000003" header="0.3" left="0.25" right="0.25" top="0.33"/>
  <pageSetup fitToHeight="0" orientation="portrait" paperSize="9" r:id="rId1" scale="95"/>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customWidth="true" style="725" width="5.28515625" collapsed="false"/>
    <col min="2" max="2" customWidth="true" style="725" width="15.140625" collapsed="false"/>
    <col min="3" max="3" customWidth="true" style="725" width="18.42578125" collapsed="false"/>
    <col min="4" max="4" customWidth="true" style="725" width="14.0" collapsed="false"/>
    <col min="5" max="5" customWidth="true" style="725" width="15.0" collapsed="false"/>
    <col min="6" max="6" customWidth="true" style="725" width="14.42578125" collapsed="false"/>
    <col min="7" max="7" customWidth="true" style="725" width="16.0" collapsed="false"/>
    <col min="8" max="8" customWidth="true" style="725" width="16.5703125" collapsed="false"/>
    <col min="9" max="24" style="725" width="9.140625" collapsed="false"/>
    <col min="25" max="25" customWidth="true" style="725" width="8.85546875" collapsed="false"/>
    <col min="26" max="26" customWidth="true" style="725" width="15.5703125" collapsed="false"/>
    <col min="27" max="27" customWidth="true" style="725" width="27.28515625" collapsed="false"/>
    <col min="28" max="16384" style="725" width="9.140625" collapsed="false"/>
  </cols>
  <sheetData>
    <row customHeight="1" ht="34.5" r="1" spans="1:27">
      <c r="A1" s="12"/>
      <c r="B1" s="12"/>
      <c r="C1" s="12"/>
      <c r="D1" s="12"/>
      <c r="E1" s="12"/>
      <c r="F1" s="1973" t="s">
        <v>3094</v>
      </c>
      <c r="G1" s="1973"/>
      <c r="H1" s="1973"/>
    </row>
    <row customFormat="1" customHeight="1" ht="17.25" r="2" s="728" spans="1:27">
      <c r="A2" s="556"/>
      <c r="B2" s="556"/>
      <c r="C2" s="1977" t="s">
        <v>3338</v>
      </c>
      <c r="D2" s="1702"/>
      <c r="E2" s="1702"/>
      <c r="F2" s="1702"/>
      <c r="G2" s="556"/>
      <c r="H2" s="556"/>
    </row>
    <row r="3" spans="1:27">
      <c r="A3" s="1978" t="s">
        <v>3048</v>
      </c>
      <c r="B3" s="1978"/>
      <c r="C3" s="1978"/>
      <c r="D3" s="1978"/>
      <c r="E3" s="1978"/>
      <c r="F3" s="1978"/>
      <c r="G3" s="89"/>
      <c r="H3" s="89"/>
    </row>
    <row r="4" spans="1:27">
      <c r="A4" s="89"/>
      <c r="B4" s="89"/>
      <c r="C4" s="89"/>
      <c r="D4" s="89"/>
      <c r="E4" s="89"/>
      <c r="F4" s="89"/>
      <c r="G4" s="89"/>
      <c r="H4" s="89"/>
    </row>
    <row r="5" spans="1:27">
      <c r="A5" s="1979" t="s">
        <v>3049</v>
      </c>
      <c r="B5" s="1979"/>
      <c r="C5" s="1979"/>
      <c r="D5" s="1979"/>
      <c r="E5" s="1979"/>
      <c r="F5" s="1979"/>
      <c r="G5" s="1979"/>
      <c r="H5" s="89"/>
    </row>
    <row customHeight="1" ht="25.5" r="6" spans="1:27">
      <c r="A6" s="1980" t="s">
        <v>3050</v>
      </c>
      <c r="B6" s="1981"/>
      <c r="C6" s="1986" t="str">
        <f>ЧХ!$C$7&amp;" санхүүгийн тайлангийн аудит"</f>
        <v xml:space="preserve"> санхүүгийн тайлангийн аудит</v>
      </c>
      <c r="D6" s="1986"/>
      <c r="E6" s="1986"/>
      <c r="F6" s="1316" t="s">
        <v>3051</v>
      </c>
      <c r="G6" s="1950"/>
      <c r="H6" s="1952"/>
    </row>
    <row r="7" spans="1:27">
      <c r="A7" s="1982"/>
      <c r="B7" s="1982"/>
      <c r="C7" s="1982"/>
      <c r="D7" s="1982"/>
      <c r="E7" s="1982"/>
      <c r="F7" s="1982"/>
      <c r="G7" s="1982"/>
      <c r="H7" s="1982"/>
    </row>
    <row customHeight="1" ht="27" r="8" spans="1:27">
      <c r="A8" s="1980" t="s">
        <v>3052</v>
      </c>
      <c r="B8" s="1981"/>
      <c r="C8" s="16"/>
      <c r="D8" s="1151" t="s">
        <v>3053</v>
      </c>
      <c r="E8" s="1145"/>
      <c r="F8" s="1151" t="s">
        <v>3054</v>
      </c>
      <c r="G8" s="1983">
        <f>VLOOKUP(Z9,'В-4'!F8:L50,7,FALSE)</f>
        <v>500000</v>
      </c>
      <c r="H8" s="1983"/>
    </row>
    <row r="9" spans="1:27">
      <c r="A9" s="1154"/>
      <c r="B9" s="1155"/>
      <c r="C9" s="1155"/>
      <c r="D9" s="1155"/>
      <c r="E9" s="1155"/>
      <c r="F9" s="1155"/>
      <c r="G9" s="1155"/>
      <c r="H9" s="1155"/>
      <c r="Z9" s="1338" t="s">
        <v>3224</v>
      </c>
      <c r="AA9" s="1339" t="s">
        <v>1660</v>
      </c>
    </row>
    <row customHeight="1" ht="41.25" r="10" spans="1:27">
      <c r="A10" s="1863" t="s">
        <v>3209</v>
      </c>
      <c r="B10" s="1980" t="s">
        <v>3055</v>
      </c>
      <c r="C10" s="1981"/>
      <c r="D10" s="1688" t="str">
        <f>VLOOKUP(Z9,'В-4'!F8:M52,8,FALSE)</f>
        <v>Анхан шатны баримтын бүрдэл дутуу</v>
      </c>
      <c r="E10" s="1688"/>
      <c r="F10" s="1688"/>
      <c r="G10" s="1688"/>
      <c r="H10" s="1688"/>
    </row>
    <row customHeight="1" ht="31.5" r="11" spans="1:27">
      <c r="A11" s="1863"/>
      <c r="B11" s="1960" t="s">
        <v>3056</v>
      </c>
      <c r="C11" s="1961"/>
      <c r="D11" s="1145" t="s">
        <v>3057</v>
      </c>
      <c r="E11" s="1931">
        <f>VLOOKUP(Z9,'В-4'!F8:J52,4,FALSE)</f>
        <v>0</v>
      </c>
      <c r="F11" s="1931"/>
      <c r="G11" s="1931"/>
      <c r="H11" s="1931"/>
    </row>
    <row customHeight="1" ht="56.25" r="12" spans="1:27">
      <c r="A12" s="1863"/>
      <c r="B12" s="1966"/>
      <c r="C12" s="1967"/>
      <c r="D12" s="1328" t="s">
        <v>3088</v>
      </c>
      <c r="E12" s="1931">
        <f>VLOOKUP(Z9,'В-4'!F8:J50,5,FALSE)</f>
        <v>0</v>
      </c>
      <c r="F12" s="1931"/>
      <c r="G12" s="1931"/>
      <c r="H12" s="1931"/>
    </row>
    <row customHeight="1" ht="22.5" r="13" spans="1:27">
      <c r="A13" s="1863"/>
      <c r="B13" s="1960" t="s">
        <v>3204</v>
      </c>
      <c r="C13" s="1961"/>
      <c r="D13" s="1145" t="s">
        <v>3057</v>
      </c>
      <c r="E13" s="1688" t="s">
        <v>3058</v>
      </c>
      <c r="F13" s="1688"/>
      <c r="G13" s="1688"/>
      <c r="H13" s="1688"/>
    </row>
    <row customHeight="1" ht="56.25" r="14" spans="1:27">
      <c r="A14" s="1863"/>
      <c r="B14" s="1966"/>
      <c r="C14" s="1967"/>
      <c r="D14" s="1145" t="s">
        <v>3059</v>
      </c>
      <c r="E14" s="1931" t="s">
        <v>3060</v>
      </c>
      <c r="F14" s="1931"/>
      <c r="G14" s="1931"/>
      <c r="H14" s="1931"/>
    </row>
    <row customHeight="1" ht="22.5" r="15" spans="1:27">
      <c r="A15" s="1394"/>
      <c r="B15" s="1960" t="s">
        <v>3204</v>
      </c>
      <c r="C15" s="1961"/>
      <c r="D15" s="1390" t="s">
        <v>3057</v>
      </c>
      <c r="E15" s="1688"/>
      <c r="F15" s="1688"/>
      <c r="G15" s="1688"/>
      <c r="H15" s="1688"/>
    </row>
    <row customHeight="1" ht="56.25" r="16" spans="1:27">
      <c r="A16" s="1394"/>
      <c r="B16" s="1966"/>
      <c r="C16" s="1967"/>
      <c r="D16" s="1390" t="s">
        <v>3059</v>
      </c>
      <c r="E16" s="1931"/>
      <c r="F16" s="1931"/>
      <c r="G16" s="1931"/>
      <c r="H16" s="1931"/>
    </row>
    <row r="17" spans="1:8">
      <c r="A17" s="1154"/>
      <c r="B17" s="1155"/>
      <c r="C17" s="1155"/>
      <c r="D17" s="1155"/>
      <c r="E17" s="1155"/>
      <c r="F17" s="1155"/>
      <c r="G17" s="1155"/>
      <c r="H17" s="1155"/>
    </row>
    <row customHeight="1" ht="18" r="18" spans="1:8">
      <c r="A18" s="1878" t="s">
        <v>3061</v>
      </c>
      <c r="B18" s="1879"/>
      <c r="C18" s="1662" t="s">
        <v>3062</v>
      </c>
      <c r="D18" s="1664"/>
      <c r="E18" s="1974"/>
      <c r="F18" s="1975"/>
      <c r="G18" s="1985" t="s">
        <v>3089</v>
      </c>
      <c r="H18" s="1985"/>
    </row>
    <row customHeight="1" ht="21.75" r="19" spans="1:8">
      <c r="A19" s="1880"/>
      <c r="B19" s="1881"/>
      <c r="C19" s="1662" t="s">
        <v>3063</v>
      </c>
      <c r="D19" s="1664"/>
      <c r="E19" s="1987">
        <f>+G8</f>
        <v>500000</v>
      </c>
      <c r="F19" s="1952"/>
      <c r="G19" s="1985"/>
      <c r="H19" s="1985"/>
    </row>
    <row customHeight="1" ht="18.75" r="20" spans="1:8">
      <c r="A20" s="1882"/>
      <c r="B20" s="1883"/>
      <c r="C20" s="1662" t="s">
        <v>3064</v>
      </c>
      <c r="D20" s="1664"/>
      <c r="E20" s="1974"/>
      <c r="F20" s="1975"/>
      <c r="G20" s="1781"/>
      <c r="H20" s="1781"/>
    </row>
    <row customHeight="1" ht="23.25" r="21" spans="1:8">
      <c r="A21" s="1970" t="s">
        <v>3065</v>
      </c>
      <c r="B21" s="1970"/>
      <c r="C21" s="1970"/>
      <c r="D21" s="1970"/>
      <c r="E21" s="1970"/>
      <c r="F21" s="1970"/>
      <c r="G21" s="1970"/>
      <c r="H21" s="1970"/>
    </row>
    <row customHeight="1" ht="18.75" r="22" spans="1:8">
      <c r="A22" s="1742" t="s">
        <v>3066</v>
      </c>
      <c r="B22" s="1742"/>
      <c r="C22" s="1742"/>
      <c r="D22" s="1742"/>
      <c r="E22" s="1742"/>
      <c r="F22" s="1742"/>
      <c r="G22" s="1742"/>
      <c r="H22" s="1742"/>
    </row>
    <row r="23" spans="1:8">
      <c r="A23" s="1762" t="s">
        <v>3067</v>
      </c>
      <c r="B23" s="1762"/>
      <c r="C23" s="1762"/>
      <c r="D23" s="1146" t="s">
        <v>1729</v>
      </c>
      <c r="E23" s="1147" t="s">
        <v>27</v>
      </c>
      <c r="F23" s="1742" t="s">
        <v>701</v>
      </c>
      <c r="G23" s="1742"/>
      <c r="H23" s="1742"/>
    </row>
    <row customHeight="1" ht="25.5" r="24" spans="1:8">
      <c r="A24" s="1739" t="s">
        <v>3068</v>
      </c>
      <c r="B24" s="1741"/>
      <c r="C24" s="1146" t="s">
        <v>3069</v>
      </c>
      <c r="D24" s="1146"/>
      <c r="E24" s="1147"/>
      <c r="F24" s="1742"/>
      <c r="G24" s="1742"/>
      <c r="H24" s="1742"/>
    </row>
    <row customHeight="1" ht="25.5" r="25" spans="1:8">
      <c r="A25" s="1739" t="s">
        <v>3068</v>
      </c>
      <c r="B25" s="1741"/>
      <c r="C25" s="1146" t="s">
        <v>3070</v>
      </c>
      <c r="D25" s="1146"/>
      <c r="E25" s="1147"/>
      <c r="F25" s="1742"/>
      <c r="G25" s="1742"/>
      <c r="H25" s="1742"/>
    </row>
    <row customHeight="1" ht="27.75" r="26" spans="1:8">
      <c r="A26" s="1970" t="s">
        <v>3071</v>
      </c>
      <c r="B26" s="1970"/>
      <c r="C26" s="1970"/>
      <c r="D26" s="1970"/>
      <c r="E26" s="1970"/>
      <c r="F26" s="1970"/>
      <c r="G26" s="1970"/>
      <c r="H26" s="1970"/>
    </row>
    <row customHeight="1" ht="21.75" r="27" spans="1:8">
      <c r="A27" s="1675" t="s">
        <v>3205</v>
      </c>
      <c r="B27" s="1676"/>
      <c r="C27" s="1676"/>
      <c r="D27" s="1677"/>
      <c r="E27" s="1950" t="s">
        <v>3072</v>
      </c>
      <c r="F27" s="1951"/>
      <c r="G27" s="1951"/>
      <c r="H27" s="1952"/>
    </row>
    <row customHeight="1" ht="36.75" r="28" spans="1:8">
      <c r="A28" s="1971" t="s">
        <v>1776</v>
      </c>
      <c r="B28" s="1972"/>
      <c r="C28" s="1322" t="s">
        <v>79</v>
      </c>
      <c r="D28" s="1322" t="s">
        <v>3073</v>
      </c>
      <c r="E28" s="1145" t="s">
        <v>0</v>
      </c>
      <c r="F28" s="1145" t="s">
        <v>79</v>
      </c>
      <c r="G28" s="1145" t="s">
        <v>1776</v>
      </c>
      <c r="H28" s="1316" t="s">
        <v>3074</v>
      </c>
    </row>
    <row customHeight="1" ht="23.25" r="29" spans="1:8">
      <c r="A29" s="1662">
        <f>ЧХ!$C$16</f>
        <v>0</v>
      </c>
      <c r="B29" s="1663"/>
      <c r="C29" s="1314">
        <f>ЧХ!$C$15</f>
        <v>0</v>
      </c>
      <c r="D29" s="1315"/>
      <c r="E29" s="1315">
        <f>ЧХ!$C$7</f>
        <v>0</v>
      </c>
      <c r="F29" s="1315">
        <f>'1.Info'!F30</f>
        <v>0</v>
      </c>
      <c r="G29" s="1315">
        <f>'1.Info'!F29</f>
        <v>0</v>
      </c>
      <c r="H29" s="1144"/>
    </row>
    <row customHeight="1" ht="21" r="30" spans="1:8">
      <c r="A30" s="1968"/>
      <c r="B30" s="1969"/>
      <c r="C30" s="1315"/>
      <c r="D30" s="1315"/>
      <c r="E30" s="1315">
        <f>ЧХ!$C$7</f>
        <v>0</v>
      </c>
      <c r="F30" s="1144" t="str">
        <f>'1.Info'!F37</f>
        <v/>
      </c>
      <c r="G30" s="1144" t="str">
        <f>'1.Info'!F36</f>
        <v/>
      </c>
      <c r="H30" s="1144"/>
    </row>
    <row r="31" spans="1:8">
      <c r="A31" s="1156"/>
      <c r="B31" s="1156"/>
      <c r="C31" s="1155"/>
      <c r="D31" s="1155"/>
      <c r="E31" s="1155"/>
      <c r="F31" s="1155"/>
      <c r="G31" s="1155"/>
      <c r="H31" s="1155"/>
    </row>
    <row r="32" spans="1:8">
      <c r="A32" s="1984" t="s">
        <v>3075</v>
      </c>
      <c r="B32" s="1984"/>
      <c r="C32" s="1984"/>
      <c r="D32" s="1984"/>
      <c r="E32" s="1984"/>
      <c r="F32" s="1984"/>
      <c r="G32" s="1984"/>
      <c r="H32" s="1155"/>
    </row>
    <row customHeight="1" ht="17.25" r="33" spans="1:8">
      <c r="A33" s="1976" t="s">
        <v>3076</v>
      </c>
      <c r="B33" s="1976"/>
      <c r="C33" s="1976"/>
      <c r="D33" s="1976"/>
      <c r="E33" s="1976"/>
      <c r="F33" s="1155"/>
      <c r="G33" s="1155"/>
      <c r="H33" s="1155"/>
    </row>
    <row customHeight="1" ht="25.5" r="34" spans="1:8">
      <c r="A34" s="1321" t="s">
        <v>649</v>
      </c>
      <c r="B34" s="1971" t="s">
        <v>3077</v>
      </c>
      <c r="C34" s="1972"/>
      <c r="D34" s="1147" t="s">
        <v>3078</v>
      </c>
      <c r="E34" s="1742" t="s">
        <v>3091</v>
      </c>
      <c r="F34" s="1742"/>
      <c r="G34" s="1742"/>
      <c r="H34" s="1318" t="s">
        <v>3092</v>
      </c>
    </row>
    <row customHeight="1" ht="30" r="35" spans="1:8">
      <c r="A35" s="1172">
        <v>1</v>
      </c>
      <c r="B35" s="1319">
        <f>ЧХ!$C$6</f>
        <v>0</v>
      </c>
      <c r="C35" s="1320" t="s">
        <v>1765</v>
      </c>
      <c r="D35" s="1173"/>
      <c r="E35" s="1742"/>
      <c r="F35" s="1742"/>
      <c r="G35" s="1742"/>
      <c r="H35" s="1319"/>
    </row>
    <row customHeight="1" ht="31.5" r="36" spans="1:8">
      <c r="A36" s="1172">
        <v>2</v>
      </c>
      <c r="B36" s="1319" t="str">
        <f>ЧХ!$C$5</f>
        <v>С.Энхбаатар</v>
      </c>
      <c r="C36" s="1173" t="s">
        <v>3079</v>
      </c>
      <c r="D36" s="1173"/>
      <c r="E36" s="1742"/>
      <c r="F36" s="1742"/>
      <c r="G36" s="1742"/>
      <c r="H36" s="1319"/>
    </row>
    <row customHeight="1" ht="18.75" r="37" spans="1:8">
      <c r="A37" s="1172">
        <v>3</v>
      </c>
      <c r="B37" s="1323"/>
      <c r="C37" s="1320" t="s">
        <v>3080</v>
      </c>
      <c r="D37" s="1174"/>
      <c r="E37" s="1739"/>
      <c r="F37" s="1740"/>
      <c r="G37" s="1741"/>
      <c r="H37" s="77"/>
    </row>
    <row customHeight="1" ht="20.25" r="38" spans="1:8">
      <c r="A38" s="1676" t="s">
        <v>3081</v>
      </c>
      <c r="B38" s="1676"/>
      <c r="C38" s="1676"/>
      <c r="D38" s="1676"/>
      <c r="E38" s="1676"/>
      <c r="F38" s="1676"/>
      <c r="G38" s="1676"/>
      <c r="H38" s="1676"/>
    </row>
    <row customHeight="1" ht="22.5" r="39" spans="1:8">
      <c r="A39" s="1147" t="s">
        <v>649</v>
      </c>
      <c r="B39" s="1739" t="s">
        <v>3082</v>
      </c>
      <c r="C39" s="1741"/>
      <c r="D39" s="1318" t="s">
        <v>3083</v>
      </c>
      <c r="E39" s="1950" t="s">
        <v>3084</v>
      </c>
      <c r="F39" s="1951"/>
      <c r="G39" s="1951"/>
      <c r="H39" s="1952"/>
    </row>
    <row customHeight="1" ht="19.5" r="40" spans="1:8">
      <c r="A40" s="1147">
        <v>1</v>
      </c>
      <c r="B40" s="1319" t="str">
        <f>ЧХ!$C$5</f>
        <v>С.Энхбаатар</v>
      </c>
      <c r="C40" s="1317" t="s">
        <v>3079</v>
      </c>
      <c r="D40" s="1317"/>
      <c r="E40" s="1739"/>
      <c r="F40" s="1740"/>
      <c r="G40" s="1740"/>
      <c r="H40" s="1741"/>
    </row>
    <row customHeight="1" ht="27" r="41" spans="1:8">
      <c r="A41" s="1147">
        <v>2</v>
      </c>
      <c r="B41" s="1318"/>
      <c r="C41" s="1317" t="s">
        <v>3085</v>
      </c>
      <c r="D41" s="1317"/>
      <c r="E41" s="1739"/>
      <c r="F41" s="1740"/>
      <c r="G41" s="1740"/>
      <c r="H41" s="1741"/>
    </row>
  </sheetData>
  <mergeCells count="57">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15:C16"/>
    <mergeCell ref="E15:H15"/>
    <mergeCell ref="E16:H16"/>
    <mergeCell ref="A30:B30"/>
    <mergeCell ref="F25:H25"/>
    <mergeCell ref="A26:H26"/>
    <mergeCell ref="A27:D27"/>
    <mergeCell ref="E27:H27"/>
    <mergeCell ref="A28:B28"/>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customWidth="true" style="725" width="5.5703125" collapsed="false"/>
    <col min="2" max="2" customWidth="true" style="725" width="10.5703125" collapsed="false"/>
    <col min="3" max="3" customWidth="true" style="725" width="12.0" collapsed="false"/>
    <col min="4" max="4" customWidth="true" style="725" width="15.85546875" collapsed="false"/>
    <col min="5" max="5" customWidth="true" style="725" width="15.5703125" collapsed="false"/>
    <col min="6" max="6" customWidth="true" style="725" width="15.0" collapsed="false"/>
    <col min="7" max="7" customWidth="true" style="725" width="14.5703125" collapsed="false"/>
    <col min="8" max="8" customWidth="true" style="725" width="23.7109375" collapsed="false"/>
    <col min="9" max="25" style="725" width="9.140625" collapsed="false"/>
    <col min="26" max="26" customWidth="true" style="725" width="22.28515625" collapsed="false"/>
    <col min="27" max="16384" style="725" width="9.140625" collapsed="false"/>
  </cols>
  <sheetData>
    <row customHeight="1" ht="39" r="1" spans="1:26">
      <c r="C1" s="12"/>
      <c r="D1" s="12"/>
      <c r="E1" s="12"/>
      <c r="F1" s="12"/>
      <c r="G1" s="1973" t="s">
        <v>3094</v>
      </c>
      <c r="H1" s="1973"/>
    </row>
    <row customFormat="1" customHeight="1" ht="18.75" r="2" s="728" spans="1:26">
      <c r="A2" s="2006" t="s">
        <v>3337</v>
      </c>
      <c r="B2" s="2006"/>
      <c r="C2" s="2006"/>
      <c r="D2" s="2006"/>
      <c r="E2" s="2006"/>
      <c r="F2" s="2006"/>
      <c r="G2" s="2006"/>
      <c r="H2" s="2006"/>
    </row>
    <row customHeight="1" ht="14.25" r="3" spans="1:26">
      <c r="A3" s="1157" t="s">
        <v>3086</v>
      </c>
      <c r="B3" s="1157"/>
      <c r="C3"/>
      <c r="D3"/>
      <c r="E3"/>
      <c r="F3"/>
      <c r="G3"/>
      <c r="H3"/>
    </row>
    <row customHeight="1" ht="26.25" r="4" spans="1:26">
      <c r="A4" s="2013" t="s">
        <v>3087</v>
      </c>
      <c r="B4" s="2014"/>
      <c r="C4" s="1781" t="str">
        <f>ЧХ!$C$7&amp; " санхүүгийн тайлангийн аудит"</f>
        <v xml:space="preserve"> санхүүгийн тайлангийн аудит</v>
      </c>
      <c r="D4" s="1781"/>
      <c r="E4" s="2007" t="s">
        <v>3051</v>
      </c>
      <c r="F4" s="2008"/>
      <c r="G4" s="2009"/>
      <c r="H4" s="2009"/>
    </row>
    <row r="5" spans="1:26">
      <c r="A5" s="406"/>
      <c r="B5" s="406"/>
      <c r="C5" s="406"/>
      <c r="D5" s="406"/>
      <c r="E5" s="406"/>
      <c r="F5" s="406"/>
      <c r="G5" s="406"/>
    </row>
    <row customHeight="1" ht="35.25" r="6" spans="1:26">
      <c r="A6" s="2010" t="s">
        <v>3052</v>
      </c>
      <c r="B6" s="2011"/>
      <c r="C6" s="2012"/>
      <c r="D6" s="1158"/>
      <c r="E6" s="1175" t="s">
        <v>3053</v>
      </c>
      <c r="F6" s="1159"/>
      <c r="G6" s="1175" t="s">
        <v>3093</v>
      </c>
      <c r="H6" s="16">
        <f>VLOOKUP(Z9,'В-4'!F8:L50,7,FALSE)</f>
        <v>0</v>
      </c>
    </row>
    <row customHeight="1" ht="21.75" r="7" spans="1:26">
      <c r="A7" s="1160"/>
      <c r="B7" s="432"/>
      <c r="C7" s="432"/>
      <c r="D7" s="432"/>
      <c r="E7" s="432"/>
      <c r="F7" s="432"/>
      <c r="G7" s="432"/>
      <c r="H7" s="432"/>
    </row>
    <row customHeight="1" ht="33" r="8" spans="1:26">
      <c r="A8" s="2017" t="s">
        <v>3208</v>
      </c>
      <c r="B8" s="1959" t="s">
        <v>3055</v>
      </c>
      <c r="C8" s="1959"/>
      <c r="D8" s="1662">
        <f>VLOOKUP(Z9,'В-4'!F8:M52,8,FALSE)</f>
        <v>0</v>
      </c>
      <c r="E8" s="1663"/>
      <c r="F8" s="1663"/>
      <c r="G8" s="1663"/>
      <c r="H8" s="1664"/>
    </row>
    <row customHeight="1" ht="32.25" r="9" spans="1:26">
      <c r="A9" s="2018"/>
      <c r="B9" s="1959" t="s">
        <v>3056</v>
      </c>
      <c r="C9" s="1959"/>
      <c r="D9" s="1151" t="s">
        <v>62</v>
      </c>
      <c r="E9" s="1931">
        <f>VLOOKUP(Z9,'В-4'!F8:J50,4,FALSE)</f>
        <v>0</v>
      </c>
      <c r="F9" s="1931"/>
      <c r="G9" s="1931"/>
      <c r="H9" s="1931"/>
      <c r="Z9" s="1088" t="s">
        <v>3223</v>
      </c>
    </row>
    <row customHeight="1" ht="51.75" r="10" spans="1:26">
      <c r="A10" s="2018"/>
      <c r="B10" s="1959"/>
      <c r="C10" s="1959"/>
      <c r="D10" s="1151" t="s">
        <v>3088</v>
      </c>
      <c r="E10" s="1931">
        <f>VLOOKUP(Z9,'В-4'!F8:J50,5,FALSE)</f>
        <v>0</v>
      </c>
      <c r="F10" s="1931"/>
      <c r="G10" s="1931"/>
      <c r="H10" s="1931"/>
    </row>
    <row customHeight="1" ht="40.5" r="11" spans="1:26">
      <c r="A11" s="2018"/>
      <c r="B11" s="1959" t="s">
        <v>3056</v>
      </c>
      <c r="C11" s="1959"/>
      <c r="D11" s="1151" t="s">
        <v>62</v>
      </c>
      <c r="E11" s="1688" t="s">
        <v>3058</v>
      </c>
      <c r="F11" s="1688"/>
      <c r="G11" s="1688"/>
      <c r="H11" s="1688"/>
    </row>
    <row customHeight="1" ht="63.75" r="12" spans="1:26">
      <c r="A12" s="2018"/>
      <c r="B12" s="1959"/>
      <c r="C12" s="1959"/>
      <c r="D12" s="1151" t="s">
        <v>3088</v>
      </c>
      <c r="E12" s="1931" t="s">
        <v>3060</v>
      </c>
      <c r="F12" s="1931"/>
      <c r="G12" s="1931"/>
      <c r="H12" s="1931"/>
    </row>
    <row customHeight="1" ht="40.5" r="13" spans="1:26">
      <c r="A13" s="1392"/>
      <c r="B13" s="1959" t="s">
        <v>3056</v>
      </c>
      <c r="C13" s="1959"/>
      <c r="D13" s="1391" t="s">
        <v>62</v>
      </c>
      <c r="E13" s="1688"/>
      <c r="F13" s="1688"/>
      <c r="G13" s="1688"/>
      <c r="H13" s="1688"/>
    </row>
    <row customHeight="1" ht="63.75" r="14" spans="1:26">
      <c r="A14" s="1392"/>
      <c r="B14" s="1959"/>
      <c r="C14" s="1959"/>
      <c r="D14" s="1391" t="s">
        <v>3088</v>
      </c>
      <c r="E14" s="1931"/>
      <c r="F14" s="1931"/>
      <c r="G14" s="1931"/>
      <c r="H14" s="1931"/>
    </row>
    <row customHeight="1" ht="14.25" r="15" spans="1:26">
      <c r="A15" s="2015" t="s">
        <v>3061</v>
      </c>
      <c r="B15" s="2015"/>
      <c r="C15" s="2015"/>
      <c r="D15" s="1149" t="s">
        <v>3062</v>
      </c>
      <c r="E15" s="1149"/>
      <c r="F15" s="1161"/>
      <c r="G15" s="1161"/>
      <c r="H15" s="1161"/>
    </row>
    <row r="16" spans="1:26">
      <c r="A16" s="2015"/>
      <c r="B16" s="2015"/>
      <c r="C16" s="2015"/>
      <c r="D16" s="1149" t="s">
        <v>3063</v>
      </c>
      <c r="E16" s="1149"/>
      <c r="F16" s="4"/>
      <c r="G16" s="4"/>
      <c r="H16" s="4"/>
    </row>
    <row r="17" spans="1:8">
      <c r="A17" s="2015"/>
      <c r="B17" s="2015"/>
      <c r="C17" s="2015"/>
      <c r="D17" s="1690" t="s">
        <v>3064</v>
      </c>
      <c r="E17" s="1690"/>
      <c r="F17" s="1161"/>
      <c r="G17" s="2016"/>
      <c r="H17" s="1860"/>
    </row>
    <row r="18" spans="1:8">
      <c r="A18" s="1162"/>
      <c r="B18" s="1162"/>
      <c r="C18" s="1163"/>
      <c r="D18" s="1164"/>
      <c r="E18" s="1165"/>
      <c r="F18" s="1165"/>
      <c r="G18" s="1165"/>
      <c r="H18" s="1165"/>
    </row>
    <row r="19" spans="1:8">
      <c r="A19" s="1998" t="s">
        <v>3065</v>
      </c>
      <c r="B19" s="1998"/>
      <c r="C19" s="1998"/>
      <c r="D19" s="1998"/>
      <c r="E19" s="1998"/>
      <c r="F19" s="1998"/>
      <c r="G19" s="1998"/>
      <c r="H19" s="1998"/>
    </row>
    <row r="20" spans="1:8">
      <c r="A20" s="1999" t="s">
        <v>3066</v>
      </c>
      <c r="B20" s="1999"/>
      <c r="C20" s="1999"/>
      <c r="D20" s="1999"/>
      <c r="E20" s="1999"/>
      <c r="F20" s="1999"/>
      <c r="G20" s="1999"/>
      <c r="H20" s="1999"/>
    </row>
    <row r="21" spans="1:8">
      <c r="A21" s="2000" t="s">
        <v>3067</v>
      </c>
      <c r="B21" s="2000"/>
      <c r="C21" s="2000"/>
      <c r="D21" s="1166" t="s">
        <v>1729</v>
      </c>
      <c r="E21" s="1167" t="s">
        <v>27</v>
      </c>
      <c r="F21" s="1999" t="s">
        <v>701</v>
      </c>
      <c r="G21" s="1999"/>
      <c r="H21" s="1999"/>
    </row>
    <row customHeight="1" ht="43.5" r="22" spans="1:8">
      <c r="A22" s="1739" t="s">
        <v>3095</v>
      </c>
      <c r="B22" s="1740"/>
      <c r="C22" s="1741"/>
      <c r="D22" s="1168"/>
      <c r="E22" s="1125"/>
      <c r="F22" s="1754"/>
      <c r="G22" s="1754"/>
      <c r="H22" s="1754"/>
    </row>
    <row r="23" spans="1:8">
      <c r="A23" s="1670"/>
      <c r="B23" s="1671"/>
      <c r="C23" s="1672"/>
      <c r="D23" s="1168"/>
      <c r="E23" s="1125"/>
      <c r="F23" s="1754"/>
      <c r="G23" s="1754"/>
      <c r="H23" s="1754"/>
    </row>
    <row r="24" spans="1:8">
      <c r="A24" s="2001" t="s">
        <v>3207</v>
      </c>
      <c r="B24" s="2001"/>
      <c r="C24" s="2001"/>
      <c r="D24" s="2001"/>
      <c r="E24" s="2001"/>
      <c r="F24" s="2001"/>
      <c r="G24" s="2001"/>
      <c r="H24" s="2001"/>
    </row>
    <row customHeight="1" ht="24" r="25" spans="1:8">
      <c r="A25" s="1971" t="s">
        <v>3206</v>
      </c>
      <c r="B25" s="2002"/>
      <c r="C25" s="2002"/>
      <c r="D25" s="1972"/>
      <c r="E25" s="2003" t="s">
        <v>3072</v>
      </c>
      <c r="F25" s="2004"/>
      <c r="G25" s="2004"/>
      <c r="H25" s="2005"/>
    </row>
    <row ht="24" r="26" spans="1:8">
      <c r="A26" s="1971" t="s">
        <v>1776</v>
      </c>
      <c r="B26" s="1972"/>
      <c r="C26" s="1170" t="s">
        <v>79</v>
      </c>
      <c r="D26" s="1170" t="s">
        <v>3073</v>
      </c>
      <c r="E26" s="1170" t="s">
        <v>0</v>
      </c>
      <c r="F26" s="1170" t="s">
        <v>79</v>
      </c>
      <c r="G26" s="1170" t="s">
        <v>1776</v>
      </c>
      <c r="H26" s="1170" t="s">
        <v>3074</v>
      </c>
    </row>
    <row customHeight="1" ht="21" r="27" spans="1:8">
      <c r="A27" s="1662">
        <f>ЧХ!$C$16</f>
        <v>0</v>
      </c>
      <c r="B27" s="1663"/>
      <c r="C27" s="1314">
        <f>ЧХ!$C$15</f>
        <v>0</v>
      </c>
      <c r="D27" s="1144"/>
      <c r="E27" s="1995">
        <f>ЧХ!$C$7</f>
        <v>0</v>
      </c>
      <c r="F27" s="1315">
        <f>'1.Info'!F30</f>
        <v>0</v>
      </c>
      <c r="G27" s="1315">
        <f>'1.Info'!F29</f>
        <v>0</v>
      </c>
      <c r="H27" s="1144"/>
    </row>
    <row r="28" spans="1:8">
      <c r="A28" s="1968"/>
      <c r="B28" s="1969"/>
      <c r="C28" s="1144"/>
      <c r="D28" s="1144"/>
      <c r="E28" s="1996"/>
      <c r="F28" s="1315" t="str">
        <f>'1.Info'!F37</f>
        <v/>
      </c>
      <c r="G28" s="1315" t="str">
        <f>'1.Info'!F36</f>
        <v/>
      </c>
      <c r="H28" s="1144"/>
    </row>
    <row r="29" spans="1:8">
      <c r="A29" s="1993" t="s">
        <v>3075</v>
      </c>
      <c r="B29" s="1993"/>
      <c r="C29" s="1993"/>
      <c r="D29" s="1993"/>
      <c r="E29" s="1993"/>
      <c r="F29" s="1993"/>
      <c r="G29" s="1993"/>
      <c r="H29" s="1171"/>
    </row>
    <row r="30" spans="1:8">
      <c r="A30" s="1994" t="s">
        <v>3076</v>
      </c>
      <c r="B30" s="1994"/>
      <c r="C30" s="1994"/>
      <c r="D30" s="1994"/>
      <c r="E30" s="1994"/>
      <c r="F30" s="1171"/>
      <c r="G30" s="1171"/>
      <c r="H30" s="1171"/>
    </row>
    <row customHeight="1" ht="27" r="31" spans="1:8">
      <c r="A31" s="1169" t="s">
        <v>649</v>
      </c>
      <c r="B31" s="1971" t="s">
        <v>3077</v>
      </c>
      <c r="C31" s="1972"/>
      <c r="D31" s="1318" t="s">
        <v>3092</v>
      </c>
      <c r="E31" s="1169" t="s">
        <v>3078</v>
      </c>
      <c r="F31" s="1742" t="s">
        <v>3091</v>
      </c>
      <c r="G31" s="1742"/>
      <c r="H31" s="1742"/>
    </row>
    <row customHeight="1" ht="26.25" r="32" spans="1:8">
      <c r="A32" s="1172">
        <v>1</v>
      </c>
      <c r="B32" s="1319">
        <f>ЧХ!$C$6</f>
        <v>0</v>
      </c>
      <c r="C32" s="1320" t="s">
        <v>1765</v>
      </c>
      <c r="D32" s="1173"/>
      <c r="E32" s="1173"/>
      <c r="F32" s="1997"/>
      <c r="G32" s="1997"/>
      <c r="H32" s="1997"/>
    </row>
    <row customHeight="1" ht="27.75" r="33" spans="1:8">
      <c r="A33" s="1172">
        <v>2</v>
      </c>
      <c r="B33" s="1319" t="str">
        <f>ЧХ!$C$5</f>
        <v>С.Энхбаатар</v>
      </c>
      <c r="C33" s="1173" t="s">
        <v>3079</v>
      </c>
      <c r="D33" s="1173"/>
      <c r="E33" s="1173"/>
      <c r="F33" s="1997"/>
      <c r="G33" s="1997"/>
      <c r="H33" s="1997"/>
    </row>
    <row customHeight="1" ht="28.5" r="34" spans="1:8">
      <c r="A34" s="1172">
        <v>3</v>
      </c>
      <c r="B34" s="1323"/>
      <c r="C34" s="1320" t="s">
        <v>3080</v>
      </c>
      <c r="D34" s="1174"/>
      <c r="E34" s="1173"/>
      <c r="F34" s="1992"/>
      <c r="G34" s="1992"/>
      <c r="H34" s="1992"/>
    </row>
    <row r="35" spans="1:8">
      <c r="A35" s="1988" t="s">
        <v>3081</v>
      </c>
      <c r="B35" s="1988"/>
      <c r="C35" s="1988"/>
      <c r="D35" s="1988"/>
      <c r="E35" s="1988"/>
      <c r="F35" s="1988"/>
      <c r="G35" s="1988"/>
      <c r="H35" s="1988"/>
    </row>
    <row ht="24" r="36" spans="1:8">
      <c r="A36" s="1169" t="s">
        <v>649</v>
      </c>
      <c r="B36" s="1321"/>
      <c r="C36" s="1989" t="s">
        <v>3082</v>
      </c>
      <c r="D36" s="1989"/>
      <c r="E36" s="1169" t="s">
        <v>3083</v>
      </c>
      <c r="F36" s="1990" t="s">
        <v>3084</v>
      </c>
      <c r="G36" s="1990"/>
      <c r="H36" s="1990"/>
    </row>
    <row customHeight="1" ht="17.25" r="37" spans="1:8">
      <c r="A37" s="1172">
        <v>1</v>
      </c>
      <c r="B37" s="1320" t="str">
        <f>+B33</f>
        <v>С.Энхбаатар</v>
      </c>
      <c r="C37" s="1991" t="s">
        <v>3079</v>
      </c>
      <c r="D37" s="1991"/>
      <c r="E37" s="1173"/>
      <c r="F37" s="1992"/>
      <c r="G37" s="1992"/>
      <c r="H37" s="1992"/>
    </row>
    <row r="38" spans="1:8">
      <c r="A38" s="1172">
        <v>2</v>
      </c>
      <c r="B38" s="1172"/>
      <c r="C38" s="1991" t="s">
        <v>3085</v>
      </c>
      <c r="D38" s="1991"/>
      <c r="E38" s="1173"/>
      <c r="F38" s="1992"/>
      <c r="G38" s="1992"/>
      <c r="H38" s="1992"/>
    </row>
  </sheetData>
  <mergeCells count="51">
    <mergeCell ref="B8:C8"/>
    <mergeCell ref="B9:C10"/>
    <mergeCell ref="A8:A12"/>
    <mergeCell ref="D8:H8"/>
    <mergeCell ref="E9:H9"/>
    <mergeCell ref="B11:C12"/>
    <mergeCell ref="F21:H21"/>
    <mergeCell ref="E12:H12"/>
    <mergeCell ref="E11:H11"/>
    <mergeCell ref="A15:C17"/>
    <mergeCell ref="D17:E17"/>
    <mergeCell ref="G17:H17"/>
    <mergeCell ref="B13:C14"/>
    <mergeCell ref="E13:H13"/>
    <mergeCell ref="E14:H14"/>
    <mergeCell ref="A2:H2"/>
    <mergeCell ref="C4:D4"/>
    <mergeCell ref="E4:F4"/>
    <mergeCell ref="G4:H4"/>
    <mergeCell ref="A6:C6"/>
    <mergeCell ref="A4:B4"/>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D101"/>
  <sheetViews>
    <sheetView topLeftCell="A41" workbookViewId="0" zoomScale="85" zoomScaleNormal="85">
      <selection activeCell="A40" sqref="A40:B40"/>
    </sheetView>
  </sheetViews>
  <sheetFormatPr defaultRowHeight="12.75"/>
  <cols>
    <col min="1" max="1" customWidth="true" style="406" width="12.28515625" collapsed="false"/>
    <col min="2" max="2" customWidth="true" style="406" width="30.28515625" collapsed="false"/>
    <col min="3" max="3" customWidth="true" style="406" width="20.85546875" collapsed="false"/>
    <col min="4" max="4" customWidth="true" style="406" width="21.7109375" collapsed="false"/>
    <col min="5" max="16384" style="406" width="9.140625" collapsed="false"/>
  </cols>
  <sheetData>
    <row r="1" spans="1:4">
      <c r="A1" s="98"/>
      <c r="B1" s="98"/>
      <c r="C1" s="98"/>
      <c r="D1" s="98"/>
    </row>
    <row r="2" spans="1:4">
      <c r="A2" s="350"/>
      <c r="B2" s="715" t="str">
        <f>"''"&amp;ЧХ!C7&amp;"""-ЫН"</f>
        <v>''"-ЫН</v>
      </c>
      <c r="C2" s="47" t="s">
        <v>2502</v>
      </c>
      <c r="D2" s="47"/>
    </row>
    <row r="3" spans="1:4">
      <c r="A3" s="98"/>
      <c r="B3" s="98"/>
      <c r="C3" s="98"/>
      <c r="D3" s="98"/>
    </row>
    <row customHeight="1" ht="24" r="4" spans="1:4">
      <c r="A4" s="424"/>
      <c r="B4" s="598"/>
      <c r="C4" s="2030" t="s">
        <v>1666</v>
      </c>
      <c r="D4" s="2030"/>
    </row>
    <row r="5" spans="1:4">
      <c r="A5" s="424"/>
      <c r="B5" s="598"/>
      <c r="C5" s="598"/>
      <c r="D5" s="432"/>
    </row>
    <row customHeight="1" ht="21" r="6" spans="1:4">
      <c r="A6" s="88"/>
      <c r="B6" s="88"/>
      <c r="C6" s="1395" t="s">
        <v>2503</v>
      </c>
      <c r="D6" s="1393"/>
    </row>
    <row customHeight="1" ht="24" r="7" spans="1:4">
      <c r="A7" s="88"/>
      <c r="B7" s="88"/>
      <c r="C7" s="716" t="s">
        <v>2504</v>
      </c>
      <c r="D7" s="717"/>
    </row>
    <row customHeight="1" ht="21.75" r="8" spans="1:4">
      <c r="A8" s="88"/>
      <c r="B8" s="709"/>
      <c r="C8" s="718" t="s">
        <v>1851</v>
      </c>
      <c r="D8" s="718" t="s">
        <v>2505</v>
      </c>
    </row>
    <row customHeight="1" ht="30.75" r="9" spans="1:4">
      <c r="A9" s="88"/>
      <c r="B9" s="710"/>
      <c r="C9" s="2019" t="s">
        <v>2504</v>
      </c>
      <c r="D9" s="2019"/>
    </row>
    <row customHeight="1" ht="27" r="10" spans="1:4">
      <c r="A10" s="88"/>
      <c r="B10" s="710"/>
      <c r="C10" s="718" t="s">
        <v>2506</v>
      </c>
      <c r="D10" s="718" t="s">
        <v>2507</v>
      </c>
    </row>
    <row customHeight="1" ht="31.5" r="11" spans="1:4">
      <c r="A11" s="88"/>
      <c r="B11" s="710"/>
      <c r="C11" s="2020" t="s">
        <v>2508</v>
      </c>
      <c r="D11" s="2020"/>
    </row>
    <row customHeight="1" ht="33" r="12" spans="1:4">
      <c r="A12" s="88"/>
      <c r="B12" s="710"/>
      <c r="C12" s="718" t="s">
        <v>2509</v>
      </c>
      <c r="D12" s="718" t="s">
        <v>2507</v>
      </c>
    </row>
    <row customHeight="1" ht="35.25" r="13" spans="1:4">
      <c r="A13" s="88"/>
      <c r="B13" s="710"/>
      <c r="C13" s="2020" t="s">
        <v>2508</v>
      </c>
      <c r="D13" s="2020"/>
    </row>
    <row customHeight="1" ht="35.25" r="14" spans="1:4">
      <c r="A14" s="88"/>
      <c r="B14" s="710"/>
      <c r="C14" s="718" t="s">
        <v>2510</v>
      </c>
      <c r="D14" s="718" t="s">
        <v>2511</v>
      </c>
    </row>
    <row customHeight="1" ht="31.5" r="15" spans="1:4">
      <c r="A15" s="88"/>
      <c r="B15" s="710"/>
      <c r="C15" s="2020" t="s">
        <v>2508</v>
      </c>
      <c r="D15" s="2020"/>
    </row>
    <row customHeight="1" ht="35.25" r="16" spans="1:4">
      <c r="A16" s="88"/>
      <c r="B16" s="710"/>
      <c r="C16" s="718" t="s">
        <v>2512</v>
      </c>
      <c r="D16" s="718" t="s">
        <v>2507</v>
      </c>
    </row>
    <row customHeight="1" ht="31.5" r="17" spans="1:4">
      <c r="A17" s="88"/>
      <c r="B17" s="710"/>
      <c r="C17" s="2020" t="s">
        <v>2508</v>
      </c>
      <c r="D17" s="2020"/>
    </row>
    <row customHeight="1" ht="33" r="18" spans="1:4">
      <c r="A18" s="88"/>
      <c r="B18" s="710"/>
      <c r="C18" s="718" t="s">
        <v>2513</v>
      </c>
      <c r="D18" s="718" t="s">
        <v>2507</v>
      </c>
    </row>
    <row customHeight="1" ht="35.25" r="19" spans="1:4">
      <c r="A19" s="88"/>
      <c r="B19" s="710"/>
      <c r="C19" s="2020" t="s">
        <v>2508</v>
      </c>
      <c r="D19" s="2020"/>
    </row>
    <row customHeight="1" ht="35.25" r="20" spans="1:4">
      <c r="A20" s="88"/>
      <c r="B20" s="710"/>
      <c r="C20" s="718" t="s">
        <v>2514</v>
      </c>
      <c r="D20" s="718" t="s">
        <v>2507</v>
      </c>
    </row>
    <row customHeight="1" ht="35.25" r="21" spans="1:4">
      <c r="A21" s="88"/>
      <c r="B21" s="710"/>
      <c r="C21" s="2020" t="s">
        <v>2508</v>
      </c>
      <c r="D21" s="2020"/>
    </row>
    <row customHeight="1" ht="35.25" r="22" spans="1:4">
      <c r="A22" s="88"/>
      <c r="B22" s="710"/>
      <c r="C22" s="718" t="s">
        <v>2515</v>
      </c>
      <c r="D22" s="718" t="s">
        <v>2507</v>
      </c>
    </row>
    <row customHeight="1" ht="45.75" r="23" spans="1:4">
      <c r="A23" s="88"/>
      <c r="B23" s="710"/>
      <c r="C23" s="2021"/>
      <c r="D23" s="2021"/>
    </row>
    <row ht="14.25" r="24" spans="1:4">
      <c r="A24" s="88"/>
      <c r="B24" s="2024" t="s">
        <v>2523</v>
      </c>
      <c r="C24" s="2024"/>
      <c r="D24" s="432"/>
    </row>
    <row customHeight="1" ht="56.25" r="30" spans="1:4">
      <c r="A30" s="1703" t="s">
        <v>2516</v>
      </c>
      <c r="B30" s="1703"/>
      <c r="C30" s="1703"/>
      <c r="D30" s="1703"/>
    </row>
    <row customHeight="1" ht="66" r="31" spans="1:4">
      <c r="A31" s="1703" t="s">
        <v>2517</v>
      </c>
      <c r="B31" s="1703"/>
      <c r="C31" s="1703"/>
      <c r="D31" s="1703"/>
    </row>
    <row customHeight="1" ht="66.75" r="32" spans="1:4">
      <c r="A32" s="2025" t="s">
        <v>2518</v>
      </c>
      <c r="B32" s="2025"/>
      <c r="C32" s="2025"/>
      <c r="D32" s="2025"/>
    </row>
    <row r="33" spans="1:4">
      <c r="A33" s="2026"/>
      <c r="B33" s="2026"/>
      <c r="C33" s="2026"/>
      <c r="D33" s="2026"/>
    </row>
    <row r="34" spans="1:4">
      <c r="A34" s="2026"/>
      <c r="B34" s="2026"/>
      <c r="C34" s="2026"/>
      <c r="D34" s="2026"/>
    </row>
    <row customHeight="1" ht="23.25" r="38" spans="1:4">
      <c r="A38" s="719" t="str">
        <f>+C7</f>
        <v>Асуудал 1</v>
      </c>
      <c r="B38" s="719" t="str">
        <f>+'В-4'!B8</f>
        <v>Мөнгөн хөрөнгө</v>
      </c>
      <c r="C38" s="2022" t="str">
        <f>+C6</f>
        <v>Тэргүүлэх ач холбогдол №1 зүйлс:</v>
      </c>
      <c r="D38" s="2022"/>
    </row>
    <row ht="14.25" r="39" spans="1:4">
      <c r="A39" s="1397" t="s">
        <v>2519</v>
      </c>
      <c r="B39" s="1398">
        <f>'В-4'!D8</f>
        <v>500000</v>
      </c>
      <c r="C39" s="1396" t="s">
        <v>1747</v>
      </c>
      <c r="D39" s="1396"/>
    </row>
    <row customHeight="1" ht="38.25" r="40" spans="1:4">
      <c r="A40" s="2023" t="str">
        <f>'В-4'!C8</f>
        <v>Анхан шатны баримтын бүрдэл дутуу</v>
      </c>
      <c r="B40" s="2023"/>
      <c r="C40" s="2022" t="s">
        <v>3340</v>
      </c>
      <c r="D40" s="2022"/>
    </row>
    <row customFormat="1" customHeight="1" ht="20.25" r="41" s="711" spans="1:4">
      <c r="A41" s="2027" t="s">
        <v>1522</v>
      </c>
      <c r="B41" s="2027"/>
      <c r="C41" s="2027" t="s">
        <v>2520</v>
      </c>
      <c r="D41" s="2027"/>
    </row>
    <row customFormat="1" customHeight="1" ht="24.75" r="42" s="711" spans="1:4">
      <c r="A42" s="720" t="s">
        <v>3342</v>
      </c>
      <c r="B42" s="720"/>
      <c r="C42" s="1399" t="str">
        <f>'В-4'!G8</f>
        <v>зөвшөөрсөн</v>
      </c>
      <c r="D42" s="720"/>
    </row>
    <row customFormat="1" ht="14.25" r="43" s="711" spans="1:4">
      <c r="A43" s="720"/>
      <c r="B43" s="720"/>
      <c r="C43" s="720"/>
      <c r="D43" s="720"/>
    </row>
    <row ht="14.25" r="44" spans="1:4">
      <c r="A44" s="719" t="str">
        <f>+C11</f>
        <v xml:space="preserve">
Асуудал 1</v>
      </c>
      <c r="B44" s="719" t="str">
        <f>+C12</f>
        <v xml:space="preserve">Авлага  </v>
      </c>
      <c r="C44" s="2022" t="str">
        <f>+C38</f>
        <v>Тэргүүлэх ач холбогдол №1 зүйлс:</v>
      </c>
      <c r="D44" s="2022"/>
    </row>
    <row ht="14.25" r="45" spans="1:4">
      <c r="A45" s="2028" t="s">
        <v>2519</v>
      </c>
      <c r="B45" s="2028"/>
      <c r="C45" s="2027" t="s">
        <v>1747</v>
      </c>
      <c r="D45" s="2027"/>
    </row>
    <row ht="14.25" r="46" spans="1:4">
      <c r="A46" s="2029"/>
      <c r="B46" s="2029"/>
      <c r="C46" s="2029"/>
      <c r="D46" s="2029"/>
    </row>
    <row ht="14.25" r="47" spans="1:4">
      <c r="A47" s="2027" t="s">
        <v>1522</v>
      </c>
      <c r="B47" s="2027"/>
      <c r="C47" s="2027" t="s">
        <v>2520</v>
      </c>
      <c r="D47" s="2027"/>
    </row>
    <row ht="14.25" r="50" spans="1:4">
      <c r="A50" s="719" t="str">
        <f>+C9</f>
        <v>Асуудал 1</v>
      </c>
      <c r="B50" s="719" t="str">
        <f>+C10</f>
        <v xml:space="preserve">Бараа материал </v>
      </c>
      <c r="C50" s="2022" t="str">
        <f>+C38</f>
        <v>Тэргүүлэх ач холбогдол №1 зүйлс:</v>
      </c>
      <c r="D50" s="2022"/>
    </row>
    <row ht="14.25" r="51" spans="1:4">
      <c r="A51" s="2028" t="s">
        <v>2519</v>
      </c>
      <c r="B51" s="2028"/>
      <c r="C51" s="2027" t="s">
        <v>1747</v>
      </c>
      <c r="D51" s="2027"/>
    </row>
    <row ht="14.25" r="52" spans="1:4">
      <c r="A52" s="2029"/>
      <c r="B52" s="2029"/>
      <c r="C52" s="2029"/>
      <c r="D52" s="2029"/>
    </row>
    <row ht="14.25" r="53" spans="1:4">
      <c r="A53" s="2027" t="s">
        <v>1522</v>
      </c>
      <c r="B53" s="2027"/>
      <c r="C53" s="2027" t="s">
        <v>2520</v>
      </c>
      <c r="D53" s="2027"/>
    </row>
    <row ht="14.25" r="56" spans="1:4">
      <c r="A56" s="719" t="str">
        <f>+C13</f>
        <v xml:space="preserve">
Асуудал 1</v>
      </c>
      <c r="B56" s="719" t="str">
        <f>+C14</f>
        <v xml:space="preserve">Үндсэн хөрөнгө </v>
      </c>
      <c r="C56" s="2022" t="str">
        <f>+C38</f>
        <v>Тэргүүлэх ач холбогдол №1 зүйлс:</v>
      </c>
      <c r="D56" s="2022"/>
    </row>
    <row ht="14.25" r="57" spans="1:4">
      <c r="A57" s="2028" t="s">
        <v>2519</v>
      </c>
      <c r="B57" s="2028"/>
      <c r="C57" s="2027" t="s">
        <v>1747</v>
      </c>
      <c r="D57" s="2027"/>
    </row>
    <row ht="14.25" r="58" spans="1:4">
      <c r="A58" s="2029"/>
      <c r="B58" s="2029"/>
      <c r="C58" s="2029"/>
      <c r="D58" s="2029"/>
    </row>
    <row ht="14.25" r="59" spans="1:4">
      <c r="A59" s="2027" t="s">
        <v>1522</v>
      </c>
      <c r="B59" s="2027"/>
      <c r="C59" s="2027" t="s">
        <v>2520</v>
      </c>
      <c r="D59" s="2027"/>
    </row>
    <row ht="14.25" r="62" spans="1:4">
      <c r="A62" s="719" t="str">
        <f>+C15</f>
        <v xml:space="preserve">
Асуудал 1</v>
      </c>
      <c r="B62" s="719" t="str">
        <f>+C16</f>
        <v xml:space="preserve">Өр төлбөр </v>
      </c>
      <c r="C62" s="2022" t="str">
        <f>+C44</f>
        <v>Тэргүүлэх ач холбогдол №1 зүйлс:</v>
      </c>
      <c r="D62" s="2022"/>
    </row>
    <row ht="14.25" r="63" spans="1:4">
      <c r="A63" s="2028" t="s">
        <v>2519</v>
      </c>
      <c r="B63" s="2028"/>
      <c r="C63" s="2027" t="s">
        <v>1747</v>
      </c>
      <c r="D63" s="2027"/>
    </row>
    <row ht="14.25" r="64" spans="1:4">
      <c r="A64" s="2029"/>
      <c r="B64" s="2029"/>
      <c r="C64" s="2029"/>
      <c r="D64" s="2029"/>
    </row>
    <row ht="14.25" r="65" spans="1:4">
      <c r="A65" s="2027" t="s">
        <v>1522</v>
      </c>
      <c r="B65" s="2027"/>
      <c r="C65" s="2027" t="s">
        <v>2520</v>
      </c>
      <c r="D65" s="2027"/>
    </row>
    <row ht="14.25" r="69" spans="1:4">
      <c r="A69" s="719" t="str">
        <f>+C17</f>
        <v xml:space="preserve">
Асуудал 1</v>
      </c>
      <c r="B69" s="719" t="str">
        <f>+C18</f>
        <v xml:space="preserve">Эздийн өмч  </v>
      </c>
      <c r="C69" s="2022" t="str">
        <f>+C38</f>
        <v>Тэргүүлэх ач холбогдол №1 зүйлс:</v>
      </c>
      <c r="D69" s="2022"/>
    </row>
    <row ht="14.25" r="70" spans="1:4">
      <c r="A70" s="2028" t="s">
        <v>2519</v>
      </c>
      <c r="B70" s="2028"/>
      <c r="C70" s="2027" t="s">
        <v>1747</v>
      </c>
      <c r="D70" s="2027"/>
    </row>
    <row ht="14.25" r="71" spans="1:4">
      <c r="A71" s="2029"/>
      <c r="B71" s="2029"/>
      <c r="C71" s="2029"/>
      <c r="D71" s="2029"/>
    </row>
    <row ht="14.25" r="72" spans="1:4">
      <c r="A72" s="2027" t="s">
        <v>1522</v>
      </c>
      <c r="B72" s="2027"/>
      <c r="C72" s="2027" t="s">
        <v>2520</v>
      </c>
      <c r="D72" s="2027"/>
    </row>
    <row ht="14.25" r="73" spans="1:4">
      <c r="A73" s="720"/>
      <c r="B73" s="720"/>
      <c r="C73" s="720"/>
      <c r="D73" s="720"/>
    </row>
    <row ht="14.25" r="74" spans="1:4">
      <c r="A74" s="720"/>
      <c r="B74" s="720"/>
      <c r="C74" s="720"/>
      <c r="D74" s="720"/>
    </row>
    <row customHeight="1" ht="21" r="76" spans="1:4">
      <c r="A76" s="719" t="str">
        <f>+C21</f>
        <v xml:space="preserve">
Асуудал 1</v>
      </c>
      <c r="B76" s="719" t="str">
        <f>+C20</f>
        <v xml:space="preserve">Орлого </v>
      </c>
      <c r="C76" s="2022" t="str">
        <f>+C38</f>
        <v>Тэргүүлэх ач холбогдол №1 зүйлс:</v>
      </c>
      <c r="D76" s="2022"/>
    </row>
    <row customHeight="1" ht="23.25" r="77" spans="1:4">
      <c r="A77" s="2028" t="s">
        <v>2519</v>
      </c>
      <c r="B77" s="2028"/>
      <c r="C77" s="2027" t="s">
        <v>1747</v>
      </c>
      <c r="D77" s="2027"/>
    </row>
    <row ht="14.25" r="78" spans="1:4">
      <c r="A78" s="2029"/>
      <c r="B78" s="2029"/>
      <c r="C78" s="2029"/>
      <c r="D78" s="2029"/>
    </row>
    <row ht="14.25" r="79" spans="1:4">
      <c r="A79" s="2027" t="s">
        <v>1522</v>
      </c>
      <c r="B79" s="2027"/>
      <c r="C79" s="2027" t="s">
        <v>2520</v>
      </c>
      <c r="D79" s="2027"/>
    </row>
    <row ht="14.25" r="83" spans="1:4">
      <c r="A83" s="719" t="str">
        <f>+C21</f>
        <v xml:space="preserve">
Асуудал 1</v>
      </c>
      <c r="B83" s="719" t="str">
        <f>+C22</f>
        <v xml:space="preserve">Зардал </v>
      </c>
      <c r="C83" s="721" t="str">
        <f>+C44</f>
        <v>Тэргүүлэх ач холбогдол №1 зүйлс:</v>
      </c>
      <c r="D83" s="721"/>
    </row>
    <row ht="14.25" r="84" spans="1:4">
      <c r="A84" s="722" t="s">
        <v>2519</v>
      </c>
      <c r="B84" s="722"/>
      <c r="C84" s="720" t="s">
        <v>1747</v>
      </c>
      <c r="D84" s="720"/>
    </row>
    <row ht="14.25" r="85" spans="1:4">
      <c r="A85" s="723"/>
      <c r="B85" s="723"/>
      <c r="C85" s="723"/>
      <c r="D85" s="723"/>
    </row>
    <row ht="14.25" r="86" spans="1:4">
      <c r="A86" s="720" t="s">
        <v>1522</v>
      </c>
      <c r="B86" s="720"/>
      <c r="C86" s="720" t="s">
        <v>2520</v>
      </c>
      <c r="D86" s="720"/>
    </row>
    <row ht="14.25" r="90" spans="1:4">
      <c r="A90" s="2029" t="s">
        <v>2521</v>
      </c>
      <c r="B90" s="2029"/>
      <c r="C90" s="2029"/>
      <c r="D90" s="2029"/>
    </row>
    <row ht="14.25" r="92" spans="1:4">
      <c r="A92" s="724" t="s">
        <v>2522</v>
      </c>
      <c r="B92" s="725"/>
      <c r="C92" s="725"/>
      <c r="D92" s="725"/>
    </row>
    <row ht="14.25" r="93" spans="1:4">
      <c r="A93" s="725"/>
      <c r="B93" s="725" t="str">
        <f>+ЧХ!$B$5</f>
        <v>Тэргүүлэх аудитор</v>
      </c>
      <c r="C93" s="726"/>
      <c r="D93" s="725"/>
    </row>
    <row ht="14.25" r="94" spans="1:4">
      <c r="A94" s="725"/>
      <c r="B94" s="727" t="str">
        <f>+ЧХ!$C$5</f>
        <v>С.Энхбаатар</v>
      </c>
      <c r="C94" s="725"/>
      <c r="D94" s="728" t="s">
        <v>2399</v>
      </c>
    </row>
    <row ht="14.25" r="95" spans="1:4">
      <c r="A95" s="725"/>
      <c r="B95" s="727"/>
      <c r="C95" s="725"/>
      <c r="D95" s="727"/>
    </row>
    <row ht="14.25" r="96" spans="1:4">
      <c r="A96" s="725"/>
      <c r="B96" s="725" t="str">
        <f>+ЧХ!$B$6</f>
        <v>Аудитын менежер</v>
      </c>
      <c r="C96" s="725"/>
      <c r="D96" s="726"/>
    </row>
    <row ht="14.25" r="97" spans="1:4">
      <c r="A97" s="725"/>
      <c r="B97" s="727">
        <f>+ЧХ!$C$6</f>
        <v>0</v>
      </c>
      <c r="C97" s="725"/>
      <c r="D97" s="728" t="s">
        <v>2399</v>
      </c>
    </row>
    <row ht="14.25" r="98" spans="1:4">
      <c r="A98" s="725"/>
      <c r="B98" s="727"/>
      <c r="C98" s="725"/>
      <c r="D98" s="727"/>
    </row>
    <row ht="14.25" r="99" spans="1:4">
      <c r="A99" s="2031" t="s">
        <v>2398</v>
      </c>
      <c r="B99" s="2031"/>
      <c r="C99" s="725"/>
      <c r="D99" s="729"/>
    </row>
    <row ht="14.25" r="100" spans="1:4">
      <c r="A100" s="725"/>
      <c r="B100" s="725">
        <f>+ЧХ!$C$15</f>
        <v>0</v>
      </c>
      <c r="C100" s="725"/>
      <c r="D100" s="726"/>
    </row>
    <row ht="14.25" r="101" spans="1:4">
      <c r="A101" s="725"/>
      <c r="B101" s="727">
        <f>+ЧХ!$C$16</f>
        <v>0</v>
      </c>
      <c r="C101" s="725"/>
      <c r="D101" s="728" t="s">
        <v>2399</v>
      </c>
    </row>
  </sheetData>
  <mergeCells count="63">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 ref="A64:B64"/>
    <mergeCell ref="C64:D64"/>
    <mergeCell ref="A65:B65"/>
    <mergeCell ref="C65:D65"/>
    <mergeCell ref="C69:D69"/>
    <mergeCell ref="A59:B59"/>
    <mergeCell ref="C59:D59"/>
    <mergeCell ref="C62:D62"/>
    <mergeCell ref="A63:B63"/>
    <mergeCell ref="C63:D63"/>
    <mergeCell ref="C56:D56"/>
    <mergeCell ref="A57:B57"/>
    <mergeCell ref="C57:D57"/>
    <mergeCell ref="A58:B58"/>
    <mergeCell ref="C58:D58"/>
    <mergeCell ref="A51:B51"/>
    <mergeCell ref="C51:D51"/>
    <mergeCell ref="A52:B52"/>
    <mergeCell ref="C52:D52"/>
    <mergeCell ref="A53:B53"/>
    <mergeCell ref="C53:D53"/>
    <mergeCell ref="A46:B46"/>
    <mergeCell ref="C46:D46"/>
    <mergeCell ref="A47:B47"/>
    <mergeCell ref="C47:D47"/>
    <mergeCell ref="C50:D50"/>
    <mergeCell ref="A41:B41"/>
    <mergeCell ref="C41:D41"/>
    <mergeCell ref="C44:D44"/>
    <mergeCell ref="A45:B45"/>
    <mergeCell ref="C45:D45"/>
    <mergeCell ref="C19:D19"/>
    <mergeCell ref="C21:D21"/>
    <mergeCell ref="C23:D23"/>
    <mergeCell ref="C38:D38"/>
    <mergeCell ref="A40:B40"/>
    <mergeCell ref="C40:D40"/>
    <mergeCell ref="B24:C24"/>
    <mergeCell ref="A30:D30"/>
    <mergeCell ref="A31:D31"/>
    <mergeCell ref="A32:D32"/>
    <mergeCell ref="A33:D34"/>
    <mergeCell ref="C9:D9"/>
    <mergeCell ref="C11:D11"/>
    <mergeCell ref="C13:D13"/>
    <mergeCell ref="C15:D15"/>
    <mergeCell ref="C17:D17"/>
  </mergeCells>
  <dataValidations count="1">
    <dataValidation allowBlank="1" showErrorMessage="1" showInputMessage="1" sqref="B9:B23" type="list">
      <formula1>"Тийм, Үгүй"</formula1>
    </dataValidation>
  </dataValidations>
  <pageMargins bottom="0.75" footer="0.3" header="0.3" left="0.7" right="0.7" top="0.75"/>
  <pageSetup orientation="portrait" r:id="rId1"/>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2"/>
  <sheetViews>
    <sheetView workbookViewId="0">
      <selection activeCell="K34" sqref="K34"/>
    </sheetView>
  </sheetViews>
  <sheetFormatPr defaultRowHeight="12.75"/>
  <cols>
    <col min="1" max="1" customWidth="true" style="854" width="5.85546875" collapsed="true"/>
    <col min="2" max="2" customWidth="true" style="911" width="15.5703125" collapsed="true"/>
    <col min="3" max="3" customWidth="true" style="406" width="31.7109375" collapsed="true"/>
    <col min="4" max="5" customWidth="true" style="406" width="14.0" collapsed="true"/>
    <col min="6" max="6" customWidth="true" style="406" width="17.0" collapsed="true"/>
    <col min="7" max="8" customWidth="true" style="406" width="14.0" collapsed="true"/>
    <col min="9" max="9" customWidth="true" style="406" width="17.28515625" collapsed="true"/>
    <col min="10" max="11" customWidth="true" style="406" width="14.0" collapsed="true"/>
    <col min="12" max="12" style="406" width="9.140625" collapsed="true"/>
    <col min="13" max="14" style="406" width="9.140625" collapsed="false"/>
    <col min="15" max="15" style="406" width="9.140625" collapsed="true"/>
    <col min="16" max="16" style="406" width="9.140625" collapsed="false"/>
    <col min="17" max="16384" style="406" width="9.140625" collapsed="true"/>
  </cols>
  <sheetData>
    <row customHeight="1" ht="18" r="1" spans="1:11">
      <c r="A1" s="70"/>
      <c r="B1" s="910"/>
      <c r="C1" s="548" t="s">
        <v>1739</v>
      </c>
      <c r="K1" s="267" t="s">
        <v>2021</v>
      </c>
    </row>
    <row r="2" spans="1:11">
      <c r="A2" s="596"/>
      <c r="B2" s="914"/>
      <c r="C2" s="1"/>
      <c r="D2" s="1"/>
      <c r="K2" s="267"/>
    </row>
    <row r="3" spans="1:11">
      <c r="B3" s="1859" t="str">
        <f>"Байгууллагын нэр: "&amp;ЧХ!$C$7</f>
        <v xml:space="preserve">Байгууллагын нэр: </v>
      </c>
      <c r="C3" s="1859"/>
      <c r="D3" s="1859"/>
      <c r="E3" s="271"/>
      <c r="F3" s="271"/>
      <c r="G3" s="271"/>
      <c r="H3" s="271"/>
      <c r="I3" s="271"/>
      <c r="J3" s="271"/>
      <c r="K3" s="271"/>
    </row>
    <row r="4" spans="1:11">
      <c r="B4" s="914" t="str">
        <f>"тайлант он: " &amp;ЧХ!$C$8</f>
        <v xml:space="preserve">тайлант он: </v>
      </c>
      <c r="C4" s="272"/>
      <c r="D4" s="1"/>
      <c r="E4" s="1"/>
      <c r="F4" s="1"/>
      <c r="G4" s="1"/>
      <c r="H4" s="1"/>
      <c r="I4" s="1"/>
    </row>
    <row r="5" spans="1:11">
      <c r="B5" s="915"/>
      <c r="C5" s="272"/>
      <c r="D5" s="1"/>
      <c r="E5" s="1"/>
      <c r="F5" s="1"/>
      <c r="G5" s="1"/>
      <c r="H5" s="1"/>
      <c r="I5" s="1"/>
      <c r="K5" s="267" t="s">
        <v>2396</v>
      </c>
    </row>
    <row customHeight="1" ht="25.5" r="6" spans="1:11">
      <c r="A6" s="1959" t="s">
        <v>1267</v>
      </c>
      <c r="B6" s="1959" t="s">
        <v>26</v>
      </c>
      <c r="C6" s="1959" t="s">
        <v>1740</v>
      </c>
      <c r="D6" s="1980" t="s">
        <v>1318</v>
      </c>
      <c r="E6" s="2032"/>
      <c r="F6" s="1981"/>
      <c r="G6" s="1959" t="s">
        <v>1741</v>
      </c>
      <c r="H6" s="1959"/>
      <c r="I6" s="1959"/>
      <c r="J6" s="1959"/>
      <c r="K6" s="1959" t="s">
        <v>1742</v>
      </c>
    </row>
    <row customHeight="1" ht="42" r="7" spans="1:11">
      <c r="A7" s="1959"/>
      <c r="B7" s="1959"/>
      <c r="C7" s="1959"/>
      <c r="D7" s="860" t="s">
        <v>1737</v>
      </c>
      <c r="E7" s="860" t="s">
        <v>1744</v>
      </c>
      <c r="F7" s="860" t="s">
        <v>1745</v>
      </c>
      <c r="G7" s="860" t="s">
        <v>1743</v>
      </c>
      <c r="H7" s="860" t="s">
        <v>1746</v>
      </c>
      <c r="I7" s="849" t="s">
        <v>2998</v>
      </c>
      <c r="J7" s="860" t="s">
        <v>1747</v>
      </c>
      <c r="K7" s="1959"/>
    </row>
    <row customHeight="1" ht="55.5" r="8" spans="1:11">
      <c r="A8" s="860">
        <v>1</v>
      </c>
      <c r="B8" s="923"/>
      <c r="C8" s="751"/>
      <c r="D8" s="273"/>
      <c r="E8" s="273"/>
      <c r="F8" s="273"/>
      <c r="G8" s="273"/>
      <c r="H8" s="273"/>
      <c r="I8" s="273"/>
      <c r="J8" s="273"/>
      <c r="K8" s="274"/>
    </row>
    <row customHeight="1" ht="27" r="9" spans="1:11">
      <c r="A9" s="860">
        <v>2</v>
      </c>
      <c r="B9" s="923"/>
      <c r="C9" s="751"/>
      <c r="D9" s="273"/>
      <c r="E9" s="273"/>
      <c r="F9" s="273"/>
      <c r="G9" s="273"/>
      <c r="H9" s="273"/>
      <c r="I9" s="273"/>
      <c r="J9" s="273"/>
      <c r="K9" s="274"/>
    </row>
    <row customHeight="1" ht="27" r="10" spans="1:11">
      <c r="A10" s="469">
        <v>3</v>
      </c>
      <c r="B10" s="923"/>
      <c r="C10" s="751"/>
      <c r="D10" s="273"/>
      <c r="E10" s="273"/>
      <c r="F10" s="273"/>
      <c r="G10" s="273"/>
      <c r="H10" s="273"/>
      <c r="I10" s="273"/>
      <c r="J10" s="273"/>
      <c r="K10" s="46"/>
    </row>
    <row customHeight="1" ht="27" r="11" spans="1:11">
      <c r="A11" s="844">
        <v>4</v>
      </c>
      <c r="B11" s="923"/>
      <c r="C11" s="751"/>
      <c r="D11" s="273"/>
      <c r="E11" s="273"/>
      <c r="F11" s="273"/>
      <c r="G11" s="273"/>
      <c r="H11" s="273"/>
      <c r="I11" s="273"/>
      <c r="J11" s="273"/>
      <c r="K11" s="46"/>
    </row>
    <row customHeight="1" ht="27" r="12" spans="1:11">
      <c r="A12" s="857">
        <v>5</v>
      </c>
      <c r="B12" s="923"/>
      <c r="C12" s="751"/>
      <c r="D12" s="273"/>
      <c r="E12" s="273"/>
      <c r="F12" s="273"/>
      <c r="G12" s="273"/>
      <c r="H12" s="273"/>
      <c r="I12" s="273"/>
      <c r="J12" s="273"/>
      <c r="K12" s="46"/>
    </row>
    <row customHeight="1" ht="27" r="13" spans="1:11">
      <c r="A13" s="857">
        <v>6</v>
      </c>
      <c r="B13" s="923"/>
      <c r="C13" s="751"/>
      <c r="D13" s="273"/>
      <c r="E13" s="273"/>
      <c r="F13" s="273"/>
      <c r="G13" s="273"/>
      <c r="H13" s="273"/>
      <c r="I13" s="273"/>
      <c r="J13" s="273"/>
      <c r="K13" s="46"/>
    </row>
    <row customHeight="1" ht="22.5" r="14" spans="1:11">
      <c r="A14" s="73"/>
      <c r="B14" s="913"/>
      <c r="C14" s="857"/>
      <c r="D14" s="273"/>
      <c r="E14" s="273"/>
      <c r="F14" s="273"/>
      <c r="G14" s="273"/>
      <c r="H14" s="273"/>
      <c r="I14" s="273"/>
      <c r="J14" s="273"/>
      <c r="K14" s="46"/>
    </row>
    <row r="16" spans="1:11">
      <c r="C16" s="859" t="s">
        <v>2403</v>
      </c>
      <c r="G16" s="406" t="s">
        <v>1406</v>
      </c>
    </row>
    <row r="17" spans="3:8">
      <c r="C17" s="27"/>
      <c r="D17" s="406">
        <f>ЧХ!$C$15</f>
        <v>0</v>
      </c>
      <c r="G17" s="406">
        <f>'1.Info'!F30</f>
        <v>0</v>
      </c>
    </row>
    <row r="18" spans="3:8">
      <c r="F18" s="846" t="s">
        <v>27</v>
      </c>
      <c r="H18" s="406">
        <f>'1.Info'!F29</f>
        <v>0</v>
      </c>
    </row>
    <row r="19" spans="3:8">
      <c r="D19" s="846"/>
    </row>
    <row r="20" spans="3:8">
      <c r="C20" s="853" t="s">
        <v>1873</v>
      </c>
    </row>
    <row r="21" spans="3:8">
      <c r="C21" s="27"/>
      <c r="D21" s="406" t="str">
        <f>ЧХ!$B$6</f>
        <v>Аудитын менежер</v>
      </c>
      <c r="G21" s="406" t="str">
        <f>+'1.Info'!F37</f>
        <v/>
      </c>
    </row>
    <row r="22" spans="3:8">
      <c r="F22" s="846" t="s">
        <v>27</v>
      </c>
      <c r="H22" s="406" t="str">
        <f>+'1.Info'!F36</f>
        <v/>
      </c>
    </row>
    <row r="23" spans="3:8">
      <c r="D23" s="846"/>
    </row>
    <row r="24" spans="3:8">
      <c r="C24" s="853" t="s">
        <v>2035</v>
      </c>
    </row>
    <row r="25" spans="3:8">
      <c r="C25" s="27"/>
      <c r="D25" s="406" t="str">
        <f>ЧХ!$B$5</f>
        <v>Тэргүүлэх аудитор</v>
      </c>
    </row>
    <row r="26" spans="3:8">
      <c r="F26" s="846" t="s">
        <v>27</v>
      </c>
    </row>
    <row r="28" spans="3:8">
      <c r="C28" s="406" t="str">
        <f>ЧХ!$B$6</f>
        <v>Аудитын менежер</v>
      </c>
    </row>
    <row r="29" spans="3:8">
      <c r="C29" s="406" t="s">
        <v>2142</v>
      </c>
    </row>
    <row r="31" spans="3:8">
      <c r="C31" s="406" t="str">
        <f>ЧХ!$B$5</f>
        <v>Тэргүүлэх аудитор</v>
      </c>
    </row>
    <row r="32" spans="3:8">
      <c r="C32" s="406" t="s">
        <v>2142</v>
      </c>
    </row>
  </sheetData>
  <mergeCells count="7">
    <mergeCell ref="K6:K7"/>
    <mergeCell ref="B3:D3"/>
    <mergeCell ref="A6:A7"/>
    <mergeCell ref="B6:B7"/>
    <mergeCell ref="C6:C7"/>
    <mergeCell ref="D6:F6"/>
    <mergeCell ref="G6:J6"/>
  </mergeCells>
  <pageMargins bottom="0.75" footer="0.3" header="0.3" left="0.25" right="0.25" top="0.75"/>
  <pageSetup fitToWidth="0" horizontalDpi="300" orientation="landscape" r:id="rId1" scale="65" verticalDpi="300"/>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G37"/>
  <sheetViews>
    <sheetView workbookViewId="0"/>
  </sheetViews>
  <sheetFormatPr defaultRowHeight="12.75"/>
  <cols>
    <col min="1" max="1" customWidth="true" style="1" width="5.7109375" collapsed="false"/>
    <col min="2" max="2" customWidth="true" style="1" width="28.0" collapsed="false"/>
    <col min="3" max="3" customWidth="true" style="1" width="19.42578125" collapsed="false"/>
    <col min="4" max="4" customWidth="true" style="1" width="17.28515625" collapsed="false"/>
    <col min="5" max="5" customWidth="true" style="1" width="16.28515625" collapsed="false"/>
    <col min="6" max="16384" style="1" width="9.140625" collapsed="false"/>
  </cols>
  <sheetData>
    <row r="1" spans="1:7">
      <c r="E1" s="267" t="s">
        <v>2452</v>
      </c>
    </row>
    <row r="2" spans="1:7">
      <c r="A2" s="1838" t="s">
        <v>2401</v>
      </c>
      <c r="B2" s="1838"/>
      <c r="C2" s="1838"/>
      <c r="D2" s="1838"/>
      <c r="E2" s="1838"/>
    </row>
    <row r="3" spans="1:7">
      <c r="A3" s="1838" t="s">
        <v>1748</v>
      </c>
      <c r="B3" s="1838"/>
      <c r="C3" s="1838"/>
      <c r="D3" s="1838"/>
      <c r="E3" s="1838"/>
    </row>
    <row customHeight="1" ht="15.75" r="4" spans="1:7">
      <c r="A4" s="32"/>
      <c r="B4" s="1859" t="str">
        <f>"Байгууллагын нэр: "&amp;ЧХ!$C$7</f>
        <v xml:space="preserve">Байгууллагын нэр: </v>
      </c>
      <c r="C4" s="1859"/>
      <c r="D4" s="1859"/>
      <c r="E4" s="1859"/>
    </row>
    <row r="5" spans="1:7">
      <c r="A5" s="266"/>
      <c r="B5" s="573" t="str">
        <f>"тайлант он: " &amp;ЧХ!$C$8</f>
        <v xml:space="preserve">тайлант он: </v>
      </c>
    </row>
    <row r="6" spans="1:7">
      <c r="A6" s="266"/>
      <c r="B6" s="573"/>
    </row>
    <row customHeight="1" ht="29.25" r="7" spans="1:7">
      <c r="A7" s="595" t="s">
        <v>1373</v>
      </c>
      <c r="B7" s="588" t="s">
        <v>1749</v>
      </c>
      <c r="C7" s="595" t="s">
        <v>1750</v>
      </c>
      <c r="D7" s="595" t="s">
        <v>1751</v>
      </c>
      <c r="E7" s="595" t="s">
        <v>1752</v>
      </c>
    </row>
    <row ht="25.5" r="8" spans="1:7">
      <c r="A8" s="97">
        <v>1</v>
      </c>
      <c r="B8" s="17" t="s">
        <v>1753</v>
      </c>
      <c r="C8" s="97" t="s">
        <v>3021</v>
      </c>
      <c r="D8" s="37"/>
      <c r="E8" s="268"/>
      <c r="G8" s="269"/>
    </row>
    <row ht="25.5" r="9" spans="1:7">
      <c r="A9" s="97">
        <v>2</v>
      </c>
      <c r="B9" s="17" t="s">
        <v>1754</v>
      </c>
      <c r="C9" s="97" t="s">
        <v>3021</v>
      </c>
      <c r="D9" s="38"/>
      <c r="E9" s="17"/>
    </row>
    <row ht="25.5" r="10" spans="1:7">
      <c r="A10" s="97">
        <v>3</v>
      </c>
      <c r="B10" s="17" t="s">
        <v>1755</v>
      </c>
      <c r="C10" s="97" t="s">
        <v>3021</v>
      </c>
      <c r="D10" s="38"/>
      <c r="E10" s="17"/>
    </row>
    <row r="12" spans="1:7">
      <c r="B12" s="1703" t="s">
        <v>2398</v>
      </c>
      <c r="C12" s="1703"/>
    </row>
    <row r="13" spans="1:7">
      <c r="B13" s="406">
        <f>+ЧХ!$C$15</f>
        <v>0</v>
      </c>
      <c r="D13" s="27"/>
    </row>
    <row r="14" spans="1:7">
      <c r="B14" s="573">
        <f>+ЧХ!$C$16</f>
        <v>0</v>
      </c>
      <c r="C14" s="406"/>
      <c r="D14" s="91" t="s">
        <v>2399</v>
      </c>
    </row>
    <row r="15" spans="1:7">
      <c r="B15" s="406"/>
      <c r="C15" s="573"/>
      <c r="D15" s="573"/>
    </row>
    <row customHeight="1" ht="15" r="16" spans="1:7">
      <c r="B16" s="583" t="s">
        <v>1873</v>
      </c>
      <c r="C16" s="406"/>
      <c r="D16" s="406"/>
    </row>
    <row customHeight="1" ht="12.75" r="17" spans="2:4">
      <c r="B17" s="406" t="str">
        <f>+ЧХ!$B$6</f>
        <v>Аудитын менежер</v>
      </c>
      <c r="D17" s="27"/>
    </row>
    <row customHeight="1" ht="14.25" r="18" spans="2:4">
      <c r="B18" s="573">
        <f>+ЧХ!$C$6</f>
        <v>0</v>
      </c>
      <c r="C18" s="406"/>
      <c r="D18" s="590" t="s">
        <v>2399</v>
      </c>
    </row>
    <row r="19" spans="2:4">
      <c r="B19" s="406"/>
      <c r="C19" s="573"/>
      <c r="D19" s="573"/>
    </row>
    <row r="20" spans="2:4">
      <c r="B20" s="583" t="s">
        <v>2035</v>
      </c>
      <c r="C20" s="406"/>
      <c r="D20" s="406"/>
    </row>
    <row r="21" spans="2:4">
      <c r="B21" s="406" t="str">
        <f>+ЧХ!$B$5</f>
        <v>Тэргүүлэх аудитор</v>
      </c>
      <c r="D21" s="27"/>
    </row>
    <row r="22" spans="2:4">
      <c r="B22" s="573" t="str">
        <f>+ЧХ!$C$5</f>
        <v>С.Энхбаатар</v>
      </c>
      <c r="C22" s="406"/>
      <c r="D22" s="590" t="s">
        <v>2399</v>
      </c>
    </row>
    <row r="37" spans="1:1">
      <c r="A37" s="85"/>
    </row>
  </sheetData>
  <mergeCells count="4">
    <mergeCell ref="B4:E4"/>
    <mergeCell ref="A2:E2"/>
    <mergeCell ref="A3:E3"/>
    <mergeCell ref="B12:C12"/>
  </mergeCells>
  <pageMargins bottom="0.75" footer="0.3" header="0.3" left="0.79" right="0.7" top="0.75"/>
  <pageSetup orientation="portrait" paperSize="9" r:id="rId1"/>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37"/>
  <sheetViews>
    <sheetView workbookViewId="0">
      <selection sqref="A1:F1"/>
    </sheetView>
  </sheetViews>
  <sheetFormatPr defaultRowHeight="12.75"/>
  <cols>
    <col min="1" max="1" customWidth="true" style="1" width="6.140625" collapsed="false"/>
    <col min="2" max="2" customWidth="true" style="1" width="28.85546875" collapsed="false"/>
    <col min="3" max="3" customWidth="true" style="1" width="15.28515625" collapsed="false"/>
    <col min="4" max="4" customWidth="true" style="1" width="13.5703125" collapsed="false"/>
    <col min="5" max="5" customWidth="true" style="1" width="14.28515625" collapsed="false"/>
    <col min="6" max="6" customWidth="true" style="1" width="12.7109375" collapsed="false"/>
    <col min="7" max="16384" style="1" width="9.140625" collapsed="false"/>
  </cols>
  <sheetData>
    <row customHeight="1" ht="18.75" r="1" spans="1:6">
      <c r="A1" s="1838" t="s">
        <v>1464</v>
      </c>
      <c r="B1" s="1838"/>
      <c r="C1" s="1838"/>
      <c r="D1" s="1838"/>
      <c r="E1" s="1838"/>
      <c r="F1" s="1838"/>
    </row>
    <row r="2" spans="1:6">
      <c r="A2" s="50"/>
      <c r="B2" s="50"/>
      <c r="C2" s="50"/>
      <c r="D2" s="50"/>
      <c r="E2" s="50"/>
      <c r="F2" s="50"/>
    </row>
    <row r="3" spans="1:6">
      <c r="B3" s="1859" t="str">
        <f>"Байгууллагын нэр: "&amp;ЧХ!$C$7</f>
        <v xml:space="preserve">Байгууллагын нэр: </v>
      </c>
      <c r="C3" s="1859"/>
      <c r="D3" s="1859"/>
      <c r="E3" s="1859"/>
      <c r="F3" s="85"/>
    </row>
    <row r="4" spans="1:6">
      <c r="B4" s="573" t="str">
        <f>"тайлант он: " &amp;ЧХ!$C$8</f>
        <v xml:space="preserve">тайлант он: </v>
      </c>
      <c r="C4" s="583"/>
      <c r="D4" s="583"/>
      <c r="E4" s="583"/>
    </row>
    <row r="5" spans="1:6">
      <c r="B5" s="69"/>
      <c r="C5" s="583"/>
      <c r="D5" s="583"/>
      <c r="E5" s="583"/>
    </row>
    <row customHeight="1" ht="24" r="6" spans="1:6">
      <c r="A6" s="1959" t="s">
        <v>649</v>
      </c>
      <c r="B6" s="1959" t="s">
        <v>1465</v>
      </c>
      <c r="C6" s="1959" t="s">
        <v>1367</v>
      </c>
      <c r="D6" s="1959"/>
      <c r="E6" s="1959" t="s">
        <v>1466</v>
      </c>
      <c r="F6" s="1959"/>
    </row>
    <row ht="38.25" r="7" spans="1:6">
      <c r="A7" s="1959"/>
      <c r="B7" s="1959"/>
      <c r="C7" s="97" t="s">
        <v>1467</v>
      </c>
      <c r="D7" s="97" t="s">
        <v>1369</v>
      </c>
      <c r="E7" s="97" t="s">
        <v>1467</v>
      </c>
      <c r="F7" s="97" t="s">
        <v>1369</v>
      </c>
    </row>
    <row ht="25.5" r="8" spans="1:6">
      <c r="A8" s="97">
        <v>1</v>
      </c>
      <c r="B8" s="16" t="s">
        <v>1468</v>
      </c>
      <c r="C8" s="15" t="s">
        <v>1370</v>
      </c>
      <c r="D8" s="97" t="s">
        <v>2400</v>
      </c>
      <c r="E8" s="15" t="s">
        <v>1370</v>
      </c>
      <c r="F8" s="595" t="s">
        <v>2400</v>
      </c>
    </row>
    <row ht="25.5" r="9" spans="1:6">
      <c r="A9" s="97">
        <v>2</v>
      </c>
      <c r="B9" s="16" t="s">
        <v>1469</v>
      </c>
      <c r="C9" s="15" t="s">
        <v>1370</v>
      </c>
      <c r="D9" s="595" t="s">
        <v>2400</v>
      </c>
      <c r="E9" s="15" t="s">
        <v>1370</v>
      </c>
      <c r="F9" s="595" t="s">
        <v>2400</v>
      </c>
    </row>
    <row ht="38.25" r="10" spans="1:6">
      <c r="A10" s="97">
        <v>3</v>
      </c>
      <c r="B10" s="16" t="s">
        <v>1470</v>
      </c>
      <c r="C10" s="15" t="s">
        <v>1370</v>
      </c>
      <c r="D10" s="595" t="s">
        <v>2400</v>
      </c>
      <c r="E10" s="15" t="s">
        <v>1370</v>
      </c>
      <c r="F10" s="595" t="s">
        <v>2400</v>
      </c>
    </row>
    <row ht="25.5" r="11" spans="1:6">
      <c r="A11" s="97">
        <v>4</v>
      </c>
      <c r="B11" s="16" t="s">
        <v>1471</v>
      </c>
      <c r="C11" s="15" t="s">
        <v>1370</v>
      </c>
      <c r="D11" s="595" t="s">
        <v>2400</v>
      </c>
      <c r="E11" s="15" t="s">
        <v>1370</v>
      </c>
      <c r="F11" s="595" t="s">
        <v>2400</v>
      </c>
    </row>
    <row ht="25.5" r="12" spans="1:6">
      <c r="A12" s="97">
        <v>5</v>
      </c>
      <c r="B12" s="16" t="s">
        <v>1472</v>
      </c>
      <c r="C12" s="15" t="s">
        <v>1370</v>
      </c>
      <c r="D12" s="595" t="s">
        <v>2400</v>
      </c>
      <c r="E12" s="15" t="s">
        <v>1370</v>
      </c>
      <c r="F12" s="595" t="s">
        <v>2400</v>
      </c>
    </row>
    <row customHeight="1" ht="30.75" r="13" spans="1:6">
      <c r="A13" s="97">
        <v>6</v>
      </c>
      <c r="B13" s="16" t="s">
        <v>1371</v>
      </c>
      <c r="C13" s="15" t="s">
        <v>1370</v>
      </c>
      <c r="D13" s="595" t="s">
        <v>2400</v>
      </c>
      <c r="E13" s="15" t="s">
        <v>1370</v>
      </c>
      <c r="F13" s="595" t="s">
        <v>2400</v>
      </c>
    </row>
    <row ht="38.25" r="14" spans="1:6">
      <c r="A14" s="97">
        <v>7</v>
      </c>
      <c r="B14" s="16" t="s">
        <v>1372</v>
      </c>
      <c r="C14" s="15" t="s">
        <v>1370</v>
      </c>
      <c r="D14" s="595" t="s">
        <v>2400</v>
      </c>
      <c r="E14" s="15" t="s">
        <v>1370</v>
      </c>
      <c r="F14" s="595" t="s">
        <v>2400</v>
      </c>
    </row>
    <row r="15" spans="1:6">
      <c r="A15" s="85"/>
      <c r="B15" s="85"/>
      <c r="C15" s="85"/>
      <c r="D15" s="85"/>
      <c r="E15" s="85"/>
      <c r="F15" s="85"/>
    </row>
    <row r="17" spans="2:5">
      <c r="B17" s="583" t="s">
        <v>1873</v>
      </c>
      <c r="C17" s="406"/>
      <c r="D17" s="406"/>
    </row>
    <row r="18" spans="2:5">
      <c r="B18" s="406" t="str">
        <f>+ЧХ!$B$6</f>
        <v>Аудитын менежер</v>
      </c>
      <c r="D18" s="27"/>
    </row>
    <row r="19" spans="2:5">
      <c r="B19" s="573">
        <f>+ЧХ!$C$6</f>
        <v>0</v>
      </c>
      <c r="C19" s="406"/>
      <c r="E19" s="1" t="s">
        <v>1777</v>
      </c>
    </row>
    <row r="20" spans="2:5">
      <c r="B20" s="406"/>
      <c r="C20" s="573"/>
      <c r="D20" s="573"/>
    </row>
    <row r="21" spans="2:5">
      <c r="B21" s="583" t="s">
        <v>2035</v>
      </c>
      <c r="C21" s="406"/>
      <c r="D21" s="406"/>
    </row>
    <row r="22" spans="2:5">
      <c r="B22" s="406" t="str">
        <f>+ЧХ!$B$5</f>
        <v>Тэргүүлэх аудитор</v>
      </c>
      <c r="D22" s="27"/>
    </row>
    <row r="23" spans="2:5">
      <c r="B23" s="573" t="str">
        <f>+ЧХ!$C$5</f>
        <v>С.Энхбаатар</v>
      </c>
      <c r="C23" s="406"/>
      <c r="E23" s="1" t="s">
        <v>1777</v>
      </c>
    </row>
    <row r="24" spans="2:5">
      <c r="B24" s="406"/>
      <c r="C24" s="406"/>
      <c r="D24" s="406"/>
    </row>
    <row r="37" spans="1:1">
      <c r="A37" s="85"/>
    </row>
  </sheetData>
  <mergeCells count="6">
    <mergeCell ref="B3:E3"/>
    <mergeCell ref="A1:F1"/>
    <mergeCell ref="A6:A7"/>
    <mergeCell ref="B6:B7"/>
    <mergeCell ref="C6:D6"/>
    <mergeCell ref="E6:F6"/>
  </mergeCells>
  <pageMargins bottom="0.75" footer="0.3" header="0.3" left="0.7" right="0.7" top="0.75"/>
  <pageSetup orientation="portrait" r:id="rId1"/>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63"/>
  <sheetViews>
    <sheetView workbookViewId="0"/>
  </sheetViews>
  <sheetFormatPr defaultRowHeight="12.75"/>
  <cols>
    <col min="1" max="1" customWidth="true" style="11" width="5.5703125" collapsed="false"/>
    <col min="2" max="2" customWidth="true" style="1" width="31.140625" collapsed="false"/>
    <col min="3" max="3" customWidth="true" style="632" width="11.0" collapsed="false"/>
    <col min="4" max="4" customWidth="true" style="1" width="11.28515625" collapsed="false"/>
    <col min="5" max="5" customWidth="true" style="1" width="14.28515625" collapsed="false"/>
    <col min="6" max="6" customWidth="true" style="1" width="14.42578125" collapsed="false"/>
    <col min="7" max="16384" style="1" width="9.140625" collapsed="false"/>
  </cols>
  <sheetData>
    <row customHeight="1" ht="14.25" r="1" spans="1:6">
      <c r="B1" s="1699" t="s">
        <v>2405</v>
      </c>
      <c r="C1" s="1699"/>
      <c r="D1" s="1699"/>
      <c r="E1" s="1699"/>
      <c r="F1" s="1699"/>
    </row>
    <row r="2" spans="1:6">
      <c r="A2" s="623"/>
      <c r="B2" s="623"/>
      <c r="C2" s="624"/>
      <c r="D2" s="406"/>
      <c r="E2" s="406"/>
      <c r="F2" s="406"/>
    </row>
    <row r="3" spans="1:6">
      <c r="B3" s="620" t="str">
        <f>"Байгууллагын нэр: "&amp;ЧХ!$C$7</f>
        <v xml:space="preserve">Байгууллагын нэр: </v>
      </c>
      <c r="C3" s="620"/>
      <c r="D3" s="620"/>
      <c r="E3" s="620"/>
      <c r="F3" s="620"/>
    </row>
    <row r="4" spans="1:6">
      <c r="B4" s="628" t="str">
        <f>"Тайлант он: "&amp;ЧХ!$C$8</f>
        <v xml:space="preserve">Тайлант он: </v>
      </c>
      <c r="C4" s="1"/>
      <c r="D4" s="632"/>
      <c r="E4" s="632"/>
      <c r="F4" s="72"/>
    </row>
    <row r="5" spans="1:6">
      <c r="A5" s="625"/>
      <c r="B5" s="406"/>
      <c r="C5" s="624"/>
      <c r="D5" s="406"/>
      <c r="E5" s="406"/>
      <c r="F5" s="406"/>
    </row>
    <row customHeight="1" ht="21.75" r="6" spans="1:6">
      <c r="A6" s="1781" t="s">
        <v>1267</v>
      </c>
      <c r="B6" s="1781" t="s">
        <v>1473</v>
      </c>
      <c r="C6" s="1781"/>
      <c r="D6" s="1781" t="s">
        <v>1467</v>
      </c>
      <c r="E6" s="1781" t="s">
        <v>1369</v>
      </c>
      <c r="F6" s="1781"/>
    </row>
    <row customHeight="1" ht="26.25" r="7" spans="1:6">
      <c r="A7" s="1781"/>
      <c r="B7" s="1781"/>
      <c r="C7" s="1781"/>
      <c r="D7" s="1781"/>
      <c r="E7" s="627" t="s">
        <v>1367</v>
      </c>
      <c r="F7" s="627" t="s">
        <v>1368</v>
      </c>
    </row>
    <row customHeight="1" ht="17.25" r="8" spans="1:6">
      <c r="A8" s="676">
        <v>1</v>
      </c>
      <c r="B8" s="570" t="s">
        <v>2455</v>
      </c>
      <c r="C8" s="676" t="s">
        <v>1989</v>
      </c>
      <c r="D8" s="627" t="s">
        <v>1370</v>
      </c>
      <c r="E8" s="631" t="s">
        <v>1841</v>
      </c>
      <c r="F8" s="631" t="s">
        <v>1841</v>
      </c>
    </row>
    <row customHeight="1" ht="40.5" r="9" spans="1:6">
      <c r="A9" s="676">
        <v>2</v>
      </c>
      <c r="B9" s="570" t="s">
        <v>2406</v>
      </c>
      <c r="C9" s="676" t="s">
        <v>1990</v>
      </c>
      <c r="D9" s="627" t="s">
        <v>1370</v>
      </c>
      <c r="E9" s="631" t="s">
        <v>1841</v>
      </c>
      <c r="F9" s="631" t="s">
        <v>1841</v>
      </c>
    </row>
    <row customHeight="1" ht="26.25" r="10" spans="1:6">
      <c r="A10" s="676">
        <v>3</v>
      </c>
      <c r="B10" s="570" t="s">
        <v>2456</v>
      </c>
      <c r="C10" s="676" t="s">
        <v>1991</v>
      </c>
      <c r="D10" s="627" t="s">
        <v>1370</v>
      </c>
      <c r="E10" s="631" t="s">
        <v>1841</v>
      </c>
      <c r="F10" s="631" t="s">
        <v>1841</v>
      </c>
    </row>
    <row customHeight="1" ht="38.25" r="11" spans="1:6">
      <c r="A11" s="676">
        <v>4</v>
      </c>
      <c r="B11" s="570" t="s">
        <v>2457</v>
      </c>
      <c r="C11" s="676" t="s">
        <v>1992</v>
      </c>
      <c r="D11" s="627" t="s">
        <v>1370</v>
      </c>
      <c r="E11" s="631" t="s">
        <v>1841</v>
      </c>
      <c r="F11" s="631" t="s">
        <v>1841</v>
      </c>
    </row>
    <row customHeight="1" ht="24.75" r="12" spans="1:6">
      <c r="A12" s="676">
        <v>5</v>
      </c>
      <c r="B12" s="570" t="s">
        <v>2458</v>
      </c>
      <c r="C12" s="676" t="s">
        <v>1988</v>
      </c>
      <c r="D12" s="627" t="s">
        <v>1370</v>
      </c>
      <c r="E12" s="631" t="s">
        <v>1841</v>
      </c>
      <c r="F12" s="631" t="s">
        <v>1841</v>
      </c>
    </row>
    <row ht="38.25" r="13" spans="1:6">
      <c r="A13" s="676">
        <v>6</v>
      </c>
      <c r="B13" s="570" t="s">
        <v>2459</v>
      </c>
      <c r="C13" s="676" t="s">
        <v>1987</v>
      </c>
      <c r="D13" s="627" t="s">
        <v>1370</v>
      </c>
      <c r="E13" s="631" t="s">
        <v>1841</v>
      </c>
      <c r="F13" s="631" t="s">
        <v>1841</v>
      </c>
    </row>
    <row customHeight="1" ht="36" r="14" spans="1:6">
      <c r="A14" s="676">
        <v>7</v>
      </c>
      <c r="B14" s="570" t="s">
        <v>2460</v>
      </c>
      <c r="C14" s="676" t="s">
        <v>2488</v>
      </c>
      <c r="D14" s="627" t="s">
        <v>1370</v>
      </c>
      <c r="E14" s="631" t="s">
        <v>1841</v>
      </c>
      <c r="F14" s="631" t="s">
        <v>1841</v>
      </c>
    </row>
    <row customHeight="1" ht="36" r="15" spans="1:6">
      <c r="A15" s="676">
        <v>8</v>
      </c>
      <c r="B15" s="570" t="s">
        <v>2461</v>
      </c>
      <c r="C15" s="676" t="s">
        <v>2489</v>
      </c>
      <c r="D15" s="627" t="s">
        <v>1370</v>
      </c>
      <c r="E15" s="631" t="s">
        <v>1841</v>
      </c>
      <c r="F15" s="631" t="s">
        <v>1841</v>
      </c>
    </row>
    <row customHeight="1" ht="18" r="16" spans="1:6">
      <c r="A16" s="676">
        <v>9</v>
      </c>
      <c r="B16" s="570" t="s">
        <v>2462</v>
      </c>
      <c r="C16" s="676" t="s">
        <v>1474</v>
      </c>
      <c r="D16" s="627" t="s">
        <v>1370</v>
      </c>
      <c r="E16" s="631" t="s">
        <v>1841</v>
      </c>
      <c r="F16" s="631" t="s">
        <v>1841</v>
      </c>
    </row>
    <row customHeight="1" ht="32.25" r="17" spans="1:6">
      <c r="A17" s="676">
        <v>10</v>
      </c>
      <c r="B17" s="570" t="s">
        <v>2463</v>
      </c>
      <c r="C17" s="676" t="s">
        <v>2490</v>
      </c>
      <c r="D17" s="627" t="s">
        <v>1370</v>
      </c>
      <c r="E17" s="631" t="s">
        <v>1841</v>
      </c>
      <c r="F17" s="631" t="s">
        <v>1841</v>
      </c>
    </row>
    <row ht="25.5" r="18" spans="1:6">
      <c r="A18" s="676">
        <v>11</v>
      </c>
      <c r="B18" s="570" t="s">
        <v>2464</v>
      </c>
      <c r="C18" s="676" t="s">
        <v>1993</v>
      </c>
      <c r="D18" s="627" t="s">
        <v>1370</v>
      </c>
      <c r="E18" s="631" t="s">
        <v>1841</v>
      </c>
      <c r="F18" s="631" t="s">
        <v>1841</v>
      </c>
    </row>
    <row ht="38.25" r="19" spans="1:6">
      <c r="A19" s="676">
        <v>12</v>
      </c>
      <c r="B19" s="570" t="s">
        <v>2465</v>
      </c>
      <c r="C19" s="676" t="s">
        <v>1489</v>
      </c>
      <c r="D19" s="627" t="s">
        <v>1370</v>
      </c>
      <c r="E19" s="631" t="s">
        <v>1841</v>
      </c>
      <c r="F19" s="631" t="s">
        <v>1841</v>
      </c>
    </row>
    <row ht="25.5" r="20" spans="1:6">
      <c r="A20" s="676">
        <v>13</v>
      </c>
      <c r="B20" s="570" t="s">
        <v>2466</v>
      </c>
      <c r="C20" s="676" t="s">
        <v>1995</v>
      </c>
      <c r="D20" s="627" t="s">
        <v>1370</v>
      </c>
      <c r="E20" s="631" t="s">
        <v>1841</v>
      </c>
      <c r="F20" s="631" t="s">
        <v>1841</v>
      </c>
    </row>
    <row ht="25.5" r="21" spans="1:6">
      <c r="A21" s="676">
        <v>14</v>
      </c>
      <c r="B21" s="570" t="s">
        <v>2467</v>
      </c>
      <c r="C21" s="676" t="s">
        <v>1998</v>
      </c>
      <c r="D21" s="627" t="s">
        <v>1370</v>
      </c>
      <c r="E21" s="631" t="s">
        <v>1841</v>
      </c>
      <c r="F21" s="631" t="s">
        <v>1841</v>
      </c>
    </row>
    <row r="22" spans="1:6">
      <c r="A22" s="676">
        <v>15</v>
      </c>
      <c r="B22" s="570" t="s">
        <v>2468</v>
      </c>
      <c r="C22" s="676" t="s">
        <v>1997</v>
      </c>
      <c r="D22" s="627" t="s">
        <v>1370</v>
      </c>
      <c r="E22" s="631" t="s">
        <v>1841</v>
      </c>
      <c r="F22" s="631" t="s">
        <v>1841</v>
      </c>
    </row>
    <row ht="25.5" r="23" spans="1:6">
      <c r="A23" s="676">
        <v>16</v>
      </c>
      <c r="B23" s="570" t="s">
        <v>2469</v>
      </c>
      <c r="C23" s="676" t="s">
        <v>1999</v>
      </c>
      <c r="D23" s="627" t="s">
        <v>1370</v>
      </c>
      <c r="E23" s="631" t="s">
        <v>1841</v>
      </c>
      <c r="F23" s="631" t="s">
        <v>1841</v>
      </c>
    </row>
    <row ht="25.5" r="24" spans="1:6">
      <c r="A24" s="676">
        <v>17</v>
      </c>
      <c r="B24" s="570" t="s">
        <v>2470</v>
      </c>
      <c r="C24" s="676" t="s">
        <v>1996</v>
      </c>
      <c r="D24" s="627" t="s">
        <v>1370</v>
      </c>
      <c r="E24" s="631" t="s">
        <v>1841</v>
      </c>
      <c r="F24" s="631" t="s">
        <v>1841</v>
      </c>
    </row>
    <row ht="25.5" r="25" spans="1:6">
      <c r="A25" s="676">
        <v>18</v>
      </c>
      <c r="B25" s="570" t="s">
        <v>2471</v>
      </c>
      <c r="C25" s="676" t="s">
        <v>2001</v>
      </c>
      <c r="D25" s="627" t="s">
        <v>1370</v>
      </c>
      <c r="E25" s="631" t="s">
        <v>1841</v>
      </c>
      <c r="F25" s="631" t="s">
        <v>1841</v>
      </c>
    </row>
    <row ht="25.5" r="26" spans="1:6">
      <c r="A26" s="676">
        <v>19</v>
      </c>
      <c r="B26" s="570" t="s">
        <v>2472</v>
      </c>
      <c r="C26" s="676" t="s">
        <v>2002</v>
      </c>
      <c r="D26" s="627" t="s">
        <v>1370</v>
      </c>
      <c r="E26" s="631" t="s">
        <v>1841</v>
      </c>
      <c r="F26" s="631" t="s">
        <v>1841</v>
      </c>
    </row>
    <row ht="38.25" r="27" spans="1:6">
      <c r="A27" s="676">
        <v>20</v>
      </c>
      <c r="B27" s="570" t="s">
        <v>2473</v>
      </c>
      <c r="C27" s="676" t="s">
        <v>2003</v>
      </c>
      <c r="D27" s="627" t="s">
        <v>1370</v>
      </c>
      <c r="E27" s="631" t="s">
        <v>1841</v>
      </c>
      <c r="F27" s="631" t="s">
        <v>1841</v>
      </c>
    </row>
    <row ht="25.5" r="28" spans="1:6">
      <c r="A28" s="676">
        <v>21</v>
      </c>
      <c r="B28" s="570" t="s">
        <v>2474</v>
      </c>
      <c r="C28" s="676" t="s">
        <v>1678</v>
      </c>
      <c r="D28" s="627" t="s">
        <v>1370</v>
      </c>
      <c r="E28" s="631" t="s">
        <v>1841</v>
      </c>
      <c r="F28" s="631" t="s">
        <v>1841</v>
      </c>
    </row>
    <row ht="25.5" r="29" spans="1:6">
      <c r="A29" s="676">
        <v>22</v>
      </c>
      <c r="B29" s="570" t="s">
        <v>2475</v>
      </c>
      <c r="C29" s="676" t="s">
        <v>2006</v>
      </c>
      <c r="D29" s="627" t="s">
        <v>1370</v>
      </c>
      <c r="E29" s="631" t="s">
        <v>1841</v>
      </c>
      <c r="F29" s="631" t="s">
        <v>1841</v>
      </c>
    </row>
    <row customHeight="1" ht="26.25" r="30" spans="1:6">
      <c r="A30" s="676">
        <v>23</v>
      </c>
      <c r="B30" s="570" t="s">
        <v>2476</v>
      </c>
      <c r="C30" s="676" t="s">
        <v>2008</v>
      </c>
      <c r="D30" s="627" t="s">
        <v>1370</v>
      </c>
      <c r="E30" s="631" t="s">
        <v>1841</v>
      </c>
      <c r="F30" s="631" t="s">
        <v>1841</v>
      </c>
    </row>
    <row customHeight="1" ht="30.75" r="31" spans="1:6">
      <c r="A31" s="676">
        <v>24</v>
      </c>
      <c r="B31" s="570" t="s">
        <v>1774</v>
      </c>
      <c r="C31" s="676" t="s">
        <v>2009</v>
      </c>
      <c r="D31" s="627" t="s">
        <v>1370</v>
      </c>
      <c r="E31" s="631" t="s">
        <v>1841</v>
      </c>
      <c r="F31" s="631" t="s">
        <v>1841</v>
      </c>
    </row>
    <row customHeight="1" ht="30.75" r="32" spans="1:6">
      <c r="A32" s="676">
        <v>25</v>
      </c>
      <c r="B32" s="570" t="s">
        <v>2477</v>
      </c>
      <c r="C32" s="676" t="s">
        <v>2000</v>
      </c>
      <c r="D32" s="627" t="s">
        <v>1370</v>
      </c>
      <c r="E32" s="631" t="s">
        <v>1841</v>
      </c>
      <c r="F32" s="631" t="s">
        <v>1841</v>
      </c>
    </row>
    <row customHeight="1" ht="30.75" r="33" spans="1:6">
      <c r="A33" s="676">
        <v>26</v>
      </c>
      <c r="B33" s="570" t="s">
        <v>2478</v>
      </c>
      <c r="C33" s="676" t="s">
        <v>2004</v>
      </c>
      <c r="D33" s="627" t="s">
        <v>1370</v>
      </c>
      <c r="E33" s="631" t="s">
        <v>1841</v>
      </c>
      <c r="F33" s="631" t="s">
        <v>1841</v>
      </c>
    </row>
    <row customHeight="1" ht="30.75" r="34" spans="1:6">
      <c r="A34" s="676">
        <v>27</v>
      </c>
      <c r="B34" s="570" t="s">
        <v>2479</v>
      </c>
      <c r="C34" s="676" t="s">
        <v>2005</v>
      </c>
      <c r="D34" s="627" t="s">
        <v>1370</v>
      </c>
      <c r="E34" s="631" t="s">
        <v>1841</v>
      </c>
      <c r="F34" s="631" t="s">
        <v>1841</v>
      </c>
    </row>
    <row customHeight="1" ht="30.75" r="35" spans="1:6">
      <c r="A35" s="676">
        <v>28</v>
      </c>
      <c r="B35" s="570" t="s">
        <v>2480</v>
      </c>
      <c r="C35" s="676" t="s">
        <v>2449</v>
      </c>
      <c r="D35" s="627" t="s">
        <v>1370</v>
      </c>
      <c r="E35" s="631" t="s">
        <v>1841</v>
      </c>
      <c r="F35" s="631" t="s">
        <v>1841</v>
      </c>
    </row>
    <row customHeight="1" ht="30.75" r="36" spans="1:6">
      <c r="A36" s="676">
        <v>29</v>
      </c>
      <c r="B36" s="570" t="s">
        <v>1775</v>
      </c>
      <c r="C36" s="676" t="s">
        <v>2011</v>
      </c>
      <c r="D36" s="627" t="s">
        <v>1370</v>
      </c>
      <c r="E36" s="631" t="s">
        <v>1841</v>
      </c>
      <c r="F36" s="631" t="s">
        <v>1841</v>
      </c>
    </row>
    <row r="37" spans="1:6">
      <c r="A37" s="676">
        <v>30</v>
      </c>
      <c r="B37" s="570" t="s">
        <v>2480</v>
      </c>
      <c r="C37" s="676" t="s">
        <v>2450</v>
      </c>
      <c r="D37" s="627" t="s">
        <v>1370</v>
      </c>
      <c r="E37" s="631" t="s">
        <v>1841</v>
      </c>
      <c r="F37" s="631" t="s">
        <v>1841</v>
      </c>
    </row>
    <row ht="25.5" r="38" spans="1:6">
      <c r="A38" s="676">
        <v>31</v>
      </c>
      <c r="B38" s="570" t="s">
        <v>2481</v>
      </c>
      <c r="C38" s="676" t="s">
        <v>2012</v>
      </c>
      <c r="D38" s="627" t="s">
        <v>1370</v>
      </c>
      <c r="E38" s="631" t="s">
        <v>1841</v>
      </c>
      <c r="F38" s="631" t="s">
        <v>1841</v>
      </c>
    </row>
    <row ht="25.5" r="39" spans="1:6">
      <c r="A39" s="676">
        <v>32</v>
      </c>
      <c r="B39" s="570" t="s">
        <v>2482</v>
      </c>
      <c r="C39" s="676" t="s">
        <v>2007</v>
      </c>
      <c r="D39" s="627" t="s">
        <v>1370</v>
      </c>
      <c r="E39" s="631" t="s">
        <v>1841</v>
      </c>
      <c r="F39" s="631" t="s">
        <v>1841</v>
      </c>
    </row>
    <row customHeight="1" ht="30.75" r="40" spans="1:6">
      <c r="A40" s="676">
        <v>33</v>
      </c>
      <c r="B40" s="570" t="s">
        <v>2483</v>
      </c>
      <c r="C40" s="676" t="s">
        <v>2013</v>
      </c>
      <c r="D40" s="627" t="s">
        <v>1370</v>
      </c>
      <c r="E40" s="631" t="s">
        <v>1841</v>
      </c>
      <c r="F40" s="631" t="s">
        <v>1841</v>
      </c>
    </row>
    <row customHeight="1" ht="36.75" r="41" spans="1:6">
      <c r="A41" s="676">
        <v>34</v>
      </c>
      <c r="B41" s="570" t="s">
        <v>2484</v>
      </c>
      <c r="C41" s="676" t="s">
        <v>2451</v>
      </c>
      <c r="D41" s="627" t="s">
        <v>1370</v>
      </c>
      <c r="E41" s="631" t="s">
        <v>1841</v>
      </c>
      <c r="F41" s="631" t="s">
        <v>1841</v>
      </c>
    </row>
    <row customHeight="1" ht="30.75" r="42" spans="1:6">
      <c r="A42" s="676">
        <v>35</v>
      </c>
      <c r="B42" s="570" t="s">
        <v>2485</v>
      </c>
      <c r="C42" s="676" t="s">
        <v>2010</v>
      </c>
      <c r="D42" s="627" t="s">
        <v>1370</v>
      </c>
      <c r="E42" s="631" t="s">
        <v>1841</v>
      </c>
      <c r="F42" s="631" t="s">
        <v>1841</v>
      </c>
    </row>
    <row customHeight="1" ht="30.75" r="43" spans="1:6">
      <c r="A43" s="676">
        <v>36</v>
      </c>
      <c r="B43" s="570" t="s">
        <v>2486</v>
      </c>
      <c r="C43" s="676" t="s">
        <v>2014</v>
      </c>
      <c r="D43" s="627" t="s">
        <v>1370</v>
      </c>
      <c r="E43" s="631" t="s">
        <v>1841</v>
      </c>
      <c r="F43" s="631" t="s">
        <v>1841</v>
      </c>
    </row>
    <row customHeight="1" ht="30.75" r="44" spans="1:6">
      <c r="A44" s="676">
        <v>37</v>
      </c>
      <c r="B44" s="570" t="s">
        <v>2487</v>
      </c>
      <c r="C44" s="676" t="s">
        <v>2015</v>
      </c>
      <c r="D44" s="627" t="s">
        <v>1370</v>
      </c>
      <c r="E44" s="631" t="s">
        <v>1841</v>
      </c>
      <c r="F44" s="631" t="s">
        <v>1841</v>
      </c>
    </row>
    <row customHeight="1" ht="30.75" r="45" spans="1:6">
      <c r="A45" s="676">
        <v>38</v>
      </c>
      <c r="B45" s="570" t="s">
        <v>1476</v>
      </c>
      <c r="C45" s="676" t="s">
        <v>2016</v>
      </c>
      <c r="D45" s="627" t="s">
        <v>1370</v>
      </c>
      <c r="E45" s="631" t="s">
        <v>1841</v>
      </c>
      <c r="F45" s="631" t="s">
        <v>1841</v>
      </c>
    </row>
    <row customHeight="1" ht="40.5" r="46" spans="1:6">
      <c r="A46" s="676">
        <v>39</v>
      </c>
      <c r="B46" s="570" t="s">
        <v>2491</v>
      </c>
      <c r="C46" s="676" t="s">
        <v>2019</v>
      </c>
      <c r="D46" s="627" t="s">
        <v>1370</v>
      </c>
      <c r="E46" s="631" t="s">
        <v>1841</v>
      </c>
      <c r="F46" s="631" t="s">
        <v>1841</v>
      </c>
    </row>
    <row customHeight="1" ht="30.75" r="47" spans="1:6">
      <c r="A47" s="676">
        <v>40</v>
      </c>
      <c r="B47" s="570" t="s">
        <v>1480</v>
      </c>
      <c r="C47" s="676" t="s">
        <v>2018</v>
      </c>
      <c r="D47" s="627" t="s">
        <v>1370</v>
      </c>
      <c r="E47" s="631" t="s">
        <v>1841</v>
      </c>
      <c r="F47" s="631" t="s">
        <v>1841</v>
      </c>
    </row>
    <row ht="51" r="48" spans="1:6">
      <c r="A48" s="676">
        <v>41</v>
      </c>
      <c r="B48" s="570" t="s">
        <v>1695</v>
      </c>
      <c r="C48" s="676" t="s">
        <v>2031</v>
      </c>
      <c r="D48" s="627" t="s">
        <v>1370</v>
      </c>
      <c r="E48" s="631" t="s">
        <v>1841</v>
      </c>
      <c r="F48" s="631" t="s">
        <v>1841</v>
      </c>
    </row>
    <row customHeight="1" ht="30.75" r="49" spans="1:6">
      <c r="A49" s="676">
        <v>42</v>
      </c>
      <c r="B49" s="570" t="s">
        <v>1725</v>
      </c>
      <c r="C49" s="676" t="s">
        <v>2030</v>
      </c>
      <c r="D49" s="627" t="s">
        <v>1370</v>
      </c>
      <c r="E49" s="631" t="s">
        <v>1841</v>
      </c>
      <c r="F49" s="631" t="s">
        <v>1841</v>
      </c>
    </row>
    <row customHeight="1" ht="30.75" r="50" spans="1:6">
      <c r="A50" s="676">
        <v>43</v>
      </c>
      <c r="B50" s="570" t="s">
        <v>2492</v>
      </c>
      <c r="C50" s="676" t="s">
        <v>2028</v>
      </c>
      <c r="D50" s="627" t="s">
        <v>1370</v>
      </c>
      <c r="E50" s="631" t="s">
        <v>1841</v>
      </c>
      <c r="F50" s="631" t="s">
        <v>1841</v>
      </c>
    </row>
    <row customHeight="1" ht="30.75" r="51" spans="1:6">
      <c r="A51" s="676">
        <v>44</v>
      </c>
      <c r="B51" s="570" t="s">
        <v>2493</v>
      </c>
      <c r="C51" s="676" t="s">
        <v>2029</v>
      </c>
      <c r="D51" s="627" t="s">
        <v>1370</v>
      </c>
      <c r="E51" s="631" t="s">
        <v>1841</v>
      </c>
      <c r="F51" s="631" t="s">
        <v>1841</v>
      </c>
    </row>
    <row customHeight="1" ht="30.75" r="52" spans="1:6">
      <c r="A52" s="676">
        <v>45</v>
      </c>
      <c r="B52" s="570" t="s">
        <v>2494</v>
      </c>
      <c r="C52" s="676" t="s">
        <v>1477</v>
      </c>
      <c r="D52" s="627" t="s">
        <v>1370</v>
      </c>
      <c r="E52" s="631" t="s">
        <v>1841</v>
      </c>
      <c r="F52" s="631" t="s">
        <v>1841</v>
      </c>
    </row>
    <row customHeight="1" ht="30.75" r="53" spans="1:6">
      <c r="A53" s="676">
        <v>46</v>
      </c>
      <c r="B53" s="570" t="s">
        <v>2495</v>
      </c>
      <c r="C53" s="676" t="s">
        <v>1479</v>
      </c>
      <c r="D53" s="627" t="s">
        <v>1370</v>
      </c>
      <c r="E53" s="631" t="s">
        <v>1841</v>
      </c>
      <c r="F53" s="631" t="s">
        <v>1841</v>
      </c>
    </row>
    <row ht="25.5" r="54" spans="1:6">
      <c r="A54" s="676">
        <v>47</v>
      </c>
      <c r="B54" s="570" t="s">
        <v>2496</v>
      </c>
      <c r="C54" s="676" t="s">
        <v>2021</v>
      </c>
      <c r="D54" s="627" t="s">
        <v>1370</v>
      </c>
      <c r="E54" s="631" t="s">
        <v>1841</v>
      </c>
      <c r="F54" s="631" t="s">
        <v>1841</v>
      </c>
    </row>
    <row customHeight="1" ht="31.5" r="55" spans="1:6">
      <c r="A55" s="676">
        <v>48</v>
      </c>
      <c r="B55" s="570" t="s">
        <v>2497</v>
      </c>
      <c r="C55" s="676" t="s">
        <v>2452</v>
      </c>
      <c r="D55" s="627" t="s">
        <v>1370</v>
      </c>
      <c r="E55" s="631" t="s">
        <v>1841</v>
      </c>
      <c r="F55" s="631" t="s">
        <v>1841</v>
      </c>
    </row>
    <row customHeight="1" ht="31.5" r="56" spans="1:6">
      <c r="A56" s="676">
        <v>49</v>
      </c>
      <c r="B56" s="570" t="s">
        <v>1464</v>
      </c>
      <c r="C56" s="676" t="s">
        <v>2453</v>
      </c>
      <c r="D56" s="627" t="s">
        <v>1370</v>
      </c>
      <c r="E56" s="631" t="s">
        <v>1841</v>
      </c>
      <c r="F56" s="631" t="s">
        <v>1841</v>
      </c>
    </row>
    <row r="57" spans="1:6">
      <c r="A57" s="624"/>
      <c r="B57" s="406"/>
      <c r="C57" s="1"/>
    </row>
    <row r="58" spans="1:6">
      <c r="B58" s="629" t="s">
        <v>1873</v>
      </c>
      <c r="C58" s="1"/>
    </row>
    <row r="59" spans="1:6">
      <c r="B59" s="406" t="str">
        <f>+ЧХ!$B$6</f>
        <v>Аудитын менежер</v>
      </c>
      <c r="C59" s="1"/>
    </row>
    <row r="60" spans="1:6">
      <c r="C60" s="1679">
        <f>+ЧХ!$C$6</f>
        <v>0</v>
      </c>
      <c r="D60" s="1679"/>
      <c r="E60" s="1679"/>
      <c r="F60" s="621" t="s">
        <v>1777</v>
      </c>
    </row>
    <row r="61" spans="1:6">
      <c r="B61" s="629" t="s">
        <v>2035</v>
      </c>
      <c r="C61" s="621"/>
      <c r="F61" s="406"/>
    </row>
    <row r="62" spans="1:6">
      <c r="B62" s="406" t="str">
        <f>+ЧХ!$B$5</f>
        <v>Тэргүүлэх аудитор</v>
      </c>
      <c r="C62" s="1"/>
    </row>
    <row r="63" spans="1:6">
      <c r="C63" s="1679" t="str">
        <f>+ЧХ!$C$5</f>
        <v>С.Энхбаатар</v>
      </c>
      <c r="D63" s="1679"/>
      <c r="E63" s="1679"/>
      <c r="F63" s="621" t="s">
        <v>1777</v>
      </c>
    </row>
  </sheetData>
  <mergeCells count="7">
    <mergeCell ref="A6:A7"/>
    <mergeCell ref="E6:F6"/>
    <mergeCell ref="B1:F1"/>
    <mergeCell ref="C60:E60"/>
    <mergeCell ref="C63:E63"/>
    <mergeCell ref="D6:D7"/>
    <mergeCell ref="B6:C7"/>
  </mergeCells>
  <pageMargins bottom="0.75" footer="0.3" header="0.3" left="0.7" right="0.7" top="0.75"/>
  <pageSetup orientation="portrait" r:id="rId1"/>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97"/>
  <sheetViews>
    <sheetView topLeftCell="A80" workbookViewId="0" zoomScale="115" zoomScaleNormal="115">
      <selection activeCell="A85" sqref="A85:D85"/>
    </sheetView>
  </sheetViews>
  <sheetFormatPr defaultRowHeight="12.75"/>
  <cols>
    <col min="1" max="1" customWidth="true" style="406" width="13.140625" collapsed="false"/>
    <col min="2" max="2" customWidth="true" style="406" width="30.28515625" collapsed="false"/>
    <col min="3" max="3" customWidth="true" style="406" width="20.85546875" collapsed="false"/>
    <col min="4" max="4" customWidth="true" style="406" width="21.7109375" collapsed="false"/>
    <col min="5" max="16384" style="406" width="9.140625" collapsed="false"/>
  </cols>
  <sheetData>
    <row customHeight="1" ht="68.25" r="1" spans="1:4">
      <c r="A1" s="732" t="s">
        <v>2531</v>
      </c>
      <c r="B1" s="733"/>
      <c r="C1" s="2043" t="s">
        <v>2532</v>
      </c>
      <c r="D1" s="2043"/>
    </row>
    <row ht="14.25" r="2" spans="1:4">
      <c r="A2" s="734"/>
      <c r="B2" s="734"/>
      <c r="C2" s="725"/>
      <c r="D2" s="725"/>
    </row>
    <row customHeight="1" ht="34.5" r="3" spans="1:4">
      <c r="A3" s="725"/>
      <c r="B3" s="725"/>
      <c r="C3" s="725"/>
      <c r="D3" s="725"/>
    </row>
    <row customHeight="1" ht="22.5" r="4" spans="1:4">
      <c r="A4" s="725"/>
      <c r="B4" s="725"/>
      <c r="C4" s="2044" t="s">
        <v>1667</v>
      </c>
      <c r="D4" s="2044"/>
    </row>
    <row customHeight="1" ht="48" r="5" spans="1:4">
      <c r="A5" s="735"/>
      <c r="B5" s="725"/>
      <c r="C5" s="725"/>
      <c r="D5" s="725"/>
    </row>
    <row customHeight="1" ht="14.25" r="6" spans="1:4">
      <c r="A6" s="2036" t="s">
        <v>2533</v>
      </c>
      <c r="B6" s="2036"/>
      <c r="C6" s="728" t="s">
        <v>2534</v>
      </c>
      <c r="D6" s="728" t="s">
        <v>2535</v>
      </c>
    </row>
    <row customHeight="1" ht="19.5" r="7" spans="1:4">
      <c r="A7" s="2036"/>
      <c r="B7" s="2036"/>
      <c r="C7" s="725"/>
      <c r="D7" s="725"/>
    </row>
    <row ht="14.25" r="8" spans="1:4">
      <c r="A8" s="719" t="str">
        <f>+ЧХ!$B$5</f>
        <v>Тэргүүлэх аудитор</v>
      </c>
      <c r="B8" s="721" t="str">
        <f>+ЧХ!$C$5</f>
        <v>С.Энхбаатар</v>
      </c>
      <c r="C8" s="728" t="s">
        <v>2536</v>
      </c>
      <c r="D8" s="728" t="s">
        <v>2524</v>
      </c>
    </row>
    <row customHeight="1" ht="15.75" r="9" spans="1:4">
      <c r="A9" s="736" t="s">
        <v>2540</v>
      </c>
      <c r="B9" s="725"/>
      <c r="C9" s="725"/>
      <c r="D9" s="725"/>
    </row>
    <row ht="28.5" r="10" spans="1:4">
      <c r="A10" s="737" t="s">
        <v>2542</v>
      </c>
      <c r="B10" s="725"/>
      <c r="C10" s="728" t="s">
        <v>2537</v>
      </c>
      <c r="D10" s="738" t="s">
        <v>1666</v>
      </c>
    </row>
    <row ht="14.25" r="11" spans="1:4">
      <c r="B11" s="725"/>
      <c r="C11" s="725"/>
      <c r="D11" s="725"/>
    </row>
    <row ht="28.5" r="12" spans="1:4">
      <c r="A12" s="750" t="str">
        <f>+ЧХ!$B$6</f>
        <v>Аудитын менежер</v>
      </c>
      <c r="B12" s="721">
        <f>+ЧХ!$C$6</f>
        <v>0</v>
      </c>
      <c r="C12" s="728" t="s">
        <v>2538</v>
      </c>
      <c r="D12" s="738" t="s">
        <v>2539</v>
      </c>
    </row>
    <row ht="14.25" r="13" spans="1:4">
      <c r="A13" s="736" t="s">
        <v>2540</v>
      </c>
      <c r="B13" s="725"/>
      <c r="C13" s="725"/>
      <c r="D13" s="725"/>
    </row>
    <row ht="14.25" r="14" spans="1:4">
      <c r="A14" s="736" t="s">
        <v>2542</v>
      </c>
      <c r="B14" s="725"/>
      <c r="C14" s="728" t="s">
        <v>2541</v>
      </c>
      <c r="D14" s="725"/>
    </row>
    <row ht="14.25" r="15" spans="1:4">
      <c r="B15" s="725"/>
      <c r="C15" s="725"/>
      <c r="D15" s="725"/>
    </row>
    <row ht="14.25" r="16" spans="1:4">
      <c r="A16" s="725">
        <f>+ЧХ!$C$15</f>
        <v>0</v>
      </c>
      <c r="B16" s="727">
        <f>+ЧХ!$C$16</f>
        <v>0</v>
      </c>
      <c r="C16" s="725"/>
      <c r="D16" s="725"/>
    </row>
    <row customHeight="1" ht="17.25" r="17" spans="1:4">
      <c r="A17" s="736" t="s">
        <v>2540</v>
      </c>
      <c r="B17" s="725"/>
      <c r="C17" s="725"/>
      <c r="D17" s="725"/>
    </row>
    <row ht="14.25" r="18" spans="1:4">
      <c r="A18" s="736" t="s">
        <v>2542</v>
      </c>
      <c r="B18" s="725"/>
      <c r="C18" s="725"/>
      <c r="D18" s="725"/>
    </row>
    <row ht="14.25" r="19" spans="1:4">
      <c r="B19" s="725"/>
      <c r="C19" s="725"/>
      <c r="D19" s="725"/>
    </row>
    <row ht="14.25" r="20" spans="1:4">
      <c r="B20" s="725"/>
      <c r="C20" s="725"/>
      <c r="D20" s="725"/>
    </row>
    <row ht="14.25" r="21" spans="1:4">
      <c r="C21" s="725"/>
      <c r="D21" s="725"/>
    </row>
    <row ht="28.5" r="28" spans="1:4">
      <c r="A28" s="739" t="s">
        <v>2546</v>
      </c>
      <c r="B28" s="739" t="s">
        <v>2543</v>
      </c>
    </row>
    <row ht="14.25" r="29" spans="1:4">
      <c r="A29" s="736" t="s">
        <v>2547</v>
      </c>
      <c r="B29" s="739" t="s">
        <v>2544</v>
      </c>
    </row>
    <row r="30" spans="1:4">
      <c r="A30" s="406" t="s">
        <v>2545</v>
      </c>
    </row>
    <row ht="14.25" r="34" spans="1:4">
      <c r="A34" s="736" t="s">
        <v>2523</v>
      </c>
    </row>
    <row customHeight="1" ht="23.25" r="40" spans="1:4">
      <c r="B40" s="740" t="s">
        <v>2548</v>
      </c>
    </row>
    <row customHeight="1" ht="23.25" r="42" spans="1:4">
      <c r="B42" s="2045" t="s">
        <v>2549</v>
      </c>
      <c r="C42" s="2045"/>
      <c r="D42" s="2045"/>
    </row>
    <row customHeight="1" ht="21.75" r="43" spans="1:4">
      <c r="B43" s="2045" t="s">
        <v>2550</v>
      </c>
      <c r="C43" s="2045"/>
      <c r="D43" s="2045"/>
    </row>
    <row customHeight="1" ht="21.75" r="44" spans="1:4">
      <c r="B44" s="2045" t="s">
        <v>2551</v>
      </c>
      <c r="C44" s="2045"/>
      <c r="D44" s="2045"/>
    </row>
    <row customHeight="1" ht="30.75" r="45" spans="1:4">
      <c r="B45" s="2042" t="s">
        <v>2552</v>
      </c>
      <c r="C45" s="2042"/>
      <c r="D45" s="2042"/>
    </row>
    <row customHeight="1" ht="19.5" r="46" spans="1:4">
      <c r="B46" s="2042" t="s">
        <v>2553</v>
      </c>
      <c r="C46" s="2042"/>
      <c r="D46" s="2042"/>
    </row>
    <row customHeight="1" ht="18.75" r="47" spans="1:4">
      <c r="B47" s="2042" t="s">
        <v>2554</v>
      </c>
      <c r="C47" s="2042"/>
      <c r="D47" s="2042"/>
    </row>
    <row customHeight="1" ht="21" r="48" spans="1:4">
      <c r="B48" s="2042" t="s">
        <v>2555</v>
      </c>
      <c r="C48" s="2042"/>
      <c r="D48" s="2042"/>
    </row>
    <row customHeight="1" ht="20.25" r="49" spans="2:4">
      <c r="B49" s="2042" t="s">
        <v>2556</v>
      </c>
      <c r="C49" s="2042"/>
      <c r="D49" s="2042"/>
    </row>
    <row customHeight="1" ht="20.25" r="50" spans="2:4">
      <c r="B50" s="2042" t="s">
        <v>2557</v>
      </c>
      <c r="C50" s="2042"/>
      <c r="D50" s="2042"/>
    </row>
    <row customHeight="1" ht="19.5" r="51" spans="2:4">
      <c r="B51" s="2042" t="s">
        <v>2558</v>
      </c>
      <c r="C51" s="2042"/>
      <c r="D51" s="2042"/>
    </row>
    <row customHeight="1" ht="24.75" r="52" spans="2:4">
      <c r="B52" s="2042" t="s">
        <v>2559</v>
      </c>
      <c r="C52" s="2042"/>
      <c r="D52" s="2042"/>
    </row>
    <row customHeight="1" ht="21.75" r="53" spans="2:4">
      <c r="B53" s="2042" t="s">
        <v>2560</v>
      </c>
      <c r="C53" s="2042"/>
      <c r="D53" s="2042"/>
    </row>
    <row customHeight="1" ht="19.5" r="54" spans="2:4">
      <c r="B54" s="2042" t="s">
        <v>2561</v>
      </c>
      <c r="C54" s="2042"/>
      <c r="D54" s="2042"/>
    </row>
    <row customHeight="1" ht="24" r="55" spans="2:4">
      <c r="B55" s="2042" t="s">
        <v>2562</v>
      </c>
      <c r="C55" s="2042"/>
      <c r="D55" s="2042"/>
    </row>
    <row customHeight="1" ht="23.25" r="56" spans="2:4">
      <c r="B56" s="2042" t="s">
        <v>2563</v>
      </c>
      <c r="C56" s="2042"/>
      <c r="D56" s="2042"/>
    </row>
    <row customHeight="1" ht="19.5" r="57" spans="2:4">
      <c r="B57" s="2042" t="s">
        <v>2564</v>
      </c>
      <c r="C57" s="2042"/>
      <c r="D57" s="2042"/>
    </row>
    <row customHeight="1" ht="23.25" r="58" spans="2:4">
      <c r="B58" s="2042" t="s">
        <v>2565</v>
      </c>
      <c r="C58" s="2042"/>
      <c r="D58" s="2042"/>
    </row>
    <row r="59" spans="2:4">
      <c r="B59" s="714"/>
    </row>
    <row r="81" spans="1:4">
      <c r="A81" s="741" t="s">
        <v>2566</v>
      </c>
    </row>
    <row customHeight="1" ht="49.5" r="83" spans="1:4">
      <c r="A83" s="2033" t="s">
        <v>3343</v>
      </c>
      <c r="B83" s="2033"/>
      <c r="C83" s="2033"/>
      <c r="D83" s="2033"/>
    </row>
    <row customHeight="1" ht="8.25" r="84" spans="1:4"/>
    <row customHeight="1" ht="43.5" r="85" spans="1:4">
      <c r="A85" s="1703" t="s">
        <v>2567</v>
      </c>
      <c r="B85" s="1703"/>
      <c r="C85" s="1703"/>
      <c r="D85" s="1703"/>
    </row>
    <row customHeight="1" ht="63" r="87" spans="1:4">
      <c r="A87" s="1703" t="s">
        <v>2568</v>
      </c>
      <c r="B87" s="1703"/>
      <c r="C87" s="1703"/>
      <c r="D87" s="1703"/>
    </row>
    <row customHeight="1" ht="42.75" r="89" spans="1:4">
      <c r="A89" s="1755" t="s">
        <v>2569</v>
      </c>
      <c r="B89" s="1755"/>
      <c r="C89" s="1755"/>
      <c r="D89" s="1755"/>
    </row>
    <row customHeight="1" ht="42" r="91" spans="1:4">
      <c r="A91" s="1755" t="s">
        <v>2570</v>
      </c>
      <c r="B91" s="1755"/>
      <c r="C91" s="1755"/>
      <c r="D91" s="1755"/>
    </row>
    <row customHeight="1" ht="43.5" r="93" spans="1:4">
      <c r="A93" s="1703" t="s">
        <v>2571</v>
      </c>
      <c r="B93" s="1703"/>
      <c r="C93" s="1703"/>
      <c r="D93" s="1703"/>
    </row>
    <row customHeight="1" ht="27" r="95" spans="1:4">
      <c r="A95" s="1703" t="s">
        <v>2572</v>
      </c>
      <c r="B95" s="1703"/>
      <c r="C95" s="1703"/>
      <c r="D95" s="1703"/>
    </row>
    <row customHeight="1" ht="39.75" r="97" spans="1:4">
      <c r="A97" s="1703" t="s">
        <v>2573</v>
      </c>
      <c r="B97" s="1703"/>
      <c r="C97" s="1703"/>
      <c r="D97" s="1703"/>
    </row>
    <row customHeight="1" ht="12.75" r="98" spans="1:4">
      <c r="A98" s="712"/>
      <c r="B98" s="712"/>
      <c r="C98" s="712"/>
      <c r="D98" s="712"/>
    </row>
    <row r="99" spans="1:4">
      <c r="A99" s="741" t="s">
        <v>2574</v>
      </c>
    </row>
    <row r="100" spans="1:4">
      <c r="A100" s="741"/>
    </row>
    <row customHeight="1" ht="57" r="101" spans="1:4">
      <c r="A101" s="1703" t="s">
        <v>2575</v>
      </c>
      <c r="B101" s="1703"/>
      <c r="C101" s="1703"/>
      <c r="D101" s="1703"/>
    </row>
    <row r="103" spans="1:4">
      <c r="A103" s="742" t="s">
        <v>2576</v>
      </c>
    </row>
    <row customHeight="1" ht="80.25" r="105" spans="1:4">
      <c r="A105" s="1755" t="s">
        <v>2577</v>
      </c>
      <c r="B105" s="1755"/>
      <c r="C105" s="1755"/>
      <c r="D105" s="1755"/>
    </row>
    <row customHeight="1" ht="47.25" r="108" spans="1:4">
      <c r="A108" s="1703" t="s">
        <v>2578</v>
      </c>
      <c r="B108" s="1703"/>
      <c r="C108" s="1703"/>
      <c r="D108" s="1703"/>
    </row>
    <row customHeight="1" ht="51" r="110" spans="1:4">
      <c r="A110" s="2025" t="s">
        <v>2579</v>
      </c>
      <c r="B110" s="2025"/>
      <c r="C110" s="2025"/>
      <c r="D110" s="2025"/>
    </row>
    <row customHeight="1" ht="63.75" r="112" spans="1:4">
      <c r="A112" s="2025" t="s">
        <v>2580</v>
      </c>
      <c r="B112" s="1679"/>
      <c r="C112" s="1679"/>
      <c r="D112" s="1679"/>
    </row>
    <row customHeight="1" ht="12.75" r="113" spans="1:4">
      <c r="A113" s="743"/>
      <c r="B113" s="713"/>
      <c r="C113" s="713"/>
      <c r="D113" s="713"/>
    </row>
    <row customHeight="1" ht="32.25" r="114" spans="1:4">
      <c r="A114" s="2041" t="s">
        <v>2581</v>
      </c>
      <c r="B114" s="2041"/>
      <c r="C114" s="2041"/>
      <c r="D114" s="2041"/>
    </row>
    <row customHeight="1" ht="97.5" r="116" spans="1:4">
      <c r="A116" s="1703" t="s">
        <v>2582</v>
      </c>
      <c r="B116" s="1859"/>
      <c r="C116" s="1859"/>
      <c r="D116" s="1859"/>
    </row>
    <row customHeight="1" ht="117.75" r="118" spans="1:4">
      <c r="A118" s="1703" t="s">
        <v>2583</v>
      </c>
      <c r="B118" s="1703"/>
      <c r="C118" s="1703"/>
      <c r="D118" s="1703"/>
    </row>
    <row customHeight="1" ht="99" r="120" spans="1:4">
      <c r="A120" s="2025" t="s">
        <v>2584</v>
      </c>
      <c r="B120" s="2025"/>
      <c r="C120" s="2025"/>
      <c r="D120" s="2025"/>
    </row>
    <row customHeight="1" ht="14.25" r="122" spans="1:4">
      <c r="A122" s="744" t="s">
        <v>2585</v>
      </c>
    </row>
    <row customHeight="1" ht="63" r="124" spans="1:4">
      <c r="A124" s="2033" t="s">
        <v>2586</v>
      </c>
      <c r="B124" s="2033"/>
      <c r="C124" s="2033"/>
      <c r="D124" s="2033"/>
    </row>
    <row r="125" spans="1:4">
      <c r="A125" s="745"/>
      <c r="B125" s="745"/>
      <c r="C125" s="745"/>
      <c r="D125" s="745"/>
    </row>
    <row customHeight="1" ht="18" r="126" spans="1:4">
      <c r="A126" s="2040" t="s">
        <v>2587</v>
      </c>
      <c r="B126" s="2040"/>
      <c r="C126" s="2040"/>
      <c r="D126" s="2040"/>
    </row>
    <row r="127" spans="1:4">
      <c r="A127" s="745"/>
      <c r="B127" s="745"/>
      <c r="C127" s="745"/>
      <c r="D127" s="745"/>
    </row>
    <row customHeight="1" ht="38.25" r="128" spans="1:4">
      <c r="A128" s="2033" t="s">
        <v>2588</v>
      </c>
      <c r="B128" s="2033"/>
      <c r="C128" s="2033"/>
      <c r="D128" s="2033"/>
    </row>
    <row r="129" spans="1:4">
      <c r="A129" s="745"/>
      <c r="B129" s="745"/>
      <c r="C129" s="745"/>
      <c r="D129" s="745"/>
    </row>
    <row customHeight="1" ht="38.25" r="130" spans="1:4">
      <c r="A130" s="2034" t="s">
        <v>2589</v>
      </c>
      <c r="B130" s="2034"/>
      <c r="C130" s="2034"/>
      <c r="D130" s="2034"/>
    </row>
    <row r="131" spans="1:4">
      <c r="A131" s="745"/>
      <c r="B131" s="745"/>
      <c r="C131" s="745"/>
      <c r="D131" s="745"/>
    </row>
    <row r="132" spans="1:4">
      <c r="A132" s="2037" t="s">
        <v>2590</v>
      </c>
      <c r="B132" s="2037"/>
      <c r="C132" s="2037"/>
      <c r="D132" s="2037"/>
    </row>
    <row r="133" spans="1:4">
      <c r="A133" s="745"/>
      <c r="B133" s="745"/>
      <c r="C133" s="745"/>
      <c r="D133" s="745"/>
    </row>
    <row customHeight="1" ht="36.75" r="134" spans="1:4">
      <c r="A134" s="2033" t="s">
        <v>2591</v>
      </c>
      <c r="B134" s="2033"/>
      <c r="C134" s="2033"/>
      <c r="D134" s="2033"/>
    </row>
    <row r="135" spans="1:4">
      <c r="A135" s="745"/>
      <c r="B135" s="745"/>
      <c r="C135" s="745"/>
      <c r="D135" s="745"/>
    </row>
    <row r="136" spans="1:4">
      <c r="A136" s="2037" t="s">
        <v>2592</v>
      </c>
      <c r="B136" s="2037"/>
      <c r="C136" s="2037"/>
      <c r="D136" s="2037"/>
    </row>
    <row r="137" spans="1:4">
      <c r="A137" s="745"/>
      <c r="B137" s="745"/>
      <c r="C137" s="745"/>
      <c r="D137" s="745"/>
    </row>
    <row customHeight="1" ht="75" r="138" spans="1:4">
      <c r="A138" s="2033" t="s">
        <v>2593</v>
      </c>
      <c r="B138" s="2033"/>
      <c r="C138" s="2033"/>
      <c r="D138" s="2033"/>
    </row>
    <row r="139" spans="1:4">
      <c r="A139" s="745"/>
      <c r="B139" s="745"/>
      <c r="C139" s="745"/>
      <c r="D139" s="745"/>
    </row>
    <row r="140" spans="1:4">
      <c r="A140" s="2037" t="s">
        <v>2594</v>
      </c>
      <c r="B140" s="2037"/>
      <c r="C140" s="2037"/>
      <c r="D140" s="2037"/>
    </row>
    <row r="141" spans="1:4">
      <c r="A141" s="745"/>
      <c r="B141" s="745"/>
      <c r="C141" s="745"/>
      <c r="D141" s="745"/>
    </row>
    <row customHeight="1" ht="65.25" r="142" spans="1:4">
      <c r="A142" s="2033" t="s">
        <v>2595</v>
      </c>
      <c r="B142" s="2033"/>
      <c r="C142" s="2033"/>
      <c r="D142" s="2033"/>
    </row>
    <row r="143" spans="1:4">
      <c r="A143" s="745"/>
      <c r="B143" s="745"/>
      <c r="C143" s="745"/>
      <c r="D143" s="745"/>
    </row>
    <row customHeight="1" ht="29.25" r="144" spans="1:4">
      <c r="A144" s="2033" t="s">
        <v>2596</v>
      </c>
      <c r="B144" s="2033"/>
      <c r="C144" s="2033"/>
      <c r="D144" s="2033"/>
    </row>
    <row r="145" spans="1:4">
      <c r="A145" s="745"/>
      <c r="B145" s="745"/>
      <c r="C145" s="745"/>
      <c r="D145" s="745"/>
    </row>
    <row r="146" spans="1:4">
      <c r="A146" s="2037" t="s">
        <v>2597</v>
      </c>
      <c r="B146" s="2037"/>
      <c r="C146" s="2037"/>
      <c r="D146" s="2037"/>
    </row>
    <row r="147" spans="1:4">
      <c r="A147" s="745"/>
      <c r="B147" s="745"/>
      <c r="C147" s="745"/>
      <c r="D147" s="745"/>
    </row>
    <row customHeight="1" ht="30" r="148" spans="1:4">
      <c r="A148" s="2034" t="s">
        <v>2598</v>
      </c>
      <c r="B148" s="2034"/>
      <c r="C148" s="2034"/>
      <c r="D148" s="2034"/>
    </row>
    <row r="149" spans="1:4">
      <c r="A149" s="745"/>
      <c r="B149" s="745"/>
      <c r="C149" s="745"/>
      <c r="D149" s="745"/>
    </row>
    <row customHeight="1" ht="40.5" r="150" spans="1:4">
      <c r="A150" s="2034" t="s">
        <v>2599</v>
      </c>
      <c r="B150" s="2034"/>
      <c r="C150" s="2034"/>
      <c r="D150" s="2034"/>
    </row>
    <row customHeight="1" ht="16.5" r="151" spans="1:4">
      <c r="B151" s="746" t="s">
        <v>2600</v>
      </c>
      <c r="C151" s="746"/>
      <c r="D151" s="746"/>
    </row>
    <row customHeight="1" ht="25.5" r="152" spans="1:4">
      <c r="A152" s="745"/>
      <c r="B152" s="2033" t="s">
        <v>2601</v>
      </c>
      <c r="C152" s="2033"/>
      <c r="D152" s="2033"/>
    </row>
    <row r="153" spans="1:4">
      <c r="A153" s="745"/>
      <c r="B153" s="745"/>
      <c r="C153" s="745"/>
      <c r="D153" s="745"/>
    </row>
    <row r="154" spans="1:4">
      <c r="A154" s="747" t="s">
        <v>2602</v>
      </c>
      <c r="B154" s="745"/>
      <c r="C154" s="745"/>
      <c r="D154" s="745"/>
    </row>
    <row r="155" spans="1:4">
      <c r="A155" s="745"/>
      <c r="B155" s="745"/>
      <c r="C155" s="745"/>
      <c r="D155" s="745"/>
    </row>
    <row customHeight="1" ht="41.25" r="156" spans="1:4">
      <c r="A156" s="2033" t="s">
        <v>2603</v>
      </c>
      <c r="B156" s="2033"/>
      <c r="C156" s="2033"/>
      <c r="D156" s="2033"/>
    </row>
    <row r="157" spans="1:4">
      <c r="A157" s="745"/>
      <c r="B157" s="748" t="s">
        <v>2604</v>
      </c>
      <c r="C157" s="745"/>
      <c r="D157" s="745"/>
    </row>
    <row customHeight="1" ht="24" r="158" spans="1:4">
      <c r="A158" s="745"/>
      <c r="B158" s="2033" t="s">
        <v>2605</v>
      </c>
      <c r="C158" s="2033"/>
      <c r="D158" s="2033"/>
    </row>
    <row r="159" spans="1:4">
      <c r="A159" s="745"/>
      <c r="B159" s="745"/>
      <c r="C159" s="745"/>
      <c r="D159" s="745"/>
    </row>
    <row r="160" spans="1:4">
      <c r="A160" s="749" t="s">
        <v>2606</v>
      </c>
      <c r="B160" s="745"/>
      <c r="C160" s="745"/>
      <c r="D160" s="745"/>
    </row>
    <row r="161" spans="1:4">
      <c r="A161" s="745"/>
      <c r="B161" s="745"/>
      <c r="C161" s="745"/>
      <c r="D161" s="745"/>
    </row>
    <row customHeight="1" ht="36.75" r="162" spans="1:4">
      <c r="A162" s="2033" t="s">
        <v>2607</v>
      </c>
      <c r="B162" s="2033"/>
      <c r="C162" s="2033"/>
      <c r="D162" s="2033"/>
    </row>
    <row r="163" spans="1:4">
      <c r="A163" s="745"/>
      <c r="B163" s="745"/>
      <c r="C163" s="745"/>
      <c r="D163" s="745"/>
    </row>
    <row r="164" spans="1:4">
      <c r="A164" s="2037" t="s">
        <v>2608</v>
      </c>
      <c r="B164" s="2037"/>
      <c r="C164" s="2037"/>
      <c r="D164" s="2037"/>
    </row>
    <row r="165" spans="1:4">
      <c r="A165" s="745"/>
      <c r="B165" s="745"/>
      <c r="C165" s="745"/>
      <c r="D165" s="745"/>
    </row>
    <row r="166" spans="1:4">
      <c r="A166" s="2038" t="s">
        <v>2609</v>
      </c>
      <c r="B166" s="2038"/>
      <c r="C166" s="2038"/>
      <c r="D166" s="2038"/>
    </row>
    <row r="167" spans="1:4">
      <c r="A167" s="745"/>
      <c r="B167" s="745"/>
      <c r="C167" s="745"/>
      <c r="D167" s="745"/>
    </row>
    <row r="168" spans="1:4">
      <c r="A168" s="2039" t="s">
        <v>2610</v>
      </c>
      <c r="B168" s="2039"/>
      <c r="C168" s="2039"/>
      <c r="D168" s="2039"/>
    </row>
    <row r="169" spans="1:4">
      <c r="A169" s="745"/>
      <c r="B169" s="745"/>
      <c r="C169" s="745"/>
      <c r="D169" s="745"/>
    </row>
    <row customHeight="1" ht="26.25" r="170" spans="1:4">
      <c r="A170" s="2033" t="s">
        <v>2611</v>
      </c>
      <c r="B170" s="2033"/>
      <c r="C170" s="2033"/>
      <c r="D170" s="2033"/>
    </row>
    <row r="171" spans="1:4">
      <c r="A171" s="745"/>
      <c r="B171" s="745"/>
      <c r="C171" s="745"/>
      <c r="D171" s="745"/>
    </row>
    <row r="172" spans="1:4">
      <c r="A172" s="2037" t="s">
        <v>2612</v>
      </c>
      <c r="B172" s="2037"/>
      <c r="C172" s="2037"/>
      <c r="D172" s="2037"/>
    </row>
    <row r="173" spans="1:4">
      <c r="A173" s="745"/>
      <c r="B173" s="745"/>
      <c r="C173" s="745"/>
      <c r="D173" s="745"/>
    </row>
    <row customHeight="1" ht="36.75" r="174" spans="1:4">
      <c r="A174" s="2033" t="s">
        <v>2613</v>
      </c>
      <c r="B174" s="2033"/>
      <c r="C174" s="2033"/>
      <c r="D174" s="2033"/>
    </row>
    <row r="175" spans="1:4">
      <c r="A175" s="745"/>
      <c r="B175" s="745"/>
      <c r="C175" s="745"/>
      <c r="D175" s="745"/>
    </row>
    <row r="176" spans="1:4">
      <c r="A176" s="2037" t="s">
        <v>2614</v>
      </c>
      <c r="B176" s="2037"/>
      <c r="C176" s="2037"/>
      <c r="D176" s="2037"/>
    </row>
    <row r="177" spans="1:4">
      <c r="A177" s="745"/>
      <c r="B177" s="745"/>
      <c r="C177" s="745"/>
      <c r="D177" s="745"/>
    </row>
    <row customHeight="1" ht="28.5" r="178" spans="1:4">
      <c r="A178" s="2033" t="s">
        <v>2615</v>
      </c>
      <c r="B178" s="2033"/>
      <c r="C178" s="2033"/>
      <c r="D178" s="2033"/>
    </row>
    <row r="179" spans="1:4">
      <c r="A179" s="745"/>
      <c r="B179" s="745"/>
      <c r="C179" s="745"/>
      <c r="D179" s="745"/>
    </row>
    <row r="180" spans="1:4">
      <c r="A180" s="741" t="s">
        <v>2529</v>
      </c>
      <c r="B180" s="745"/>
      <c r="C180" s="745"/>
      <c r="D180" s="745"/>
    </row>
    <row r="181" spans="1:4">
      <c r="A181" s="745"/>
      <c r="B181" s="745"/>
      <c r="C181" s="745"/>
      <c r="D181" s="745"/>
    </row>
    <row customHeight="1" ht="48.75" r="182" spans="1:4">
      <c r="A182" s="2033" t="s">
        <v>2616</v>
      </c>
      <c r="B182" s="2033"/>
      <c r="C182" s="2033"/>
      <c r="D182" s="2033"/>
    </row>
    <row r="183" spans="1:4">
      <c r="A183" s="745"/>
      <c r="B183" s="745"/>
      <c r="C183" s="745"/>
      <c r="D183" s="745"/>
    </row>
    <row customHeight="1" ht="15.75" r="184" spans="1:4">
      <c r="A184" s="2034" t="s">
        <v>2617</v>
      </c>
      <c r="B184" s="2034"/>
      <c r="C184" s="2034"/>
      <c r="D184" s="2034"/>
    </row>
    <row r="185" spans="1:4">
      <c r="A185" s="745"/>
      <c r="B185" s="745"/>
      <c r="C185" s="745"/>
      <c r="D185" s="745"/>
    </row>
    <row ht="14.25" r="186" spans="1:4">
      <c r="A186" s="724" t="s">
        <v>2522</v>
      </c>
      <c r="B186" s="725"/>
      <c r="C186" s="745"/>
      <c r="D186" s="745"/>
    </row>
    <row ht="14.25" r="187" spans="1:4">
      <c r="A187" s="725"/>
      <c r="B187" s="725" t="str">
        <f>+ЧХ!$B$5</f>
        <v>Тэргүүлэх аудитор</v>
      </c>
      <c r="C187" s="745"/>
      <c r="D187" s="745"/>
    </row>
    <row ht="14.25" r="188" spans="1:4">
      <c r="A188" s="725"/>
      <c r="B188" s="727" t="str">
        <f>+ЧХ!$C$5</f>
        <v>С.Энхбаатар</v>
      </c>
      <c r="C188" s="745"/>
      <c r="D188" s="745"/>
    </row>
    <row ht="14.25" r="189" spans="1:4">
      <c r="A189" s="725"/>
      <c r="B189" s="727"/>
      <c r="C189" s="745"/>
      <c r="D189" s="745"/>
    </row>
    <row ht="14.25" r="190" spans="1:4">
      <c r="A190" s="725"/>
      <c r="B190" s="725" t="str">
        <f>+ЧХ!$B$6</f>
        <v>Аудитын менежер</v>
      </c>
      <c r="C190" s="745"/>
      <c r="D190" s="745"/>
    </row>
    <row ht="14.25" r="191" spans="1:4">
      <c r="A191" s="725"/>
      <c r="B191" s="727">
        <f>+ЧХ!$C$6</f>
        <v>0</v>
      </c>
      <c r="C191" s="745"/>
      <c r="D191" s="745"/>
    </row>
    <row ht="14.25" r="192" spans="1:4">
      <c r="A192" s="725"/>
      <c r="B192" s="727"/>
      <c r="C192" s="745"/>
      <c r="D192" s="745"/>
    </row>
    <row ht="14.25" r="193" spans="1:4">
      <c r="A193" s="2031" t="s">
        <v>2398</v>
      </c>
      <c r="B193" s="2031"/>
      <c r="C193" s="745"/>
      <c r="D193" s="745"/>
    </row>
    <row ht="14.25" r="194" spans="1:4">
      <c r="A194" s="725"/>
      <c r="B194" s="725">
        <f>+ЧХ!$C$15</f>
        <v>0</v>
      </c>
      <c r="C194" s="745"/>
      <c r="D194" s="745"/>
    </row>
    <row ht="14.25" r="195" spans="1:4">
      <c r="A195" s="745"/>
      <c r="B195" s="727">
        <f>+ЧХ!$C$16</f>
        <v>0</v>
      </c>
      <c r="C195" s="745"/>
      <c r="D195" s="745"/>
    </row>
    <row r="197" spans="1:4">
      <c r="A197" s="2035" t="s">
        <v>2618</v>
      </c>
      <c r="B197" s="2035"/>
      <c r="C197" s="2035"/>
      <c r="D197" s="2035"/>
    </row>
  </sheetData>
  <mergeCells count="67">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A108:D108"/>
    <mergeCell ref="A110:D110"/>
    <mergeCell ref="A112:D112"/>
    <mergeCell ref="A116:D116"/>
    <mergeCell ref="A114:D114"/>
    <mergeCell ref="A118:D118"/>
    <mergeCell ref="A120:D120"/>
    <mergeCell ref="A124:D124"/>
    <mergeCell ref="A126:D126"/>
    <mergeCell ref="A128:D128"/>
    <mergeCell ref="A130:D130"/>
    <mergeCell ref="A132:D132"/>
    <mergeCell ref="A134:D134"/>
    <mergeCell ref="A146:D146"/>
    <mergeCell ref="A148:D148"/>
    <mergeCell ref="A150:D150"/>
    <mergeCell ref="B152:D152"/>
    <mergeCell ref="A136:D136"/>
    <mergeCell ref="A138:D138"/>
    <mergeCell ref="A140:D140"/>
    <mergeCell ref="A142:D142"/>
    <mergeCell ref="A144:D144"/>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s>
  <pageMargins bottom="0.75" footer="0.3" header="0.3" left="0.7" right="0.7" top="0.75"/>
  <pageSetup orientation="portrait" r:id="rId1"/>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711"/>
      <c r="B1" s="711"/>
      <c r="C1" s="711"/>
      <c r="D1" s="1699" t="str">
        <f><![CDATA["''"&ЧХ!C7&"""-ЫН"&" " &'1.Info'!F30&" " &" " &'1.Info'!F29&" " &"ТАНАА"]]></f>
        <v>''"-ЫН    ТАНАА</v>
      </c>
      <c r="E1" s="1699"/>
    </row>
    <row r="2" spans="1:5">
      <c r="B2" s="711"/>
      <c r="C2" s="711"/>
      <c r="D2" s="711"/>
      <c r="E2" s="711"/>
    </row>
    <row customHeight="1" ht="24" r="3" spans="1:5">
      <c r="B3" s="2020" t="s">
        <v>2524</v>
      </c>
      <c r="C3" s="2020"/>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0"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0"/>
      <c r="C6" s="2020"/>
      <c r="D6" s="2020"/>
      <c r="E6" s="2020"/>
    </row>
    <row customHeight="1" ht="47.25" r="7" spans="1:5">
      <c r="A7" s="2020" t="s">
        <v>2525</v>
      </c>
      <c r="B7" s="2020"/>
      <c r="C7" s="2020"/>
      <c r="D7" s="2020"/>
      <c r="E7" s="2020"/>
    </row>
    <row customHeight="1" ht="24.75" r="8" spans="1:5">
      <c r="A8" s="2020" t="s">
        <v>2526</v>
      </c>
      <c r="B8" s="2020"/>
      <c r="C8" s="2020"/>
      <c r="D8" s="2020"/>
      <c r="E8" s="2020"/>
    </row>
    <row customHeight="1" ht="80.25" r="9" spans="1:5">
      <c r="A9" s="2046" t="s">
        <v>2527</v>
      </c>
      <c r="B9" s="2046"/>
      <c r="C9" s="2046"/>
      <c r="D9" s="2046"/>
      <c r="E9" s="2046"/>
    </row>
    <row customHeight="1" ht="93.75" r="10" spans="1:5">
      <c r="A10" s="2046" t="s">
        <v>2528</v>
      </c>
      <c r="B10" s="2046"/>
      <c r="C10" s="2046"/>
      <c r="D10" s="2046"/>
      <c r="E10" s="2046"/>
    </row>
    <row customHeight="1" ht="30" r="11" spans="1:5">
      <c r="A11" s="2047" t="s">
        <v>2529</v>
      </c>
      <c r="B11" s="2047"/>
      <c r="C11" s="2047"/>
      <c r="D11" s="2047"/>
      <c r="E11" s="2047"/>
    </row>
    <row customHeight="1" ht="84.75" r="12" spans="1:5">
      <c r="A12" s="2046" t="s">
        <v>2530</v>
      </c>
      <c r="B12" s="2046"/>
      <c r="C12" s="2046"/>
      <c r="D12" s="2046"/>
      <c r="E12" s="2046"/>
    </row>
    <row customHeight="1" ht="48" r="13" spans="1:5">
      <c r="B13" s="708"/>
      <c r="E13" s="711"/>
    </row>
    <row r="14" spans="1:5">
      <c r="B14" s="1859" t="str">
        <f>+ЧХ!$B$5</f>
        <v>Тэргүүлэх аудитор</v>
      </c>
      <c r="C14" s="1859"/>
      <c r="D14" s="731"/>
    </row>
    <row r="16" spans="1:5">
      <c r="D16" s="708"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142" t="str">
        <f><![CDATA["''"&ЧХ!C7&"""-ЫН"&" " &'1.Info'!F30&" " &" " &'1.Info'!F29&" " &"ТАНАА"]]></f>
        <v>''"-ЫН    ТАНАА</v>
      </c>
      <c r="E1" s="1142"/>
    </row>
    <row r="2" spans="1:5">
      <c r="B2" s="1150"/>
      <c r="C2" s="1150"/>
      <c r="D2" s="1150"/>
      <c r="E2" s="1150"/>
    </row>
    <row customHeight="1" ht="24" r="3" spans="1:5">
      <c r="B3" s="2020" t="s">
        <v>2524</v>
      </c>
      <c r="C3" s="2020"/>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0"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0"/>
      <c r="C6" s="2020"/>
      <c r="D6" s="2020"/>
      <c r="E6" s="2020"/>
    </row>
    <row customHeight="1" ht="47.25" r="7" spans="1:5">
      <c r="A7" s="2020" t="s">
        <v>2525</v>
      </c>
      <c r="B7" s="2020"/>
      <c r="C7" s="2020"/>
      <c r="D7" s="2020"/>
      <c r="E7" s="2020"/>
    </row>
    <row customHeight="1" ht="24.75" r="8" spans="1:5">
      <c r="A8" s="2020" t="s">
        <v>2526</v>
      </c>
      <c r="B8" s="2020"/>
      <c r="C8" s="2020"/>
      <c r="D8" s="2020"/>
      <c r="E8" s="2020"/>
    </row>
    <row customHeight="1" ht="80.25" r="9" spans="1:5">
      <c r="A9" s="2046" t="s">
        <v>2527</v>
      </c>
      <c r="B9" s="2046"/>
      <c r="C9" s="2046"/>
      <c r="D9" s="2046"/>
      <c r="E9" s="2046"/>
    </row>
    <row customHeight="1" ht="93.75" r="10" spans="1:5">
      <c r="A10" s="2046" t="s">
        <v>2528</v>
      </c>
      <c r="B10" s="2046"/>
      <c r="C10" s="2046"/>
      <c r="D10" s="2046"/>
      <c r="E10" s="2046"/>
    </row>
    <row customHeight="1" ht="30" r="11" spans="1:5">
      <c r="A11" s="2047" t="s">
        <v>2529</v>
      </c>
      <c r="B11" s="2047"/>
      <c r="C11" s="2047"/>
      <c r="D11" s="2047"/>
      <c r="E11" s="2047"/>
    </row>
    <row customHeight="1" ht="84.75" r="12" spans="1:5">
      <c r="A12" s="2046" t="s">
        <v>2530</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0">
    <mergeCell ref="B3:C3"/>
    <mergeCell ref="A5:E5"/>
    <mergeCell ref="A6:E6"/>
    <mergeCell ref="A7:E7"/>
    <mergeCell ref="A8:E8"/>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workbookViewId="0">
      <selection activeCell="J9" sqref="J9"/>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699" t="str">
        <f><![CDATA["''"&ЧХ!C7&"""-ЫН"&" " &'1.Info'!F30&" " &" " &'1.Info'!F29&" " &"ТАНАА"]]></f>
        <v>''"-ЫН    ТАНАА</v>
      </c>
      <c r="E1" s="1699"/>
    </row>
    <row r="2" spans="1:5">
      <c r="B2" s="1150"/>
      <c r="C2" s="1150"/>
      <c r="D2" s="1150"/>
      <c r="E2" s="1150"/>
    </row>
    <row customHeight="1" ht="24" r="3" spans="1:5">
      <c r="B3" s="2020" t="s">
        <v>2524</v>
      </c>
      <c r="C3" s="2020"/>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0"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0"/>
      <c r="C6" s="2020"/>
      <c r="D6" s="2020"/>
      <c r="E6" s="2020"/>
    </row>
    <row customHeight="1" ht="47.25" r="7" spans="1:5">
      <c r="A7" s="2020" t="s">
        <v>2525</v>
      </c>
      <c r="B7" s="2020"/>
      <c r="C7" s="2020"/>
      <c r="D7" s="2020"/>
      <c r="E7" s="2020"/>
    </row>
    <row customHeight="1" ht="24.75" r="8" spans="1:5">
      <c r="A8" s="2020" t="s">
        <v>2526</v>
      </c>
      <c r="B8" s="2020"/>
      <c r="C8" s="2020"/>
      <c r="D8" s="2020"/>
      <c r="E8" s="2020"/>
    </row>
    <row customHeight="1" ht="80.25" r="9" spans="1:5">
      <c r="A9" s="2046" t="s">
        <v>2527</v>
      </c>
      <c r="B9" s="2046"/>
      <c r="C9" s="2046"/>
      <c r="D9" s="2046"/>
      <c r="E9" s="2046"/>
    </row>
    <row customHeight="1" ht="93.75" r="10" spans="1:5">
      <c r="A10" s="2046" t="s">
        <v>2528</v>
      </c>
      <c r="B10" s="2046"/>
      <c r="C10" s="2046"/>
      <c r="D10" s="2046"/>
      <c r="E10" s="2046"/>
    </row>
    <row customHeight="1" ht="30" r="11" spans="1:5">
      <c r="A11" s="2047" t="s">
        <v>2529</v>
      </c>
      <c r="B11" s="2047"/>
      <c r="C11" s="2047"/>
      <c r="D11" s="2047"/>
      <c r="E11" s="2047"/>
    </row>
    <row customHeight="1" ht="84.75" r="12" spans="1:5">
      <c r="A12" s="2046" t="s">
        <v>2530</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142" t="str">
        <f><![CDATA["''"&ЧХ!C7&"""-ЫН"&" " &'1.Info'!F30&" " &" " &'1.Info'!F29&" " &"ТАНАА"]]></f>
        <v>''"-ЫН    ТАНАА</v>
      </c>
      <c r="E1" s="1142"/>
    </row>
    <row r="2" spans="1:5">
      <c r="B2" s="1150"/>
      <c r="C2" s="1150"/>
      <c r="D2" s="1150"/>
      <c r="E2" s="1150"/>
    </row>
    <row customHeight="1" ht="24" r="3" spans="1:5">
      <c r="B3" s="2020" t="s">
        <v>2524</v>
      </c>
      <c r="C3" s="2020"/>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0"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0"/>
      <c r="C6" s="2020"/>
      <c r="D6" s="2020"/>
      <c r="E6" s="2020"/>
    </row>
    <row customHeight="1" ht="47.25" r="7" spans="1:5">
      <c r="A7" s="2020" t="s">
        <v>2525</v>
      </c>
      <c r="B7" s="2020"/>
      <c r="C7" s="2020"/>
      <c r="D7" s="2020"/>
      <c r="E7" s="2020"/>
    </row>
    <row customHeight="1" ht="24.75" r="8" spans="1:5">
      <c r="A8" s="2020" t="s">
        <v>2526</v>
      </c>
      <c r="B8" s="2020"/>
      <c r="C8" s="2020"/>
      <c r="D8" s="2020"/>
      <c r="E8" s="2020"/>
    </row>
    <row customHeight="1" ht="80.25" r="9" spans="1:5">
      <c r="A9" s="2046" t="s">
        <v>2527</v>
      </c>
      <c r="B9" s="2046"/>
      <c r="C9" s="2046"/>
      <c r="D9" s="2046"/>
      <c r="E9" s="2046"/>
    </row>
    <row customHeight="1" ht="93.75" r="10" spans="1:5">
      <c r="A10" s="2046" t="s">
        <v>2528</v>
      </c>
      <c r="B10" s="2046"/>
      <c r="C10" s="2046"/>
      <c r="D10" s="2046"/>
      <c r="E10" s="2046"/>
    </row>
    <row customHeight="1" ht="30" r="11" spans="1:5">
      <c r="A11" s="2047" t="s">
        <v>2529</v>
      </c>
      <c r="B11" s="2047"/>
      <c r="C11" s="2047"/>
      <c r="D11" s="2047"/>
      <c r="E11" s="2047"/>
    </row>
    <row customHeight="1" ht="84.75" r="12" spans="1:5">
      <c r="A12" s="2046" t="s">
        <v>2530</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pageSetUpPr fitToPage="1"/>
  </sheetPr>
  <dimension ref="A1:F63"/>
  <sheetViews>
    <sheetView topLeftCell="A25" workbookViewId="0">
      <selection activeCell="C43" sqref="C43:D63"/>
    </sheetView>
  </sheetViews>
  <sheetFormatPr defaultColWidth="9.140625" defaultRowHeight="12.75"/>
  <cols>
    <col min="1" max="1" customWidth="true" style="231" width="6.28515625" collapsed="false"/>
    <col min="2" max="2" customWidth="true" style="406" width="39.85546875" collapsed="false"/>
    <col min="3" max="3" customWidth="true" style="406" width="24.28515625" collapsed="false"/>
    <col min="4" max="4" customWidth="true" style="410" width="21.85546875" collapsed="false"/>
    <col min="5" max="16384" style="406" width="9.140625" collapsed="false"/>
  </cols>
  <sheetData>
    <row customHeight="1" ht="17.25" r="1" spans="1:4">
      <c r="A1" s="2048" t="s">
        <v>5</v>
      </c>
      <c r="B1" s="2048"/>
      <c r="C1" s="2048"/>
      <c r="D1" s="2048"/>
    </row>
    <row customHeight="1" ht="12.75" r="2" spans="1:4">
      <c r="A2" s="228"/>
      <c r="B2" s="228"/>
      <c r="C2" s="228"/>
      <c r="D2" s="690" t="s">
        <v>794</v>
      </c>
    </row>
    <row customHeight="1" ht="31.5" r="3" spans="1:4">
      <c r="A3" s="393" t="s">
        <v>2500</v>
      </c>
      <c r="B3" s="394" t="s">
        <v>12</v>
      </c>
      <c r="C3" s="411" t="s">
        <v>49</v>
      </c>
      <c r="D3" s="411" t="s">
        <v>50</v>
      </c>
    </row>
    <row r="4" spans="1:4">
      <c r="A4" s="695">
        <v>1</v>
      </c>
      <c r="B4" s="441" t="s">
        <v>121</v>
      </c>
      <c r="C4" s="667"/>
      <c r="D4" s="667"/>
    </row>
    <row r="5" spans="1:4">
      <c r="A5" s="695">
        <v>31</v>
      </c>
      <c r="B5" s="441" t="s">
        <v>123</v>
      </c>
      <c r="C5" s="667"/>
      <c r="D5" s="667"/>
    </row>
    <row ht="25.5" r="6" spans="1:4">
      <c r="A6" s="695">
        <v>32</v>
      </c>
      <c r="B6" s="441" t="s">
        <v>140</v>
      </c>
      <c r="C6" s="667"/>
      <c r="D6" s="667"/>
    </row>
    <row r="7" spans="1:4">
      <c r="A7" s="695">
        <v>33</v>
      </c>
      <c r="B7" s="441" t="s">
        <v>143</v>
      </c>
      <c r="C7" s="667"/>
      <c r="D7" s="667"/>
    </row>
    <row r="8" spans="1:4">
      <c r="A8" s="695">
        <v>34</v>
      </c>
      <c r="B8" s="441" t="s">
        <v>160</v>
      </c>
      <c r="C8" s="667"/>
      <c r="D8" s="667"/>
    </row>
    <row r="9" spans="1:4">
      <c r="A9" s="695">
        <v>35</v>
      </c>
      <c r="B9" s="441" t="s">
        <v>173</v>
      </c>
      <c r="C9" s="667"/>
      <c r="D9" s="667"/>
    </row>
    <row r="10" spans="1:4">
      <c r="A10" s="695">
        <v>36</v>
      </c>
      <c r="B10" s="441" t="s">
        <v>202</v>
      </c>
      <c r="C10" s="667"/>
      <c r="D10" s="667"/>
    </row>
    <row r="11" spans="1:4">
      <c r="A11" s="695">
        <v>2</v>
      </c>
      <c r="B11" s="441" t="s">
        <v>209</v>
      </c>
      <c r="C11" s="667"/>
      <c r="D11" s="667"/>
    </row>
    <row r="12" spans="1:4">
      <c r="A12" s="695">
        <v>37</v>
      </c>
      <c r="B12" s="441" t="s">
        <v>211</v>
      </c>
      <c r="C12" s="667"/>
      <c r="D12" s="667"/>
    </row>
    <row r="13" spans="1:4">
      <c r="A13" s="695">
        <v>39</v>
      </c>
      <c r="B13" s="441" t="s">
        <v>215</v>
      </c>
      <c r="C13" s="667"/>
      <c r="D13" s="667"/>
    </row>
    <row customFormat="1" ht="15" r="14" s="381" spans="1:4">
      <c r="A14" s="697">
        <v>393</v>
      </c>
      <c r="B14" s="441" t="s">
        <v>238</v>
      </c>
      <c r="C14" s="667"/>
      <c r="D14" s="667"/>
    </row>
    <row customFormat="1" r="15" s="415" spans="1:4">
      <c r="A15" s="698">
        <v>3</v>
      </c>
      <c r="B15" s="699" t="s">
        <v>2036</v>
      </c>
      <c r="C15" s="700"/>
      <c r="D15" s="691"/>
    </row>
    <row r="16" spans="1:4">
      <c r="A16" s="695">
        <v>4</v>
      </c>
      <c r="B16" s="441" t="s">
        <v>243</v>
      </c>
      <c r="C16" s="667"/>
      <c r="D16" s="667"/>
    </row>
    <row r="17" spans="1:4">
      <c r="A17" s="695">
        <v>41</v>
      </c>
      <c r="B17" s="441" t="s">
        <v>244</v>
      </c>
      <c r="C17" s="667"/>
      <c r="D17" s="667"/>
    </row>
    <row r="18" spans="1:4">
      <c r="A18" s="695">
        <v>42</v>
      </c>
      <c r="B18" s="441" t="s">
        <v>276</v>
      </c>
      <c r="C18" s="667"/>
      <c r="D18" s="667"/>
    </row>
    <row r="19" spans="1:4">
      <c r="A19" s="695">
        <v>5</v>
      </c>
      <c r="B19" s="441" t="s">
        <v>281</v>
      </c>
      <c r="C19" s="667"/>
      <c r="D19" s="667"/>
    </row>
    <row r="20" spans="1:4">
      <c r="A20" s="695">
        <v>51</v>
      </c>
      <c r="B20" s="441" t="s">
        <v>282</v>
      </c>
      <c r="C20" s="667"/>
      <c r="D20" s="667"/>
    </row>
    <row customFormat="1" ht="25.5" r="21" s="415" spans="1:4">
      <c r="A21" s="698">
        <v>6</v>
      </c>
      <c r="B21" s="699" t="s">
        <v>291</v>
      </c>
      <c r="C21" s="691"/>
      <c r="D21" s="691"/>
    </row>
    <row customFormat="1" r="22" s="415" spans="1:4">
      <c r="A22" s="687"/>
      <c r="B22" s="688"/>
      <c r="C22" s="689"/>
      <c r="D22" s="689"/>
    </row>
    <row customHeight="1" ht="21" r="23" spans="1:4">
      <c r="A23" s="2048" t="s">
        <v>6</v>
      </c>
      <c r="B23" s="2048"/>
      <c r="C23" s="2048"/>
      <c r="D23" s="2048"/>
    </row>
    <row r="24" spans="1:4">
      <c r="A24" s="421"/>
      <c r="B24" s="420"/>
      <c r="C24" s="674"/>
      <c r="D24" s="690" t="s">
        <v>794</v>
      </c>
    </row>
    <row ht="25.5" r="25" spans="1:4">
      <c r="A25" s="393" t="s">
        <v>2500</v>
      </c>
      <c r="B25" s="394" t="s">
        <v>12</v>
      </c>
      <c r="C25" s="394" t="s">
        <v>66</v>
      </c>
      <c r="D25" s="394" t="s">
        <v>65</v>
      </c>
    </row>
    <row r="26" spans="1:4">
      <c r="A26" s="693">
        <v>1</v>
      </c>
      <c r="B26" s="679" t="s">
        <v>293</v>
      </c>
      <c r="C26" s="675"/>
      <c r="D26" s="675"/>
    </row>
    <row r="27" spans="1:4">
      <c r="A27" s="694">
        <v>11</v>
      </c>
      <c r="B27" s="441" t="s">
        <v>799</v>
      </c>
      <c r="C27" s="675"/>
      <c r="D27" s="669"/>
    </row>
    <row r="28" spans="1:4">
      <c r="A28" s="695">
        <v>12</v>
      </c>
      <c r="B28" s="441" t="s">
        <v>869</v>
      </c>
      <c r="C28" s="675"/>
      <c r="D28" s="669"/>
    </row>
    <row r="29" spans="1:4">
      <c r="A29" s="695">
        <v>13</v>
      </c>
      <c r="B29" s="441" t="s">
        <v>887</v>
      </c>
      <c r="C29" s="675"/>
      <c r="D29" s="669"/>
    </row>
    <row r="30" spans="1:4">
      <c r="A30" s="694">
        <v>2</v>
      </c>
      <c r="B30" s="441" t="s">
        <v>328</v>
      </c>
      <c r="C30" s="675"/>
      <c r="D30" s="669"/>
    </row>
    <row r="31" spans="1:4">
      <c r="A31" s="695">
        <v>21</v>
      </c>
      <c r="B31" s="441" t="s">
        <v>920</v>
      </c>
      <c r="C31" s="675"/>
      <c r="D31" s="669"/>
    </row>
    <row r="32" spans="1:4">
      <c r="A32" s="695">
        <v>22</v>
      </c>
      <c r="B32" s="441" t="s">
        <v>1014</v>
      </c>
      <c r="C32" s="675"/>
      <c r="D32" s="669"/>
    </row>
    <row r="33" spans="1:6">
      <c r="A33" s="694">
        <v>3</v>
      </c>
      <c r="B33" s="441" t="s">
        <v>1083</v>
      </c>
      <c r="C33" s="675"/>
      <c r="D33" s="669"/>
    </row>
    <row r="34" spans="1:6">
      <c r="A34" s="694">
        <v>145</v>
      </c>
      <c r="B34" s="441" t="s">
        <v>445</v>
      </c>
      <c r="C34" s="675"/>
      <c r="D34" s="669"/>
    </row>
    <row r="35" spans="1:6">
      <c r="A35" s="694">
        <v>225</v>
      </c>
      <c r="B35" s="441" t="s">
        <v>447</v>
      </c>
      <c r="C35" s="675"/>
      <c r="D35" s="669"/>
    </row>
    <row ht="25.5" r="36" spans="1:6">
      <c r="A36" s="696">
        <v>4</v>
      </c>
      <c r="B36" s="441" t="s">
        <v>2037</v>
      </c>
      <c r="C36" s="675"/>
      <c r="D36" s="669"/>
    </row>
    <row customHeight="1" ht="19.5" r="37" spans="1:6">
      <c r="A37" s="694">
        <v>5</v>
      </c>
      <c r="B37" s="449" t="s">
        <v>1084</v>
      </c>
      <c r="C37" s="675"/>
      <c r="D37" s="669"/>
    </row>
    <row customFormat="1" r="38" s="682" spans="1:6">
      <c r="A38" s="422" t="s">
        <v>102</v>
      </c>
      <c r="B38" s="423" t="s">
        <v>102</v>
      </c>
      <c r="C38" s="423"/>
      <c r="D38" s="671"/>
    </row>
    <row r="39" spans="1:6">
      <c r="A39" s="229" t="s">
        <v>102</v>
      </c>
      <c r="B39" s="230" t="s">
        <v>102</v>
      </c>
      <c r="C39" s="230"/>
    </row>
    <row customHeight="1" ht="20.25" r="40" spans="1:6">
      <c r="A40" s="2048" t="s">
        <v>7</v>
      </c>
      <c r="B40" s="2048"/>
      <c r="C40" s="2048"/>
      <c r="D40" s="2048"/>
    </row>
    <row r="41" spans="1:6">
      <c r="A41" s="229" t="s">
        <v>102</v>
      </c>
      <c r="B41" s="230" t="s">
        <v>102</v>
      </c>
      <c r="C41" s="230"/>
      <c r="D41" s="690" t="s">
        <v>794</v>
      </c>
    </row>
    <row ht="25.5" r="42" spans="1:6">
      <c r="A42" s="393" t="s">
        <v>2500</v>
      </c>
      <c r="B42" s="394" t="s">
        <v>12</v>
      </c>
      <c r="C42" s="394" t="s">
        <v>66</v>
      </c>
      <c r="D42" s="394" t="s">
        <v>65</v>
      </c>
    </row>
    <row customFormat="1" r="43" s="410" spans="1:6">
      <c r="A43" s="692" t="s">
        <v>102</v>
      </c>
      <c r="B43" s="692" t="s">
        <v>2234</v>
      </c>
      <c r="C43" s="692"/>
      <c r="D43" s="692"/>
      <c r="E43" s="406"/>
      <c r="F43" s="406"/>
    </row>
    <row customFormat="1" r="44" s="410" spans="1:6">
      <c r="A44" s="692">
        <v>1</v>
      </c>
      <c r="B44" s="692" t="s">
        <v>1086</v>
      </c>
      <c r="C44" s="669"/>
      <c r="D44" s="669"/>
      <c r="E44" s="406"/>
      <c r="F44" s="406"/>
    </row>
    <row customFormat="1" r="45" s="410" spans="1:6">
      <c r="A45" s="692">
        <v>11</v>
      </c>
      <c r="B45" s="692" t="s">
        <v>2235</v>
      </c>
      <c r="C45" s="669"/>
      <c r="D45" s="669"/>
      <c r="E45" s="406"/>
      <c r="F45" s="406"/>
    </row>
    <row r="46" spans="1:6">
      <c r="A46" s="692">
        <v>12</v>
      </c>
      <c r="B46" s="692" t="s">
        <v>300</v>
      </c>
      <c r="C46" s="669"/>
      <c r="D46" s="669"/>
    </row>
    <row r="47" spans="1:6">
      <c r="A47" s="692">
        <v>13</v>
      </c>
      <c r="B47" s="692" t="s">
        <v>887</v>
      </c>
      <c r="C47" s="669"/>
      <c r="D47" s="669"/>
    </row>
    <row r="48" spans="1:6">
      <c r="A48" s="692">
        <v>2</v>
      </c>
      <c r="B48" s="692" t="s">
        <v>1087</v>
      </c>
      <c r="C48" s="669"/>
      <c r="D48" s="669"/>
    </row>
    <row r="49" spans="1:4">
      <c r="A49" s="692">
        <v>21</v>
      </c>
      <c r="B49" s="692" t="s">
        <v>330</v>
      </c>
      <c r="C49" s="669"/>
      <c r="D49" s="669"/>
    </row>
    <row r="50" spans="1:4">
      <c r="A50" s="692">
        <v>3</v>
      </c>
      <c r="B50" s="692" t="s">
        <v>2292</v>
      </c>
      <c r="C50" s="669"/>
      <c r="D50" s="669"/>
    </row>
    <row r="51" spans="1:4">
      <c r="A51" s="692">
        <v>4</v>
      </c>
      <c r="B51" s="692" t="s">
        <v>1085</v>
      </c>
      <c r="C51" s="669"/>
      <c r="D51" s="669"/>
    </row>
    <row r="52" spans="1:4">
      <c r="A52" s="692">
        <v>5</v>
      </c>
      <c r="B52" s="692" t="s">
        <v>2293</v>
      </c>
      <c r="C52" s="669"/>
      <c r="D52" s="669"/>
    </row>
    <row r="53" spans="1:4">
      <c r="A53" s="692">
        <v>22</v>
      </c>
      <c r="B53" s="692" t="s">
        <v>432</v>
      </c>
      <c r="C53" s="669"/>
      <c r="D53" s="669"/>
    </row>
    <row r="54" spans="1:4">
      <c r="A54" s="692">
        <v>6</v>
      </c>
      <c r="B54" s="692" t="s">
        <v>2294</v>
      </c>
      <c r="C54" s="669"/>
      <c r="D54" s="669"/>
    </row>
    <row r="55" spans="1:4">
      <c r="A55" s="692" t="s">
        <v>102</v>
      </c>
      <c r="B55" s="692" t="s">
        <v>1051</v>
      </c>
      <c r="C55" s="669"/>
      <c r="D55" s="669"/>
    </row>
    <row r="56" spans="1:4">
      <c r="A56" s="692">
        <v>14</v>
      </c>
      <c r="B56" s="692" t="s">
        <v>625</v>
      </c>
      <c r="C56" s="669"/>
      <c r="D56" s="669"/>
    </row>
    <row r="57" spans="1:4">
      <c r="A57" s="692">
        <v>23</v>
      </c>
      <c r="B57" s="692" t="s">
        <v>466</v>
      </c>
      <c r="C57" s="669"/>
      <c r="D57" s="669"/>
    </row>
    <row r="58" spans="1:4">
      <c r="A58" s="692">
        <v>24</v>
      </c>
      <c r="B58" s="692" t="s">
        <v>473</v>
      </c>
      <c r="C58" s="669"/>
      <c r="D58" s="669"/>
    </row>
    <row r="59" spans="1:4">
      <c r="A59" s="692">
        <v>25</v>
      </c>
      <c r="B59" s="692" t="s">
        <v>644</v>
      </c>
      <c r="C59" s="669"/>
      <c r="D59" s="669"/>
    </row>
    <row r="60" spans="1:4">
      <c r="A60" s="692">
        <v>7</v>
      </c>
      <c r="B60" s="692" t="s">
        <v>2295</v>
      </c>
      <c r="C60" s="669"/>
      <c r="D60" s="669"/>
    </row>
    <row r="61" spans="1:4">
      <c r="A61" s="692">
        <v>8</v>
      </c>
      <c r="B61" s="692" t="s">
        <v>2296</v>
      </c>
      <c r="C61" s="669"/>
      <c r="D61" s="669"/>
    </row>
    <row r="62" spans="1:4">
      <c r="A62" s="692">
        <v>9</v>
      </c>
      <c r="B62" s="692" t="s">
        <v>478</v>
      </c>
      <c r="C62" s="669"/>
      <c r="D62" s="669"/>
    </row>
    <row r="63" spans="1:4">
      <c r="A63" s="692">
        <v>10</v>
      </c>
      <c r="B63" s="692" t="s">
        <v>479</v>
      </c>
      <c r="C63" s="669"/>
      <c r="D63" s="669"/>
    </row>
  </sheetData>
  <mergeCells count="3">
    <mergeCell ref="A40:D40"/>
    <mergeCell ref="A23:D23"/>
    <mergeCell ref="A1:D1"/>
  </mergeCells>
  <pageMargins bottom="0.28999999999999998" footer="0.28000000000000003" header="0.3" left="0.25" right="0.25" top="0.33"/>
  <pageSetup fitToHeight="0" orientation="portrait" paperSize="9" r:id="rId1" scale="95"/>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31"/>
  <sheetViews>
    <sheetView workbookViewId="0">
      <selection sqref="A1:E1"/>
    </sheetView>
  </sheetViews>
  <sheetFormatPr defaultRowHeight="12.75"/>
  <cols>
    <col min="1" max="1" customWidth="true" style="85" width="4.85546875" collapsed="false"/>
    <col min="2" max="2" customWidth="true" style="85" width="18.0" collapsed="false"/>
    <col min="3" max="3" customWidth="true" style="85" width="22.42578125" collapsed="false"/>
    <col min="4" max="5" customWidth="true" style="85" width="20.85546875" collapsed="false"/>
    <col min="6" max="16384" style="85" width="9.140625" collapsed="false"/>
  </cols>
  <sheetData>
    <row customHeight="1" ht="31.5" r="1" spans="1:5">
      <c r="A1" s="1701" t="s">
        <v>2619</v>
      </c>
      <c r="B1" s="1699"/>
      <c r="C1" s="1699"/>
      <c r="D1" s="1699"/>
      <c r="E1" s="1699"/>
    </row>
    <row r="2" spans="1:5">
      <c r="B2" s="583"/>
      <c r="C2" s="1"/>
      <c r="D2" s="1"/>
      <c r="E2" s="1"/>
    </row>
    <row r="3" spans="1:5">
      <c r="B3" s="1859" t="str">
        <f>"Байгууллагын нэр: "&amp;ЧХ!$C$7</f>
        <v xml:space="preserve">Байгууллагын нэр: </v>
      </c>
      <c r="C3" s="1859"/>
      <c r="D3" s="1859"/>
      <c r="E3" s="1859"/>
    </row>
    <row r="4" spans="1:5">
      <c r="B4" s="573" t="str">
        <f>"тайлант он: " &amp;ЧХ!$C$8</f>
        <v xml:space="preserve">тайлант он: </v>
      </c>
      <c r="C4" s="598"/>
      <c r="D4" s="598"/>
    </row>
    <row customFormat="1" r="5" s="406" spans="1:5">
      <c r="B5" s="573"/>
      <c r="C5" s="598"/>
      <c r="D5" s="598"/>
    </row>
    <row customHeight="1" ht="24" r="6" spans="1:5">
      <c r="A6" s="1781" t="s">
        <v>649</v>
      </c>
      <c r="B6" s="1781" t="s">
        <v>1669</v>
      </c>
      <c r="C6" s="1781" t="s">
        <v>1668</v>
      </c>
      <c r="D6" s="1781"/>
      <c r="E6" s="1781" t="s">
        <v>701</v>
      </c>
    </row>
    <row customHeight="1" ht="20.25" r="7" spans="1:5">
      <c r="A7" s="1781"/>
      <c r="B7" s="1781"/>
      <c r="C7" s="92" t="s">
        <v>2402</v>
      </c>
      <c r="D7" s="92" t="s">
        <v>2404</v>
      </c>
      <c r="E7" s="1781"/>
    </row>
    <row customHeight="1" ht="23.25" r="8" spans="1:5">
      <c r="A8" s="92">
        <v>1</v>
      </c>
      <c r="B8" s="99" t="s">
        <v>1667</v>
      </c>
      <c r="C8" s="15" t="s">
        <v>1370</v>
      </c>
      <c r="D8" s="15" t="s">
        <v>1370</v>
      </c>
      <c r="E8" s="92"/>
    </row>
    <row customHeight="1" ht="66" r="9" spans="1:5">
      <c r="A9" s="92">
        <v>2</v>
      </c>
      <c r="B9" s="99" t="s">
        <v>1761</v>
      </c>
      <c r="C9" s="15" t="s">
        <v>1370</v>
      </c>
      <c r="D9" s="15" t="s">
        <v>1370</v>
      </c>
      <c r="E9" s="90"/>
    </row>
    <row customHeight="1" ht="27" r="10" spans="1:5">
      <c r="A10" s="92">
        <v>3</v>
      </c>
      <c r="B10" s="99" t="s">
        <v>1666</v>
      </c>
      <c r="C10" s="15" t="s">
        <v>1370</v>
      </c>
      <c r="D10" s="15" t="s">
        <v>1370</v>
      </c>
      <c r="E10" s="90"/>
    </row>
    <row customHeight="1" ht="65.25" r="11" spans="1:5">
      <c r="A11" s="92">
        <v>4</v>
      </c>
      <c r="B11" s="99" t="s">
        <v>1665</v>
      </c>
      <c r="C11" s="15" t="s">
        <v>1370</v>
      </c>
      <c r="D11" s="15" t="s">
        <v>1370</v>
      </c>
      <c r="E11" s="90"/>
    </row>
    <row customHeight="1" ht="78.75" r="12" spans="1:5">
      <c r="A12" s="92">
        <v>5</v>
      </c>
      <c r="B12" s="99" t="s">
        <v>1664</v>
      </c>
      <c r="C12" s="15" t="s">
        <v>1370</v>
      </c>
      <c r="D12" s="15" t="s">
        <v>1370</v>
      </c>
      <c r="E12" s="90"/>
    </row>
    <row customHeight="1" ht="35.25" r="13" spans="1:5">
      <c r="A13" s="92">
        <v>6</v>
      </c>
      <c r="B13" s="99" t="s">
        <v>1663</v>
      </c>
      <c r="C13" s="15" t="s">
        <v>1370</v>
      </c>
      <c r="D13" s="15" t="s">
        <v>1370</v>
      </c>
      <c r="E13" s="92"/>
    </row>
    <row customHeight="1" ht="45.75" r="14" spans="1:5">
      <c r="A14" s="92">
        <v>7</v>
      </c>
      <c r="B14" s="99" t="s">
        <v>1662</v>
      </c>
      <c r="C14" s="15" t="s">
        <v>1370</v>
      </c>
      <c r="D14" s="15" t="s">
        <v>1370</v>
      </c>
      <c r="E14" s="264"/>
    </row>
    <row r="15" spans="1:5">
      <c r="A15" s="60"/>
      <c r="B15" s="60"/>
    </row>
    <row r="16" spans="1:5">
      <c r="A16" s="60"/>
      <c r="B16" s="91" t="s">
        <v>1897</v>
      </c>
      <c r="C16" s="406">
        <f>+ЧХ!$C$15</f>
        <v>0</v>
      </c>
      <c r="D16" s="573">
        <f>+ЧХ!$C$16</f>
        <v>0</v>
      </c>
      <c r="E16" s="91" t="s">
        <v>1777</v>
      </c>
    </row>
    <row r="17" spans="2:5">
      <c r="D17" s="27"/>
      <c r="E17" s="91"/>
    </row>
    <row r="18" spans="2:5">
      <c r="B18" s="583" t="s">
        <v>1873</v>
      </c>
      <c r="C18" s="406"/>
      <c r="D18" s="406"/>
    </row>
    <row r="19" spans="2:5">
      <c r="B19" s="406" t="str">
        <f>+ЧХ!$B$6</f>
        <v>Аудитын менежер</v>
      </c>
      <c r="D19" s="27"/>
    </row>
    <row r="20" spans="2:5">
      <c r="B20" s="573">
        <f>+ЧХ!$C$6</f>
        <v>0</v>
      </c>
      <c r="C20" s="406"/>
      <c r="E20" s="636" t="s">
        <v>1777</v>
      </c>
    </row>
    <row r="21" spans="2:5">
      <c r="B21" s="406"/>
      <c r="C21" s="573"/>
      <c r="D21" s="573"/>
    </row>
    <row r="22" spans="2:5">
      <c r="B22" s="583" t="s">
        <v>2035</v>
      </c>
      <c r="C22" s="406"/>
      <c r="D22" s="406"/>
    </row>
    <row r="23" spans="2:5">
      <c r="B23" s="406" t="str">
        <f>+ЧХ!$B$5</f>
        <v>Тэргүүлэх аудитор</v>
      </c>
      <c r="D23" s="27"/>
    </row>
    <row r="24" spans="2:5">
      <c r="B24" s="573" t="str">
        <f>+ЧХ!$C$5</f>
        <v>С.Энхбаатар</v>
      </c>
      <c r="C24" s="406"/>
      <c r="E24" s="636" t="s">
        <v>1777</v>
      </c>
    </row>
    <row r="25" spans="2:5">
      <c r="B25" s="406"/>
      <c r="C25" s="406"/>
      <c r="D25" s="406"/>
    </row>
    <row r="26" spans="2:5">
      <c r="B26" s="406" t="str">
        <f>ЧХ!$B$6</f>
        <v>Аудитын менежер</v>
      </c>
      <c r="C26" s="406"/>
      <c r="D26" s="406"/>
    </row>
    <row r="27" spans="2:5">
      <c r="B27" s="406" t="s">
        <v>2142</v>
      </c>
      <c r="C27" s="406"/>
      <c r="D27" s="406"/>
    </row>
    <row r="28" spans="2:5">
      <c r="B28" s="406"/>
      <c r="C28" s="406"/>
      <c r="D28" s="406"/>
    </row>
    <row r="29" spans="2:5">
      <c r="B29" s="406" t="str">
        <f>ЧХ!$B$5</f>
        <v>Тэргүүлэх аудитор</v>
      </c>
      <c r="C29" s="406"/>
      <c r="D29" s="406"/>
    </row>
    <row r="30" spans="2:5">
      <c r="B30" s="406" t="s">
        <v>2142</v>
      </c>
      <c r="C30" s="406"/>
      <c r="D30" s="406"/>
    </row>
    <row r="31" spans="2:5">
      <c r="B31" s="406"/>
      <c r="C31" s="406"/>
      <c r="D31" s="406"/>
    </row>
  </sheetData>
  <mergeCells count="6">
    <mergeCell ref="A1:E1"/>
    <mergeCell ref="B3:E3"/>
    <mergeCell ref="A6:A7"/>
    <mergeCell ref="B6:B7"/>
    <mergeCell ref="C6:D6"/>
    <mergeCell ref="E6:E7"/>
  </mergeCells>
  <dataValidations count="1">
    <dataValidation allowBlank="1" showErrorMessage="1" showInputMessage="1" sqref="C8:D14" type="list">
      <formula1>"Тийм, Үгүй"</formula1>
    </dataValidation>
  </dataValidations>
  <pageMargins bottom="0.75" footer="0.3" header="0.3" left="0.7" right="0.7" top="0.75"/>
  <pageSetup orientation="portrait" r:id="rId1"/>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2"/>
  <sheetViews>
    <sheetView workbookViewId="0">
      <selection activeCell="G4" sqref="G4"/>
    </sheetView>
  </sheetViews>
  <sheetFormatPr defaultRowHeight="12.75"/>
  <cols>
    <col min="1" max="1" customWidth="true" style="670" width="10.28515625" collapsed="false"/>
    <col min="2" max="2" customWidth="true" style="85" width="46.85546875" collapsed="false"/>
    <col min="3" max="16384" style="85" width="9.140625" collapsed="false"/>
  </cols>
  <sheetData>
    <row customFormat="1" customHeight="1" ht="25.5" r="1" s="624" spans="1:7">
      <c r="A1" s="757" t="s">
        <v>64</v>
      </c>
      <c r="B1" s="451" t="str">
        <f>'3.CT2A'!B7</f>
        <v>Үзүүлэлт</v>
      </c>
      <c r="C1" s="1655" t="s">
        <v>2444</v>
      </c>
      <c r="D1" s="1654" t="s">
        <v>64</v>
      </c>
      <c r="E1" s="1654" t="s">
        <v>12</v>
      </c>
      <c r="F1" s="624" t="s">
        <v>2445</v>
      </c>
      <c r="G1" s="624" t="s">
        <v>2446</v>
      </c>
    </row>
    <row ht="15" r="2" spans="1:7">
      <c r="A2" s="517">
        <v>1</v>
      </c>
      <c r="B2" s="669" t="str">
        <f>'3.CT2A'!B8</f>
        <v>YЙЛ АЖИЛЛАГААНЫ ОРЛОГЫН ДYН (I)</v>
      </c>
    </row>
    <row ht="15" r="3" spans="1:7">
      <c r="A3" s="517">
        <v>11</v>
      </c>
      <c r="B3" s="669" t="str">
        <f>'3.CT2A'!B9</f>
        <v xml:space="preserve"> ТАТВАРЫН ОРЛОГО</v>
      </c>
    </row>
    <row ht="15" r="4" spans="1:7">
      <c r="A4" s="517">
        <v>110</v>
      </c>
      <c r="B4" s="669" t="str">
        <f>'3.CT2A'!B10</f>
        <v xml:space="preserve">   Орлогын албан татвар</v>
      </c>
    </row>
    <row ht="15" r="5" spans="1:7">
      <c r="A5" s="517">
        <v>1100</v>
      </c>
      <c r="B5" s="669" t="str">
        <f>'3.CT2A'!B11</f>
        <v xml:space="preserve">     Хувь хүний орлогын албан татвар</v>
      </c>
    </row>
    <row ht="15" r="6" spans="1:7">
      <c r="A6" s="517">
        <v>110001</v>
      </c>
      <c r="B6" s="669" t="str">
        <f>'3.CT2A'!B12</f>
        <v xml:space="preserve">       Цалин, хөдөлмөрийн хөлс, шагнал, урамшуулал болон тэдгээртэй адилтгах хөдөлмөр эрх</v>
      </c>
    </row>
    <row ht="15" r="7" spans="1:7">
      <c r="A7" s="517">
        <v>110002</v>
      </c>
      <c r="B7" s="669" t="str">
        <f>'3.CT2A'!B13</f>
        <v xml:space="preserve">       Үйл ажиллагааны орлого</v>
      </c>
    </row>
    <row ht="15" r="8" spans="1:7">
      <c r="A8" s="517">
        <v>110003</v>
      </c>
      <c r="B8" s="669" t="str">
        <f>'3.CT2A'!B14</f>
        <v xml:space="preserve">       Хөрөнгийн орлого</v>
      </c>
    </row>
    <row ht="15" r="9" spans="1:7">
      <c r="A9" s="517">
        <v>110004</v>
      </c>
      <c r="B9" s="669" t="str">
        <f>'3.CT2A'!B15</f>
        <v xml:space="preserve">       Хөрөнгө борлуулсны орлого</v>
      </c>
    </row>
    <row ht="15" r="10" spans="1:7">
      <c r="A10" s="517">
        <v>110005</v>
      </c>
      <c r="B10" s="669"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row>
    <row ht="15" r="11" spans="1:7">
      <c r="A11" s="517">
        <v>110006</v>
      </c>
      <c r="B11" s="669" t="str">
        <f>'3.CT2A'!B17</f>
        <v xml:space="preserve">        Урлагийн тоглолт, спортын тэмцээний шагнал, наадмын бай шагнал</v>
      </c>
    </row>
    <row ht="15" r="12" spans="1:7">
      <c r="A12" s="517">
        <v>110007</v>
      </c>
      <c r="B12" s="669" t="str">
        <f>'3.CT2A'!B18</f>
        <v xml:space="preserve">        Төлбөрт таавар, бооцоот тоглоом, эд мөнгөний хонжворт сугалааны орлого</v>
      </c>
    </row>
    <row ht="15" r="13" spans="1:7">
      <c r="A13" s="517">
        <v>110008</v>
      </c>
      <c r="B13" s="669" t="str">
        <f>'3.CT2A'!B19</f>
        <v xml:space="preserve">        Шууд бус орлого</v>
      </c>
    </row>
    <row ht="15" r="14" spans="1:7">
      <c r="A14" s="517">
        <v>1101</v>
      </c>
      <c r="B14" s="669" t="str">
        <f>'3.CT2A'!B20</f>
        <v xml:space="preserve">     Хувь хүний орлогын албан татварын буцаан олголт</v>
      </c>
    </row>
    <row ht="15" r="15" spans="1:7">
      <c r="A15" s="517">
        <v>110101</v>
      </c>
      <c r="B15" s="669" t="str">
        <f>'3.CT2A'!B21</f>
        <v xml:space="preserve">        Хувь хүний орлогын албан татварын буцаан олголт</v>
      </c>
    </row>
    <row ht="15" r="16" spans="1:7">
      <c r="A16" s="517">
        <v>1102</v>
      </c>
      <c r="B16" s="669" t="str">
        <f>'3.CT2A'!B22</f>
        <v xml:space="preserve">     Орлогыг нь тухай бүр тодорхойлох боломжгүй ажил, үйлчилгээ хувиараа эрхлэгч</v>
      </c>
    </row>
    <row ht="15" r="17" spans="1:2">
      <c r="A17" s="517">
        <v>110201</v>
      </c>
      <c r="B17" s="669" t="str">
        <f>'3.CT2A'!B23</f>
        <v xml:space="preserve">       Орлогыг нь тухай бүр тодорхойлох боломжгүй ажил, үйлчилгээ хувиараа эрхлэгч иргэний орлогын албан татвар</v>
      </c>
    </row>
    <row ht="15" r="18" spans="1:2">
      <c r="A18" s="517">
        <v>1103</v>
      </c>
      <c r="B18" s="669" t="str">
        <f>'3.CT2A'!B24</f>
        <v xml:space="preserve">     ААН-ын орлогын албан татвар</v>
      </c>
    </row>
    <row ht="15" r="19" spans="1:2">
      <c r="A19" s="517">
        <v>110301</v>
      </c>
      <c r="B19" s="669" t="str">
        <f>'3.CT2A'!B25</f>
        <v xml:space="preserve">        ААН-ын орлогын албан татвар</v>
      </c>
    </row>
    <row ht="15" r="20" spans="1:2">
      <c r="A20" s="517">
        <v>1104</v>
      </c>
      <c r="B20" s="669" t="str">
        <f>'3.CT2A'!B26</f>
        <v xml:space="preserve">     Зарим бүтээгдэхүүний үнийн өсөлтийн албан татвар</v>
      </c>
    </row>
    <row ht="15" r="21" spans="1:2">
      <c r="A21" s="517">
        <v>110401</v>
      </c>
      <c r="B21" s="669" t="str">
        <f>'3.CT2A'!B27</f>
        <v xml:space="preserve">               Зарим бүтээгдэхүүний үнийн өсөлтийн албан татвар</v>
      </c>
    </row>
    <row ht="15" r="22" spans="1:2">
      <c r="A22" s="517">
        <v>112</v>
      </c>
      <c r="B22" s="669" t="str">
        <f>'3.CT2A'!B28</f>
        <v xml:space="preserve">  Нийгмийн даатгалын шимтгэлийн орлого</v>
      </c>
    </row>
    <row ht="15" r="23" spans="1:2">
      <c r="A23" s="517">
        <v>112001</v>
      </c>
      <c r="B23" s="669" t="str">
        <f>'3.CT2A'!B29</f>
        <v xml:space="preserve">    Тэтгэврийн даатгалын шимтгэл</v>
      </c>
    </row>
    <row ht="15" r="24" spans="1:2">
      <c r="A24" s="517">
        <v>112002</v>
      </c>
      <c r="B24" s="669" t="str">
        <f>'3.CT2A'!B30</f>
        <v xml:space="preserve">    Тэтгэмжийн даатгалын шимтгэл</v>
      </c>
    </row>
    <row ht="15" r="25" spans="1:2">
      <c r="A25" s="517">
        <v>112003</v>
      </c>
      <c r="B25" s="669" t="str">
        <f>'3.CT2A'!B31</f>
        <v xml:space="preserve">    ҮОМШ өвчний даатгалын шимтгэл</v>
      </c>
    </row>
    <row ht="15" r="26" spans="1:2">
      <c r="A26" s="517">
        <v>112004</v>
      </c>
      <c r="B26" s="669" t="str">
        <f>'3.CT2A'!B32</f>
        <v xml:space="preserve">    Ажилгүйдлийн даатгалын шимтгэл</v>
      </c>
    </row>
    <row ht="15" r="27" spans="1:2">
      <c r="A27" s="517">
        <v>112005</v>
      </c>
      <c r="B27" s="669" t="str">
        <f>'3.CT2A'!B33</f>
        <v xml:space="preserve">    Эрүүл мэндийн даатгалын шимтгэл</v>
      </c>
    </row>
    <row ht="15" r="28" spans="1:2">
      <c r="A28" s="517">
        <v>113</v>
      </c>
      <c r="B28" s="669" t="str">
        <f>'3.CT2A'!B34</f>
        <v xml:space="preserve">  Хөрөнгийн албан татвар</v>
      </c>
    </row>
    <row ht="15" r="29" spans="1:2">
      <c r="A29" s="517">
        <v>113001</v>
      </c>
      <c r="B29" s="669" t="str">
        <f>'3.CT2A'!B35</f>
        <v xml:space="preserve">    Үл хөдлөх эд хөрөнгийн албан татвар</v>
      </c>
    </row>
    <row ht="15" r="30" spans="1:2">
      <c r="A30" s="517">
        <v>113002</v>
      </c>
      <c r="B30" s="669" t="str">
        <f>'3.CT2A'!B36</f>
        <v xml:space="preserve">    Бууны албан татвар</v>
      </c>
    </row>
    <row ht="15" r="31" spans="1:2">
      <c r="A31" s="517">
        <v>113003</v>
      </c>
      <c r="B31" s="669" t="str">
        <f>'3.CT2A'!B37</f>
        <v xml:space="preserve">    Автотээврийн болон өөрөө явагч хэрэгслийн албан татвар</v>
      </c>
    </row>
    <row ht="15" r="32" spans="1:2">
      <c r="A32" s="517">
        <v>113004</v>
      </c>
      <c r="B32" s="669" t="str">
        <f>'3.CT2A'!B38</f>
        <v xml:space="preserve">    Малд ногдуулах албан татвар</v>
      </c>
    </row>
    <row ht="15" r="33" spans="1:2">
      <c r="A33" s="517">
        <v>114</v>
      </c>
      <c r="B33" s="669" t="str">
        <f>'3.CT2A'!B39</f>
        <v xml:space="preserve">  Нэмэгдсэн өртгийн албан татвар</v>
      </c>
    </row>
    <row ht="15" r="34" spans="1:2">
      <c r="A34" s="517">
        <v>114001</v>
      </c>
      <c r="B34" s="669" t="str">
        <f>'3.CT2A'!B40</f>
        <v xml:space="preserve">    Дотоодын барааны НӨАТ</v>
      </c>
    </row>
    <row ht="15" r="35" spans="1:2">
      <c r="A35" s="517">
        <v>114002</v>
      </c>
      <c r="B35" s="669" t="str">
        <f>'3.CT2A'!B41</f>
        <v xml:space="preserve">    Импортын барааны НӨАТ</v>
      </c>
    </row>
    <row ht="15" r="36" spans="1:2">
      <c r="A36" s="517">
        <v>114003</v>
      </c>
      <c r="B36" s="669" t="str">
        <f>'3.CT2A'!B42</f>
        <v xml:space="preserve">    НӨАТ-ын буцаан олголт</v>
      </c>
    </row>
    <row ht="15" r="37" spans="1:2">
      <c r="A37" s="517">
        <v>115</v>
      </c>
      <c r="B37" s="669" t="str">
        <f>'3.CT2A'!B43</f>
        <v xml:space="preserve">  Онцгой албан татвар</v>
      </c>
    </row>
    <row ht="15" r="38" spans="1:2">
      <c r="A38" s="517">
        <v>115001</v>
      </c>
      <c r="B38" s="669" t="str">
        <f>'3.CT2A'!B44</f>
        <v xml:space="preserve">    Дотоодын архи, дарсны онцгой албан татвар</v>
      </c>
    </row>
    <row ht="15" r="39" spans="1:2">
      <c r="A39" s="517">
        <v>115002</v>
      </c>
      <c r="B39" s="669" t="str">
        <f>'3.CT2A'!B45</f>
        <v xml:space="preserve">    Дотоодын тамхины онцгой албан татвар</v>
      </c>
    </row>
    <row ht="15" r="40" spans="1:2">
      <c r="A40" s="517">
        <v>115003</v>
      </c>
      <c r="B40" s="669" t="str">
        <f>'3.CT2A'!B46</f>
        <v xml:space="preserve">    Дотоодын пивоны онцгой албан татвар</v>
      </c>
    </row>
    <row ht="15" r="41" spans="1:2">
      <c r="A41" s="517">
        <v>115004</v>
      </c>
      <c r="B41" s="669" t="str">
        <f>'3.CT2A'!B47</f>
        <v xml:space="preserve">    Имтортын архи, дарсны онцгой албан татвар</v>
      </c>
    </row>
    <row ht="15" r="42" spans="1:2">
      <c r="A42" s="517">
        <v>115005</v>
      </c>
      <c r="B42" s="669" t="str">
        <f>'3.CT2A'!B48</f>
        <v xml:space="preserve">    Имтортын тамхины онцгой албан татвар</v>
      </c>
    </row>
    <row ht="15" r="43" spans="1:2">
      <c r="A43" s="517">
        <v>115006</v>
      </c>
      <c r="B43" s="669" t="str">
        <f>'3.CT2A'!B49</f>
        <v xml:space="preserve">    Имтортын пивоны онцгой албан татвар</v>
      </c>
    </row>
    <row ht="15" r="44" spans="1:2">
      <c r="A44" s="517">
        <v>115007</v>
      </c>
      <c r="B44" s="669" t="str">
        <f>'3.CT2A'!B50</f>
        <v xml:space="preserve">    Суудлын автомашины онцгой албан татвар</v>
      </c>
    </row>
    <row ht="15" r="45" spans="1:2">
      <c r="A45" s="517">
        <v>115008</v>
      </c>
      <c r="B45" s="669" t="str">
        <f>'3.CT2A'!B51</f>
        <v xml:space="preserve">    Автобензин, дизелийн түлшний онцгой албан татвар</v>
      </c>
    </row>
    <row ht="15" r="46" spans="1:2">
      <c r="A46" s="517">
        <v>116</v>
      </c>
      <c r="B46" s="669" t="str">
        <f>'3.CT2A'!B52</f>
        <v xml:space="preserve">  Тусгай зориулалтын орлого</v>
      </c>
    </row>
    <row ht="15" r="47" spans="1:2">
      <c r="A47" s="517">
        <v>116001</v>
      </c>
      <c r="B47" s="669" t="str">
        <f>'3.CT2A'!B53</f>
        <v xml:space="preserve">    Автобензин, дизелийн түлшний албан татвар</v>
      </c>
    </row>
    <row ht="15" r="48" spans="1:2">
      <c r="A48" s="517">
        <v>117</v>
      </c>
      <c r="B48" s="669" t="str">
        <f>'3.CT2A'!B54</f>
        <v xml:space="preserve">  Гадаад үйл ажиллагааны орлого</v>
      </c>
    </row>
    <row ht="15" r="49" spans="1:2">
      <c r="A49" s="517">
        <v>117001</v>
      </c>
      <c r="B49" s="669" t="str">
        <f>'3.CT2A'!B55</f>
        <v xml:space="preserve">    Импортын гаалийн албан татвар</v>
      </c>
    </row>
    <row ht="15" r="50" spans="1:2">
      <c r="A50" s="517">
        <v>117002</v>
      </c>
      <c r="B50" s="669" t="str">
        <f>'3.CT2A'!B56</f>
        <v xml:space="preserve">    Экспортын гаалийн албан татвар</v>
      </c>
    </row>
    <row ht="15" r="51" spans="1:2">
      <c r="A51" s="517">
        <v>118</v>
      </c>
      <c r="B51" s="669" t="str">
        <f>'3.CT2A'!B57</f>
        <v xml:space="preserve">  Бусад татвар, төлбөр, хураамж</v>
      </c>
    </row>
    <row ht="15" r="52" spans="1:2">
      <c r="A52" s="517">
        <v>1180</v>
      </c>
      <c r="B52" s="669" t="str">
        <f>'3.CT2A'!B58</f>
        <v xml:space="preserve">    Бусад нийтлэг төлбөр, хураамж</v>
      </c>
    </row>
    <row ht="15" r="53" spans="1:2">
      <c r="A53" s="517">
        <v>118001</v>
      </c>
      <c r="B53" s="669" t="str">
        <f>'3.CT2A'!B59</f>
        <v xml:space="preserve">      Улсын тэмдэгтийн хураамж</v>
      </c>
    </row>
    <row ht="15" r="54" spans="1:2">
      <c r="A54" s="517">
        <v>118002</v>
      </c>
      <c r="B54" s="669" t="str">
        <f>'3.CT2A'!B60</f>
        <v xml:space="preserve">      Ашигт малтмалын хайгуулын болон ашиглалтын тусгай зөвшөөрлийн төлбөр</v>
      </c>
    </row>
    <row ht="15" r="55" spans="1:2">
      <c r="A55" s="517">
        <v>118003</v>
      </c>
      <c r="B55" s="669" t="str">
        <f>'3.CT2A'!B61</f>
        <v xml:space="preserve">      Улсын төсвийн хөрөнгөөр хайгуул хийсэн ордын нөхөн төлбөр</v>
      </c>
    </row>
    <row ht="15" r="56" spans="1:2">
      <c r="A56" s="517">
        <v>118004</v>
      </c>
      <c r="B56" s="669" t="str">
        <f>'3.CT2A'!B62</f>
        <v xml:space="preserve">      Ашигт малтмалын нөөц ашигласны төлбөр</v>
      </c>
    </row>
    <row ht="15" r="57" spans="1:2">
      <c r="A57" s="517">
        <v>118005</v>
      </c>
      <c r="B57" s="669" t="str">
        <f>'3.CT2A'!B63</f>
        <v xml:space="preserve">      Агаарын бохирдлын төлбөр</v>
      </c>
    </row>
    <row ht="15" r="58" spans="1:2">
      <c r="A58" s="517">
        <v>118006</v>
      </c>
      <c r="B58" s="669" t="str">
        <f>'3.CT2A'!B64</f>
        <v xml:space="preserve">      Түгээмэл тархацтай ашигт малтмал ашигласны төлбөр</v>
      </c>
    </row>
    <row ht="15" r="59" spans="1:2">
      <c r="A59" s="517">
        <v>118007</v>
      </c>
      <c r="B59" s="669" t="str">
        <f>'3.CT2A'!B65</f>
        <v xml:space="preserve">      Ус бохирдлын төлбөр</v>
      </c>
    </row>
    <row ht="15" r="60" spans="1:2">
      <c r="A60" s="517">
        <v>118008</v>
      </c>
      <c r="B60" s="669" t="str">
        <f>'3.CT2A'!B66</f>
        <v xml:space="preserve">      Улсын төсвийн хөрөнгөөр тогтоосон усны нөөцийн зардлын нөхөн төлбөр</v>
      </c>
    </row>
    <row ht="15" r="61" spans="1:2">
      <c r="A61" s="517">
        <v>118009</v>
      </c>
      <c r="B61" s="669" t="str">
        <f>'3.CT2A'!B67</f>
        <v xml:space="preserve">      Хог хаягдлын үйлчилгээний хураамж</v>
      </c>
    </row>
    <row ht="15" r="62" spans="1:2">
      <c r="A62" s="517">
        <v>118010</v>
      </c>
      <c r="B62" s="669" t="str">
        <f>'3.CT2A'!B68</f>
        <v xml:space="preserve">      Ашигт малтмалаас бусад байгалийн баялаг ашиглахад олгох эрхийн зөвшөөрлийн хураамж</v>
      </c>
    </row>
    <row ht="15" r="63" spans="1:2">
      <c r="A63" s="517">
        <v>118011</v>
      </c>
      <c r="B63" s="669" t="str">
        <f>'3.CT2A'!B69</f>
        <v xml:space="preserve">      Бусад татвар</v>
      </c>
    </row>
    <row ht="15" r="64" spans="1:2">
      <c r="A64" s="517">
        <v>1181</v>
      </c>
      <c r="B64" s="669" t="str">
        <f>'3.CT2A'!B70</f>
        <v xml:space="preserve">    Газрын төлбөр</v>
      </c>
    </row>
    <row ht="15" r="65" spans="1:2">
      <c r="A65" s="517">
        <v>118101</v>
      </c>
      <c r="B65" s="669" t="str">
        <f>'3.CT2A'!B71</f>
        <v xml:space="preserve">      Газрын төлбөр</v>
      </c>
    </row>
    <row ht="15" r="66" spans="1:2">
      <c r="A66" s="517">
        <v>118102</v>
      </c>
      <c r="B66" s="669" t="str">
        <f>'3.CT2A'!B72</f>
        <v xml:space="preserve">      Дуудлага худалдаа</v>
      </c>
    </row>
    <row ht="15" r="67" spans="1:2">
      <c r="A67" s="517">
        <v>1182</v>
      </c>
      <c r="B67" s="669" t="str">
        <f>'3.CT2A'!B73</f>
        <v xml:space="preserve">    Байгалийн нөөц ашигласны төлбөр</v>
      </c>
    </row>
    <row ht="15" r="68" spans="1:2">
      <c r="A68" s="517">
        <v>118201</v>
      </c>
      <c r="B68" s="669" t="str">
        <f>'3.CT2A'!B74</f>
        <v xml:space="preserve">      Ойн нөөц ашигласны төлбөр</v>
      </c>
    </row>
    <row ht="15" r="69" spans="1:2">
      <c r="A69" s="517">
        <v>118202</v>
      </c>
      <c r="B69" s="669" t="str">
        <f>'3.CT2A'!B75</f>
        <v xml:space="preserve">      Ан амьтны нөөц ашигласны төлбөр</v>
      </c>
    </row>
    <row ht="15" r="70" spans="1:2">
      <c r="A70" s="517">
        <v>118203</v>
      </c>
      <c r="B70" s="669" t="str">
        <f>'3.CT2A'!B76</f>
        <v xml:space="preserve">      Ус, рашааны нөөц ашигласны төлбөр</v>
      </c>
    </row>
    <row ht="15" r="71" spans="1:2">
      <c r="A71" s="517">
        <v>118204</v>
      </c>
      <c r="B71" s="669" t="str">
        <f>'3.CT2A'!B77</f>
        <v xml:space="preserve">      Байгалийн ургамлын нөөц ашигласны төлбөр</v>
      </c>
    </row>
    <row ht="15" r="72" spans="1:2">
      <c r="A72" s="517">
        <v>1183</v>
      </c>
      <c r="B72" s="669" t="str">
        <f>'3.CT2A'!B78</f>
        <v xml:space="preserve">   Бусад татвар</v>
      </c>
    </row>
    <row ht="15" r="73" spans="1:2">
      <c r="A73" s="517">
        <v>118301</v>
      </c>
      <c r="B73" s="669" t="str">
        <f>'3.CT2A'!B79</f>
        <v xml:space="preserve">      Бусад татвар</v>
      </c>
    </row>
    <row ht="15" r="74" spans="1:2">
      <c r="A74" s="517">
        <v>118302</v>
      </c>
      <c r="B74" s="669" t="str">
        <f>'3.CT2A'!B80</f>
        <v xml:space="preserve">      Нийслэл хотын албан татвар</v>
      </c>
    </row>
    <row ht="15" r="75" spans="1:2">
      <c r="A75" s="517">
        <v>118303</v>
      </c>
      <c r="B75" s="669" t="str">
        <f>'3.CT2A'!B81</f>
        <v xml:space="preserve">      Өв, залгамжлал, бэлэглэлийн албан татвар</v>
      </c>
    </row>
    <row ht="15" r="76" spans="1:2">
      <c r="A76" s="517">
        <v>118304</v>
      </c>
      <c r="B76" s="669" t="str">
        <f>'3.CT2A'!B82</f>
        <v xml:space="preserve">      Нохойны албан татвар</v>
      </c>
    </row>
    <row ht="15" r="77" spans="1:2">
      <c r="A77" s="517">
        <v>12</v>
      </c>
      <c r="B77" s="669" t="str">
        <f>'3.CT2A'!B83</f>
        <v xml:space="preserve"> ТАТВАРЫН БУС ОРЛОГО</v>
      </c>
    </row>
    <row ht="15" r="78" spans="1:2">
      <c r="A78" s="517">
        <v>120</v>
      </c>
      <c r="B78" s="669" t="str">
        <f>'3.CT2A'!B84</f>
        <v xml:space="preserve">    Нийтлэг татварын бус орлого</v>
      </c>
    </row>
    <row ht="15" r="79" spans="1:2">
      <c r="A79" s="517">
        <v>120001</v>
      </c>
      <c r="B79" s="669" t="str">
        <f>'3.CT2A'!B85</f>
        <v xml:space="preserve">       Хувьцааны ногдол ашиг</v>
      </c>
    </row>
    <row ht="15" r="80" spans="1:2">
      <c r="A80" s="517">
        <v>120002</v>
      </c>
      <c r="B80" s="669" t="str">
        <f>'3.CT2A'!B86</f>
        <v xml:space="preserve">       Хүүгийн орлого</v>
      </c>
    </row>
    <row ht="15" r="81" spans="1:2">
      <c r="A81" s="517">
        <v>120003</v>
      </c>
      <c r="B81" s="669" t="str">
        <f>'3.CT2A'!B87</f>
        <v xml:space="preserve">       Торгуулийн орлого</v>
      </c>
    </row>
    <row ht="15" r="82" spans="1:2">
      <c r="A82" s="517">
        <v>120004</v>
      </c>
      <c r="B82" s="669" t="str">
        <f>'3.CT2A'!B88</f>
        <v xml:space="preserve">       Төсөвт байгууллагын өөрийн орлого</v>
      </c>
    </row>
    <row ht="15" r="83" spans="1:2">
      <c r="A83" s="517">
        <v>1200041</v>
      </c>
      <c r="B83" s="669" t="str">
        <f>'3.CT2A'!B89</f>
        <v xml:space="preserve">            Үндсэн үйл ажиллагааны орлогоос санхүүжих</v>
      </c>
    </row>
    <row ht="15" r="84" spans="1:2">
      <c r="A84" s="517">
        <v>1200042</v>
      </c>
      <c r="B84" s="669" t="str">
        <f>'3.CT2A'!B90</f>
        <v xml:space="preserve">            Туслах үйл ажиллагааны орлогоос санхүүжих</v>
      </c>
    </row>
    <row ht="15" r="85" spans="1:2">
      <c r="A85" s="517">
        <v>1200043</v>
      </c>
      <c r="B85" s="669" t="str">
        <f>'3.CT2A'!B91</f>
        <v xml:space="preserve">            Урьд оны үлдэгдэлээс санхүүжих</v>
      </c>
    </row>
    <row ht="15" r="86" spans="1:2">
      <c r="A86" s="517">
        <v>1200044</v>
      </c>
      <c r="B86" s="669" t="str">
        <f>'3.CT2A'!B92</f>
        <v xml:space="preserve">             Гадаадын эх үүсвэрээс санхүүжих</v>
      </c>
    </row>
    <row ht="15" r="87" spans="1:2">
      <c r="A87" s="517">
        <v>1200045</v>
      </c>
      <c r="B87" s="669" t="str">
        <f>'3.CT2A'!B93</f>
        <v xml:space="preserve">             Үнэ төлбөргүй хүлээн авсан орлого</v>
      </c>
    </row>
    <row ht="15" r="88" spans="1:2">
      <c r="A88" s="517">
        <v>120005</v>
      </c>
      <c r="B88" s="669" t="str">
        <f>'3.CT2A'!B94</f>
        <v xml:space="preserve">       Түрээсийн орлого</v>
      </c>
    </row>
    <row ht="15" r="89" spans="1:2">
      <c r="A89" s="517">
        <v>120006</v>
      </c>
      <c r="B89" s="669" t="str">
        <f>'3.CT2A'!B95</f>
        <v xml:space="preserve">       Газрын тосны орлого</v>
      </c>
    </row>
    <row ht="15" r="90" spans="1:2">
      <c r="A90" s="517">
        <v>120007</v>
      </c>
      <c r="B90" s="669" t="str">
        <f>'3.CT2A'!B96</f>
        <v xml:space="preserve">       Навигацийн орлого</v>
      </c>
    </row>
    <row ht="15" r="91" spans="1:2">
      <c r="A91" s="517">
        <v>120008</v>
      </c>
      <c r="B91" s="669" t="str">
        <f>'3.CT2A'!B97</f>
        <v xml:space="preserve">       Монгол банкны ашиг</v>
      </c>
    </row>
    <row ht="15" r="92" spans="1:2">
      <c r="A92" s="517">
        <v>120009</v>
      </c>
      <c r="B92" s="669" t="str">
        <f>'3.CT2A'!B98</f>
        <v xml:space="preserve">       Бусад орлого</v>
      </c>
    </row>
    <row ht="15" r="93" spans="1:2">
      <c r="A93" s="517">
        <v>120010</v>
      </c>
      <c r="B93" s="669" t="str">
        <f>'3.CT2A'!B99</f>
        <v xml:space="preserve">       Борлуулалтын орлого (цэвэр)  /ТӨҮГ/</v>
      </c>
    </row>
    <row ht="15" r="94" spans="1:2">
      <c r="A94" s="517">
        <v>120011</v>
      </c>
      <c r="B94" s="669" t="str">
        <f>'3.CT2A'!B100</f>
        <v xml:space="preserve">       Борлуулалтын өртөг   /ТӨҮГ/</v>
      </c>
    </row>
    <row ht="15" r="95" spans="1:2">
      <c r="A95" s="517">
        <v>120012</v>
      </c>
      <c r="B95" s="669" t="str">
        <f>'3.CT2A'!B101</f>
        <v xml:space="preserve">       Эрхийн шимтгэлийн орлого   /ТӨҮГ/</v>
      </c>
    </row>
    <row ht="15" r="96" spans="1:2">
      <c r="A96" s="517"/>
      <c r="B96" s="669"/>
    </row>
    <row ht="15" r="97" spans="1:2">
      <c r="A97" s="517">
        <v>121</v>
      </c>
      <c r="B97" s="669" t="str">
        <f>'3.CT2A'!B102</f>
        <v xml:space="preserve">    Хөрөнгийн орлого</v>
      </c>
    </row>
    <row ht="15" r="98" spans="1:2">
      <c r="A98" s="517">
        <v>121001</v>
      </c>
      <c r="B98" s="669" t="str">
        <f>'3.CT2A'!B103</f>
        <v xml:space="preserve">     Төрийн болон орон нутгийн өмчид бүртгэлтэй хөрөнгө борлуулсны орлого</v>
      </c>
    </row>
    <row ht="15" r="99" spans="1:2">
      <c r="A99" s="517">
        <v>121002</v>
      </c>
      <c r="B99" s="669" t="str">
        <f>'3.CT2A'!B104</f>
        <v xml:space="preserve">     Өмч хувьчлалын орлого</v>
      </c>
    </row>
    <row ht="15" r="100" spans="1:2">
      <c r="A100" s="517">
        <v>122</v>
      </c>
      <c r="B100" s="669" t="str">
        <f>'3.CT2A'!B105</f>
        <v xml:space="preserve">      Тусламжийн орлого</v>
      </c>
    </row>
    <row ht="15" r="101" spans="1:2">
      <c r="A101" s="517">
        <v>122001</v>
      </c>
      <c r="B101" s="669" t="str">
        <f>'3.CT2A'!B106</f>
        <v xml:space="preserve">               Хандив тусламж /дотоод/</v>
      </c>
    </row>
    <row ht="15" r="102" spans="1:2">
      <c r="A102" s="517">
        <v>122002</v>
      </c>
      <c r="B102" s="669" t="str">
        <f>'3.CT2A'!B107</f>
        <v xml:space="preserve">               Хандив тусламж /гадаад/</v>
      </c>
    </row>
    <row ht="15" r="103" spans="1:2">
      <c r="A103" s="517">
        <v>123</v>
      </c>
      <c r="B103" s="669" t="str">
        <f>'3.CT2A'!B108</f>
        <v xml:space="preserve">      Улсын төсөв орон нутгийн төсөв хоорондын шилжүүлэг</v>
      </c>
    </row>
    <row ht="15" r="104" spans="1:2">
      <c r="A104" s="517">
        <v>123001</v>
      </c>
      <c r="B104" s="669" t="str">
        <f>'3.CT2A'!B109</f>
        <v xml:space="preserve">               Тусгай зориулалтын шилжүүлгийн орлого</v>
      </c>
    </row>
    <row ht="15" r="105" spans="1:2">
      <c r="A105" s="517">
        <v>123002</v>
      </c>
      <c r="B105" s="669" t="str">
        <f>'3.CT2A'!B110</f>
        <v xml:space="preserve">               Орон нутгийн хөгжлийн нэгдсэн сангаас шилжүүлсэн орлого</v>
      </c>
    </row>
    <row ht="15" r="106" spans="1:2">
      <c r="A106" s="517">
        <v>123003</v>
      </c>
      <c r="B106" s="669" t="str">
        <f>'3.CT2A'!B111</f>
        <v xml:space="preserve">               Улсын төсвөөс орон нутгийн төсөвт олгох санхүүгийн дэмжлэг</v>
      </c>
    </row>
    <row ht="15" r="107" spans="1:2">
      <c r="A107" s="517">
        <v>123004</v>
      </c>
      <c r="B107" s="669" t="str">
        <f>'3.CT2A'!B112</f>
        <v xml:space="preserve">               Улсын төсвөөс орон нутгийн төсвөөс төвлөрүүлэх шилжүүлэг</v>
      </c>
    </row>
    <row ht="15" r="108" spans="1:2">
      <c r="A108" s="517">
        <v>124</v>
      </c>
      <c r="B108" s="669" t="str">
        <f>'3.CT2A'!B113</f>
        <v xml:space="preserve">       Зээлийн орлого</v>
      </c>
    </row>
    <row ht="15" r="109" spans="1:2">
      <c r="A109" s="517">
        <v>140002</v>
      </c>
      <c r="B109" s="669" t="str">
        <f>'3.CT2A'!B114</f>
        <v xml:space="preserve">               Улсын төсвөөс олгосон зээл</v>
      </c>
    </row>
    <row ht="15" r="110" spans="1:2">
      <c r="A110" s="517">
        <v>140003</v>
      </c>
      <c r="B110" s="669" t="str">
        <f>'3.CT2A'!B115</f>
        <v xml:space="preserve">               Бусдад олгосон зээл болон урьдчилгааны эргэн төлөлт</v>
      </c>
    </row>
    <row ht="15" r="111" spans="1:2">
      <c r="A111" s="517">
        <v>141001</v>
      </c>
      <c r="B111" s="669" t="str">
        <f>'3.CT2A'!B116</f>
        <v xml:space="preserve">               Гадаадын санхүүгийн зээлийн эх үүсвэр</v>
      </c>
    </row>
    <row ht="15" r="112" spans="1:2">
      <c r="A112" s="517">
        <v>13</v>
      </c>
      <c r="B112" s="669" t="str">
        <f>'3.CT2A'!B117</f>
        <v xml:space="preserve"> ТУСЛАМЖ, САНХҮҮЖИЛТИЙН ОРЛОГО</v>
      </c>
    </row>
    <row ht="15" r="113" spans="1:2">
      <c r="A113" s="517">
        <v>1310</v>
      </c>
      <c r="B113" s="669" t="str">
        <f>'3.CT2A'!B118</f>
        <v xml:space="preserve">    Улсын төвлөрсөн төсвөөс</v>
      </c>
    </row>
    <row ht="15" r="114" spans="1:2">
      <c r="A114" s="517">
        <v>131001</v>
      </c>
      <c r="B114" s="669" t="str">
        <f>'3.CT2A'!B119</f>
        <v xml:space="preserve">      Урсгал үйл ажиллагааны санхүүжилт</v>
      </c>
    </row>
    <row ht="15" r="115" spans="1:2">
      <c r="A115" s="517">
        <v>131002</v>
      </c>
      <c r="B115" s="669" t="str">
        <f>'3.CT2A'!B120</f>
        <v xml:space="preserve">      Засгийн газрын, Засаг даргын нөөц хөрөнгийн санхүүжилт</v>
      </c>
    </row>
    <row ht="15" r="116" spans="1:2">
      <c r="A116" s="517">
        <v>131003</v>
      </c>
      <c r="B116" s="669" t="str">
        <f>'3.CT2A'!B121</f>
        <v xml:space="preserve">      Төвлөрүүлэх шилжүүлэг</v>
      </c>
    </row>
    <row ht="15" r="117" spans="1:2">
      <c r="A117" s="517">
        <v>131004</v>
      </c>
      <c r="B117" s="669" t="str">
        <f>'3.CT2A'!B122</f>
        <v xml:space="preserve">      Төсөв болон дамжуулан зээлдүүлсэн зээлээс эргэж төлөгдөх	</v>
      </c>
    </row>
    <row ht="15" r="118" spans="1:2">
      <c r="A118" s="517">
        <v>131005</v>
      </c>
      <c r="B118" s="669" t="str">
        <f>'3.CT2A'!B123</f>
        <v xml:space="preserve">      Хөрөнгийн санхүүжилт</v>
      </c>
    </row>
    <row ht="15" r="119" spans="1:2">
      <c r="A119" s="517">
        <v>131006</v>
      </c>
      <c r="B119" s="669" t="str">
        <f>'3.CT2A'!B124</f>
        <v xml:space="preserve">      Засгийн газрын тусгай сангаас санхүүжих</v>
      </c>
    </row>
    <row ht="15" r="120" spans="1:2">
      <c r="A120" s="517">
        <v>131007</v>
      </c>
      <c r="B120" s="669" t="str">
        <f>'3.CT2A'!B125</f>
        <v xml:space="preserve">      Тусгай зориулалтын шилжүүлгээс санхүүжих</v>
      </c>
    </row>
    <row ht="15" r="121" spans="1:2">
      <c r="A121" s="517">
        <v>131008</v>
      </c>
      <c r="B121" s="669" t="str">
        <f>'3.CT2A'!B126</f>
        <v xml:space="preserve">      Орон нутгийн хөгжлийн нэгдсэн сангаас санхүүжих</v>
      </c>
    </row>
    <row ht="15" r="122" spans="1:2">
      <c r="A122" s="517">
        <v>131009</v>
      </c>
      <c r="B122" s="669" t="str">
        <f>'3.CT2A'!B127</f>
        <v xml:space="preserve">     Оны эхний үлдэгдлээс санхүүжих</v>
      </c>
    </row>
    <row ht="15" r="123" spans="1:2">
      <c r="A123" s="517">
        <v>1311</v>
      </c>
      <c r="B123" s="669" t="str">
        <f>'3.CT2A'!B128</f>
        <v xml:space="preserve">   Нэмэлт санхүүжилтийн орлого</v>
      </c>
    </row>
    <row ht="15" r="124" spans="1:2">
      <c r="A124" s="517">
        <v>131101</v>
      </c>
      <c r="B124" s="669" t="str">
        <f>'3.CT2A'!B129</f>
        <v xml:space="preserve">      Төрийн болон орон нутгийн өмчит бус этгээдээс авсан хандив, тусламж</v>
      </c>
    </row>
    <row ht="15" r="125" spans="1:2">
      <c r="A125" s="517">
        <v>131102</v>
      </c>
      <c r="B125" s="669" t="str">
        <f>'3.CT2A'!B130</f>
        <v xml:space="preserve">      Төсвийн жилийн явцад УИХ-аас соёрхон баталсан, ЗГ хоорондын гэрээ болон ОУ байгууллагаас авах хөнгөлөлттэй зээл</v>
      </c>
    </row>
    <row ht="15" r="126" spans="1:2">
      <c r="A126" s="517">
        <v>131103</v>
      </c>
      <c r="B126" s="669" t="str">
        <f>'3.CT2A'!B131</f>
        <v xml:space="preserve">      ЗГНХ,ЗДНХөрөнгө,түүнтэй адилтгах ангилагдаагүй нөөц хөрөнгөөс тухайн төсвийн захирагчид хуваарилсан хөрөнгө</v>
      </c>
    </row>
    <row ht="15" r="127" spans="1:2">
      <c r="A127" s="517">
        <v>131104</v>
      </c>
      <c r="B127" s="669" t="str">
        <f>'3.CT2A'!B132</f>
        <v xml:space="preserve">      Дээд шатны төсвийн захирагчийн төсөвт тусгагдсан төсвөөс доод шатны төсвийн захирагчид хуваарилсан хөрөнгө</v>
      </c>
    </row>
    <row ht="15" r="128" spans="1:2">
      <c r="A128" s="517">
        <v>131105</v>
      </c>
      <c r="B128" s="669" t="str">
        <f>'3.CT2A'!B133</f>
        <v xml:space="preserve">      Төсвийн байгууллагын үндсэн үйл ажиллагааны хүрээнд бий болсон нэмэлт орлого</v>
      </c>
    </row>
    <row ht="15" r="129" spans="1:2">
      <c r="A129" s="517">
        <v>131106</v>
      </c>
      <c r="B129" s="669" t="str">
        <f>'3.CT2A'!B134</f>
        <v xml:space="preserve">      Төсвийн урамшуулал</v>
      </c>
    </row>
    <row ht="15" r="130" spans="1:2">
      <c r="A130" s="517">
        <v>1320</v>
      </c>
      <c r="B130" s="669" t="str">
        <f>'3.CT2A'!B135</f>
        <v xml:space="preserve">   Орон нутгийн төсвөөс санхүүжих</v>
      </c>
    </row>
    <row ht="15" r="131" spans="1:2">
      <c r="A131" s="517">
        <v>132001</v>
      </c>
      <c r="B131" s="669" t="str">
        <f>'3.CT2A'!B136</f>
        <v xml:space="preserve">      Урсгал үйл ажиллагааны санхүүжилт /орон нутгийн төсөвт байгууллага/</v>
      </c>
    </row>
    <row ht="15" r="132" spans="1:2">
      <c r="A132" s="517">
        <v>132002</v>
      </c>
      <c r="B132" s="669" t="str">
        <f>'3.CT2A'!B137</f>
        <v xml:space="preserve">      Засгийн газрын, Засаг даргын нөөц хөрөнгийн санхүүжилт</v>
      </c>
    </row>
    <row ht="15" r="133" spans="1:2">
      <c r="A133" s="517">
        <v>132003</v>
      </c>
      <c r="B133" s="669" t="str">
        <f>'3.CT2A'!B138</f>
        <v xml:space="preserve">      Төвлөрүүлэх шилжүүлэг /орон нутгийн төсөвт байгууллага улсад төвлөрүүлэх орлого/</v>
      </c>
    </row>
    <row ht="15" r="134" spans="1:2">
      <c r="A134" s="517">
        <v>132004</v>
      </c>
      <c r="B134" s="669" t="str">
        <f>'3.CT2A'!B139</f>
        <v xml:space="preserve">      Оны эхний үлдэгдлээс санхүүжих / орон нутгийн төсөв/</v>
      </c>
    </row>
    <row ht="15" r="135" spans="1:2">
      <c r="A135" s="517">
        <v>132005</v>
      </c>
      <c r="B135" s="669" t="str">
        <f>'3.CT2A'!B140</f>
        <v xml:space="preserve">      Хөрөнгийн санхүүжилт / орон нутгийн төсөвт байгууллага/</v>
      </c>
    </row>
    <row ht="15" r="136" spans="1:2">
      <c r="A136" s="517">
        <v>132006</v>
      </c>
      <c r="B136" s="669" t="str">
        <f>'3.CT2A'!B141</f>
        <v xml:space="preserve">      Урсгал үйл ажиллагааны санхүүжилт / аймгаас авсан санхүүгийн дэмжлэг/</v>
      </c>
    </row>
    <row ht="15" r="137" spans="1:2">
      <c r="A137" s="517">
        <v>132007</v>
      </c>
      <c r="B137" s="669" t="str">
        <f>'3.CT2A'!B142</f>
        <v xml:space="preserve">      Орон нутгийн хөгжлийн сангаас санхүүжих</v>
      </c>
    </row>
    <row ht="15" r="138" spans="1:2">
      <c r="A138" s="517">
        <v>1330</v>
      </c>
      <c r="B138" s="669" t="str">
        <f>'3.CT2A'!B143</f>
        <v xml:space="preserve">   Төсвийн захирагчдаас </v>
      </c>
    </row>
    <row ht="15" r="139" spans="1:2">
      <c r="A139" s="517">
        <v>133001</v>
      </c>
      <c r="B139" s="669" t="str">
        <f>'3.CT2A'!B144</f>
        <v xml:space="preserve">      Урсгал үйл ажиллагааны санхүүжилт</v>
      </c>
    </row>
    <row ht="15" r="140" spans="1:2">
      <c r="A140" s="517">
        <v>133002</v>
      </c>
      <c r="B140" s="669" t="str">
        <f>'3.CT2A'!B145</f>
        <v xml:space="preserve">      Төвлөрүүлэх шилжүүлэг</v>
      </c>
    </row>
    <row ht="15" r="141" spans="1:2">
      <c r="A141" s="517">
        <v>133003</v>
      </c>
      <c r="B141" s="669" t="str">
        <f>'3.CT2A'!B146</f>
        <v xml:space="preserve">      Хөрөнгийн</v>
      </c>
    </row>
    <row ht="15" r="142" spans="1:2">
      <c r="A142" s="517">
        <v>133004</v>
      </c>
      <c r="B142" s="669" t="str">
        <f>'3.CT2A'!B147</f>
        <v xml:space="preserve">      Төсвийн ерөнхийлөн захирагчаас олгосон санхүүжилт</v>
      </c>
    </row>
    <row ht="15" r="143" spans="1:2">
      <c r="A143" s="517">
        <v>133005</v>
      </c>
      <c r="B143" s="669" t="str">
        <f>'3.CT2A'!B148</f>
        <v xml:space="preserve">      Төсвийн ерөнхийлөн захирагч хооронд хийсэн санхүүжилт</v>
      </c>
    </row>
    <row ht="15" r="144" spans="1:2">
      <c r="A144" s="517">
        <v>1340</v>
      </c>
      <c r="B144" s="669" t="str">
        <f>'3.CT2A'!B149</f>
        <v xml:space="preserve">   Нийгмийн даатгалын сангийн төсвөөс санхүүжих</v>
      </c>
    </row>
    <row ht="15" r="145" spans="1:2">
      <c r="A145" s="517">
        <v>134001</v>
      </c>
      <c r="B145" s="669" t="str">
        <f>'3.CT2A'!B150</f>
        <v xml:space="preserve">      Нийгмийн даатгалын сангаас санхүүжих</v>
      </c>
    </row>
    <row ht="15" r="146" spans="1:2">
      <c r="A146" s="517">
        <v>134002</v>
      </c>
      <c r="B146" s="669" t="str">
        <f>'3.CT2A'!B151</f>
        <v xml:space="preserve">       Эрүүл мэндийн даатгалын сангаас санхүүжих</v>
      </c>
    </row>
    <row ht="15" r="147" spans="1:2">
      <c r="A147" s="517">
        <v>134003</v>
      </c>
      <c r="B147" s="669" t="str">
        <f>'3.CT2A'!B152</f>
        <v xml:space="preserve">       Нийгмийн даатгалын сангаас эмнэлгүүдэд олгох санхүүжилт</v>
      </c>
    </row>
    <row ht="15" r="148" spans="1:2">
      <c r="A148" s="517">
        <v>2</v>
      </c>
      <c r="B148" s="669" t="str">
        <f>'3.CT2A'!B153</f>
        <v>ҮЙЛ АЖИЛЛАГААНЫ ЗАРДЛЫН ДҮН</v>
      </c>
    </row>
    <row ht="15" r="149" spans="1:2">
      <c r="A149" s="517">
        <v>21</v>
      </c>
      <c r="B149" s="669" t="str">
        <f>'3.CT2A'!B154</f>
        <v xml:space="preserve">  УРСГАЛ ЗАРДАЛ </v>
      </c>
    </row>
    <row ht="15" r="150" spans="1:2">
      <c r="A150" s="517">
        <v>210</v>
      </c>
      <c r="B150" s="669" t="str">
        <f>'3.CT2A'!B155</f>
        <v xml:space="preserve">    БАРАА, АЖИЛ ҮЙЛЧИЛГЭЭНИЙ ЗАРДАЛ</v>
      </c>
    </row>
    <row ht="15" r="151" spans="1:2">
      <c r="A151" s="517">
        <v>2101</v>
      </c>
      <c r="B151" s="669" t="str">
        <f>'3.CT2A'!B156</f>
        <v xml:space="preserve">      Цалин хөлс болон нэмэгдэл урамшил</v>
      </c>
    </row>
    <row ht="15" r="152" spans="1:2">
      <c r="A152" s="517">
        <v>210101</v>
      </c>
      <c r="B152" s="669" t="str">
        <f>'3.CT2A'!B157</f>
        <v xml:space="preserve">          Үндсэн цалин</v>
      </c>
    </row>
    <row ht="15" r="153" spans="1:2">
      <c r="A153" s="517">
        <v>210102</v>
      </c>
      <c r="B153" s="669" t="str">
        <f>'3.CT2A'!B158</f>
        <v xml:space="preserve">          Нэмэгдэл</v>
      </c>
    </row>
    <row ht="15" r="154" spans="1:2">
      <c r="A154" s="517">
        <v>210103</v>
      </c>
      <c r="B154" s="669" t="str">
        <f>'3.CT2A'!B159</f>
        <v xml:space="preserve">          Унаа хоолны хөнгөлөлт</v>
      </c>
    </row>
    <row ht="15" r="155" spans="1:2">
      <c r="A155" s="517">
        <v>210104</v>
      </c>
      <c r="B155" s="669" t="str">
        <f>'3.CT2A'!B160</f>
        <v xml:space="preserve">          Урамшуулал</v>
      </c>
    </row>
    <row ht="15" r="156" spans="1:2">
      <c r="A156" s="517">
        <v>210105</v>
      </c>
      <c r="B156" s="669" t="str">
        <f>'3.CT2A'!B161</f>
        <v xml:space="preserve">          Гэрээт ажлын хөлс</v>
      </c>
    </row>
    <row ht="15" r="157" spans="1:2">
      <c r="A157" s="517">
        <v>210106</v>
      </c>
      <c r="B157" s="669" t="str">
        <f>'3.CT2A'!B162</f>
        <v xml:space="preserve">         Ажиллагчдад төлсөн   /ТӨҮГ/</v>
      </c>
    </row>
    <row ht="15" r="158" spans="1:2">
      <c r="A158" s="517">
        <v>2102</v>
      </c>
      <c r="B158" s="669" t="str">
        <f>'3.CT2A'!B163</f>
        <v xml:space="preserve">      Ажил олгогчоос нийгмийн даатгалд төлөх шимтгэл</v>
      </c>
    </row>
    <row ht="15" r="159" spans="1:2">
      <c r="A159" s="517">
        <v>210201</v>
      </c>
      <c r="B159" s="669" t="str">
        <f>'3.CT2A'!B164</f>
        <v xml:space="preserve">          Тэтгэврийн даатгал</v>
      </c>
    </row>
    <row ht="15" r="160" spans="1:2">
      <c r="A160" s="517">
        <v>210202</v>
      </c>
      <c r="B160" s="669" t="str">
        <f>'3.CT2A'!B165</f>
        <v xml:space="preserve">          Тэтгэмжийн даатгал</v>
      </c>
    </row>
    <row ht="15" r="161" spans="1:2">
      <c r="A161" s="517">
        <v>210203</v>
      </c>
      <c r="B161" s="669" t="str">
        <f>'3.CT2A'!B166</f>
        <v xml:space="preserve">          ҮОМШӨ-ний даатгал</v>
      </c>
    </row>
    <row ht="15" r="162" spans="1:2">
      <c r="A162" s="517">
        <v>210204</v>
      </c>
      <c r="B162" s="669" t="str">
        <f>'3.CT2A'!B167</f>
        <v xml:space="preserve">          Ажилгүйдлийн даатгал</v>
      </c>
    </row>
    <row ht="15" r="163" spans="1:2">
      <c r="A163" s="517">
        <v>210205</v>
      </c>
      <c r="B163" s="669" t="str">
        <f>'3.CT2A'!B168</f>
        <v xml:space="preserve">          Эрүүл мэндийн даатгал</v>
      </c>
    </row>
    <row ht="15" r="164" spans="1:2">
      <c r="A164" s="517">
        <v>210206</v>
      </c>
      <c r="B164" s="669" t="str">
        <f>'3.CT2A'!B169</f>
        <v xml:space="preserve">          Нийгмийн даатгалын байгууллагад төлсөн   /ТӨҮГ/</v>
      </c>
    </row>
    <row ht="15" r="165" spans="1:2">
      <c r="A165" s="517">
        <v>2103</v>
      </c>
      <c r="B165" s="669" t="str">
        <f>'3.CT2A'!B170</f>
        <v xml:space="preserve">      Байр ашиглалттай холбоотой тогтмол зардал</v>
      </c>
    </row>
    <row ht="15" r="166" spans="1:2">
      <c r="A166" s="517">
        <v>210301</v>
      </c>
      <c r="B166" s="669" t="str">
        <f>'3.CT2A'!B171</f>
        <v xml:space="preserve">        Гэрэл, цахилгаан</v>
      </c>
    </row>
    <row ht="15" r="167" spans="1:2">
      <c r="A167" s="517">
        <v>210302</v>
      </c>
      <c r="B167" s="669" t="str">
        <f>'3.CT2A'!B172</f>
        <v xml:space="preserve">        Түлш, халаалт</v>
      </c>
    </row>
    <row ht="15" r="168" spans="1:2">
      <c r="A168" s="517">
        <v>210303</v>
      </c>
      <c r="B168" s="669" t="str">
        <f>'3.CT2A'!B173</f>
        <v xml:space="preserve">        Цэвэр, бохир ус</v>
      </c>
    </row>
    <row ht="15" r="169" spans="1:2">
      <c r="A169" s="517">
        <v>210304</v>
      </c>
      <c r="B169" s="669" t="str">
        <f>'3.CT2A'!B174</f>
        <v xml:space="preserve">        Байрны түрээс</v>
      </c>
    </row>
    <row ht="15" r="170" spans="1:2">
      <c r="A170" s="517">
        <v>210305</v>
      </c>
      <c r="B170" s="669" t="str">
        <f>'3.CT2A'!B175</f>
        <v xml:space="preserve">        Ашиглалтын зардалд төлсөн   /ТӨҮГ/</v>
      </c>
    </row>
    <row ht="15" r="171" spans="1:2">
      <c r="A171" s="517">
        <v>2104</v>
      </c>
      <c r="B171" s="669" t="str">
        <f>'3.CT2A'!B176</f>
        <v xml:space="preserve">      Хангамж, бараа материалын зардал</v>
      </c>
    </row>
    <row ht="15" r="172" spans="1:2">
      <c r="A172" s="517">
        <v>210401</v>
      </c>
      <c r="B172" s="669" t="str">
        <f>'3.CT2A'!B177</f>
        <v xml:space="preserve">        Бичиг хэрэг</v>
      </c>
    </row>
    <row ht="15" r="173" spans="1:2">
      <c r="A173" s="517">
        <v>210402</v>
      </c>
      <c r="B173" s="669" t="str">
        <f>'3.CT2A'!B178</f>
        <v xml:space="preserve">        Тээвэр, шатахуун</v>
      </c>
    </row>
    <row ht="15" r="174" spans="1:2">
      <c r="A174" s="517">
        <v>210403</v>
      </c>
      <c r="B174" s="669" t="str">
        <f>'3.CT2A'!B179</f>
        <v xml:space="preserve">        Шуудан, холбоо, интернэтийн төлбөр</v>
      </c>
    </row>
    <row ht="15" r="175" spans="1:2">
      <c r="A175" s="517">
        <v>210404</v>
      </c>
      <c r="B175" s="669" t="str">
        <f>'3.CT2A'!B180</f>
        <v xml:space="preserve">        Ном, хэвлэл</v>
      </c>
    </row>
    <row ht="15" r="176" spans="1:2">
      <c r="A176" s="517">
        <v>210405</v>
      </c>
      <c r="B176" s="669" t="str">
        <f>'3.CT2A'!B181</f>
        <v xml:space="preserve">        Хог хаягдал зайлуулах, хортон мэрэгчдийн устгал, ариутгал</v>
      </c>
    </row>
    <row ht="15" r="177" spans="1:2">
      <c r="A177" s="517">
        <v>210406</v>
      </c>
      <c r="B177" s="669" t="str">
        <f>'3.CT2A'!B182</f>
        <v xml:space="preserve">         Бага үнэтэй, түргэн элэгдэх, ахуйн эд зүйлс</v>
      </c>
    </row>
    <row ht="15" r="178" spans="1:2">
      <c r="A178" s="517">
        <v>210407</v>
      </c>
      <c r="B178" s="669" t="str">
        <f>'3.CT2A'!B183</f>
        <v xml:space="preserve">         Аж ахуйн материал худалдан авах зардал</v>
      </c>
    </row>
    <row ht="15" r="179" spans="1:2">
      <c r="A179" s="517">
        <v>210408</v>
      </c>
      <c r="B179" s="669" t="str">
        <f>'3.CT2A'!B184</f>
        <v xml:space="preserve">         Бараа материал акталсны зардал</v>
      </c>
    </row>
    <row ht="15" r="180" spans="1:2">
      <c r="A180" s="517">
        <v>210409</v>
      </c>
      <c r="B180" s="669" t="str">
        <f>'3.CT2A'!B185</f>
        <v xml:space="preserve">         Түлш шатахуун, тээврийн хөлс, сэлбэг хэрэгсэлд төлсөн  /ТӨҮГ/</v>
      </c>
    </row>
    <row ht="15" r="181" spans="1:2">
      <c r="A181" s="517">
        <v>210410</v>
      </c>
      <c r="B181" s="669" t="str">
        <f>'3.CT2A'!B186</f>
        <v xml:space="preserve">         Бараа материал худалдан авахад төлсөн    /ТӨҮГ/</v>
      </c>
    </row>
    <row ht="15" r="182" spans="1:2">
      <c r="A182" s="517">
        <v>2105</v>
      </c>
      <c r="B182" s="669" t="str">
        <f>'3.CT2A'!B187</f>
        <v xml:space="preserve">     Нормативт зардал</v>
      </c>
    </row>
    <row ht="15" r="183" spans="1:2">
      <c r="A183" s="517">
        <v>210501</v>
      </c>
      <c r="B183" s="669" t="str">
        <f>'3.CT2A'!B188</f>
        <v xml:space="preserve">         Эм, бэлдмэл, эмнэлгийн хэрэгсэл</v>
      </c>
    </row>
    <row ht="15" r="184" spans="1:2">
      <c r="A184" s="517">
        <v>210502</v>
      </c>
      <c r="B184" s="669" t="str">
        <f>'3.CT2A'!B189</f>
        <v xml:space="preserve">         Хоол, хүнс</v>
      </c>
    </row>
    <row ht="15" r="185" spans="1:2">
      <c r="A185" s="517">
        <v>210503</v>
      </c>
      <c r="B185" s="669" t="str">
        <f>'3.CT2A'!B190</f>
        <v xml:space="preserve">         Нормын хувцас, зөөлөн эдлэл</v>
      </c>
    </row>
    <row ht="15" r="186" spans="1:2">
      <c r="A186" s="517">
        <v>2106</v>
      </c>
      <c r="B186" s="669" t="str">
        <f>'3.CT2A'!B191</f>
        <v xml:space="preserve">     Эд хогшил, урсгал засварын зардал</v>
      </c>
    </row>
    <row ht="15" r="187" spans="1:2">
      <c r="A187" s="517">
        <v>210601</v>
      </c>
      <c r="B187" s="669" t="str">
        <f>'3.CT2A'!B192</f>
        <v xml:space="preserve">         Багаж, техник, хэрэгсэл</v>
      </c>
    </row>
    <row ht="15" r="188" spans="1:2">
      <c r="A188" s="517">
        <v>210602</v>
      </c>
      <c r="B188" s="669" t="str">
        <f>'3.CT2A'!B193</f>
        <v xml:space="preserve">         Тавилга</v>
      </c>
    </row>
    <row ht="15" r="189" spans="1:2">
      <c r="A189" s="517">
        <v>210603</v>
      </c>
      <c r="B189" s="669" t="str">
        <f>'3.CT2A'!B194</f>
        <v xml:space="preserve">         Хөдөлмөр хамгааллын хэрэглэл</v>
      </c>
    </row>
    <row ht="15" r="190" spans="1:2">
      <c r="A190" s="517">
        <v>210604</v>
      </c>
      <c r="B190" s="669" t="str">
        <f>'3.CT2A'!B195</f>
        <v xml:space="preserve">         Урсгал засвар</v>
      </c>
    </row>
    <row ht="15" r="191" spans="1:2">
      <c r="A191" s="517">
        <v>2107</v>
      </c>
      <c r="B191" s="669" t="str">
        <f>'3.CT2A'!B196</f>
        <v xml:space="preserve">     Томилолт, зочны зардал</v>
      </c>
    </row>
    <row ht="15" r="192" spans="1:2">
      <c r="A192" s="517">
        <v>210701</v>
      </c>
      <c r="B192" s="669" t="str">
        <f>'3.CT2A'!B197</f>
        <v xml:space="preserve">         Гадаад албан томилолт</v>
      </c>
    </row>
    <row ht="15" r="193" spans="1:2">
      <c r="A193" s="517">
        <v>210702</v>
      </c>
      <c r="B193" s="669" t="str">
        <f>'3.CT2A'!B198</f>
        <v xml:space="preserve">         Дотоод албан томилолт</v>
      </c>
    </row>
    <row ht="15" r="194" spans="1:2">
      <c r="A194" s="517">
        <v>210703</v>
      </c>
      <c r="B194" s="669" t="str">
        <f>'3.CT2A'!B199</f>
        <v xml:space="preserve">          Зочин төлөөлөгч хүлээн авах</v>
      </c>
    </row>
    <row ht="15" r="195" spans="1:2">
      <c r="A195" s="517">
        <v>2108</v>
      </c>
      <c r="B195" s="669" t="str">
        <f>'3.CT2A'!B200</f>
        <v xml:space="preserve">     Бусдаар гүйцэтгүүлсэн ажил, үйлчилгээний төлбөр, хураамж</v>
      </c>
    </row>
    <row ht="15" r="196" spans="1:2">
      <c r="A196" s="517">
        <v>210801</v>
      </c>
      <c r="B196" s="669" t="str">
        <f>'3.CT2A'!B201</f>
        <v xml:space="preserve">         Бусдаар гүйцэтгүүлсэн бусад нийтлэг ажил үйлчилгээний төлбөр хураамж</v>
      </c>
    </row>
    <row ht="15" r="197" spans="1:2">
      <c r="A197" s="517">
        <v>210802</v>
      </c>
      <c r="B197" s="669" t="str">
        <f>'3.CT2A'!B202</f>
        <v xml:space="preserve">         Аудит, баталгаажуулалт, зэрэглэл тогтоох</v>
      </c>
    </row>
    <row ht="15" r="198" spans="1:2">
      <c r="A198" s="517">
        <v>210803</v>
      </c>
      <c r="B198" s="669" t="str">
        <f>'3.CT2A'!B203</f>
        <v xml:space="preserve">         Даатгалын үйлчилгээ</v>
      </c>
    </row>
    <row ht="15" r="199" spans="1:2">
      <c r="A199" s="517">
        <v>210804</v>
      </c>
      <c r="B199" s="669" t="str">
        <f>'3.CT2A'!B204</f>
        <v xml:space="preserve">         Тээврийн хэрэгслийн татвар</v>
      </c>
    </row>
    <row ht="15" r="200" spans="1:2">
      <c r="A200" s="517">
        <v>210805</v>
      </c>
      <c r="B200" s="669" t="str">
        <f>'3.CT2A'!B205</f>
        <v xml:space="preserve">         Тээврийн хэрэгслийн оношлогоо</v>
      </c>
    </row>
    <row ht="15" r="201" spans="1:2">
      <c r="A201" s="517">
        <v>210806</v>
      </c>
      <c r="B201" s="669" t="str">
        <f>'3.CT2A'!B206</f>
        <v xml:space="preserve">         Мэдээлэл, технологийн үйлчилгээ</v>
      </c>
    </row>
    <row ht="15" r="202" spans="1:2">
      <c r="A202" s="517">
        <v>210807</v>
      </c>
      <c r="B202" s="669" t="str">
        <f>'3.CT2A'!B207</f>
        <v xml:space="preserve">         Газрын төлбөр</v>
      </c>
    </row>
    <row ht="15" r="203" spans="1:2">
      <c r="A203" s="517">
        <v>210808</v>
      </c>
      <c r="B203" s="669" t="str">
        <f>'3.CT2A'!B208</f>
        <v xml:space="preserve">         Банк, санхүүгийн байгууллагын үйлчилгээний хураамж</v>
      </c>
    </row>
    <row ht="15" r="204" spans="1:2">
      <c r="A204" s="517">
        <v>210809</v>
      </c>
      <c r="B204" s="669" t="str">
        <f>'3.CT2A'!B209</f>
        <v xml:space="preserve">         Улсын мэдээллийн маягт хэвлэх, бэлтгэх</v>
      </c>
    </row>
    <row ht="15" r="205" spans="1:2">
      <c r="A205" s="517">
        <v>210810</v>
      </c>
      <c r="B205" s="669" t="str">
        <f>'3.CT2A'!B210</f>
        <v xml:space="preserve">         Борлуулалт, маркетингийн зардал   /ТӨҮГ/</v>
      </c>
    </row>
    <row ht="15" r="206" spans="1:2">
      <c r="A206" s="517">
        <v>210811</v>
      </c>
      <c r="B206" s="669" t="str">
        <f>'3.CT2A'!B211</f>
        <v xml:space="preserve">         Ерөнхий ба удирдлагын зардал     /ТӨҮГ/</v>
      </c>
    </row>
    <row ht="15" r="207" spans="1:2">
      <c r="A207" s="517">
        <v>210812</v>
      </c>
      <c r="B207" s="669" t="str">
        <f>'3.CT2A'!B212</f>
        <v xml:space="preserve">         Санхүүгийн зардал     /ТӨҮГ/</v>
      </c>
    </row>
    <row ht="15" r="208" spans="1:2">
      <c r="A208" s="517">
        <v>210813</v>
      </c>
      <c r="B208" s="669" t="str">
        <f>'3.CT2A'!B213</f>
        <v xml:space="preserve">         Бусад зардал  /ТӨҮГ/</v>
      </c>
    </row>
    <row ht="15" r="209" spans="1:2">
      <c r="A209" s="517">
        <v>210814</v>
      </c>
      <c r="B209" s="669" t="str">
        <f>'3.CT2A'!B214</f>
        <v xml:space="preserve">         Орлогын татварын зардал   /ТӨҮГ/</v>
      </c>
    </row>
    <row ht="15" r="210" spans="1:2">
      <c r="A210" s="517">
        <v>2109</v>
      </c>
      <c r="B210" s="669" t="str">
        <f>'3.CT2A'!B215</f>
        <v xml:space="preserve">     Бараа үйлчилгээний бусад зардал</v>
      </c>
    </row>
    <row ht="15" r="211" spans="1:2">
      <c r="A211" s="517">
        <v>210901</v>
      </c>
      <c r="B211" s="669" t="str">
        <f>'3.CT2A'!B216</f>
        <v xml:space="preserve">         Бараа үйлчилгээний бусад зардал</v>
      </c>
    </row>
    <row ht="15" r="212" spans="1:2">
      <c r="A212" s="517">
        <v>210902</v>
      </c>
      <c r="B212" s="669" t="str">
        <f>'3.CT2A'!B217</f>
        <v xml:space="preserve">         Хичээл үйлдвэрлэлийн дадлага хийх</v>
      </c>
    </row>
    <row ht="15" r="213" spans="1:2">
      <c r="A213" s="517">
        <v>210903</v>
      </c>
      <c r="B213" s="669" t="str">
        <f>'3.CT2A'!B218</f>
        <v xml:space="preserve">         Yндсэн хөрөнгийн элэгдэл, хорогдол</v>
      </c>
    </row>
    <row ht="15" r="214" spans="1:2">
      <c r="A214" s="517">
        <v>210904</v>
      </c>
      <c r="B214" s="669" t="str">
        <f>'3.CT2A'!B219</f>
        <v xml:space="preserve">         Найдваргүй авлагын алдагдал</v>
      </c>
    </row>
    <row ht="15" r="215" spans="1:2">
      <c r="A215" s="517">
        <v>211</v>
      </c>
      <c r="B215" s="669" t="str">
        <f>'3.CT2A'!B220</f>
        <v xml:space="preserve">   ХҮҮ</v>
      </c>
    </row>
    <row ht="15" r="216" spans="1:2">
      <c r="A216" s="517">
        <v>2111</v>
      </c>
      <c r="B216" s="669" t="str">
        <f>'3.CT2A'!B221</f>
        <v xml:space="preserve">      Гадаад зээлийн үйлчилгээний төлбөр</v>
      </c>
    </row>
    <row ht="15" r="217" spans="1:2">
      <c r="A217" s="517">
        <v>211101</v>
      </c>
      <c r="B217" s="669" t="str">
        <f>'3.CT2A'!B222</f>
        <v xml:space="preserve">          Гадаад зээлийн үйлчилгээний төлбөр</v>
      </c>
    </row>
    <row ht="15" r="218" spans="1:2">
      <c r="A218" s="517">
        <v>2112</v>
      </c>
      <c r="B218" s="669" t="str">
        <f>'3.CT2A'!B223</f>
        <v xml:space="preserve">     Дотоод зээлийн үйлчилгээний төлбөр</v>
      </c>
    </row>
    <row ht="15" r="219" spans="1:2">
      <c r="A219" s="517">
        <v>211201</v>
      </c>
      <c r="B219" s="669" t="str">
        <f>'3.CT2A'!B224</f>
        <v xml:space="preserve">          Дотоод зээлийн үйлчилгээний төлбөр</v>
      </c>
    </row>
    <row ht="15" r="220" spans="1:2">
      <c r="A220" s="517">
        <v>212</v>
      </c>
      <c r="B220" s="669" t="str">
        <f>'3.CT2A'!B225</f>
        <v xml:space="preserve">  ТАТААС</v>
      </c>
    </row>
    <row ht="15" r="221" spans="1:2">
      <c r="A221" s="517">
        <v>2121</v>
      </c>
      <c r="B221" s="669" t="str">
        <f>'3.CT2A'!B226</f>
        <v xml:space="preserve">     Төрийн өмчит байгууллагад олгох татаас</v>
      </c>
    </row>
    <row ht="15" r="222" spans="1:2">
      <c r="A222" s="517">
        <v>212101</v>
      </c>
      <c r="B222" s="669" t="str">
        <f>'3.CT2A'!B227</f>
        <v xml:space="preserve">         Төрийн өмчит байгууллагад олгох татаас</v>
      </c>
    </row>
    <row ht="15" r="223" spans="1:2">
      <c r="A223" s="517">
        <v>2122</v>
      </c>
      <c r="B223" s="669" t="str">
        <f>'3.CT2A'!B228</f>
        <v xml:space="preserve">     Хувийн хэвшлийн байгууллагад олгох татаас</v>
      </c>
    </row>
    <row ht="15" r="224" spans="1:2">
      <c r="A224" s="517">
        <v>212201</v>
      </c>
      <c r="B224" s="669" t="str">
        <f>'3.CT2A'!B229</f>
        <v xml:space="preserve">         Хувийн хэвшлийн байгууллагад олгох татаас</v>
      </c>
    </row>
    <row ht="15" r="225" spans="1:2">
      <c r="A225" s="517">
        <v>213</v>
      </c>
      <c r="B225" s="669" t="str">
        <f>'3.CT2A'!B230</f>
        <v xml:space="preserve">  УРСГАЛ ШИЛЖҮҮЛЭГ</v>
      </c>
    </row>
    <row ht="15" r="226" spans="1:2">
      <c r="A226" s="517">
        <v>2131</v>
      </c>
      <c r="B226" s="669" t="str">
        <f>'3.CT2A'!B231</f>
        <v xml:space="preserve">     Засгийн газрын урсгал шилжүүлэг</v>
      </c>
    </row>
    <row ht="15" r="227" spans="1:2">
      <c r="A227" s="517">
        <v>213101</v>
      </c>
      <c r="B227" s="669" t="str">
        <f>'3.CT2A'!B232</f>
        <v xml:space="preserve">       Засгийн газрын дотоод шилжүүлэг</v>
      </c>
    </row>
    <row ht="15" r="228" spans="1:2">
      <c r="A228" s="517">
        <v>213102</v>
      </c>
      <c r="B228" s="669" t="str">
        <f>'3.CT2A'!B233</f>
        <v xml:space="preserve">       Засгийн газрын гадаад шилжүүлэг</v>
      </c>
    </row>
    <row ht="15" r="229" spans="1:2">
      <c r="A229" s="517">
        <v>2132</v>
      </c>
      <c r="B229" s="669" t="str">
        <f>'3.CT2A'!B234</f>
        <v xml:space="preserve">     Бусад урсгал шилжүүлэг</v>
      </c>
    </row>
    <row ht="15" r="230" spans="1:2">
      <c r="A230" s="517">
        <v>213202</v>
      </c>
      <c r="B230" s="669" t="str">
        <f>'3.CT2A'!B235</f>
        <v xml:space="preserve">       Нийгмийн даатгалын тэтгэвэр, тэтгэмж</v>
      </c>
    </row>
    <row ht="15" r="231" spans="1:2">
      <c r="A231" s="517">
        <v>213203</v>
      </c>
      <c r="B231" s="669" t="str">
        <f>'3.CT2A'!B236</f>
        <v xml:space="preserve">       Нийгмийн халамжийн тэтгэвэр, тэтгэмж</v>
      </c>
    </row>
    <row ht="15" r="232" spans="1:2">
      <c r="A232" s="517">
        <v>213204</v>
      </c>
      <c r="B232" s="669" t="str">
        <f>'3.CT2A'!B237</f>
        <v xml:space="preserve">       Ажил олгогчоос олгох бусад тэтгэмж, урамшуулал</v>
      </c>
    </row>
    <row ht="15" r="233" spans="1:2">
      <c r="A233" s="517">
        <v>213205</v>
      </c>
      <c r="B233" s="669" t="str">
        <f>'3.CT2A'!B238</f>
        <v xml:space="preserve">       Төрөөс иргэдэд олгох тэтгэмж, урамшуулал</v>
      </c>
    </row>
    <row ht="15" r="234" spans="1:2">
      <c r="A234" s="517">
        <v>213206</v>
      </c>
      <c r="B234" s="669" t="str">
        <f>'3.CT2A'!B239</f>
        <v xml:space="preserve">       Ээлжийн амралтаар нутаг явах унааны хөнгөлөлт</v>
      </c>
    </row>
    <row ht="15" r="235" spans="1:2">
      <c r="A235" s="517">
        <v>213207</v>
      </c>
      <c r="B235" s="669" t="str">
        <f>'3.CT2A'!B240</f>
        <v xml:space="preserve">       Тэтгэвэрт гарахад олгох нэг удаагийн мөнгөн тэтгэмж</v>
      </c>
    </row>
    <row ht="15" r="236" spans="1:2">
      <c r="A236" s="517">
        <v>213208</v>
      </c>
      <c r="B236" s="669" t="str">
        <f>'3.CT2A'!B241</f>
        <v xml:space="preserve">       Хөдөө орон нутагт тогтвор суурьшилтай ажилласан албан хаагчдад төрөөс үзүүлэх дэмжлэг</v>
      </c>
    </row>
    <row ht="15" r="237" spans="1:2">
      <c r="A237" s="517">
        <v>213209</v>
      </c>
      <c r="B237" s="669" t="str">
        <f>'3.CT2A'!B242</f>
        <v xml:space="preserve">       Нэг удаагийн тэтгэмж, шагнал урамшуулал</v>
      </c>
    </row>
    <row ht="15" r="238" spans="1:2">
      <c r="A238" s="517">
        <v>2133</v>
      </c>
      <c r="B238" s="669" t="str">
        <f>'3.CT2A'!B243</f>
        <v xml:space="preserve">     Улсын төсвөөс олгосон санхүүжилт, шилжүүлэг</v>
      </c>
    </row>
    <row ht="15" r="239" spans="1:2">
      <c r="A239" s="517">
        <v>213301</v>
      </c>
      <c r="B239" s="669" t="str">
        <f>'3.CT2A'!B244</f>
        <v xml:space="preserve">       Урсгал үйл ажиллагааны санхүүжилт</v>
      </c>
    </row>
    <row ht="15" r="240" spans="1:2">
      <c r="A240" s="517">
        <v>213302</v>
      </c>
      <c r="B240" s="669" t="str">
        <f>'3.CT2A'!B245</f>
        <v xml:space="preserve">       Засгийн газрын, Засаг даргын нөөц хөрөнгө</v>
      </c>
    </row>
    <row ht="15" r="241" spans="1:2">
      <c r="A241" s="517">
        <v>213303</v>
      </c>
      <c r="B241" s="669" t="str">
        <f>'3.CT2A'!B246</f>
        <v xml:space="preserve">       Төвлөрүүлэх шилжүүлэг</v>
      </c>
    </row>
    <row ht="15" r="242" spans="1:2">
      <c r="A242" s="517">
        <v>213304</v>
      </c>
      <c r="B242" s="669" t="str">
        <f>'3.CT2A'!B247</f>
        <v xml:space="preserve">       Хөрөнгийн</v>
      </c>
    </row>
    <row ht="15" r="243" spans="1:2">
      <c r="A243" s="517">
        <v>2134</v>
      </c>
      <c r="B243" s="669" t="str">
        <f>'3.CT2A'!B248</f>
        <v xml:space="preserve">    Орон нутгийн төсвийн ерөнхийлөн захирагчдад олгох татаас, санхүүжилт</v>
      </c>
    </row>
    <row ht="15" r="244" spans="1:2">
      <c r="A244" s="517">
        <v>213401</v>
      </c>
      <c r="B244" s="669" t="str">
        <f>'3.CT2A'!B249</f>
        <v xml:space="preserve">       Урсгал үйл ажиллагааны санхүүжилт төсөвт байгууллага</v>
      </c>
    </row>
    <row ht="15" r="245" spans="1:2">
      <c r="A245" s="517">
        <v>213402</v>
      </c>
      <c r="B245" s="669" t="str">
        <f>'3.CT2A'!B250</f>
        <v xml:space="preserve">       Урсгал үйл ажиллагааны санхүүжилт сумдад</v>
      </c>
    </row>
    <row ht="15" r="246" spans="1:2">
      <c r="A246" s="517">
        <v>213403</v>
      </c>
      <c r="B246" s="669" t="str">
        <f>'3.CT2A'!B251</f>
        <v xml:space="preserve">       Төвлөрүүлэх шилжүүлэг</v>
      </c>
    </row>
    <row ht="15" r="247" spans="1:2">
      <c r="A247" s="517">
        <v>213404</v>
      </c>
      <c r="B247" s="669" t="str">
        <f>'3.CT2A'!B252</f>
        <v xml:space="preserve">       Хөрөнгийн</v>
      </c>
    </row>
    <row ht="15" r="248" spans="1:2">
      <c r="A248" s="517">
        <v>2135</v>
      </c>
      <c r="B248" s="669" t="str">
        <f>'3.CT2A'!B253</f>
        <v xml:space="preserve">    Төсвийн захирагчдаас олгосон санхүүжилт, шилжүүлэг</v>
      </c>
    </row>
    <row ht="15" r="249" spans="1:2">
      <c r="A249" s="517">
        <v>213501</v>
      </c>
      <c r="B249" s="669" t="str">
        <f>'3.CT2A'!B254</f>
        <v xml:space="preserve">        Урсгал үйл ажиллагааны санхүүжилт</v>
      </c>
    </row>
    <row ht="15" r="250" spans="1:2">
      <c r="A250" s="517">
        <v>213502</v>
      </c>
      <c r="B250" s="669" t="str">
        <f>'3.CT2A'!B255</f>
        <v xml:space="preserve">        Засгийн газрын, Засаг даргын нөөц хөрөнгө</v>
      </c>
    </row>
    <row ht="15" r="251" spans="1:2">
      <c r="A251" s="517">
        <v>213503</v>
      </c>
      <c r="B251" s="669" t="str">
        <f>'3.CT2A'!B256</f>
        <v xml:space="preserve">         Төвлөрүүлэх шилжүүлэг</v>
      </c>
    </row>
    <row ht="15" r="252" spans="1:2">
      <c r="A252" s="517">
        <v>213504</v>
      </c>
      <c r="B252" s="669" t="str">
        <f>'3.CT2A'!B257</f>
        <v xml:space="preserve">         Хөрөнгийн</v>
      </c>
    </row>
    <row ht="15" r="253" spans="1:2">
      <c r="A253" s="517">
        <v>213505</v>
      </c>
      <c r="B253" s="669" t="str">
        <f>'3.CT2A'!B258</f>
        <v xml:space="preserve">        Төсвийн ерөнхийлөн захирагч хооронд хийсэн санхүүжилт</v>
      </c>
    </row>
    <row ht="15" r="254" spans="1:2">
      <c r="A254" s="517">
        <v>22</v>
      </c>
      <c r="B254" s="669" t="str">
        <f>'3.CT2A'!B259</f>
        <v xml:space="preserve">  ХӨРӨНГИЙН ЗАРДАЛ</v>
      </c>
    </row>
    <row ht="15" r="255" spans="1:2">
      <c r="A255" s="517">
        <v>2200</v>
      </c>
      <c r="B255" s="669" t="str">
        <f>'3.CT2A'!B260</f>
        <v xml:space="preserve">     Дотоод эх үүсвэрээр</v>
      </c>
    </row>
    <row ht="15" r="256" spans="1:2">
      <c r="A256" s="517">
        <v>220001</v>
      </c>
      <c r="B256" s="669" t="str">
        <f>'3.CT2A'!B261</f>
        <v xml:space="preserve">        Барилга байгууламж</v>
      </c>
    </row>
    <row ht="15" r="257" spans="1:2">
      <c r="A257" s="517">
        <v>221001</v>
      </c>
      <c r="B257" s="669" t="str">
        <f>'3.CT2A'!B262</f>
        <v xml:space="preserve">        Их засвар</v>
      </c>
    </row>
    <row ht="15" r="258" spans="1:2">
      <c r="A258" s="517">
        <v>222001</v>
      </c>
      <c r="B258" s="669" t="str">
        <f>'3.CT2A'!B263</f>
        <v xml:space="preserve">        Тоног төхөөрөмж</v>
      </c>
    </row>
    <row ht="15" r="259" spans="1:2">
      <c r="A259" s="517">
        <v>223001</v>
      </c>
      <c r="B259" s="669" t="str">
        <f>'3.CT2A'!B264</f>
        <v xml:space="preserve">        Бусад хөрөнгө</v>
      </c>
    </row>
    <row ht="15" r="260" spans="1:2">
      <c r="A260" s="517">
        <v>224001</v>
      </c>
      <c r="B260" s="669" t="str">
        <f>'3.CT2A'!B265</f>
        <v xml:space="preserve">        Стратегийн нөөц хөрөнгө</v>
      </c>
    </row>
    <row ht="15" r="261" spans="1:2">
      <c r="A261" s="517">
        <v>225101</v>
      </c>
      <c r="B261" s="669" t="str">
        <f>'3.CT2A'!B266</f>
        <v xml:space="preserve">        Үндсэн хөрөнгө данснаас хассаны олз (гарз) /ТӨҮГ/</v>
      </c>
    </row>
    <row ht="15" r="262" spans="1:2">
      <c r="A262" s="517">
        <v>225102</v>
      </c>
      <c r="B262" s="669" t="str">
        <f>'3.CT2A'!B267</f>
        <v xml:space="preserve">         Биет бус хөрөнгө данснаас хассаны олз (гарз) /ТӨҮГ/</v>
      </c>
    </row>
    <row ht="15" r="263" spans="1:2">
      <c r="A263" s="517">
        <v>225103</v>
      </c>
      <c r="B263" s="669" t="str">
        <f>'3.CT2A'!B268</f>
        <v xml:space="preserve">         Хөрөнгө оруулалт борлуулснаас үүссэн олз (гарз) /ТӨҮГ/</v>
      </c>
    </row>
    <row ht="15" r="264" spans="1:2">
      <c r="A264" s="517">
        <v>225104</v>
      </c>
      <c r="B264" s="669" t="str">
        <f>'3.CT2A'!B269</f>
        <v xml:space="preserve">         Бусад урт хугацаат хөрөнгө борлуулсанаас үүссэн олз (гарз) /ТӨҮГ/</v>
      </c>
    </row>
    <row ht="15" r="265" spans="1:2">
      <c r="A265" s="517">
        <v>225105</v>
      </c>
      <c r="B265" s="669" t="str">
        <f>'3.CT2A'!B270</f>
        <v xml:space="preserve">         Бусад ашиг (алдагдал)   /ТӨҮГ/</v>
      </c>
    </row>
    <row ht="15" r="266" spans="1:2">
      <c r="A266" s="517">
        <v>225106</v>
      </c>
      <c r="B266" s="669" t="str">
        <f>'3.CT2A'!B271</f>
        <v xml:space="preserve">         Биет ба биет бус хөрөнгө худалдан авсан зардал</v>
      </c>
    </row>
    <row ht="15" r="267" spans="1:2">
      <c r="A267" s="517">
        <v>2260</v>
      </c>
      <c r="B267" s="669" t="str">
        <f>'3.CT2A'!B272</f>
        <v xml:space="preserve">     Гадаад эх үүсвэрээр</v>
      </c>
    </row>
    <row ht="15" r="268" spans="1:2">
      <c r="A268" s="517">
        <v>226001</v>
      </c>
      <c r="B268" s="669" t="str">
        <f>'3.CT2A'!B273</f>
        <v xml:space="preserve">        Гадаад эх үүсвэрээр</v>
      </c>
    </row>
    <row ht="15" r="269" spans="1:2">
      <c r="A269" s="517">
        <v>145001</v>
      </c>
      <c r="B269" s="669" t="str">
        <f>'3.CT2A'!B276</f>
        <v xml:space="preserve">     Гадаад валютын ханшийн зөрүүний олз</v>
      </c>
    </row>
    <row ht="15" r="270" spans="1:2">
      <c r="A270" s="517">
        <v>145002</v>
      </c>
      <c r="B270" s="669" t="str">
        <f>'3.CT2A'!B277</f>
        <v xml:space="preserve">     Yндсэн хөрөнгө, бараа материал худалдсаны олз</v>
      </c>
    </row>
    <row ht="15" r="271" spans="1:2">
      <c r="A271" s="517">
        <v>145003</v>
      </c>
      <c r="B271" s="669" t="str">
        <f>'3.CT2A'!B278</f>
        <v xml:space="preserve">     Хөрөнгө оруулалтын олз</v>
      </c>
    </row>
    <row ht="15" r="272" spans="1:2">
      <c r="A272" s="517">
        <v>145004</v>
      </c>
      <c r="B272" s="669" t="str">
        <f>'3.CT2A'!B279</f>
        <v xml:space="preserve">     Дотоод эх үүсвэрээс олгосон зээлээс эргэж төлөгдөх</v>
      </c>
    </row>
    <row ht="15" r="273" spans="1:2">
      <c r="A273" s="517">
        <v>145005</v>
      </c>
      <c r="B273" s="669" t="str">
        <f>'3.CT2A'!B280</f>
        <v xml:space="preserve">     Дамжуулан зээлдүүлэх зээлээс эргэж төлөгдөх</v>
      </c>
    </row>
    <row ht="15" r="274" spans="1:2">
      <c r="A274" s="517">
        <v>145006</v>
      </c>
      <c r="B274" s="669" t="str">
        <f>'3.CT2A'!B281</f>
        <v xml:space="preserve">     Гадаадын санхүүгийн зах зээлээс санхүүжих</v>
      </c>
    </row>
    <row ht="15" r="275" spans="1:2">
      <c r="A275" s="517">
        <v>225001</v>
      </c>
      <c r="B275" s="669" t="str">
        <f>'3.CT2A'!B283</f>
        <v xml:space="preserve">      Yндсэн хөрөнгө худалдсаны гарз</v>
      </c>
    </row>
    <row ht="15" r="276" spans="1:2">
      <c r="A276" s="517">
        <v>225002</v>
      </c>
      <c r="B276" s="669" t="str">
        <f>'3.CT2A'!B284</f>
        <v xml:space="preserve">       Найдваргүй авлагын алдагдал</v>
      </c>
    </row>
    <row ht="15" r="277" spans="1:2">
      <c r="A277" s="517">
        <v>225003</v>
      </c>
      <c r="B277" s="669" t="str">
        <f>'3.CT2A'!B285</f>
        <v xml:space="preserve">       Хөрөнгө оруулалтын гарз</v>
      </c>
    </row>
    <row ht="15" r="278" spans="1:2">
      <c r="A278" s="517">
        <v>225004</v>
      </c>
      <c r="B278" s="669" t="str">
        <f>'3.CT2A'!B286</f>
        <v xml:space="preserve">        Гадаад валютын ханшийн зөрүүний гарз</v>
      </c>
    </row>
    <row ht="15" r="279" spans="1:2">
      <c r="A279" s="517">
        <v>225005</v>
      </c>
      <c r="B279" s="669" t="str">
        <f>'3.CT2A'!B287</f>
        <v xml:space="preserve">        Yнэ төлбөргүй гарсан зардал</v>
      </c>
    </row>
    <row ht="15" r="280" spans="1:2">
      <c r="A280" s="517">
        <v>225006</v>
      </c>
      <c r="B280" s="669" t="str">
        <f>'3.CT2A'!B288</f>
        <v xml:space="preserve">        Гадаадын төслийн зээлээс санхүүжих дамжуулан зээлдүүлэх</v>
      </c>
    </row>
    <row ht="15" r="281" spans="1:2">
      <c r="A281" s="517">
        <v>225007</v>
      </c>
      <c r="B281" s="669" t="str">
        <f>'3.CT2A'!B289</f>
        <v xml:space="preserve">        Хөрөнгийн дахин үнэлгээний зардал</v>
      </c>
    </row>
    <row ht="15" r="282" spans="1:2">
      <c r="A282" s="517">
        <v>225008</v>
      </c>
      <c r="B282" s="669" t="str">
        <f>'3.CT2A'!B290</f>
        <v xml:space="preserve">        Дотоод эх үүсвэрээс олгосон зээл</v>
      </c>
    </row>
    <row ht="15" r="283" spans="1:2">
      <c r="A283" s="517">
        <v>225009</v>
      </c>
      <c r="B283" s="669" t="str">
        <f>'3.CT2A'!B291</f>
        <v xml:space="preserve">        Дамжуулан зээлдүүлэх зээл</v>
      </c>
    </row>
    <row ht="15" r="284" spans="1:2">
      <c r="A284" s="517">
        <v>230001</v>
      </c>
      <c r="B284" s="669" t="str">
        <f>'3.CT2A'!B292</f>
        <v xml:space="preserve">        Эргэж төлөгдөх зээл</v>
      </c>
    </row>
    <row ht="15" r="285" spans="1:2">
      <c r="A285" s="517"/>
      <c r="B285" s="669"/>
    </row>
    <row ht="15" r="286" spans="1:2">
      <c r="A286" s="517"/>
      <c r="B286" s="669"/>
    </row>
    <row ht="15" r="287" spans="1:2">
      <c r="A287" s="517" t="s">
        <v>102</v>
      </c>
      <c r="B287" s="669" t="str">
        <f>'3.CT2A'!B295</f>
        <v/>
      </c>
    </row>
    <row ht="15" r="288" spans="1:2">
      <c r="A288" s="517" t="s">
        <v>102</v>
      </c>
      <c r="B288" s="669" t="str">
        <f>'3.CT2A'!B296</f>
        <v/>
      </c>
    </row>
    <row ht="15" r="289" spans="1:2">
      <c r="A289" s="517"/>
      <c r="B289" s="46" t="s">
        <v>102</v>
      </c>
    </row>
    <row ht="15" r="290" spans="1:2">
      <c r="A290" s="517"/>
      <c r="B290" s="46" t="s">
        <v>102</v>
      </c>
    </row>
    <row ht="15" r="291" spans="1:2">
      <c r="A291" s="517"/>
      <c r="B291" s="46" t="s">
        <v>102</v>
      </c>
    </row>
    <row ht="15" r="292" spans="1:2">
      <c r="A292" s="517"/>
      <c r="B292" s="46" t="s">
        <v>102</v>
      </c>
    </row>
    <row ht="15" r="293" spans="1:2">
      <c r="A293" s="517"/>
      <c r="B293" s="46" t="s">
        <v>102</v>
      </c>
    </row>
    <row ht="15" r="294" spans="1:2">
      <c r="A294" s="517"/>
      <c r="B294" s="46" t="s">
        <v>102</v>
      </c>
    </row>
    <row ht="15" r="295" spans="1:2">
      <c r="A295" s="517"/>
      <c r="B295" s="46" t="s">
        <v>102</v>
      </c>
    </row>
    <row ht="15" r="296" spans="1:2">
      <c r="A296" s="517"/>
      <c r="B296" s="46" t="s">
        <v>102</v>
      </c>
    </row>
    <row ht="15" r="297" spans="1:2">
      <c r="A297" s="517"/>
      <c r="B297" s="46" t="s">
        <v>102</v>
      </c>
    </row>
    <row ht="15" r="298" spans="1:2">
      <c r="A298" s="517"/>
      <c r="B298" s="46" t="s">
        <v>102</v>
      </c>
    </row>
    <row ht="15" r="299" spans="1:2">
      <c r="A299" s="517"/>
      <c r="B299" s="46" t="s">
        <v>102</v>
      </c>
    </row>
    <row ht="15" r="300" spans="1:2">
      <c r="A300" s="517"/>
      <c r="B300" s="46" t="s">
        <v>102</v>
      </c>
    </row>
    <row ht="15" r="301" spans="1:2">
      <c r="A301" s="517"/>
      <c r="B301" s="46" t="s">
        <v>102</v>
      </c>
    </row>
    <row ht="15" r="302" spans="1:2">
      <c r="A302" s="517"/>
      <c r="B302" s="46" t="s">
        <v>102</v>
      </c>
    </row>
  </sheetData>
  <pageMargins bottom="0.75" footer="0.3" header="0.3" left="0.7" right="0.7" top="0.75"/>
  <pageSetup orientation="portrait" r:id="rId1"/>
</worksheet>
</file>

<file path=xl/worksheets/sheet10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74"/>
  <sheetViews>
    <sheetView workbookViewId="0" zoomScale="70" zoomScaleNormal="70">
      <pane activePane="bottomRight" state="frozen" topLeftCell="F14" xSplit="5" ySplit="10"/>
      <selection activeCell="Q17" sqref="Q17"/>
      <selection activeCell="Q17" pane="topRight" sqref="Q17"/>
      <selection activeCell="Q17" pane="bottomLeft" sqref="Q17"/>
      <selection activeCell="Q86" pane="bottomRight" sqref="Q86"/>
    </sheetView>
  </sheetViews>
  <sheetFormatPr defaultRowHeight="11.25"/>
  <cols>
    <col min="1" max="1" customWidth="true" style="1176" width="3.5703125" collapsed="false"/>
    <col min="2" max="2" customWidth="true" style="1176" width="13.42578125" collapsed="false"/>
    <col min="3" max="3" customWidth="true" style="1176" width="17.7109375" collapsed="false"/>
    <col min="4" max="4" customWidth="true" style="1176" width="34.140625" collapsed="false"/>
    <col min="5" max="5" customWidth="true" style="1177" width="7.5703125" collapsed="false"/>
    <col min="6" max="6" customWidth="true" style="1176" width="6.7109375" collapsed="false"/>
    <col min="7" max="7" bestFit="true" customWidth="true" style="1176" width="8.140625" collapsed="false"/>
    <col min="8" max="8" bestFit="true" customWidth="true" style="1176" width="10.42578125" collapsed="false"/>
    <col min="9" max="9" customWidth="true" style="1176" width="8.0" collapsed="false"/>
    <col min="10" max="10" customWidth="true" style="1176" width="7.140625" collapsed="false"/>
    <col min="11" max="11" customWidth="true" style="1176" width="8.140625" collapsed="false"/>
    <col min="12" max="12" customWidth="true" style="1176" width="8.0" collapsed="false"/>
    <col min="13" max="13" customWidth="true" style="1176" width="14.140625" collapsed="false"/>
    <col min="14" max="14" customWidth="true" style="1176" width="9.85546875" collapsed="false"/>
    <col min="15" max="15" customWidth="true" style="1176" width="8.5703125" collapsed="false"/>
    <col min="16" max="16" customWidth="true" style="1176" width="14.0" collapsed="false"/>
    <col min="17" max="17" customWidth="true" style="1176" width="16.28515625" collapsed="false"/>
    <col min="18" max="18" customWidth="true" style="1176" width="12.42578125" collapsed="false"/>
    <col min="19" max="19" customWidth="true" style="1176" width="8.85546875" collapsed="false"/>
    <col min="20" max="21" bestFit="true" customWidth="true" style="1176" width="8.0" collapsed="false"/>
    <col min="22" max="22" customWidth="true" style="1176" width="7.42578125" collapsed="false"/>
    <col min="23" max="23" customWidth="true" style="1176" width="12.0" collapsed="false"/>
    <col min="24" max="24" customWidth="true" style="1176" width="10.5703125" collapsed="false"/>
    <col min="25" max="25" customWidth="true" style="1176" width="8.28515625" collapsed="false"/>
    <col min="26" max="26" customWidth="true" style="1176" width="7.42578125" collapsed="false"/>
    <col min="27" max="27" customWidth="true" style="1176" width="9.0" collapsed="false"/>
    <col min="28" max="28" customWidth="true" style="1176" width="9.5703125" collapsed="false"/>
    <col min="29" max="29" bestFit="true" customWidth="true" style="1176" width="10.28515625" collapsed="false"/>
    <col min="30" max="16384" style="1176" width="9.140625" collapsed="false"/>
  </cols>
  <sheetData>
    <row customHeight="1" ht="12.75" r="1" spans="1:28">
      <c r="K1" s="1178"/>
      <c r="L1" s="1178"/>
      <c r="M1" s="1178"/>
      <c r="N1" s="1178"/>
      <c r="O1" s="1178"/>
      <c r="P1" s="1178"/>
      <c r="Q1" s="1178"/>
      <c r="R1" s="1178"/>
      <c r="S1" s="1178"/>
      <c r="T1" s="1178"/>
      <c r="U1" s="1178"/>
      <c r="V1" s="1178"/>
    </row>
    <row customHeight="1" ht="12.75" r="2" spans="1:28">
      <c r="L2" s="1179"/>
      <c r="M2" s="1179"/>
      <c r="P2" s="1179"/>
      <c r="W2" s="1179"/>
    </row>
    <row customHeight="1" ht="12.75" r="3" spans="1:28">
      <c r="K3" s="1179"/>
      <c r="Q3" s="1179"/>
      <c r="R3" s="1179"/>
      <c r="S3" s="1179"/>
      <c r="T3" s="1179"/>
      <c r="U3" s="1179"/>
      <c r="V3" s="1179"/>
      <c r="W3" s="1179"/>
    </row>
    <row ht="12.75" r="4" spans="1:28">
      <c r="K4" s="1180"/>
      <c r="L4" s="1180"/>
      <c r="M4" s="1180"/>
      <c r="N4" s="2071"/>
      <c r="O4" s="2071"/>
      <c r="P4" s="2071"/>
      <c r="Q4" s="2071"/>
      <c r="R4" s="2071"/>
      <c r="S4" s="2071"/>
      <c r="T4" s="2071"/>
      <c r="U4" s="2071"/>
      <c r="V4" s="2071"/>
    </row>
    <row customFormat="1" customHeight="1" ht="14.25" r="5" s="1181" spans="1:28">
      <c r="A5" s="2072" t="s">
        <v>3096</v>
      </c>
      <c r="B5" s="2072"/>
      <c r="C5" s="2072"/>
      <c r="D5" s="2072"/>
      <c r="E5" s="2072"/>
      <c r="F5" s="2072"/>
      <c r="G5" s="2072"/>
      <c r="H5" s="2072"/>
      <c r="I5" s="2072"/>
      <c r="J5" s="2072"/>
      <c r="K5" s="2072"/>
      <c r="L5" s="2072"/>
      <c r="M5" s="2072"/>
      <c r="N5" s="2072"/>
      <c r="O5" s="2072"/>
      <c r="P5" s="2072"/>
      <c r="Q5" s="2072"/>
      <c r="R5" s="2072"/>
      <c r="S5" s="2072"/>
      <c r="T5" s="2072"/>
      <c r="U5" s="2072"/>
      <c r="V5" s="2072"/>
    </row>
    <row customHeight="1" ht="12" r="6" spans="1:28">
      <c r="A6" s="1182"/>
    </row>
    <row customHeight="1" ht="35.25" r="7" spans="1:28">
      <c r="A7" s="2053" t="s">
        <v>649</v>
      </c>
      <c r="B7" s="2073" t="s">
        <v>1768</v>
      </c>
      <c r="C7" s="2074" t="s">
        <v>3097</v>
      </c>
      <c r="D7" s="2073" t="s">
        <v>3098</v>
      </c>
      <c r="E7" s="2077"/>
      <c r="F7" s="2077"/>
      <c r="G7" s="2077"/>
      <c r="H7" s="2077"/>
      <c r="I7" s="2077"/>
      <c r="J7" s="2077"/>
      <c r="K7" s="2077"/>
      <c r="L7" s="2077"/>
      <c r="M7" s="2077"/>
      <c r="N7" s="2077"/>
      <c r="O7" s="2077"/>
      <c r="P7" s="2078"/>
      <c r="Q7" s="2074" t="s">
        <v>3099</v>
      </c>
      <c r="R7" s="2067" t="s">
        <v>3100</v>
      </c>
      <c r="S7" s="2080" t="s">
        <v>3101</v>
      </c>
      <c r="T7" s="2081"/>
      <c r="U7" s="2082"/>
      <c r="V7" s="2086" t="s">
        <v>3102</v>
      </c>
      <c r="W7" s="2061" t="s">
        <v>3103</v>
      </c>
      <c r="X7" s="2061"/>
      <c r="Y7" s="2061"/>
      <c r="Z7" s="2062" t="s">
        <v>3104</v>
      </c>
      <c r="AA7" s="2063"/>
      <c r="AB7" s="2064"/>
    </row>
    <row customHeight="1" ht="36" r="8" spans="1:28">
      <c r="A8" s="2053"/>
      <c r="B8" s="2073"/>
      <c r="C8" s="2075"/>
      <c r="D8" s="2065" t="s">
        <v>3105</v>
      </c>
      <c r="E8" s="2067" t="s">
        <v>3106</v>
      </c>
      <c r="F8" s="2054" t="s">
        <v>3107</v>
      </c>
      <c r="G8" s="2054"/>
      <c r="H8" s="2054"/>
      <c r="I8" s="2054"/>
      <c r="J8" s="2054"/>
      <c r="K8" s="2054" t="s">
        <v>3108</v>
      </c>
      <c r="L8" s="2054"/>
      <c r="M8" s="2054" t="s">
        <v>3109</v>
      </c>
      <c r="N8" s="2054"/>
      <c r="O8" s="2054"/>
      <c r="P8" s="2054"/>
      <c r="Q8" s="2075"/>
      <c r="R8" s="2079"/>
      <c r="S8" s="2083"/>
      <c r="T8" s="2084"/>
      <c r="U8" s="2085"/>
      <c r="V8" s="2087"/>
      <c r="W8" s="2061" t="s">
        <v>3110</v>
      </c>
      <c r="X8" s="2061"/>
      <c r="Y8" s="2069" t="s">
        <v>3111</v>
      </c>
      <c r="Z8" s="2053" t="s">
        <v>3112</v>
      </c>
      <c r="AA8" s="2053" t="s">
        <v>3113</v>
      </c>
      <c r="AB8" s="2054" t="s">
        <v>1207</v>
      </c>
    </row>
    <row customHeight="1" ht="67.5" r="9" spans="1:28">
      <c r="A9" s="2053"/>
      <c r="B9" s="2073"/>
      <c r="C9" s="2076"/>
      <c r="D9" s="2066"/>
      <c r="E9" s="2068"/>
      <c r="F9" s="1183" t="s">
        <v>3114</v>
      </c>
      <c r="G9" s="1183" t="s">
        <v>3115</v>
      </c>
      <c r="H9" s="1183" t="s">
        <v>3116</v>
      </c>
      <c r="I9" s="1183" t="s">
        <v>3117</v>
      </c>
      <c r="J9" s="1183" t="s">
        <v>82</v>
      </c>
      <c r="K9" s="1183" t="s">
        <v>3118</v>
      </c>
      <c r="L9" s="1183" t="s">
        <v>3119</v>
      </c>
      <c r="M9" s="1184" t="s">
        <v>0</v>
      </c>
      <c r="N9" s="1184" t="s">
        <v>79</v>
      </c>
      <c r="O9" s="1184" t="s">
        <v>1776</v>
      </c>
      <c r="P9" s="1184" t="s">
        <v>3120</v>
      </c>
      <c r="Q9" s="2076"/>
      <c r="R9" s="2068"/>
      <c r="S9" s="1185" t="s">
        <v>3121</v>
      </c>
      <c r="T9" s="1183" t="s">
        <v>3122</v>
      </c>
      <c r="U9" s="1183" t="s">
        <v>3123</v>
      </c>
      <c r="V9" s="2088"/>
      <c r="W9" s="1186" t="s">
        <v>1256</v>
      </c>
      <c r="X9" s="1187" t="s">
        <v>3124</v>
      </c>
      <c r="Y9" s="2070"/>
      <c r="Z9" s="2053"/>
      <c r="AA9" s="2053"/>
      <c r="AB9" s="2054"/>
    </row>
    <row ht="12.75" r="10" spans="1:28">
      <c r="A10" s="1188" t="s">
        <v>702</v>
      </c>
      <c r="B10" s="1188" t="s">
        <v>1583</v>
      </c>
      <c r="C10" s="1189" t="s">
        <v>3125</v>
      </c>
      <c r="D10" s="1188" t="s">
        <v>3126</v>
      </c>
      <c r="E10" s="1188">
        <v>1</v>
      </c>
      <c r="F10" s="1188">
        <v>2</v>
      </c>
      <c r="G10" s="1188">
        <f>F10+1</f>
        <v>3</v>
      </c>
      <c r="H10" s="1188">
        <f ref="H10:AB10" si="0" t="shared">G10+1</f>
        <v>4</v>
      </c>
      <c r="I10" s="1188">
        <f si="0" t="shared"/>
        <v>5</v>
      </c>
      <c r="J10" s="1188">
        <f si="0" t="shared"/>
        <v>6</v>
      </c>
      <c r="K10" s="1188">
        <f si="0" t="shared"/>
        <v>7</v>
      </c>
      <c r="L10" s="1188">
        <f si="0" t="shared"/>
        <v>8</v>
      </c>
      <c r="M10" s="1188">
        <f si="0" t="shared"/>
        <v>9</v>
      </c>
      <c r="N10" s="1188">
        <f si="0" t="shared"/>
        <v>10</v>
      </c>
      <c r="O10" s="1188">
        <f si="0" t="shared"/>
        <v>11</v>
      </c>
      <c r="P10" s="1188">
        <f si="0" t="shared"/>
        <v>12</v>
      </c>
      <c r="Q10" s="1188">
        <f si="0" t="shared"/>
        <v>13</v>
      </c>
      <c r="R10" s="1188">
        <f si="0" t="shared"/>
        <v>14</v>
      </c>
      <c r="S10" s="1188">
        <f si="0" t="shared"/>
        <v>15</v>
      </c>
      <c r="T10" s="1188">
        <v>16</v>
      </c>
      <c r="U10" s="1188">
        <v>17</v>
      </c>
      <c r="V10" s="1188">
        <v>18</v>
      </c>
      <c r="W10" s="1188">
        <v>19</v>
      </c>
      <c r="X10" s="1188">
        <f si="0" t="shared"/>
        <v>20</v>
      </c>
      <c r="Y10" s="1188">
        <f si="0" t="shared"/>
        <v>21</v>
      </c>
      <c r="Z10" s="1188">
        <f si="0" t="shared"/>
        <v>22</v>
      </c>
      <c r="AA10" s="1188">
        <f si="0" t="shared"/>
        <v>23</v>
      </c>
      <c r="AB10" s="1188">
        <f si="0" t="shared"/>
        <v>24</v>
      </c>
    </row>
    <row ht="12.75" r="11" spans="1:28">
      <c r="A11" s="2055" t="s">
        <v>3127</v>
      </c>
      <c r="B11" s="2056"/>
      <c r="C11" s="2056"/>
      <c r="D11" s="2057"/>
      <c r="E11" s="1190"/>
      <c r="F11" s="1190"/>
      <c r="G11" s="1190"/>
      <c r="H11" s="1190"/>
      <c r="I11" s="1190"/>
      <c r="J11" s="1190"/>
      <c r="K11" s="1190"/>
      <c r="L11" s="1190"/>
      <c r="M11" s="1190"/>
      <c r="N11" s="1190"/>
      <c r="O11" s="1190"/>
      <c r="P11" s="1190"/>
      <c r="Q11" s="1190"/>
      <c r="R11" s="1190"/>
      <c r="S11" s="1190"/>
      <c r="T11" s="1190"/>
      <c r="U11" s="1190"/>
      <c r="V11" s="1190"/>
      <c r="W11" s="1191"/>
      <c r="X11" s="1192"/>
      <c r="Y11" s="1192"/>
      <c r="Z11" s="1193"/>
      <c r="AA11" s="1193"/>
      <c r="AB11" s="1193"/>
    </row>
    <row ht="12.75" r="12" spans="1:28">
      <c r="A12" s="1194"/>
      <c r="B12" s="2050" t="s">
        <v>3128</v>
      </c>
      <c r="C12" s="2051"/>
      <c r="D12" s="2052"/>
      <c r="E12" s="1190"/>
      <c r="F12" s="1194"/>
      <c r="G12" s="1194"/>
      <c r="H12" s="1194"/>
      <c r="I12" s="1194"/>
      <c r="J12" s="1194"/>
      <c r="K12" s="1194"/>
      <c r="L12" s="1194"/>
      <c r="M12" s="1194"/>
      <c r="N12" s="1194"/>
      <c r="O12" s="1194"/>
      <c r="P12" s="1194"/>
      <c r="Q12" s="1194"/>
      <c r="R12" s="1194"/>
      <c r="S12" s="1194"/>
      <c r="T12" s="1194"/>
      <c r="U12" s="1194"/>
      <c r="V12" s="1194"/>
      <c r="W12" s="1193"/>
      <c r="X12" s="1193"/>
      <c r="Y12" s="1193"/>
      <c r="Z12" s="1193"/>
      <c r="AA12" s="1193"/>
      <c r="AB12" s="1193"/>
    </row>
    <row ht="12.75" r="13" spans="1:28">
      <c r="A13" s="1195"/>
      <c r="B13" s="1195"/>
      <c r="C13" s="1195"/>
      <c r="D13" s="1194"/>
      <c r="E13" s="1190"/>
      <c r="F13" s="1194"/>
      <c r="G13" s="1194"/>
      <c r="H13" s="1194"/>
      <c r="I13" s="1194"/>
      <c r="J13" s="1194"/>
      <c r="K13" s="1194"/>
      <c r="L13" s="1194"/>
      <c r="M13" s="1194"/>
      <c r="N13" s="1194"/>
      <c r="O13" s="1194"/>
      <c r="P13" s="1194"/>
      <c r="Q13" s="1194"/>
      <c r="R13" s="1194"/>
      <c r="S13" s="1194"/>
      <c r="T13" s="1194"/>
      <c r="U13" s="1194"/>
      <c r="V13" s="1194"/>
      <c r="W13" s="1193"/>
      <c r="X13" s="1193"/>
      <c r="Y13" s="1193"/>
      <c r="Z13" s="1193"/>
      <c r="AA13" s="1193"/>
      <c r="AB13" s="1193"/>
    </row>
    <row customHeight="1" ht="15.75" r="14" spans="1:28">
      <c r="A14" s="1194"/>
      <c r="B14" s="2058" t="s">
        <v>36</v>
      </c>
      <c r="C14" s="2059"/>
      <c r="D14" s="2060"/>
      <c r="E14" s="1190"/>
      <c r="F14" s="1194"/>
      <c r="G14" s="1194"/>
      <c r="H14" s="1194"/>
      <c r="I14" s="1194"/>
      <c r="J14" s="1194"/>
      <c r="K14" s="1194"/>
      <c r="L14" s="1194"/>
      <c r="M14" s="1194"/>
      <c r="N14" s="1194"/>
      <c r="O14" s="1194"/>
      <c r="P14" s="1194"/>
      <c r="Q14" s="1194"/>
      <c r="R14" s="1194"/>
      <c r="S14" s="1194"/>
      <c r="T14" s="1194"/>
      <c r="U14" s="1194"/>
      <c r="V14" s="1194"/>
      <c r="W14" s="1193"/>
      <c r="X14" s="1193"/>
      <c r="Y14" s="1193"/>
      <c r="Z14" s="1193"/>
      <c r="AA14" s="1193"/>
      <c r="AB14" s="1193"/>
    </row>
    <row ht="12.75" r="15" spans="1:28">
      <c r="A15" s="2055" t="s">
        <v>3129</v>
      </c>
      <c r="B15" s="2056"/>
      <c r="C15" s="2056"/>
      <c r="D15" s="2057"/>
      <c r="E15" s="1190"/>
      <c r="F15" s="1194"/>
      <c r="G15" s="1194"/>
      <c r="H15" s="1194"/>
      <c r="I15" s="1194"/>
      <c r="J15" s="1194"/>
      <c r="K15" s="1194"/>
      <c r="L15" s="1194"/>
      <c r="M15" s="1194"/>
      <c r="N15" s="1194"/>
      <c r="O15" s="1194"/>
      <c r="P15" s="1194"/>
      <c r="Q15" s="1194"/>
      <c r="R15" s="1194"/>
      <c r="S15" s="1194"/>
      <c r="T15" s="1194"/>
      <c r="U15" s="1194"/>
      <c r="V15" s="1194"/>
      <c r="W15" s="1193"/>
      <c r="X15" s="1193"/>
      <c r="Y15" s="1193"/>
      <c r="Z15" s="1193"/>
      <c r="AA15" s="1193"/>
      <c r="AB15" s="1193"/>
    </row>
    <row ht="12.75" r="16" spans="1:28">
      <c r="A16" s="1194"/>
      <c r="B16" s="2050" t="s">
        <v>3130</v>
      </c>
      <c r="C16" s="2051"/>
      <c r="D16" s="2052"/>
      <c r="E16" s="1190"/>
      <c r="F16" s="1194"/>
      <c r="G16" s="1194"/>
      <c r="H16" s="1194"/>
      <c r="I16" s="1194"/>
      <c r="J16" s="1194"/>
      <c r="K16" s="1194"/>
      <c r="L16" s="1194"/>
      <c r="M16" s="1194"/>
      <c r="N16" s="1194"/>
      <c r="O16" s="1194"/>
      <c r="P16" s="1194"/>
      <c r="Q16" s="1194"/>
      <c r="R16" s="1194"/>
      <c r="S16" s="1194"/>
      <c r="T16" s="1194"/>
      <c r="U16" s="1194"/>
      <c r="V16" s="1194"/>
      <c r="W16" s="1193"/>
      <c r="X16" s="1193"/>
      <c r="Y16" s="1193"/>
      <c r="Z16" s="1193"/>
      <c r="AA16" s="1193"/>
      <c r="AB16" s="1193"/>
    </row>
    <row customFormat="1" customHeight="1" ht="35.25" r="17" s="1199" spans="1:28">
      <c r="A17" s="1293">
        <v>1</v>
      </c>
      <c r="B17" s="1294"/>
      <c r="C17" s="1295"/>
      <c r="D17" s="1196" t="s">
        <v>3131</v>
      </c>
      <c r="E17" s="1197">
        <f>+F17+G17+H17+I17+J17</f>
        <v>1</v>
      </c>
      <c r="F17" s="1197"/>
      <c r="G17" s="1197">
        <v>1</v>
      </c>
      <c r="H17" s="1197"/>
      <c r="I17" s="1197"/>
      <c r="J17" s="1197"/>
      <c r="K17" s="1296" t="s">
        <v>3132</v>
      </c>
      <c r="L17" s="1296" t="s">
        <v>3133</v>
      </c>
      <c r="M17" s="1297"/>
      <c r="N17" s="1297"/>
      <c r="O17" s="1297"/>
      <c r="P17" s="1296"/>
      <c r="Q17" s="1292"/>
      <c r="R17" s="1298"/>
      <c r="S17" s="1198">
        <v>1</v>
      </c>
      <c r="T17" s="1197"/>
      <c r="U17" s="1197"/>
      <c r="V17" s="1197"/>
      <c r="W17" s="1197"/>
      <c r="X17" s="1197"/>
      <c r="Y17" s="1197"/>
      <c r="Z17" s="1197"/>
      <c r="AA17" s="1197"/>
      <c r="AB17" s="1197"/>
    </row>
    <row customFormat="1" customHeight="1" ht="21" r="18" s="1202" spans="1:28">
      <c r="A18" s="1200"/>
      <c r="B18" s="1200" t="s">
        <v>36</v>
      </c>
      <c r="C18" s="1200"/>
      <c r="D18" s="1201">
        <f>SUM(D16:D17)</f>
        <v>0</v>
      </c>
      <c r="E18" s="1201">
        <f ref="E18:O18" si="1" t="shared">SUM(E17:E17)</f>
        <v>1</v>
      </c>
      <c r="F18" s="1201">
        <f si="1" t="shared"/>
        <v>0</v>
      </c>
      <c r="G18" s="1201">
        <f si="1" t="shared"/>
        <v>1</v>
      </c>
      <c r="H18" s="1201">
        <f si="1" t="shared"/>
        <v>0</v>
      </c>
      <c r="I18" s="1201">
        <f si="1" t="shared"/>
        <v>0</v>
      </c>
      <c r="J18" s="1201">
        <f si="1" t="shared"/>
        <v>0</v>
      </c>
      <c r="K18" s="1201">
        <f si="1" t="shared"/>
        <v>0</v>
      </c>
      <c r="L18" s="1201">
        <f si="1" t="shared"/>
        <v>0</v>
      </c>
      <c r="M18" s="1201">
        <f si="1" t="shared"/>
        <v>0</v>
      </c>
      <c r="N18" s="1201">
        <f si="1" t="shared"/>
        <v>0</v>
      </c>
      <c r="O18" s="1201">
        <f si="1" t="shared"/>
        <v>0</v>
      </c>
      <c r="P18" s="1201"/>
      <c r="Q18" s="1201">
        <f ref="Q18:AB18" si="2" t="shared">SUM(Q17:Q17)</f>
        <v>0</v>
      </c>
      <c r="R18" s="1201">
        <f si="2" t="shared"/>
        <v>0</v>
      </c>
      <c r="S18" s="1201">
        <f si="2" t="shared"/>
        <v>1</v>
      </c>
      <c r="T18" s="1201">
        <f si="2" t="shared"/>
        <v>0</v>
      </c>
      <c r="U18" s="1201">
        <f si="2" t="shared"/>
        <v>0</v>
      </c>
      <c r="V18" s="1201">
        <f si="2" t="shared"/>
        <v>0</v>
      </c>
      <c r="W18" s="1201">
        <f si="2" t="shared"/>
        <v>0</v>
      </c>
      <c r="X18" s="1201">
        <f si="2" t="shared"/>
        <v>0</v>
      </c>
      <c r="Y18" s="1201">
        <f si="2" t="shared"/>
        <v>0</v>
      </c>
      <c r="Z18" s="1201">
        <f si="2" t="shared"/>
        <v>0</v>
      </c>
      <c r="AA18" s="1201">
        <f si="2" t="shared"/>
        <v>0</v>
      </c>
      <c r="AB18" s="1201">
        <f si="2" t="shared"/>
        <v>0</v>
      </c>
    </row>
    <row customHeight="1" ht="12.75" r="19" spans="1:28">
      <c r="A19" s="1204"/>
      <c r="B19" s="1181"/>
      <c r="D19" s="1181"/>
      <c r="E19" s="1205"/>
      <c r="F19" s="1206"/>
      <c r="G19" s="1206"/>
      <c r="H19" s="1206"/>
      <c r="I19" s="1206"/>
      <c r="J19" s="1206"/>
      <c r="K19" s="1206"/>
      <c r="L19" s="1206"/>
      <c r="M19" s="1206"/>
      <c r="N19" s="1206"/>
      <c r="O19" s="1181"/>
      <c r="P19" s="1181"/>
      <c r="Q19" s="1207"/>
      <c r="R19" s="1207"/>
      <c r="S19" s="1207"/>
      <c r="T19" s="1207"/>
      <c r="U19" s="1207"/>
      <c r="V19" s="1207"/>
      <c r="W19" s="1207"/>
      <c r="X19" s="1207"/>
      <c r="Y19" s="1207"/>
    </row>
    <row ht="12.75" r="20" spans="1:28">
      <c r="A20" s="1181"/>
      <c r="B20" s="1181"/>
      <c r="C20" s="1181"/>
      <c r="D20" s="1208"/>
      <c r="E20" s="1209"/>
      <c r="F20" s="1208"/>
      <c r="G20" s="1208"/>
      <c r="H20" s="1208"/>
      <c r="I20" s="1208"/>
      <c r="J20" s="1181"/>
      <c r="K20" s="1207"/>
      <c r="L20" s="1207"/>
      <c r="M20" s="1207"/>
      <c r="N20" s="1207"/>
      <c r="O20" s="1207"/>
      <c r="P20" s="1207"/>
      <c r="Q20" s="2049"/>
      <c r="R20" s="2049"/>
      <c r="S20" s="1205"/>
      <c r="T20" s="1205"/>
      <c r="U20" s="1205"/>
      <c r="V20" s="1205"/>
      <c r="W20" s="1205"/>
      <c r="X20" s="1205"/>
      <c r="Y20" s="1205"/>
    </row>
    <row ht="12.75" r="21" spans="1:28">
      <c r="A21" s="1204"/>
      <c r="B21" s="1181"/>
      <c r="C21" s="1181"/>
      <c r="D21" s="1181"/>
      <c r="E21" s="1205"/>
      <c r="F21" s="1207"/>
      <c r="G21" s="1207"/>
      <c r="J21" s="1181"/>
      <c r="K21" s="1207"/>
      <c r="L21" s="1207"/>
      <c r="M21" s="1207"/>
      <c r="N21" s="1207"/>
      <c r="O21" s="1207"/>
      <c r="P21" s="1207"/>
      <c r="Q21" s="1207"/>
      <c r="R21" s="1207"/>
      <c r="S21" s="1207"/>
      <c r="T21" s="1207"/>
      <c r="U21" s="1207"/>
      <c r="V21" s="1207"/>
      <c r="W21" s="1207"/>
      <c r="X21" s="1207"/>
      <c r="Y21" s="1207"/>
    </row>
    <row customHeight="1" ht="23.25" r="22" spans="1:28">
      <c r="A22" s="1181"/>
      <c r="B22" s="1181"/>
      <c r="C22" s="1181"/>
      <c r="D22" s="1208"/>
      <c r="E22" s="1209"/>
      <c r="F22" s="1208"/>
      <c r="G22" s="1208"/>
      <c r="H22" s="1299" t="s">
        <v>3203</v>
      </c>
      <c r="I22"/>
      <c r="J22"/>
      <c r="K22" s="1181"/>
      <c r="L22" s="1181"/>
      <c r="M22" s="1181"/>
      <c r="N22" s="1207"/>
      <c r="O22" s="1207"/>
      <c r="P22" s="1207"/>
      <c r="Q22" s="2049"/>
      <c r="R22" s="2049"/>
      <c r="S22" s="1205"/>
      <c r="T22" s="1205"/>
      <c r="U22" s="1205"/>
      <c r="V22" s="1205"/>
      <c r="W22" s="1205"/>
      <c r="X22" s="1205"/>
      <c r="Y22" s="1205"/>
    </row>
    <row customHeight="1" ht="15" r="23" spans="1:28">
      <c r="A23" s="1181"/>
      <c r="B23" s="1181"/>
      <c r="C23" s="1181"/>
      <c r="D23" s="1210"/>
      <c r="E23" s="1210"/>
      <c r="F23" s="1210"/>
      <c r="G23" s="1210"/>
      <c r="H23" s="1300" t="s">
        <v>3199</v>
      </c>
      <c r="I23"/>
      <c r="J23"/>
      <c r="N23" s="1207"/>
      <c r="O23" s="1207"/>
      <c r="P23" s="1207"/>
      <c r="Q23" s="1205"/>
      <c r="R23" s="1205"/>
      <c r="S23" s="1205"/>
      <c r="T23" s="1205"/>
      <c r="U23" s="1205"/>
      <c r="V23" s="1205"/>
      <c r="W23" s="1205"/>
      <c r="X23" s="1205"/>
      <c r="Y23" s="1205"/>
    </row>
    <row customFormat="1" customHeight="1" ht="15" r="24" s="1181" spans="1:28">
      <c r="A24" s="1211"/>
      <c r="D24" s="1176"/>
      <c r="E24" s="1210"/>
      <c r="F24" s="1176"/>
      <c r="G24" s="1176"/>
      <c r="H24" s="1299" t="s">
        <v>3200</v>
      </c>
      <c r="I24"/>
      <c r="J24"/>
      <c r="K24" s="1176"/>
      <c r="L24" s="1176"/>
      <c r="M24" s="1176"/>
    </row>
    <row customHeight="1" ht="15" r="25" spans="1:28">
      <c r="H25"/>
      <c r="I25" s="1299" t="s">
        <v>3201</v>
      </c>
      <c r="J25"/>
    </row>
    <row customHeight="1" ht="15.75" r="26" spans="1:28">
      <c r="A26" s="1212"/>
      <c r="H26"/>
      <c r="I26"/>
      <c r="J26" s="1299" t="s">
        <v>3202</v>
      </c>
    </row>
    <row customFormat="1" ht="15" r="71" s="1212" spans="5:5">
      <c r="E71" s="1213"/>
    </row>
    <row customFormat="1" ht="15" r="72" s="1212" spans="5:5">
      <c r="E72" s="1213"/>
    </row>
    <row customFormat="1" ht="15" r="73" s="1212" spans="5:5">
      <c r="E73" s="1213"/>
    </row>
    <row customFormat="1" ht="15" r="74" s="1212" spans="5:5">
      <c r="E74" s="1213"/>
    </row>
  </sheetData>
  <mergeCells count="29">
    <mergeCell ref="N4:V4"/>
    <mergeCell ref="A5:V5"/>
    <mergeCell ref="A7:A9"/>
    <mergeCell ref="B7:B9"/>
    <mergeCell ref="C7:C9"/>
    <mergeCell ref="D7:P7"/>
    <mergeCell ref="Q7:Q9"/>
    <mergeCell ref="R7:R9"/>
    <mergeCell ref="S7:U8"/>
    <mergeCell ref="V7:V9"/>
    <mergeCell ref="W7:Y7"/>
    <mergeCell ref="Z7:AB7"/>
    <mergeCell ref="D8:D9"/>
    <mergeCell ref="E8:E9"/>
    <mergeCell ref="F8:J8"/>
    <mergeCell ref="K8:L8"/>
    <mergeCell ref="M8:P8"/>
    <mergeCell ref="W8:X8"/>
    <mergeCell ref="Y8:Y9"/>
    <mergeCell ref="Z8:Z9"/>
    <mergeCell ref="Q20:R20"/>
    <mergeCell ref="Q22:R22"/>
    <mergeCell ref="B16:D16"/>
    <mergeCell ref="AA8:AA9"/>
    <mergeCell ref="AB8:AB9"/>
    <mergeCell ref="A11:D11"/>
    <mergeCell ref="B12:D12"/>
    <mergeCell ref="B14:D14"/>
    <mergeCell ref="A15:D15"/>
  </mergeCells>
  <pageMargins bottom="0" footer="0.3" header="0.3" left="0.45" right="0.2" top="0"/>
  <pageSetup orientation="landscape" paperSize="9" r:id="rId1" scale="50"/>
  <drawing r:id="rId2"/>
  <legacyDrawing r:id="rId3"/>
</worksheet>
</file>

<file path=xl/worksheets/sheet10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261"/>
  <sheetViews>
    <sheetView topLeftCell="A5" workbookViewId="0" zoomScale="55" zoomScaleNormal="55">
      <pane activePane="bottomLeft" state="frozen" topLeftCell="A42" ySplit="7"/>
      <selection activeCell="Q17" sqref="Q17"/>
      <selection activeCell="A78" pane="bottomLeft" sqref="A78:XFD93"/>
    </sheetView>
  </sheetViews>
  <sheetFormatPr defaultRowHeight="12.75"/>
  <cols>
    <col min="1" max="1" customWidth="true" style="1215" width="3.5703125" collapsed="false"/>
    <col min="2" max="2" customWidth="true" style="1215" width="5.85546875" collapsed="false"/>
    <col min="3" max="3" customWidth="true" style="1215" width="16.7109375" collapsed="false"/>
    <col min="4" max="4" customWidth="true" style="1215" width="8.85546875" collapsed="false"/>
    <col min="5" max="5" customWidth="true" style="1215" width="6.7109375" collapsed="false"/>
    <col min="6" max="6" customWidth="true" style="1215" width="9.7109375" collapsed="false"/>
    <col min="7" max="7" customWidth="true" style="1215" width="43.5703125" collapsed="false"/>
    <col min="8" max="8" customWidth="true" style="1215" width="7.140625" collapsed="false"/>
    <col min="9" max="9" customWidth="true" style="1215" width="9.140625" collapsed="false"/>
    <col min="10" max="10" customWidth="true" style="1215" width="12.7109375" collapsed="false"/>
    <col min="11" max="11" customWidth="true" style="1215" width="15.140625" collapsed="false"/>
    <col min="12" max="12" customWidth="true" style="1215" width="10.42578125" collapsed="false"/>
    <col min="13" max="13" customWidth="true" style="1215" width="13.0" collapsed="false"/>
    <col min="14" max="14" customWidth="true" style="1215" width="13.7109375" collapsed="false"/>
    <col min="15" max="15" customWidth="true" style="1215" width="11.5703125" collapsed="false"/>
    <col min="16" max="16" customWidth="true" style="1215" width="11.42578125" collapsed="false"/>
    <col min="17" max="17" customWidth="true" style="1215" width="11.5703125" collapsed="false"/>
    <col min="18" max="23" bestFit="true" customWidth="true" style="1215" width="6.7109375" collapsed="false"/>
    <col min="24" max="24" customWidth="true" style="1215" width="7.0" collapsed="false"/>
    <col min="25" max="25" bestFit="true" customWidth="true" style="1215" width="6.7109375" collapsed="false"/>
    <col min="26" max="26" customWidth="true" style="1215" width="8.28515625" collapsed="false"/>
    <col min="27" max="27" customWidth="true" style="1215" width="7.5703125" collapsed="false"/>
    <col min="28" max="28" customWidth="true" style="1215" width="11.28515625" collapsed="false"/>
    <col min="29" max="16384" style="1215" width="9.140625" collapsed="false"/>
  </cols>
  <sheetData>
    <row r="1" spans="1:28">
      <c r="O1" s="1204"/>
      <c r="P1" s="1204"/>
      <c r="Q1" s="1204"/>
      <c r="R1" s="1204"/>
      <c r="S1" s="1204"/>
      <c r="T1" s="1204"/>
      <c r="U1" s="1204"/>
      <c r="V1" s="1178"/>
    </row>
    <row r="2" spans="1:28">
      <c r="C2" s="1216" t="s">
        <v>3135</v>
      </c>
      <c r="K2" s="1176"/>
      <c r="L2" s="1176"/>
      <c r="R2" s="1176"/>
      <c r="S2" s="1176"/>
      <c r="U2" s="1176"/>
      <c r="V2" s="1176"/>
      <c r="W2" s="1176"/>
      <c r="AA2" s="1217"/>
      <c r="AB2" s="1217"/>
    </row>
    <row r="3" spans="1:28">
      <c r="K3" s="1176"/>
      <c r="R3" s="1176"/>
      <c r="S3" s="1176"/>
      <c r="T3" s="1176"/>
      <c r="U3" s="1176"/>
      <c r="V3" s="1176"/>
      <c r="W3" s="1176"/>
      <c r="X3" s="1217"/>
      <c r="Y3" s="1217"/>
      <c r="Z3" s="1217"/>
      <c r="AB3" s="1217"/>
    </row>
    <row r="5" spans="1:28">
      <c r="A5" s="2106" t="s">
        <v>3136</v>
      </c>
      <c r="B5" s="2106"/>
      <c r="C5" s="2106"/>
      <c r="D5" s="2106"/>
      <c r="E5" s="2106"/>
      <c r="F5" s="2106"/>
      <c r="G5" s="2106"/>
      <c r="H5" s="2106"/>
      <c r="I5" s="2106"/>
      <c r="J5" s="2106"/>
      <c r="K5" s="2106"/>
      <c r="L5" s="2106"/>
      <c r="M5" s="2106"/>
      <c r="N5" s="2106"/>
      <c r="O5" s="2106"/>
      <c r="P5" s="2106"/>
      <c r="Q5" s="2106"/>
      <c r="R5" s="2106"/>
      <c r="S5" s="2106"/>
      <c r="T5" s="2106"/>
      <c r="U5" s="2106"/>
      <c r="V5" s="2106"/>
      <c r="W5" s="2106"/>
      <c r="X5" s="2106"/>
      <c r="Y5" s="2106"/>
      <c r="Z5" s="2106"/>
      <c r="AA5" s="2106"/>
      <c r="AB5" s="2106"/>
    </row>
    <row customHeight="1" ht="36.75" r="7" spans="1:28">
      <c r="A7" s="2107" t="s">
        <v>649</v>
      </c>
      <c r="B7" s="2067" t="s">
        <v>1768</v>
      </c>
      <c r="C7" s="2074" t="s">
        <v>3050</v>
      </c>
      <c r="D7" s="2103" t="s">
        <v>3137</v>
      </c>
      <c r="E7" s="2103"/>
      <c r="F7" s="2073" t="s">
        <v>3138</v>
      </c>
      <c r="G7" s="2077"/>
      <c r="H7" s="2077"/>
      <c r="I7" s="2077"/>
      <c r="J7" s="2077"/>
      <c r="K7" s="2077"/>
      <c r="L7" s="2077"/>
      <c r="M7" s="2077"/>
      <c r="N7" s="2078"/>
      <c r="O7" s="2067" t="s">
        <v>3139</v>
      </c>
      <c r="P7" s="2073" t="s">
        <v>3140</v>
      </c>
      <c r="Q7" s="2077"/>
      <c r="R7" s="2077"/>
      <c r="S7" s="2077"/>
      <c r="T7" s="2077"/>
      <c r="U7" s="2077"/>
      <c r="V7" s="2077"/>
      <c r="W7" s="2078"/>
      <c r="X7" s="2067" t="s">
        <v>3141</v>
      </c>
      <c r="Y7" s="2054" t="s">
        <v>3142</v>
      </c>
      <c r="Z7" s="2054"/>
      <c r="AA7" s="2054"/>
      <c r="AB7" s="2067" t="s">
        <v>701</v>
      </c>
    </row>
    <row customHeight="1" ht="27" r="8" spans="1:28">
      <c r="A8" s="2108"/>
      <c r="B8" s="2079"/>
      <c r="C8" s="2075"/>
      <c r="D8" s="2074" t="s">
        <v>27</v>
      </c>
      <c r="E8" s="2074" t="s">
        <v>1729</v>
      </c>
      <c r="F8" s="2074" t="s">
        <v>3143</v>
      </c>
      <c r="G8" s="2074" t="s">
        <v>3144</v>
      </c>
      <c r="H8" s="2093" t="s">
        <v>3145</v>
      </c>
      <c r="I8" s="2094"/>
      <c r="J8" s="2090" t="s">
        <v>3146</v>
      </c>
      <c r="K8" s="2099" t="s">
        <v>3147</v>
      </c>
      <c r="L8" s="2100"/>
      <c r="M8" s="2100"/>
      <c r="N8" s="2101"/>
      <c r="O8" s="2079"/>
      <c r="P8" s="2054" t="s">
        <v>3121</v>
      </c>
      <c r="Q8" s="2054"/>
      <c r="R8" s="2098" t="s">
        <v>3148</v>
      </c>
      <c r="S8" s="2098"/>
      <c r="T8" s="2098"/>
      <c r="U8" s="2098"/>
      <c r="V8" s="2098"/>
      <c r="W8" s="2098"/>
      <c r="X8" s="2079"/>
      <c r="Y8" s="2054" t="s">
        <v>3149</v>
      </c>
      <c r="Z8" s="2054"/>
      <c r="AA8" s="2067" t="s">
        <v>3111</v>
      </c>
      <c r="AB8" s="2079"/>
    </row>
    <row customHeight="1" ht="54" r="9" spans="1:28">
      <c r="A9" s="2108"/>
      <c r="B9" s="2079"/>
      <c r="C9" s="2075"/>
      <c r="D9" s="2075"/>
      <c r="E9" s="2075"/>
      <c r="F9" s="2075"/>
      <c r="G9" s="2075"/>
      <c r="H9" s="2069" t="s">
        <v>3150</v>
      </c>
      <c r="I9" s="2110" t="s">
        <v>3151</v>
      </c>
      <c r="J9" s="2091"/>
      <c r="K9" s="2067" t="s">
        <v>0</v>
      </c>
      <c r="L9" s="2067" t="s">
        <v>79</v>
      </c>
      <c r="M9" s="2067" t="s">
        <v>1776</v>
      </c>
      <c r="N9" s="2067" t="s">
        <v>3152</v>
      </c>
      <c r="O9" s="2079"/>
      <c r="P9" s="2104" t="s">
        <v>3153</v>
      </c>
      <c r="Q9" s="2075" t="s">
        <v>3154</v>
      </c>
      <c r="R9" s="2103" t="s">
        <v>3155</v>
      </c>
      <c r="S9" s="2103"/>
      <c r="T9" s="2103"/>
      <c r="U9" s="2054" t="s">
        <v>3156</v>
      </c>
      <c r="V9" s="2054"/>
      <c r="W9" s="2054"/>
      <c r="X9" s="2079"/>
      <c r="Y9" s="2102" t="s">
        <v>1256</v>
      </c>
      <c r="Z9" s="2102" t="s">
        <v>3157</v>
      </c>
      <c r="AA9" s="2079"/>
      <c r="AB9" s="2079"/>
    </row>
    <row customHeight="1" ht="50.25" r="10" spans="1:28">
      <c r="A10" s="2109"/>
      <c r="B10" s="2068"/>
      <c r="C10" s="2076"/>
      <c r="D10" s="2076"/>
      <c r="E10" s="2076"/>
      <c r="F10" s="2076"/>
      <c r="G10" s="2076"/>
      <c r="H10" s="2070"/>
      <c r="I10" s="2111"/>
      <c r="J10" s="2092"/>
      <c r="K10" s="2068"/>
      <c r="L10" s="2068"/>
      <c r="M10" s="2068"/>
      <c r="N10" s="2068"/>
      <c r="O10" s="2068"/>
      <c r="P10" s="2105"/>
      <c r="Q10" s="2076"/>
      <c r="R10" s="1218" t="s">
        <v>3158</v>
      </c>
      <c r="S10" s="1218" t="s">
        <v>3159</v>
      </c>
      <c r="T10" s="1218" t="s">
        <v>1729</v>
      </c>
      <c r="U10" s="1218" t="s">
        <v>3158</v>
      </c>
      <c r="V10" s="1218" t="s">
        <v>3159</v>
      </c>
      <c r="W10" s="1218" t="s">
        <v>1729</v>
      </c>
      <c r="X10" s="2068"/>
      <c r="Y10" s="2102"/>
      <c r="Z10" s="2102"/>
      <c r="AA10" s="2068"/>
      <c r="AB10" s="2068"/>
    </row>
    <row r="11" spans="1:28">
      <c r="A11" s="1219" t="s">
        <v>702</v>
      </c>
      <c r="B11" s="1219" t="s">
        <v>1583</v>
      </c>
      <c r="C11" s="1219" t="s">
        <v>3125</v>
      </c>
      <c r="D11" s="1219" t="s">
        <v>3126</v>
      </c>
      <c r="E11" s="1219" t="s">
        <v>3160</v>
      </c>
      <c r="F11" s="1220">
        <v>1</v>
      </c>
      <c r="G11" s="1220">
        <f>F11+1</f>
        <v>2</v>
      </c>
      <c r="H11" s="1220">
        <f ref="H11:AB11" si="0" t="shared">G11+1</f>
        <v>3</v>
      </c>
      <c r="I11" s="1220">
        <f si="0" t="shared"/>
        <v>4</v>
      </c>
      <c r="J11" s="1220">
        <f si="0" t="shared"/>
        <v>5</v>
      </c>
      <c r="K11" s="1220">
        <f si="0" t="shared"/>
        <v>6</v>
      </c>
      <c r="L11" s="1220">
        <f si="0" t="shared"/>
        <v>7</v>
      </c>
      <c r="M11" s="1220">
        <f si="0" t="shared"/>
        <v>8</v>
      </c>
      <c r="N11" s="1220">
        <f si="0" t="shared"/>
        <v>9</v>
      </c>
      <c r="O11" s="1220">
        <f si="0" t="shared"/>
        <v>10</v>
      </c>
      <c r="P11" s="1220">
        <f si="0" t="shared"/>
        <v>11</v>
      </c>
      <c r="Q11" s="1220">
        <f si="0" t="shared"/>
        <v>12</v>
      </c>
      <c r="R11" s="1220">
        <f si="0" t="shared"/>
        <v>13</v>
      </c>
      <c r="S11" s="1220">
        <f si="0" t="shared"/>
        <v>14</v>
      </c>
      <c r="T11" s="1220">
        <f si="0" t="shared"/>
        <v>15</v>
      </c>
      <c r="U11" s="1220">
        <f si="0" t="shared"/>
        <v>16</v>
      </c>
      <c r="V11" s="1220">
        <f si="0" t="shared"/>
        <v>17</v>
      </c>
      <c r="W11" s="1220">
        <f si="0" t="shared"/>
        <v>18</v>
      </c>
      <c r="X11" s="1220">
        <f si="0" t="shared"/>
        <v>19</v>
      </c>
      <c r="Y11" s="1220">
        <f si="0" t="shared"/>
        <v>20</v>
      </c>
      <c r="Z11" s="1220">
        <f si="0" t="shared"/>
        <v>21</v>
      </c>
      <c r="AA11" s="1220">
        <f si="0" t="shared"/>
        <v>22</v>
      </c>
      <c r="AB11" s="1220">
        <f si="0" t="shared"/>
        <v>23</v>
      </c>
    </row>
    <row customHeight="1" ht="11.25" r="12" spans="1:28">
      <c r="A12" s="2055" t="s">
        <v>3129</v>
      </c>
      <c r="B12" s="2056"/>
      <c r="C12" s="2056"/>
      <c r="D12" s="2056"/>
      <c r="E12" s="2056"/>
      <c r="F12" s="2056"/>
      <c r="G12" s="2057"/>
      <c r="H12" s="1194"/>
      <c r="I12" s="1194"/>
      <c r="J12" s="1194"/>
      <c r="K12" s="1194"/>
      <c r="L12" s="1194"/>
      <c r="M12" s="1194"/>
      <c r="N12" s="1194"/>
      <c r="O12" s="1194"/>
      <c r="P12" s="1194"/>
      <c r="Q12" s="1194"/>
      <c r="R12" s="1221"/>
      <c r="S12" s="1221"/>
      <c r="T12" s="1221"/>
      <c r="U12" s="1221"/>
      <c r="V12" s="1221"/>
      <c r="W12" s="1221"/>
      <c r="X12" s="1221"/>
      <c r="Y12" s="1221"/>
      <c r="Z12" s="1221"/>
      <c r="AA12" s="1221"/>
      <c r="AB12" s="1221"/>
    </row>
    <row customHeight="1" ht="11.25" r="13" spans="1:28">
      <c r="A13" s="1194"/>
      <c r="B13" s="2095" t="s">
        <v>3130</v>
      </c>
      <c r="C13" s="2096"/>
      <c r="D13" s="2096"/>
      <c r="E13" s="2096"/>
      <c r="F13" s="2096"/>
      <c r="G13" s="2097"/>
      <c r="H13" s="1222"/>
      <c r="I13" s="1222"/>
      <c r="J13" s="1222"/>
      <c r="K13" s="1222"/>
      <c r="L13" s="1222"/>
      <c r="M13" s="1222"/>
      <c r="N13" s="1222"/>
      <c r="O13" s="1222"/>
      <c r="P13" s="1222"/>
      <c r="Q13" s="1222"/>
      <c r="R13" s="1222"/>
      <c r="S13" s="1222"/>
      <c r="T13" s="1222"/>
      <c r="U13" s="1222"/>
      <c r="V13" s="1222"/>
      <c r="W13" s="1222"/>
      <c r="X13" s="1222"/>
      <c r="Y13" s="1222"/>
      <c r="Z13" s="1222"/>
      <c r="AA13" s="1222"/>
      <c r="AB13" s="1222"/>
    </row>
    <row customHeight="1" ht="73.5" r="14" spans="1:28">
      <c r="A14" s="1303">
        <v>4</v>
      </c>
      <c r="B14" s="1301"/>
      <c r="C14" s="1214"/>
      <c r="D14" s="1302" t="s">
        <v>3161</v>
      </c>
      <c r="E14" s="1304" t="s">
        <v>3162</v>
      </c>
      <c r="F14" s="1305"/>
      <c r="G14" s="1223" t="s">
        <v>3163</v>
      </c>
      <c r="H14" s="1306" t="s">
        <v>3134</v>
      </c>
      <c r="I14" s="1306" t="s">
        <v>3164</v>
      </c>
      <c r="J14" s="1224">
        <v>12.5601</v>
      </c>
      <c r="K14" s="1307"/>
      <c r="L14" s="1308" t="s">
        <v>3090</v>
      </c>
      <c r="M14" s="1302"/>
      <c r="N14" s="1309"/>
      <c r="O14" s="1302"/>
      <c r="P14" s="1225">
        <f>+J14</f>
        <v>12.5601</v>
      </c>
      <c r="Q14" s="1302"/>
      <c r="R14" s="1226"/>
      <c r="S14" s="1226"/>
      <c r="T14" s="1226"/>
      <c r="U14" s="1226"/>
      <c r="V14" s="1226"/>
      <c r="W14" s="1226"/>
      <c r="X14" s="1226"/>
      <c r="Y14" s="1226"/>
      <c r="Z14" s="1227"/>
      <c r="AA14" s="1221"/>
      <c r="AB14" s="1221"/>
    </row>
    <row customHeight="1" ht="16.5" r="15" spans="1:28">
      <c r="A15" s="1228"/>
      <c r="B15" s="1229"/>
      <c r="C15" s="2089" t="s">
        <v>36</v>
      </c>
      <c r="D15" s="2089"/>
      <c r="E15" s="2089"/>
      <c r="F15" s="2089"/>
      <c r="G15" s="2089"/>
      <c r="H15" s="2089"/>
      <c r="I15" s="1230"/>
      <c r="J15" s="1231">
        <f>SUM(J14:J14)</f>
        <v>12.5601</v>
      </c>
      <c r="K15" s="1231">
        <f>SUM(K14:K14)</f>
        <v>0</v>
      </c>
      <c r="L15" s="1231">
        <f>SUM(L14:L14)</f>
        <v>0</v>
      </c>
      <c r="M15" s="1231">
        <f>SUM(M14:M14)</f>
        <v>0</v>
      </c>
      <c r="N15" s="1231"/>
      <c r="O15" s="1231">
        <f>SUM(O14:O14)</f>
        <v>0</v>
      </c>
      <c r="P15" s="1231">
        <f>SUM(P14:P14)</f>
        <v>12.5601</v>
      </c>
      <c r="Q15" s="1231">
        <f>SUM(Q14:Q14)</f>
        <v>0</v>
      </c>
      <c r="R15" s="1231"/>
      <c r="S15" s="1231"/>
      <c r="T15" s="1231"/>
      <c r="U15" s="1231"/>
      <c r="V15" s="1231"/>
      <c r="W15" s="1231"/>
      <c r="X15" s="1231"/>
      <c r="Y15" s="1231"/>
      <c r="Z15" s="1231">
        <f>SUM(Z14:Z14)</f>
        <v>0</v>
      </c>
      <c r="AA15" s="1231">
        <f>SUM(AA14:AA14)</f>
        <v>0</v>
      </c>
      <c r="AB15" s="1231">
        <f>SUM(AB14:AB14)</f>
        <v>0</v>
      </c>
    </row>
    <row customFormat="1" ht="15" r="74" s="1232"/>
    <row customFormat="1" ht="15" r="75" s="1232"/>
    <row customFormat="1" ht="15" r="76" s="1232"/>
    <row customFormat="1" customHeight="1" ht="18" r="77" s="1232"/>
    <row customFormat="1" ht="15" r="78" s="1232"/>
    <row customFormat="1" ht="15" r="79" s="1232"/>
    <row customFormat="1" ht="15" r="80" s="1232"/>
    <row customFormat="1" ht="15" r="81" s="1232"/>
    <row customFormat="1" ht="15" r="82" s="1232"/>
    <row customFormat="1" ht="15" r="83" s="1232"/>
    <row customFormat="1" ht="15" r="84" s="1232"/>
    <row customFormat="1" ht="15" r="85" s="1232"/>
    <row customFormat="1" ht="15" r="86" s="1232"/>
    <row customFormat="1" ht="15" r="87" s="1232"/>
    <row customFormat="1" ht="15" r="88" s="1232"/>
    <row customFormat="1" ht="15" r="89" s="1232"/>
    <row customFormat="1" ht="15" r="90" s="1232"/>
    <row customFormat="1" ht="15" r="91" s="1232"/>
    <row customFormat="1" ht="15" r="92" s="1232"/>
    <row customFormat="1" ht="15" r="93" s="1232"/>
    <row customFormat="1" ht="15" r="94" s="1232"/>
    <row customFormat="1" ht="15" r="95" s="1232"/>
    <row customFormat="1" ht="15" r="96" s="1232"/>
    <row customFormat="1" ht="15" r="97" s="1232"/>
    <row customFormat="1" ht="15" r="98" s="1232"/>
    <row customFormat="1" ht="15" r="99" s="1232"/>
    <row customFormat="1" ht="15" r="100" s="1232"/>
    <row customFormat="1" ht="15" r="101" s="1232"/>
    <row customFormat="1" ht="15" r="102" s="1232"/>
    <row customFormat="1" ht="15" r="103" s="1232"/>
    <row customFormat="1" ht="15" r="104" s="1232"/>
    <row customFormat="1" ht="15" r="105" s="1232"/>
    <row customFormat="1" ht="15" r="106" s="1232"/>
    <row customFormat="1" ht="15" r="107" s="1232"/>
    <row customFormat="1" ht="15" r="108" s="1232"/>
    <row customFormat="1" ht="15" r="109" s="1232"/>
    <row customFormat="1" ht="15" r="110" s="1232"/>
    <row customFormat="1" ht="15" r="111" s="1232"/>
    <row customFormat="1" ht="15" r="112" s="1232"/>
    <row customFormat="1" ht="15" r="113" s="1232"/>
    <row customFormat="1" ht="15" r="114" s="1232"/>
    <row customFormat="1" ht="15" r="115" s="1232"/>
    <row customFormat="1" ht="15" r="116" s="1232"/>
    <row customFormat="1" ht="15" r="117" s="1232"/>
    <row customFormat="1" ht="15" r="118" s="1232"/>
    <row customFormat="1" ht="15" r="119" s="1232"/>
    <row customFormat="1" ht="15" r="120" s="1232"/>
    <row customFormat="1" ht="15" r="121" s="1232"/>
    <row customFormat="1" ht="15" r="122" s="1232"/>
    <row customFormat="1" ht="15" r="123" s="1232"/>
    <row customFormat="1" ht="15" r="124" s="1232"/>
    <row customFormat="1" ht="15" r="125" s="1232"/>
    <row customFormat="1" ht="15" r="126" s="1232"/>
    <row customFormat="1" ht="15" r="127" s="1232"/>
    <row customFormat="1" ht="15" r="128" s="1232"/>
    <row customFormat="1" ht="15" r="129" s="1232"/>
    <row customFormat="1" ht="15" r="130" s="1232"/>
    <row customFormat="1" ht="15" r="131" s="1232"/>
    <row customFormat="1" ht="15" r="132" s="1232"/>
    <row customFormat="1" ht="15" r="133" s="1232"/>
    <row customFormat="1" ht="15" r="134" s="1232"/>
    <row customFormat="1" ht="15" r="135" s="1232"/>
    <row customFormat="1" ht="15" r="136" s="1232"/>
    <row customFormat="1" ht="15" r="137" s="1232"/>
    <row customFormat="1" ht="15" r="138" s="1232"/>
    <row customFormat="1" ht="15" r="139" s="1232"/>
    <row customFormat="1" ht="15" r="140" s="1232"/>
    <row customFormat="1" ht="15" r="141" s="1232"/>
    <row customFormat="1" ht="15" r="142" s="1232"/>
    <row customFormat="1" ht="15" r="143" s="1232"/>
    <row customFormat="1" ht="15" r="144" s="1232"/>
    <row customFormat="1" ht="15" r="145" s="1232"/>
    <row customFormat="1" ht="15" r="146" s="1232"/>
    <row customFormat="1" ht="15" r="147" s="1232"/>
    <row customFormat="1" ht="15" r="148" s="1232"/>
    <row customFormat="1" ht="15" r="149" s="1232"/>
    <row customFormat="1" ht="15" r="150" s="1232"/>
    <row customFormat="1" ht="15" r="151" s="1232"/>
    <row customFormat="1" ht="15" r="152" s="1232"/>
    <row customFormat="1" ht="15" r="153" s="1232"/>
    <row customFormat="1" ht="15" r="154" s="1232"/>
    <row customFormat="1" ht="15" r="155" s="1232"/>
    <row customFormat="1" ht="15" r="156" s="1232"/>
    <row customFormat="1" ht="15" r="157" s="1232"/>
    <row customFormat="1" ht="15" r="158" s="1232"/>
    <row customFormat="1" ht="15" r="159" s="1232"/>
    <row customFormat="1" ht="15" r="160" s="1232"/>
    <row customFormat="1" ht="15" r="161" s="1232"/>
    <row customFormat="1" ht="15" r="162" s="1232"/>
    <row customFormat="1" ht="15" r="163" s="1232"/>
    <row customFormat="1" ht="15" r="164" s="1232"/>
    <row customFormat="1" ht="15" r="165" s="1232"/>
    <row customFormat="1" ht="15" r="166" s="1232"/>
    <row customFormat="1" ht="15" r="167" s="1232"/>
    <row customFormat="1" ht="15" r="168" s="1232"/>
    <row customFormat="1" ht="15" r="169" s="1232"/>
    <row customFormat="1" ht="15" r="170" s="1232"/>
    <row customFormat="1" ht="15" r="171" s="1232"/>
    <row customFormat="1" ht="15" r="172" s="1232"/>
    <row customFormat="1" ht="15" r="173" s="1232"/>
    <row customFormat="1" ht="15" r="174" s="1232"/>
    <row customFormat="1" ht="15" r="175" s="1232"/>
    <row customFormat="1" ht="15" r="176" s="1232"/>
    <row customFormat="1" ht="15" r="177" s="1232"/>
    <row customFormat="1" ht="15" r="178" s="1232"/>
    <row customFormat="1" ht="15" r="179" s="1232"/>
    <row customFormat="1" ht="15" r="180" s="1232"/>
    <row customFormat="1" ht="15" r="181" s="1232"/>
    <row customFormat="1" ht="15" r="182" s="1232"/>
    <row customFormat="1" ht="15" r="183" s="1232"/>
    <row customFormat="1" ht="15" r="184" s="1232"/>
    <row customFormat="1" ht="15" r="185" s="1232"/>
    <row customFormat="1" ht="15" r="186" s="1232"/>
    <row customFormat="1" ht="15" r="187" s="1232"/>
    <row customFormat="1" ht="15" r="188" s="1232"/>
    <row customFormat="1" ht="15" r="189" s="1232"/>
    <row customFormat="1" ht="15" r="190" s="1232"/>
    <row customFormat="1" ht="15" r="191" s="1232"/>
    <row customFormat="1" ht="15" r="192" s="1232"/>
    <row customFormat="1" ht="15" r="193" s="1232"/>
    <row customFormat="1" ht="15" r="194" s="1232"/>
    <row customFormat="1" ht="15" r="195" s="1232"/>
    <row customFormat="1" ht="15" r="196" s="1232"/>
    <row customFormat="1" ht="15" r="197" s="1232"/>
    <row customFormat="1" ht="15" r="198" s="1232"/>
    <row customFormat="1" ht="15" r="199" s="1232"/>
    <row customFormat="1" ht="15" r="200" s="1232"/>
    <row customFormat="1" ht="15" r="201" s="1232"/>
    <row customFormat="1" ht="15" r="202" s="1232"/>
    <row customFormat="1" ht="15" r="203" s="1232"/>
    <row customFormat="1" ht="15" r="204" s="1232"/>
    <row customFormat="1" ht="15" r="205" s="1232"/>
    <row customFormat="1" ht="15" r="206" s="1232"/>
    <row customFormat="1" ht="15" r="207" s="1232"/>
    <row customFormat="1" ht="15" r="208" s="1232"/>
    <row customFormat="1" ht="15" r="209" s="1232"/>
    <row customFormat="1" ht="15" r="210" s="1232"/>
    <row customFormat="1" ht="15" r="211" s="1232"/>
    <row customFormat="1" ht="15" r="212" s="1232"/>
    <row customFormat="1" ht="15" r="213" s="1232"/>
    <row customFormat="1" ht="15" r="214" s="1232"/>
    <row customFormat="1" ht="15" r="215" s="1232"/>
    <row customFormat="1" ht="15" r="216" s="1232"/>
    <row customFormat="1" ht="15" r="217" s="1232"/>
    <row customFormat="1" ht="15" r="218" s="1232"/>
    <row customFormat="1" ht="15" r="219" s="1232"/>
    <row customFormat="1" ht="15" r="220" s="1232"/>
    <row customFormat="1" ht="15" r="221" s="1232"/>
    <row customFormat="1" ht="15" r="222" s="1232"/>
    <row customFormat="1" ht="15" r="223" s="1232"/>
    <row customFormat="1" ht="15" r="224" s="1232"/>
    <row customFormat="1" ht="15" r="225" s="1232"/>
    <row customFormat="1" ht="15" r="226" s="1232"/>
    <row customFormat="1" ht="15" r="227" s="1232"/>
    <row customFormat="1" ht="15" r="228" s="1232"/>
    <row customFormat="1" ht="15" r="229" s="1232"/>
    <row customFormat="1" ht="15" r="230" s="1232"/>
    <row customFormat="1" ht="15" r="231" s="1232"/>
    <row customFormat="1" ht="15" r="232" s="1232"/>
    <row customFormat="1" ht="15" r="233" s="1232"/>
    <row customFormat="1" ht="15" r="234" s="1232"/>
    <row customFormat="1" ht="15" r="235" s="1232"/>
    <row customFormat="1" ht="15" r="236" s="1232"/>
    <row customFormat="1" ht="15" r="237" s="1232"/>
    <row customFormat="1" ht="15" r="238" s="1232"/>
    <row customFormat="1" ht="15" r="239" s="1232"/>
    <row customFormat="1" ht="15" r="240" s="1232"/>
    <row customFormat="1" ht="15" r="241" s="1232"/>
    <row customFormat="1" ht="15" r="242" s="1232"/>
    <row customFormat="1" ht="15" r="243" s="1232"/>
    <row customFormat="1" ht="15" r="244" s="1232"/>
    <row customFormat="1" ht="15" r="245" s="1232"/>
    <row customFormat="1" ht="15" r="246" s="1232"/>
    <row customFormat="1" ht="15" r="247" s="1232"/>
    <row customFormat="1" ht="15" r="248" s="1232"/>
    <row customFormat="1" ht="15" r="249" s="1232"/>
    <row customFormat="1" ht="15" r="250" s="1232"/>
    <row customFormat="1" ht="15" r="251" s="1232"/>
    <row customFormat="1" ht="15" r="252" s="1232"/>
    <row customFormat="1" ht="15" r="253" s="1232"/>
    <row customFormat="1" ht="15" r="254" s="1232"/>
    <row customFormat="1" ht="15" r="255" s="1232"/>
    <row customFormat="1" ht="15" r="256" s="1232"/>
    <row customFormat="1" ht="15" r="257" s="1232"/>
    <row customFormat="1" ht="15" r="258" s="1232"/>
    <row customFormat="1" ht="15" r="259" s="1232"/>
    <row customFormat="1" ht="15" r="260" s="1232"/>
    <row customFormat="1" ht="15" r="261" s="1232"/>
  </sheetData>
  <mergeCells count="37">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 ref="Y9:Y10"/>
    <mergeCell ref="Z9:Z10"/>
    <mergeCell ref="R9:T9"/>
    <mergeCell ref="K9:K10"/>
    <mergeCell ref="L9:L10"/>
    <mergeCell ref="M9:M10"/>
    <mergeCell ref="N9:N10"/>
    <mergeCell ref="P9:P10"/>
    <mergeCell ref="R8:W8"/>
    <mergeCell ref="K8:N8"/>
    <mergeCell ref="P8:Q8"/>
    <mergeCell ref="Q9:Q10"/>
    <mergeCell ref="U9:W9"/>
    <mergeCell ref="C15:H15"/>
    <mergeCell ref="J8:J10"/>
    <mergeCell ref="H8:I8"/>
    <mergeCell ref="E8:E10"/>
    <mergeCell ref="F8:F10"/>
    <mergeCell ref="G8:G10"/>
    <mergeCell ref="A12:G12"/>
    <mergeCell ref="B13:G13"/>
  </mergeCells>
  <pageMargins bottom="0.25" footer="0.3" header="0.3" left="0.45" right="0.2" top="0.25"/>
  <pageSetup orientation="landscape" paperSize="9" r:id="rId1" scale="50"/>
  <drawing r:id="rId2"/>
  <legacyDrawing r:id="rId3"/>
</worksheet>
</file>

<file path=xl/worksheets/sheet103.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K77"/>
  <sheetViews>
    <sheetView topLeftCell="A5" workbookViewId="0" zoomScale="70" zoomScaleNormal="70">
      <pane activePane="bottomLeft" state="frozen" topLeftCell="A12" ySplit="7"/>
      <selection activeCell="Q17" sqref="Q17"/>
      <selection activeCell="G91" pane="bottomLeft" sqref="G91"/>
    </sheetView>
  </sheetViews>
  <sheetFormatPr defaultRowHeight="12.75"/>
  <cols>
    <col min="1" max="1" customWidth="true" style="1233" width="3.5703125" collapsed="false"/>
    <col min="2" max="2" customWidth="true" style="1233" width="18.85546875" collapsed="false"/>
    <col min="3" max="3" customWidth="true" style="1233" width="45.28515625" collapsed="false"/>
    <col min="4" max="4" customWidth="true" style="1233" width="10.0" collapsed="false"/>
    <col min="5" max="5" customWidth="true" style="1233" width="8.140625" collapsed="false"/>
    <col min="6" max="6" customWidth="true" style="1233" width="12.5703125" collapsed="false"/>
    <col min="7" max="7" customWidth="true" style="1233" width="35.5703125" collapsed="false"/>
    <col min="8" max="8" customWidth="true" style="1233" width="11.42578125" collapsed="false"/>
    <col min="9" max="9" customWidth="true" style="1233" width="11.28515625" collapsed="false"/>
    <col min="10" max="10" customWidth="true" style="1233" width="10.42578125" collapsed="false"/>
    <col min="11" max="11" customWidth="true" style="1233" width="4.7109375" collapsed="false"/>
    <col min="12" max="12" customWidth="true" style="1233" width="10.5703125" collapsed="false"/>
    <col min="13" max="13" customWidth="true" style="1233" width="8.140625" collapsed="false"/>
    <col min="14" max="14" customWidth="true" style="1233" width="6.42578125" collapsed="false"/>
    <col min="15" max="15" customWidth="true" style="1233" width="15.7109375" collapsed="false"/>
    <col min="16" max="16" customWidth="true" style="1233" width="12.42578125" collapsed="false"/>
    <col min="17" max="17" customWidth="true" style="1233" width="15.5703125" collapsed="false"/>
    <col min="18" max="18" customWidth="true" style="1233" width="10.0" collapsed="false"/>
    <col min="19" max="19" customWidth="true" style="1233" width="15.7109375" collapsed="false"/>
    <col min="20" max="20" customWidth="true" style="1233" width="15.5703125" collapsed="false"/>
    <col min="21" max="21" customWidth="true" style="1233" width="4.42578125" collapsed="false"/>
    <col min="22" max="22" customWidth="true" style="1233" width="5.5703125" collapsed="false"/>
    <col min="23" max="23" customWidth="true" style="1233" width="7.5703125" collapsed="false"/>
    <col min="24" max="34" customWidth="true" style="1233" width="5.5703125" collapsed="false"/>
    <col min="35" max="35" customWidth="true" style="1233" width="7.28515625" collapsed="false"/>
    <col min="36" max="36" customWidth="true" style="1233" width="8.0" collapsed="false"/>
    <col min="37" max="16384" style="1233" width="9.140625" collapsed="false"/>
  </cols>
  <sheetData>
    <row r="1" spans="1:37">
      <c r="S1" s="1234"/>
      <c r="T1" s="1234"/>
      <c r="U1" s="1234"/>
      <c r="V1" s="1234"/>
      <c r="W1" s="1234"/>
      <c r="X1" s="1234"/>
      <c r="Y1" s="1234"/>
      <c r="Z1" s="1234"/>
      <c r="AA1" s="1234"/>
      <c r="AB1" s="1234"/>
      <c r="AC1" s="1234"/>
      <c r="AD1" s="1235"/>
      <c r="AG1" s="1235"/>
      <c r="AH1" s="1235"/>
      <c r="AI1" s="1235"/>
      <c r="AJ1" s="1235"/>
    </row>
    <row r="2" spans="1:37">
      <c r="C2" s="1236" t="s">
        <v>3135</v>
      </c>
      <c r="M2" s="1237"/>
      <c r="N2" s="1237"/>
      <c r="O2" s="1237"/>
      <c r="P2" s="1237"/>
      <c r="W2" s="1238"/>
      <c r="AA2" s="1237"/>
      <c r="AB2" s="1237"/>
      <c r="AC2" s="1237"/>
      <c r="AE2" s="1239"/>
      <c r="AF2" s="1237"/>
      <c r="AG2" s="1239"/>
    </row>
    <row r="3" spans="1:37">
      <c r="M3" s="1237"/>
      <c r="N3" s="1237"/>
      <c r="O3" s="1237"/>
      <c r="W3" s="1240"/>
      <c r="Z3" s="1237"/>
      <c r="AA3" s="1237"/>
      <c r="AB3" s="1237"/>
      <c r="AC3" s="1237"/>
      <c r="AD3" s="1237"/>
      <c r="AE3" s="1237"/>
      <c r="AF3" s="1237"/>
      <c r="AG3" s="1239"/>
    </row>
    <row r="5" spans="1:37">
      <c r="A5" s="2142" t="s">
        <v>3165</v>
      </c>
      <c r="B5" s="2142"/>
      <c r="C5" s="2142"/>
      <c r="D5" s="2142"/>
      <c r="E5" s="2142"/>
      <c r="F5" s="2142"/>
      <c r="G5" s="2142"/>
      <c r="H5" s="2142"/>
      <c r="I5" s="2142"/>
      <c r="J5" s="2142"/>
      <c r="K5" s="2142"/>
      <c r="L5" s="2142"/>
      <c r="M5" s="2142"/>
      <c r="N5" s="2142"/>
      <c r="O5" s="2142"/>
      <c r="P5" s="2142"/>
      <c r="Q5" s="2142"/>
      <c r="R5" s="2142"/>
      <c r="S5" s="2142"/>
      <c r="T5" s="2142"/>
      <c r="U5" s="2142"/>
      <c r="V5" s="2142"/>
      <c r="W5" s="2142"/>
      <c r="X5" s="2142"/>
      <c r="Y5" s="2142"/>
      <c r="Z5" s="2142"/>
      <c r="AA5" s="2142"/>
      <c r="AB5" s="2142"/>
      <c r="AC5" s="2142"/>
      <c r="AD5" s="2142"/>
      <c r="AE5" s="2142"/>
      <c r="AF5" s="2142"/>
      <c r="AG5" s="2142"/>
      <c r="AH5" s="2142"/>
      <c r="AI5" s="2142"/>
      <c r="AJ5" s="2142"/>
    </row>
    <row customHeight="1" ht="27.75" r="7" spans="1:37">
      <c r="A7" s="2143" t="s">
        <v>649</v>
      </c>
      <c r="B7" s="2118" t="s">
        <v>1768</v>
      </c>
      <c r="C7" s="2128" t="s">
        <v>3050</v>
      </c>
      <c r="D7" s="2120" t="s">
        <v>3137</v>
      </c>
      <c r="E7" s="2120"/>
      <c r="F7" s="2121" t="s">
        <v>3166</v>
      </c>
      <c r="G7" s="2133"/>
      <c r="H7" s="2133"/>
      <c r="I7" s="2133"/>
      <c r="J7" s="2133"/>
      <c r="K7" s="2133"/>
      <c r="L7" s="2133"/>
      <c r="M7" s="2133"/>
      <c r="N7" s="2133"/>
      <c r="O7" s="2133"/>
      <c r="P7" s="2133"/>
      <c r="Q7" s="2133"/>
      <c r="R7" s="2134"/>
      <c r="S7" s="2128" t="s">
        <v>3167</v>
      </c>
      <c r="T7" s="2121" t="s">
        <v>3168</v>
      </c>
      <c r="U7" s="2133"/>
      <c r="V7" s="2133"/>
      <c r="W7" s="2133"/>
      <c r="X7" s="2133"/>
      <c r="Y7" s="2133"/>
      <c r="Z7" s="2133"/>
      <c r="AA7" s="2133"/>
      <c r="AB7" s="2133"/>
      <c r="AC7" s="2133"/>
      <c r="AD7" s="2133"/>
      <c r="AE7" s="2133"/>
      <c r="AF7" s="2133"/>
      <c r="AG7" s="2147" t="s">
        <v>3141</v>
      </c>
      <c r="AH7" s="2148" t="s">
        <v>3169</v>
      </c>
      <c r="AI7" s="2149"/>
      <c r="AJ7" s="2128" t="s">
        <v>701</v>
      </c>
      <c r="AK7" s="2128" t="s">
        <v>1264</v>
      </c>
    </row>
    <row customHeight="1" ht="27" r="8" spans="1:37">
      <c r="A8" s="2144"/>
      <c r="B8" s="2146"/>
      <c r="C8" s="2129"/>
      <c r="D8" s="2128" t="s">
        <v>27</v>
      </c>
      <c r="E8" s="2128" t="s">
        <v>1729</v>
      </c>
      <c r="F8" s="2128" t="s">
        <v>3170</v>
      </c>
      <c r="G8" s="2128" t="s">
        <v>3171</v>
      </c>
      <c r="H8" s="2131" t="s">
        <v>3172</v>
      </c>
      <c r="I8" s="2132"/>
      <c r="J8" s="2121" t="s">
        <v>3173</v>
      </c>
      <c r="K8" s="2133"/>
      <c r="L8" s="2133"/>
      <c r="M8" s="2133"/>
      <c r="N8" s="2134"/>
      <c r="O8" s="2121" t="s">
        <v>3174</v>
      </c>
      <c r="P8" s="2133"/>
      <c r="Q8" s="2133"/>
      <c r="R8" s="2134"/>
      <c r="S8" s="2129"/>
      <c r="T8" s="2120" t="s">
        <v>3175</v>
      </c>
      <c r="U8" s="2120"/>
      <c r="V8" s="2120"/>
      <c r="W8" s="2120"/>
      <c r="X8" s="2120"/>
      <c r="Y8" s="2120"/>
      <c r="Z8" s="2135" t="s">
        <v>3148</v>
      </c>
      <c r="AA8" s="2135"/>
      <c r="AB8" s="2135"/>
      <c r="AC8" s="2136"/>
      <c r="AD8" s="2136"/>
      <c r="AE8" s="2136"/>
      <c r="AF8" s="2137"/>
      <c r="AG8" s="2147"/>
      <c r="AH8" s="2150"/>
      <c r="AI8" s="2151"/>
      <c r="AJ8" s="2129"/>
      <c r="AK8" s="2129"/>
    </row>
    <row customHeight="1" ht="49.5" r="9" spans="1:37">
      <c r="A9" s="2144"/>
      <c r="B9" s="2146"/>
      <c r="C9" s="2129"/>
      <c r="D9" s="2129"/>
      <c r="E9" s="2129"/>
      <c r="F9" s="2129"/>
      <c r="G9" s="2129"/>
      <c r="H9" s="2138" t="s">
        <v>3150</v>
      </c>
      <c r="I9" s="2140" t="s">
        <v>3176</v>
      </c>
      <c r="J9" s="2128" t="s">
        <v>3153</v>
      </c>
      <c r="K9" s="2121" t="s">
        <v>3107</v>
      </c>
      <c r="L9" s="2133"/>
      <c r="M9" s="2133"/>
      <c r="N9" s="2134"/>
      <c r="O9" s="2118" t="s">
        <v>0</v>
      </c>
      <c r="P9" s="2118" t="s">
        <v>79</v>
      </c>
      <c r="Q9" s="2118" t="s">
        <v>1776</v>
      </c>
      <c r="R9" s="2118" t="s">
        <v>3152</v>
      </c>
      <c r="S9" s="2129"/>
      <c r="T9" s="2118" t="s">
        <v>3177</v>
      </c>
      <c r="U9" s="2118" t="s">
        <v>3153</v>
      </c>
      <c r="V9" s="2154" t="s">
        <v>3107</v>
      </c>
      <c r="W9" s="2155"/>
      <c r="X9" s="2155"/>
      <c r="Y9" s="2156"/>
      <c r="Z9" s="2157" t="s">
        <v>3153</v>
      </c>
      <c r="AA9" s="2120" t="s">
        <v>3155</v>
      </c>
      <c r="AB9" s="2120"/>
      <c r="AC9" s="2120"/>
      <c r="AD9" s="2120" t="s">
        <v>3156</v>
      </c>
      <c r="AE9" s="2120"/>
      <c r="AF9" s="2121"/>
      <c r="AG9" s="2147"/>
      <c r="AH9" s="2152"/>
      <c r="AI9" s="2153"/>
      <c r="AJ9" s="2129"/>
      <c r="AK9" s="2129"/>
    </row>
    <row customHeight="1" ht="53.25" r="10" spans="1:37">
      <c r="A10" s="2145"/>
      <c r="B10" s="2119"/>
      <c r="C10" s="2130"/>
      <c r="D10" s="2130"/>
      <c r="E10" s="2130"/>
      <c r="F10" s="2130"/>
      <c r="G10" s="2130"/>
      <c r="H10" s="2139"/>
      <c r="I10" s="2141"/>
      <c r="J10" s="2130"/>
      <c r="K10" s="1241" t="s">
        <v>3178</v>
      </c>
      <c r="L10" s="1241" t="s">
        <v>3179</v>
      </c>
      <c r="M10" s="1241" t="s">
        <v>3180</v>
      </c>
      <c r="N10" s="1241" t="s">
        <v>82</v>
      </c>
      <c r="O10" s="2119"/>
      <c r="P10" s="2119"/>
      <c r="Q10" s="2119"/>
      <c r="R10" s="2119"/>
      <c r="S10" s="2130"/>
      <c r="T10" s="2119"/>
      <c r="U10" s="2119"/>
      <c r="V10" s="1241" t="s">
        <v>3181</v>
      </c>
      <c r="W10" s="1241" t="s">
        <v>3179</v>
      </c>
      <c r="X10" s="1241" t="s">
        <v>3180</v>
      </c>
      <c r="Y10" s="1241" t="s">
        <v>82</v>
      </c>
      <c r="Z10" s="2158"/>
      <c r="AA10" s="1242" t="s">
        <v>3158</v>
      </c>
      <c r="AB10" s="1242" t="s">
        <v>3159</v>
      </c>
      <c r="AC10" s="1242" t="s">
        <v>1729</v>
      </c>
      <c r="AD10" s="1242" t="s">
        <v>3158</v>
      </c>
      <c r="AE10" s="1242" t="s">
        <v>3159</v>
      </c>
      <c r="AF10" s="1242" t="s">
        <v>1729</v>
      </c>
      <c r="AG10" s="2147"/>
      <c r="AH10" s="1243" t="s">
        <v>1256</v>
      </c>
      <c r="AI10" s="1244" t="s">
        <v>3182</v>
      </c>
      <c r="AJ10" s="2130"/>
      <c r="AK10" s="2130" t="s">
        <v>1264</v>
      </c>
    </row>
    <row customHeight="1" ht="15" r="11" spans="1:37">
      <c r="A11" s="1245" t="s">
        <v>702</v>
      </c>
      <c r="B11" s="1245" t="s">
        <v>1583</v>
      </c>
      <c r="C11" s="1245" t="s">
        <v>3125</v>
      </c>
      <c r="D11" s="1245" t="s">
        <v>3126</v>
      </c>
      <c r="E11" s="1245" t="s">
        <v>3160</v>
      </c>
      <c r="F11" s="1246">
        <v>1</v>
      </c>
      <c r="G11" s="1246">
        <v>2</v>
      </c>
      <c r="H11" s="1246">
        <v>3</v>
      </c>
      <c r="I11" s="1246">
        <v>4</v>
      </c>
      <c r="J11" s="1246">
        <v>5</v>
      </c>
      <c r="K11" s="1246">
        <v>6</v>
      </c>
      <c r="L11" s="1246">
        <v>7</v>
      </c>
      <c r="M11" s="1246">
        <v>8</v>
      </c>
      <c r="N11" s="1246">
        <v>9</v>
      </c>
      <c r="O11" s="1246">
        <v>10</v>
      </c>
      <c r="P11" s="1246">
        <v>11</v>
      </c>
      <c r="Q11" s="1246">
        <v>12</v>
      </c>
      <c r="R11" s="1246">
        <v>13</v>
      </c>
      <c r="S11" s="1246">
        <v>14</v>
      </c>
      <c r="T11" s="1247">
        <v>15</v>
      </c>
      <c r="U11" s="1248">
        <v>16</v>
      </c>
      <c r="V11" s="1248">
        <v>17</v>
      </c>
      <c r="W11" s="1248">
        <v>18</v>
      </c>
      <c r="X11" s="1248">
        <v>19</v>
      </c>
      <c r="Y11" s="1248">
        <v>20</v>
      </c>
      <c r="Z11" s="1246">
        <v>21</v>
      </c>
      <c r="AA11" s="1246">
        <v>22</v>
      </c>
      <c r="AB11" s="1246">
        <v>23</v>
      </c>
      <c r="AC11" s="1246">
        <v>24</v>
      </c>
      <c r="AD11" s="1246">
        <v>25</v>
      </c>
      <c r="AE11" s="1246">
        <v>26</v>
      </c>
      <c r="AF11" s="1246">
        <v>27</v>
      </c>
      <c r="AG11" s="1246">
        <v>28</v>
      </c>
      <c r="AH11" s="1247">
        <v>29</v>
      </c>
      <c r="AI11" s="1247">
        <v>30</v>
      </c>
      <c r="AJ11" s="1247">
        <v>31</v>
      </c>
    </row>
    <row customHeight="1" ht="12" r="12" spans="1:37">
      <c r="A12" s="2122" t="s">
        <v>3127</v>
      </c>
      <c r="B12" s="2123"/>
      <c r="C12" s="2123"/>
      <c r="D12" s="2123"/>
      <c r="E12" s="2123"/>
      <c r="F12" s="2123"/>
      <c r="G12" s="2123"/>
      <c r="H12" s="2123"/>
      <c r="I12" s="2123"/>
      <c r="J12" s="1249"/>
      <c r="K12" s="1249"/>
      <c r="L12" s="1249"/>
      <c r="M12" s="1249"/>
      <c r="N12" s="1249"/>
      <c r="O12" s="1249"/>
      <c r="P12" s="1249"/>
      <c r="Q12" s="1249"/>
      <c r="R12" s="1249"/>
      <c r="S12" s="1249"/>
      <c r="T12" s="1249"/>
      <c r="U12" s="1250"/>
      <c r="V12" s="1251"/>
      <c r="W12" s="1251"/>
      <c r="X12" s="1251"/>
      <c r="Y12" s="1251"/>
      <c r="Z12" s="1249"/>
      <c r="AA12" s="1249"/>
      <c r="AB12" s="1249"/>
      <c r="AC12" s="1249"/>
      <c r="AD12" s="1249"/>
      <c r="AE12" s="1249"/>
      <c r="AF12" s="1249"/>
      <c r="AG12" s="1249"/>
      <c r="AH12" s="1252"/>
      <c r="AI12" s="1252"/>
      <c r="AJ12" s="1252"/>
      <c r="AK12" s="1253"/>
    </row>
    <row customHeight="1" ht="11.25" r="13" spans="1:37">
      <c r="A13" s="1254"/>
      <c r="B13" s="2124" t="s">
        <v>3183</v>
      </c>
      <c r="C13" s="2124"/>
      <c r="D13" s="2124"/>
      <c r="E13" s="2124"/>
      <c r="F13" s="2124"/>
      <c r="G13" s="2124"/>
      <c r="H13" s="2124"/>
      <c r="I13" s="2124"/>
      <c r="J13" s="1255"/>
      <c r="K13" s="1255"/>
      <c r="L13" s="1255"/>
      <c r="M13" s="1255"/>
      <c r="N13" s="1255"/>
      <c r="O13" s="1255"/>
      <c r="P13" s="1255"/>
      <c r="Q13" s="1255"/>
      <c r="R13" s="1255"/>
      <c r="S13" s="1255"/>
      <c r="T13" s="1255"/>
      <c r="U13" s="1255"/>
      <c r="V13" s="1255"/>
      <c r="W13" s="1255"/>
      <c r="X13" s="1255"/>
      <c r="Y13" s="1255"/>
      <c r="Z13" s="1255"/>
      <c r="AA13" s="1255"/>
      <c r="AB13" s="1255"/>
      <c r="AC13" s="1255"/>
      <c r="AD13" s="1255"/>
      <c r="AE13" s="1255"/>
      <c r="AF13" s="1255"/>
      <c r="AG13" s="1255"/>
      <c r="AH13" s="1252"/>
      <c r="AI13" s="1252"/>
      <c r="AJ13" s="1252"/>
      <c r="AK13" s="1253"/>
    </row>
    <row customHeight="1" ht="11.25" r="14" spans="1:37">
      <c r="A14" s="1254"/>
      <c r="B14" s="1254"/>
      <c r="C14" s="1254"/>
      <c r="D14" s="1254"/>
      <c r="E14" s="1254"/>
      <c r="F14" s="1254"/>
      <c r="G14" s="1254"/>
      <c r="H14" s="1254"/>
      <c r="I14" s="1254"/>
      <c r="J14" s="1254"/>
      <c r="K14" s="1254"/>
      <c r="L14" s="1254"/>
      <c r="M14" s="1254"/>
      <c r="N14" s="1254"/>
      <c r="O14" s="1254"/>
      <c r="P14" s="1254"/>
      <c r="Q14" s="1254"/>
      <c r="R14" s="1254"/>
      <c r="S14" s="1254"/>
      <c r="T14" s="1254"/>
      <c r="U14" s="1254"/>
      <c r="V14" s="1254"/>
      <c r="W14" s="1254"/>
      <c r="X14" s="1254"/>
      <c r="Y14" s="1254"/>
      <c r="Z14" s="1252"/>
      <c r="AA14" s="1252"/>
      <c r="AB14" s="1252"/>
      <c r="AC14" s="1252"/>
      <c r="AD14" s="1252"/>
      <c r="AE14" s="1252"/>
      <c r="AF14" s="1252"/>
      <c r="AG14" s="1252"/>
      <c r="AH14" s="1252"/>
      <c r="AI14" s="1252"/>
      <c r="AJ14" s="1252"/>
      <c r="AK14" s="1253"/>
    </row>
    <row customHeight="1" ht="12" r="15" spans="1:37">
      <c r="A15" s="1254"/>
      <c r="B15" s="2125" t="s">
        <v>36</v>
      </c>
      <c r="C15" s="2126"/>
      <c r="D15" s="2126"/>
      <c r="E15" s="2126"/>
      <c r="F15" s="2126"/>
      <c r="G15" s="2126"/>
      <c r="H15" s="2126"/>
      <c r="I15" s="2127"/>
      <c r="J15" s="1254"/>
      <c r="K15" s="1254"/>
      <c r="L15" s="1254"/>
      <c r="M15" s="1254"/>
      <c r="N15" s="1254"/>
      <c r="O15" s="1254"/>
      <c r="P15" s="1254"/>
      <c r="Q15" s="1254"/>
      <c r="R15" s="1254"/>
      <c r="S15" s="1254"/>
      <c r="T15" s="1254"/>
      <c r="U15" s="1254"/>
      <c r="V15" s="1254"/>
      <c r="W15" s="1254"/>
      <c r="X15" s="1254"/>
      <c r="Y15" s="1254"/>
      <c r="Z15" s="1252"/>
      <c r="AA15" s="1252"/>
      <c r="AB15" s="1252"/>
      <c r="AC15" s="1252"/>
      <c r="AD15" s="1252"/>
      <c r="AE15" s="1252"/>
      <c r="AF15" s="1252"/>
      <c r="AG15" s="1252"/>
      <c r="AH15" s="1252"/>
      <c r="AI15" s="1252"/>
      <c r="AJ15" s="1252"/>
      <c r="AK15" s="1253"/>
    </row>
    <row customHeight="1" ht="11.25" r="16" spans="1:37">
      <c r="A16" s="2112" t="s">
        <v>3129</v>
      </c>
      <c r="B16" s="2113"/>
      <c r="C16" s="2113"/>
      <c r="D16" s="2113"/>
      <c r="E16" s="2113"/>
      <c r="F16" s="2113"/>
      <c r="G16" s="2113"/>
      <c r="H16" s="2113"/>
      <c r="I16" s="2114"/>
      <c r="J16" s="1254"/>
      <c r="K16" s="1254"/>
      <c r="L16" s="1254"/>
      <c r="M16" s="1254"/>
      <c r="N16" s="1254"/>
      <c r="O16" s="1254"/>
      <c r="P16" s="1254"/>
      <c r="Q16" s="1254"/>
      <c r="R16" s="1254"/>
      <c r="S16" s="1254"/>
      <c r="T16" s="1254"/>
      <c r="U16" s="1254"/>
      <c r="V16" s="1254"/>
      <c r="W16" s="1254"/>
      <c r="X16" s="1254"/>
      <c r="Y16" s="1254"/>
      <c r="Z16" s="1252"/>
      <c r="AA16" s="1252"/>
      <c r="AB16" s="1252"/>
      <c r="AC16" s="1252"/>
      <c r="AD16" s="1252"/>
      <c r="AE16" s="1252"/>
      <c r="AF16" s="1252"/>
      <c r="AG16" s="1252"/>
      <c r="AH16" s="1252"/>
      <c r="AI16" s="1252"/>
      <c r="AJ16" s="1252"/>
      <c r="AK16" s="1253"/>
    </row>
    <row customHeight="1" ht="11.25" r="17" spans="1:37">
      <c r="A17" s="1254"/>
      <c r="B17" s="2115" t="s">
        <v>3184</v>
      </c>
      <c r="C17" s="2116"/>
      <c r="D17" s="2116"/>
      <c r="E17" s="2116"/>
      <c r="F17" s="2116"/>
      <c r="G17" s="2116"/>
      <c r="H17" s="2116"/>
      <c r="I17" s="2117"/>
      <c r="J17" s="1255"/>
      <c r="K17" s="1255"/>
      <c r="L17" s="1255"/>
      <c r="M17" s="1255"/>
      <c r="N17" s="1255"/>
      <c r="O17" s="1255"/>
      <c r="P17" s="1255"/>
      <c r="Q17" s="1255"/>
      <c r="R17" s="1255"/>
      <c r="S17" s="1255"/>
      <c r="T17" s="1255"/>
      <c r="U17" s="1255"/>
      <c r="V17" s="1255"/>
      <c r="W17" s="1255"/>
      <c r="X17" s="1255"/>
      <c r="Y17" s="1255"/>
      <c r="Z17" s="1255"/>
      <c r="AA17" s="1255"/>
      <c r="AB17" s="1255"/>
      <c r="AC17" s="1255"/>
      <c r="AD17" s="1255"/>
      <c r="AE17" s="1255"/>
      <c r="AF17" s="1255"/>
      <c r="AG17" s="1255"/>
      <c r="AH17" s="1252"/>
      <c r="AI17" s="1252"/>
      <c r="AJ17" s="1252"/>
      <c r="AK17" s="1253"/>
    </row>
    <row customHeight="1" ht="33" r="18" spans="1:37">
      <c r="A18" s="1267"/>
      <c r="B18" s="1268"/>
      <c r="C18" s="1272"/>
      <c r="D18" s="1273"/>
      <c r="E18" s="1273"/>
      <c r="F18" s="1274"/>
      <c r="G18" s="1270"/>
      <c r="H18" s="1267"/>
      <c r="I18" s="1267"/>
      <c r="J18" s="1257"/>
      <c r="K18" s="1256"/>
      <c r="L18" s="1257"/>
      <c r="M18" s="1256"/>
      <c r="N18" s="1256"/>
      <c r="O18" s="1269"/>
      <c r="P18" s="1269"/>
      <c r="Q18" s="1269"/>
      <c r="R18" s="1269"/>
      <c r="S18" s="1269"/>
      <c r="T18" s="1271"/>
      <c r="U18" s="1254"/>
      <c r="V18" s="1254"/>
      <c r="W18" s="1275"/>
      <c r="X18" s="1254"/>
      <c r="Y18" s="1254"/>
      <c r="Z18" s="1252"/>
      <c r="AA18" s="1252"/>
      <c r="AB18" s="1252"/>
      <c r="AC18" s="1252"/>
      <c r="AD18" s="1252"/>
      <c r="AE18" s="1252"/>
      <c r="AF18" s="1252"/>
      <c r="AG18" s="1252"/>
      <c r="AH18" s="1258"/>
      <c r="AI18" s="1259"/>
      <c r="AJ18" s="1252"/>
      <c r="AK18" s="1260"/>
    </row>
    <row customHeight="1" ht="15" r="19" spans="1:37">
      <c r="A19" s="1261"/>
      <c r="B19" s="1261"/>
      <c r="C19" s="1262" t="s">
        <v>36</v>
      </c>
      <c r="D19" s="1263"/>
      <c r="E19" s="1263"/>
      <c r="F19" s="1263"/>
      <c r="G19" s="1263"/>
      <c r="H19" s="1263"/>
      <c r="I19" s="1263"/>
      <c r="J19" s="1265"/>
      <c r="K19" s="1264"/>
      <c r="L19" s="1264"/>
      <c r="M19" s="1264"/>
      <c r="N19" s="1264"/>
      <c r="O19" s="1265"/>
      <c r="P19" s="1265"/>
      <c r="Q19" s="1265"/>
      <c r="R19" s="1265"/>
      <c r="S19" s="1265"/>
      <c r="T19" s="1265"/>
      <c r="U19" s="1265"/>
      <c r="V19" s="1265"/>
      <c r="W19" s="1265">
        <f>+W18</f>
        <v>0</v>
      </c>
      <c r="X19" s="1265"/>
      <c r="Y19" s="1265"/>
      <c r="Z19" s="1265"/>
      <c r="AA19" s="1265"/>
      <c r="AB19" s="1265"/>
      <c r="AC19" s="1265"/>
      <c r="AD19" s="1265"/>
      <c r="AE19" s="1265"/>
      <c r="AF19" s="1265"/>
      <c r="AG19" s="1265"/>
      <c r="AH19" s="1265"/>
      <c r="AI19" s="1265"/>
      <c r="AJ19" s="1265"/>
      <c r="AK19" s="1266"/>
    </row>
    <row customHeight="1" ht="15" r="20" spans="1:37">
      <c r="G20" s="1236" t="s">
        <v>3135</v>
      </c>
    </row>
    <row customHeight="1" ht="15" r="21" spans="1:37">
      <c r="J21" s="1276"/>
    </row>
    <row r="22" spans="1:37">
      <c r="J22" s="1277"/>
    </row>
    <row customFormat="1" ht="15" r="74" s="1278"/>
    <row customFormat="1" ht="15" r="75" s="1278"/>
    <row customFormat="1" ht="15" r="76" s="1278"/>
    <row customFormat="1" ht="15" r="77" s="1278"/>
  </sheetData>
  <mergeCells count="4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16:I16"/>
    <mergeCell ref="B17:I17"/>
    <mergeCell ref="U9:U10"/>
    <mergeCell ref="AA9:AC9"/>
    <mergeCell ref="AD9:AF9"/>
    <mergeCell ref="A12:I12"/>
    <mergeCell ref="B13:I13"/>
    <mergeCell ref="B15:I15"/>
  </mergeCells>
  <pageMargins bottom="0.25" footer="0.3" header="0.3" left="0.25" right="0" top="0.25"/>
  <pageSetup orientation="landscape" paperSize="9" r:id="rId1" scale="75" verticalDpi="0"/>
  <drawing r:id="rId2"/>
  <legacyDrawing r:id="rId3"/>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24"/>
  <sheetViews>
    <sheetView workbookViewId="0" zoomScale="70" zoomScaleNormal="70">
      <pane activePane="bottomRight" state="frozen" topLeftCell="D13" xSplit="3" ySplit="12"/>
      <selection activeCell="Q17" sqref="Q17"/>
      <selection activeCell="Q17" pane="topRight" sqref="Q17"/>
      <selection activeCell="Q17" pane="bottomLeft" sqref="Q17"/>
      <selection activeCell="I76" pane="bottomRight" sqref="I76"/>
    </sheetView>
  </sheetViews>
  <sheetFormatPr defaultRowHeight="12"/>
  <cols>
    <col min="1" max="1" customWidth="true" style="1279" width="7.140625" collapsed="false"/>
    <col min="2" max="2" customWidth="true" style="1279" width="12.0" collapsed="false"/>
    <col min="3" max="3" customWidth="true" style="1279" width="37.85546875" collapsed="false"/>
    <col min="4" max="4" customWidth="true" style="1279" width="6.28515625" collapsed="false"/>
    <col min="5" max="5" customWidth="true" style="1279" width="15.5703125" collapsed="false"/>
    <col min="6" max="6" customWidth="true" style="1279" width="15.28515625" collapsed="false"/>
    <col min="7" max="7" customWidth="true" style="1279" width="13.85546875" collapsed="false"/>
    <col min="8" max="8" customWidth="true" style="1279" width="8.42578125" collapsed="false"/>
    <col min="9" max="9" customWidth="true" style="1279" width="9.5703125" collapsed="false"/>
    <col min="10" max="10" customWidth="true" style="1279" width="8.85546875" collapsed="false"/>
    <col min="11" max="11" customWidth="true" style="1279" width="11.85546875" collapsed="false"/>
    <col min="12" max="12" customWidth="true" style="1279" width="7.42578125" collapsed="false"/>
    <col min="13" max="13" customWidth="true" style="1279" width="10.140625" collapsed="false"/>
    <col min="14" max="14" bestFit="true" customWidth="true" style="1279" width="7.5703125" collapsed="false"/>
    <col min="15" max="15" customWidth="true" style="1279" width="15.0" collapsed="false"/>
    <col min="16" max="16" bestFit="true" customWidth="true" style="1279" width="8.5703125" collapsed="false"/>
    <col min="17" max="17" bestFit="true" customWidth="true" style="1279" width="14.28515625" collapsed="false"/>
    <col min="18" max="18" bestFit="true" customWidth="true" style="1279" width="8.85546875" collapsed="false"/>
    <col min="19" max="19" customWidth="true" style="1279" width="14.28515625" collapsed="false"/>
    <col min="20" max="20" bestFit="true" customWidth="true" style="1279" width="6.7109375" collapsed="false"/>
    <col min="21" max="21" customWidth="true" style="1279" width="13.42578125" collapsed="false"/>
    <col min="22" max="22" bestFit="true" customWidth="true" style="1279" width="10.140625" collapsed="false"/>
    <col min="23" max="23" customWidth="true" style="1279" width="16.85546875" collapsed="false"/>
    <col min="24" max="24" customWidth="true" style="1279" width="9.140625" collapsed="false"/>
    <col min="25" max="25" customWidth="true" style="1279" width="13.42578125" collapsed="false"/>
    <col min="26" max="26" bestFit="true" customWidth="true" style="1279" width="13.0" collapsed="false"/>
    <col min="27" max="16384" style="1279" width="9.140625" collapsed="false"/>
  </cols>
  <sheetData>
    <row ht="12.75" r="1" spans="1:25">
      <c r="S1" s="1235"/>
      <c r="T1" s="1235"/>
    </row>
    <row ht="12.75" r="2" spans="1:25">
      <c r="O2" s="1280"/>
      <c r="P2" s="1280"/>
      <c r="U2" s="1280"/>
      <c r="V2" s="1280"/>
      <c r="W2" s="1239"/>
      <c r="X2" s="1280"/>
      <c r="Y2" s="1239"/>
    </row>
    <row ht="12.75" r="3" spans="1:25">
      <c r="O3" s="1280"/>
      <c r="P3" s="1280"/>
      <c r="Q3" s="2166"/>
      <c r="R3" s="2166"/>
      <c r="S3" s="2166"/>
      <c r="T3" s="2166"/>
      <c r="U3" s="2166"/>
      <c r="V3" s="2166"/>
      <c r="W3" s="2166"/>
    </row>
    <row r="4" spans="1:25">
      <c r="O4" s="1280"/>
      <c r="P4" s="1280"/>
      <c r="Q4" s="1280"/>
      <c r="R4" s="1280"/>
      <c r="S4" s="1280"/>
      <c r="T4" s="1280"/>
      <c r="U4" s="1280"/>
      <c r="V4" s="1280"/>
      <c r="X4" s="1280"/>
    </row>
    <row customFormat="1" customHeight="1" ht="17.25" r="5" s="1233" spans="1:25">
      <c r="A5" s="2142" t="s">
        <v>3185</v>
      </c>
      <c r="B5" s="2142"/>
      <c r="C5" s="2142"/>
      <c r="D5" s="2142"/>
      <c r="E5" s="2142"/>
      <c r="F5" s="2142"/>
      <c r="G5" s="2142"/>
      <c r="H5" s="2142"/>
      <c r="I5" s="2142"/>
      <c r="J5" s="2142"/>
      <c r="K5" s="2142"/>
      <c r="L5" s="2142"/>
      <c r="M5" s="2142"/>
      <c r="N5" s="2142"/>
      <c r="O5" s="2142"/>
      <c r="P5" s="2142"/>
      <c r="Q5" s="2142"/>
      <c r="R5" s="2142"/>
      <c r="S5" s="2142"/>
      <c r="T5" s="2142"/>
      <c r="U5" s="2142"/>
      <c r="V5" s="2142"/>
      <c r="W5" s="2142"/>
      <c r="X5" s="1281"/>
      <c r="Y5" s="1281"/>
    </row>
    <row customFormat="1" ht="12.75" r="6" s="1233" spans="1:25">
      <c r="D6" s="1282"/>
      <c r="E6" s="1282"/>
      <c r="F6" s="1282"/>
      <c r="G6" s="1282"/>
      <c r="H6" s="1282"/>
      <c r="I6" s="1282"/>
      <c r="J6" s="1282"/>
      <c r="K6" s="1283"/>
      <c r="L6" s="1283"/>
      <c r="M6" s="1279"/>
      <c r="N6" s="1279"/>
      <c r="O6" s="1283"/>
      <c r="P6" s="1283"/>
      <c r="Q6" s="1283"/>
      <c r="R6" s="1283"/>
      <c r="S6" s="1283"/>
      <c r="T6" s="1283"/>
    </row>
    <row customHeight="1" ht="16.5" r="7" spans="1:25">
      <c r="A7" s="2143" t="s">
        <v>649</v>
      </c>
      <c r="B7" s="2128" t="s">
        <v>3050</v>
      </c>
      <c r="C7" s="2128" t="s">
        <v>3186</v>
      </c>
      <c r="D7" s="2120" t="s">
        <v>3187</v>
      </c>
      <c r="E7" s="2120"/>
      <c r="F7" s="2120"/>
      <c r="G7" s="2120"/>
      <c r="H7" s="2120"/>
      <c r="I7" s="2120"/>
      <c r="J7" s="2120"/>
      <c r="K7" s="2120"/>
      <c r="L7" s="2120"/>
      <c r="M7" s="2120"/>
      <c r="N7" s="2120"/>
      <c r="O7" s="2120"/>
      <c r="P7" s="2120"/>
      <c r="Q7" s="2120"/>
      <c r="R7" s="2120"/>
      <c r="S7" s="2120"/>
      <c r="T7" s="2120"/>
      <c r="U7" s="2120"/>
      <c r="V7" s="2160" t="s">
        <v>3153</v>
      </c>
      <c r="W7" s="2161"/>
      <c r="X7" s="2160" t="s">
        <v>3188</v>
      </c>
      <c r="Y7" s="2161"/>
    </row>
    <row customHeight="1" ht="26.25" r="8" spans="1:25">
      <c r="A8" s="2144"/>
      <c r="B8" s="2129"/>
      <c r="C8" s="2129"/>
      <c r="D8" s="2120" t="s">
        <v>3189</v>
      </c>
      <c r="E8" s="2120"/>
      <c r="F8" s="2120"/>
      <c r="G8" s="2120"/>
      <c r="H8" s="2160" t="s">
        <v>3190</v>
      </c>
      <c r="I8" s="2161"/>
      <c r="J8" s="2160" t="s">
        <v>3191</v>
      </c>
      <c r="K8" s="2161"/>
      <c r="L8" s="2160" t="s">
        <v>3192</v>
      </c>
      <c r="M8" s="2161"/>
      <c r="N8" s="2160" t="s">
        <v>3193</v>
      </c>
      <c r="O8" s="2161"/>
      <c r="P8" s="2160" t="s">
        <v>3194</v>
      </c>
      <c r="Q8" s="2161"/>
      <c r="R8" s="2160" t="s">
        <v>3195</v>
      </c>
      <c r="S8" s="2161"/>
      <c r="T8" s="2160" t="s">
        <v>3196</v>
      </c>
      <c r="U8" s="2161"/>
      <c r="V8" s="2162"/>
      <c r="W8" s="2163"/>
      <c r="X8" s="2162"/>
      <c r="Y8" s="2163"/>
    </row>
    <row customHeight="1" ht="25.5" r="9" spans="1:25">
      <c r="A9" s="2144"/>
      <c r="B9" s="2129"/>
      <c r="C9" s="2129"/>
      <c r="D9" s="2121" t="s">
        <v>746</v>
      </c>
      <c r="E9" s="2134"/>
      <c r="F9" s="2121" t="s">
        <v>747</v>
      </c>
      <c r="G9" s="2134"/>
      <c r="H9" s="2164"/>
      <c r="I9" s="2165"/>
      <c r="J9" s="2164"/>
      <c r="K9" s="2165"/>
      <c r="L9" s="2164"/>
      <c r="M9" s="2165"/>
      <c r="N9" s="2164"/>
      <c r="O9" s="2165"/>
      <c r="P9" s="2164"/>
      <c r="Q9" s="2165"/>
      <c r="R9" s="2164"/>
      <c r="S9" s="2165"/>
      <c r="T9" s="2164"/>
      <c r="U9" s="2165"/>
      <c r="V9" s="2164"/>
      <c r="W9" s="2165"/>
      <c r="X9" s="2164"/>
      <c r="Y9" s="2165"/>
    </row>
    <row customHeight="1" ht="17.25" r="10" spans="1:25">
      <c r="A10" s="2145"/>
      <c r="B10" s="2130"/>
      <c r="C10" s="2130"/>
      <c r="D10" s="1284" t="s">
        <v>1256</v>
      </c>
      <c r="E10" s="1284" t="s">
        <v>36</v>
      </c>
      <c r="F10" s="1284" t="s">
        <v>1256</v>
      </c>
      <c r="G10" s="1284" t="s">
        <v>36</v>
      </c>
      <c r="H10" s="1284" t="s">
        <v>1256</v>
      </c>
      <c r="I10" s="1284" t="s">
        <v>36</v>
      </c>
      <c r="J10" s="1284" t="s">
        <v>1256</v>
      </c>
      <c r="K10" s="1284" t="s">
        <v>36</v>
      </c>
      <c r="L10" s="1284" t="s">
        <v>1256</v>
      </c>
      <c r="M10" s="1284" t="s">
        <v>36</v>
      </c>
      <c r="N10" s="1284" t="s">
        <v>1256</v>
      </c>
      <c r="O10" s="1284" t="s">
        <v>36</v>
      </c>
      <c r="P10" s="1284" t="s">
        <v>1256</v>
      </c>
      <c r="Q10" s="1284" t="s">
        <v>36</v>
      </c>
      <c r="R10" s="1284" t="s">
        <v>1256</v>
      </c>
      <c r="S10" s="1284" t="s">
        <v>36</v>
      </c>
      <c r="T10" s="1284" t="s">
        <v>1256</v>
      </c>
      <c r="U10" s="1284" t="s">
        <v>36</v>
      </c>
      <c r="V10" s="1284" t="s">
        <v>1256</v>
      </c>
      <c r="W10" s="1284" t="s">
        <v>36</v>
      </c>
      <c r="X10" s="1284" t="s">
        <v>1256</v>
      </c>
      <c r="Y10" s="1284" t="s">
        <v>36</v>
      </c>
    </row>
    <row customHeight="1" ht="11.25" r="11" spans="1:25">
      <c r="A11" s="1285" t="s">
        <v>702</v>
      </c>
      <c r="B11" s="1285" t="s">
        <v>1583</v>
      </c>
      <c r="C11" s="1285" t="s">
        <v>3125</v>
      </c>
      <c r="D11" s="1285">
        <v>1</v>
      </c>
      <c r="E11" s="1285">
        <v>2</v>
      </c>
      <c r="F11" s="1285">
        <v>3</v>
      </c>
      <c r="G11" s="1285">
        <v>4</v>
      </c>
      <c r="H11" s="1285">
        <v>5</v>
      </c>
      <c r="I11" s="1285">
        <v>6</v>
      </c>
      <c r="J11" s="1285">
        <v>7</v>
      </c>
      <c r="K11" s="1285">
        <v>8</v>
      </c>
      <c r="L11" s="1285">
        <v>9</v>
      </c>
      <c r="M11" s="1285">
        <v>10</v>
      </c>
      <c r="N11" s="1285">
        <v>11</v>
      </c>
      <c r="O11" s="1285">
        <v>12</v>
      </c>
      <c r="P11" s="1285">
        <v>13</v>
      </c>
      <c r="Q11" s="1285">
        <v>14</v>
      </c>
      <c r="R11" s="1285">
        <v>15</v>
      </c>
      <c r="S11" s="1285">
        <v>16</v>
      </c>
      <c r="T11" s="1285">
        <v>17</v>
      </c>
      <c r="U11" s="1285">
        <v>18</v>
      </c>
      <c r="V11" s="1285">
        <v>19</v>
      </c>
      <c r="W11" s="1285">
        <v>20</v>
      </c>
      <c r="X11" s="1285">
        <v>21</v>
      </c>
      <c r="Y11" s="1285">
        <v>22</v>
      </c>
    </row>
    <row ht="12.75" r="12" spans="1:25">
      <c r="A12" s="1255" t="s">
        <v>3197</v>
      </c>
      <c r="B12" s="2159" t="s">
        <v>3198</v>
      </c>
      <c r="C12" s="2159"/>
      <c r="D12" s="2159"/>
      <c r="E12" s="2159"/>
      <c r="F12" s="2159"/>
      <c r="G12" s="2159"/>
      <c r="H12" s="2159"/>
      <c r="I12" s="2159"/>
      <c r="J12" s="2159"/>
      <c r="K12" s="2159"/>
      <c r="L12" s="2159"/>
      <c r="M12" s="2159"/>
      <c r="N12" s="2159"/>
      <c r="O12" s="2159"/>
      <c r="P12" s="2159"/>
      <c r="Q12" s="2159"/>
      <c r="R12" s="2159"/>
      <c r="S12" s="2159"/>
      <c r="T12" s="2159"/>
      <c r="U12" s="2159"/>
      <c r="V12" s="2159"/>
      <c r="W12" s="2159"/>
      <c r="X12" s="2159"/>
      <c r="Y12" s="2159"/>
    </row>
    <row customFormat="1" customHeight="1" ht="34.5" r="13" s="1313" spans="1:25">
      <c r="A13" s="1310"/>
      <c r="B13" s="1311"/>
      <c r="C13" s="1312"/>
      <c r="D13" s="1286"/>
      <c r="E13" s="1286"/>
      <c r="F13" s="1286"/>
      <c r="G13" s="1287"/>
      <c r="H13" s="1286"/>
      <c r="I13" s="1286"/>
      <c r="J13" s="1286">
        <v>1</v>
      </c>
      <c r="K13" s="1287">
        <v>1.0699999999999999E-2</v>
      </c>
      <c r="L13" s="1286"/>
      <c r="M13" s="1286"/>
      <c r="N13" s="1286"/>
      <c r="O13" s="1286"/>
      <c r="P13" s="1289"/>
      <c r="Q13" s="1287"/>
      <c r="R13" s="1287"/>
      <c r="S13" s="1287"/>
      <c r="T13" s="1287"/>
      <c r="U13" s="1287"/>
      <c r="V13" s="1203">
        <f ref="V13:W13" si="0" t="shared">+D13+F13+H13+J13+L13+N13+P13+R13+T13</f>
        <v>1</v>
      </c>
      <c r="W13" s="1287">
        <f si="0" t="shared"/>
        <v>1.0699999999999999E-2</v>
      </c>
      <c r="X13" s="1203">
        <f ref="X13:Y13" si="1" t="shared">+V13</f>
        <v>1</v>
      </c>
      <c r="Y13" s="1288">
        <f si="1" t="shared"/>
        <v>1.0699999999999999E-2</v>
      </c>
    </row>
    <row r="19" spans="23:26">
      <c r="Z19" s="1290"/>
    </row>
    <row r="20" spans="23:26">
      <c r="Z20" s="1290"/>
    </row>
    <row r="21" spans="23:26">
      <c r="W21" s="1291"/>
      <c r="Z21" s="1290"/>
    </row>
    <row r="22" spans="23:26">
      <c r="W22" s="1291"/>
      <c r="Z22" s="1290"/>
    </row>
    <row r="23" spans="23:26">
      <c r="Z23" s="1290"/>
    </row>
    <row r="24" spans="23:26">
      <c r="Z24" s="1290"/>
    </row>
  </sheetData>
  <mergeCells count="19">
    <mergeCell ref="Q3:W3"/>
    <mergeCell ref="A5:W5"/>
    <mergeCell ref="A7:A10"/>
    <mergeCell ref="B7:B10"/>
    <mergeCell ref="C7:C10"/>
    <mergeCell ref="D7:U7"/>
    <mergeCell ref="V7:W9"/>
    <mergeCell ref="F9:G9"/>
    <mergeCell ref="B12:Y12"/>
    <mergeCell ref="X7:Y9"/>
    <mergeCell ref="D8:G8"/>
    <mergeCell ref="H8:I9"/>
    <mergeCell ref="J8:K9"/>
    <mergeCell ref="L8:M9"/>
    <mergeCell ref="N8:O9"/>
    <mergeCell ref="P8:Q9"/>
    <mergeCell ref="R8:S9"/>
    <mergeCell ref="T8:U9"/>
    <mergeCell ref="D9:E9"/>
  </mergeCells>
  <pageMargins bottom="0.75" footer="0.3" header="0.3" left="0.45" right="0.45" top="0.75"/>
  <pageSetup orientation="landscape" paperSize="9" r:id="rId1" scale="50"/>
  <drawing r:id="rId2"/>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E1229"/>
  <sheetViews>
    <sheetView topLeftCell="A1191" workbookViewId="0" zoomScale="70" zoomScaleNormal="70">
      <selection activeCell="B1229" sqref="B1229"/>
    </sheetView>
  </sheetViews>
  <sheetFormatPr defaultRowHeight="12.75"/>
  <cols>
    <col min="1" max="1" customWidth="true" style="406" width="23.42578125" collapsed="true"/>
    <col min="2" max="2" customWidth="true" style="406" width="12.140625" collapsed="true"/>
    <col min="3" max="3" customWidth="true" style="406" width="13.5703125" collapsed="true"/>
    <col min="4" max="4" customWidth="true" style="406" width="15.7109375" collapsed="true"/>
    <col min="5" max="5" customWidth="true" style="406" width="26.0" collapsed="false"/>
    <col min="6" max="6" customWidth="true" style="406" width="25.0" collapsed="true"/>
    <col min="7" max="7" customWidth="true" style="406" width="21.5703125" collapsed="true"/>
    <col min="8" max="8" customWidth="true" style="406" width="24.0" collapsed="true"/>
    <col min="9" max="9" customWidth="true" style="406" width="29.28515625" collapsed="false"/>
    <col min="10" max="10" customWidth="true" style="406" width="22.85546875" collapsed="true"/>
    <col min="11" max="11" customWidth="true" style="406" width="21.7109375" collapsed="true"/>
    <col min="12" max="12" customWidth="true" style="406" width="21.85546875" collapsed="true"/>
    <col min="13" max="13" customWidth="true" style="406" width="30.5703125" collapsed="true"/>
    <col min="14" max="14" customWidth="true" style="406" width="15.7109375" collapsed="true"/>
    <col min="15" max="15" customWidth="true" style="406" width="21.28515625" collapsed="true"/>
    <col min="16" max="16" customWidth="true" style="406" width="17.140625" collapsed="true"/>
    <col min="17" max="17" customWidth="true" style="406" width="19.5703125" collapsed="true"/>
    <col min="18" max="18" customWidth="true" style="406" width="22.85546875" collapsed="true"/>
    <col min="19" max="19" customWidth="true" style="406" width="10.7109375" collapsed="true"/>
    <col min="20" max="20" customWidth="true" style="406" width="12.140625" collapsed="true"/>
    <col min="21" max="21" customWidth="true" style="406" width="28.0" collapsed="false"/>
    <col min="22" max="23" style="406" width="9.140625" collapsed="true"/>
    <col min="24" max="24" bestFit="true" customWidth="true" style="406" width="30.28515625" collapsed="true"/>
    <col min="25" max="25" bestFit="true" customWidth="true" style="406" width="56.7109375" collapsed="true"/>
    <col min="26" max="26" bestFit="true" customWidth="true" style="406" width="57.7109375" collapsed="true"/>
    <col min="27" max="27" customWidth="true" style="406" width="17.7109375" collapsed="false"/>
    <col min="28" max="28" customWidth="true" style="406" width="16.7109375" collapsed="false"/>
    <col min="29" max="31" style="406" width="9.140625" collapsed="false"/>
    <col min="32" max="16384" style="406" width="9.140625" collapsed="true"/>
  </cols>
  <sheetData>
    <row customFormat="1" customHeight="1" ht="31.5" r="1" s="850" spans="1:26">
      <c r="A1" s="322" t="s">
        <v>1251</v>
      </c>
      <c r="B1" s="322" t="s">
        <v>64</v>
      </c>
      <c r="C1" s="322" t="s">
        <v>64</v>
      </c>
      <c r="D1" s="322" t="s">
        <v>1250</v>
      </c>
      <c r="E1" s="322" t="s">
        <v>78</v>
      </c>
      <c r="F1" s="850" t="s">
        <v>49</v>
      </c>
      <c r="G1" s="851" t="s">
        <v>2999</v>
      </c>
      <c r="H1" s="850" t="s">
        <v>3000</v>
      </c>
      <c r="I1" s="850" t="s">
        <v>701</v>
      </c>
      <c r="J1" s="850" t="s">
        <v>3001</v>
      </c>
      <c r="K1" s="851" t="s">
        <v>3002</v>
      </c>
      <c r="L1" s="850" t="s">
        <v>3003</v>
      </c>
      <c r="M1" s="850" t="s">
        <v>701</v>
      </c>
      <c r="O1" s="851" t="s">
        <v>3004</v>
      </c>
      <c r="P1" s="851" t="s">
        <v>1744</v>
      </c>
      <c r="Q1" s="851" t="s">
        <v>3005</v>
      </c>
      <c r="R1" s="851" t="s">
        <v>701</v>
      </c>
      <c r="S1" s="322" t="s">
        <v>1251</v>
      </c>
      <c r="T1" s="322" t="s">
        <v>64</v>
      </c>
      <c r="U1" s="322" t="s">
        <v>78</v>
      </c>
    </row>
    <row r="2" spans="1:26">
      <c r="A2" s="406" t="s">
        <v>1241</v>
      </c>
      <c r="B2" s="406">
        <v>1</v>
      </c>
      <c r="C2" s="406">
        <f>+'2.CT1A'!A8</f>
        <v>1</v>
      </c>
      <c r="D2" s="406">
        <f>IF(B2=VALUE(C2),0,1)</f>
        <v>0</v>
      </c>
      <c r="E2" s="406" t="str">
        <f>+'2.CT1A'!B8</f>
        <v>ЭРГЭЛТИЙН ХӨРӨНГИЙН ДҮН</v>
      </c>
      <c r="F2" s="891">
        <f>+'2.CT1A'!C8</f>
        <v>0</v>
      </c>
      <c r="J2" s="891">
        <f>+'2.CT1A'!F8</f>
        <v>0</v>
      </c>
      <c r="S2" s="406" t="s">
        <v>1241</v>
      </c>
      <c r="T2" s="406">
        <v>1</v>
      </c>
      <c r="U2" s="406" t="s">
        <v>121</v>
      </c>
    </row>
    <row r="3" spans="1:26">
      <c r="A3" s="406" t="s">
        <v>1241</v>
      </c>
      <c r="B3" s="406">
        <v>31</v>
      </c>
      <c r="C3" s="406">
        <f>VALUE('2.CT1A'!A9)</f>
        <v>31</v>
      </c>
      <c r="D3" s="406">
        <f ref="D3:D66" si="0" t="shared">IF(B3=VALUE(C3),0,1)</f>
        <v>0</v>
      </c>
      <c r="E3" s="406" t="str">
        <f>+'2.CT1A'!B9</f>
        <v xml:space="preserve">   МӨНГӨН ХӨРӨНГӨ</v>
      </c>
      <c r="F3" s="891">
        <f>+'2.CT1A'!C9</f>
        <v>0</v>
      </c>
      <c r="G3" s="406">
        <f>'6.CTT1'!C8</f>
        <v>0</v>
      </c>
      <c r="H3" s="406">
        <f ref="H3:H23" si="1" t="shared">F3-G3</f>
        <v>0</v>
      </c>
      <c r="I3" s="406">
        <f ref="I3:I23" si="2" t="shared">IF(H3&lt;&gt;0,X3&amp;E3&amp;Y3,0)</f>
        <v>0</v>
      </c>
      <c r="J3" s="891">
        <f>+'2.CT1A'!F9</f>
        <v>0</v>
      </c>
      <c r="K3" s="406">
        <f>'6.CTT1'!F8</f>
        <v>0</v>
      </c>
      <c r="L3" s="891">
        <f>+J3-K3</f>
        <v>0</v>
      </c>
      <c r="M3" s="406">
        <f ref="M3:M24" si="3" t="shared">IF(L3&lt;&gt;0,X3&amp;E3&amp;Z3,0)</f>
        <v>0</v>
      </c>
      <c r="S3" s="406" t="s">
        <v>1241</v>
      </c>
      <c r="T3" s="406">
        <v>31</v>
      </c>
      <c r="U3" s="406" t="s">
        <v>1851</v>
      </c>
      <c r="X3" s="406" t="s">
        <v>3006</v>
      </c>
      <c r="Y3" s="406" t="s">
        <v>3007</v>
      </c>
      <c r="Z3" s="406" t="s">
        <v>3008</v>
      </c>
    </row>
    <row r="4" spans="1:26">
      <c r="A4" s="406" t="s">
        <v>1241</v>
      </c>
      <c r="B4" s="406">
        <v>311</v>
      </c>
      <c r="C4" s="406">
        <f>+'2.CT1A'!A10</f>
        <v>311</v>
      </c>
      <c r="D4" s="406">
        <f si="0" t="shared"/>
        <v>0</v>
      </c>
      <c r="E4" s="406" t="str">
        <f>+'2.CT1A'!B10</f>
        <v xml:space="preserve">      Кассанд байгаа бэлэн мөнгө</v>
      </c>
      <c r="F4" s="891">
        <f>+'2.CT1A'!C10</f>
        <v>0</v>
      </c>
      <c r="G4" s="406">
        <f>'6.CTT1'!C9</f>
        <v>0</v>
      </c>
      <c r="H4" s="406">
        <f si="1" t="shared"/>
        <v>0</v>
      </c>
      <c r="I4" s="406">
        <f si="2" t="shared"/>
        <v>0</v>
      </c>
      <c r="J4" s="891">
        <f>+'2.CT1A'!F10</f>
        <v>0</v>
      </c>
      <c r="K4" s="406">
        <f>'6.CTT1'!F9</f>
        <v>0</v>
      </c>
      <c r="L4" s="891">
        <f ref="L4:L23" si="4" t="shared">+J4-K4</f>
        <v>0</v>
      </c>
      <c r="M4" s="406">
        <f si="3" t="shared"/>
        <v>0</v>
      </c>
      <c r="S4" s="406" t="s">
        <v>1241</v>
      </c>
      <c r="T4" s="406">
        <v>311</v>
      </c>
      <c r="U4" s="406" t="s">
        <v>1851</v>
      </c>
      <c r="X4" s="406" t="s">
        <v>3006</v>
      </c>
      <c r="Y4" s="406" t="s">
        <v>3007</v>
      </c>
      <c r="Z4" s="406" t="s">
        <v>3008</v>
      </c>
    </row>
    <row r="5" spans="1:26">
      <c r="A5" s="406" t="s">
        <v>1241</v>
      </c>
      <c r="B5" s="406">
        <v>31110</v>
      </c>
      <c r="C5" s="406">
        <f>+'2.CT1A'!A11</f>
        <v>31110</v>
      </c>
      <c r="D5" s="406">
        <f si="0" t="shared"/>
        <v>0</v>
      </c>
      <c r="E5" s="406" t="str">
        <f>+'2.CT1A'!B11</f>
        <v xml:space="preserve">           Төгрөг</v>
      </c>
      <c r="F5" s="891">
        <f>+'2.CT1A'!C11</f>
        <v>0</v>
      </c>
      <c r="G5" s="406">
        <f>'6.CTT1'!C10</f>
        <v>0</v>
      </c>
      <c r="H5" s="406">
        <f si="1" t="shared"/>
        <v>0</v>
      </c>
      <c r="I5" s="406">
        <f si="2" t="shared"/>
        <v>0</v>
      </c>
      <c r="J5" s="891">
        <f>+'2.CT1A'!F11</f>
        <v>0</v>
      </c>
      <c r="K5" s="406">
        <f>'6.CTT1'!F10</f>
        <v>0</v>
      </c>
      <c r="L5" s="891">
        <f si="4" t="shared"/>
        <v>0</v>
      </c>
      <c r="M5" s="406">
        <f si="3" t="shared"/>
        <v>0</v>
      </c>
      <c r="S5" s="406" t="s">
        <v>1241</v>
      </c>
      <c r="T5" s="406">
        <v>31110</v>
      </c>
      <c r="U5" s="406" t="s">
        <v>1851</v>
      </c>
      <c r="X5" s="406" t="s">
        <v>3006</v>
      </c>
      <c r="Y5" s="406" t="s">
        <v>3007</v>
      </c>
      <c r="Z5" s="406" t="s">
        <v>3008</v>
      </c>
    </row>
    <row r="6" spans="1:26">
      <c r="A6" s="406" t="s">
        <v>1241</v>
      </c>
      <c r="B6" s="406">
        <v>31120</v>
      </c>
      <c r="C6" s="406">
        <f>+'2.CT1A'!A12</f>
        <v>31120</v>
      </c>
      <c r="D6" s="406">
        <f si="0" t="shared"/>
        <v>0</v>
      </c>
      <c r="E6" s="406" t="str">
        <f>+'2.CT1A'!B12</f>
        <v xml:space="preserve">           Гадаад валют</v>
      </c>
      <c r="F6" s="891">
        <f>+'2.CT1A'!C12</f>
        <v>0</v>
      </c>
      <c r="G6" s="406">
        <f>'6.CTT1'!C11</f>
        <v>0</v>
      </c>
      <c r="H6" s="406">
        <f si="1" t="shared"/>
        <v>0</v>
      </c>
      <c r="I6" s="406">
        <f si="2" t="shared"/>
        <v>0</v>
      </c>
      <c r="J6" s="891">
        <f>+'2.CT1A'!F12</f>
        <v>0</v>
      </c>
      <c r="K6" s="406">
        <f>'6.CTT1'!F11</f>
        <v>0</v>
      </c>
      <c r="L6" s="891">
        <f si="4" t="shared"/>
        <v>0</v>
      </c>
      <c r="M6" s="406">
        <f si="3" t="shared"/>
        <v>0</v>
      </c>
      <c r="S6" s="406" t="s">
        <v>1241</v>
      </c>
      <c r="T6" s="406">
        <v>31120</v>
      </c>
      <c r="U6" s="406" t="s">
        <v>1851</v>
      </c>
      <c r="X6" s="406" t="s">
        <v>3006</v>
      </c>
      <c r="Y6" s="406" t="s">
        <v>3007</v>
      </c>
      <c r="Z6" s="406" t="s">
        <v>3008</v>
      </c>
    </row>
    <row r="7" spans="1:26">
      <c r="A7" s="406" t="s">
        <v>1241</v>
      </c>
      <c r="B7" s="406">
        <v>31130</v>
      </c>
      <c r="C7" s="406">
        <f>+'2.CT1A'!A13</f>
        <v>31130</v>
      </c>
      <c r="D7" s="406">
        <f si="0" t="shared"/>
        <v>0</v>
      </c>
      <c r="E7" s="406" t="str">
        <f>+'2.CT1A'!B13</f>
        <v xml:space="preserve">           Нэмэлт санхүүжилт</v>
      </c>
      <c r="F7" s="891">
        <f>+'2.CT1A'!C13</f>
        <v>0</v>
      </c>
      <c r="G7" s="406">
        <f>'6.CTT1'!C12</f>
        <v>0</v>
      </c>
      <c r="H7" s="406">
        <f si="1" t="shared"/>
        <v>0</v>
      </c>
      <c r="I7" s="406">
        <f si="2" t="shared"/>
        <v>0</v>
      </c>
      <c r="J7" s="891">
        <f>+'2.CT1A'!F13</f>
        <v>0</v>
      </c>
      <c r="K7" s="406">
        <f>'6.CTT1'!F12</f>
        <v>0</v>
      </c>
      <c r="L7" s="891">
        <f si="4" t="shared"/>
        <v>0</v>
      </c>
      <c r="M7" s="406">
        <f si="3" t="shared"/>
        <v>0</v>
      </c>
      <c r="S7" s="406" t="s">
        <v>1241</v>
      </c>
      <c r="T7" s="406">
        <v>31130</v>
      </c>
      <c r="U7" s="406" t="s">
        <v>1851</v>
      </c>
      <c r="X7" s="406" t="s">
        <v>3006</v>
      </c>
      <c r="Y7" s="406" t="s">
        <v>3007</v>
      </c>
      <c r="Z7" s="406" t="s">
        <v>3008</v>
      </c>
    </row>
    <row r="8" spans="1:26">
      <c r="A8" s="406" t="s">
        <v>1241</v>
      </c>
      <c r="B8" s="406">
        <v>31140</v>
      </c>
      <c r="C8" s="406">
        <f>+'2.CT1A'!A14</f>
        <v>31140</v>
      </c>
      <c r="D8" s="406">
        <f si="0" t="shared"/>
        <v>0</v>
      </c>
      <c r="E8" s="406" t="str">
        <f>+'2.CT1A'!B14</f>
        <v xml:space="preserve">          Касс арилжааны банк</v>
      </c>
      <c r="F8" s="891">
        <f>+'2.CT1A'!C14</f>
        <v>0</v>
      </c>
      <c r="G8" s="406">
        <f>'6.CTT1'!C13</f>
        <v>0</v>
      </c>
      <c r="H8" s="406">
        <f si="1" t="shared"/>
        <v>0</v>
      </c>
      <c r="I8" s="406">
        <f si="2" t="shared"/>
        <v>0</v>
      </c>
      <c r="J8" s="891">
        <f>+'2.CT1A'!F14</f>
        <v>0</v>
      </c>
      <c r="K8" s="406">
        <f>'6.CTT1'!F13</f>
        <v>0</v>
      </c>
      <c r="L8" s="891">
        <f si="4" t="shared"/>
        <v>0</v>
      </c>
      <c r="M8" s="406">
        <f si="3" t="shared"/>
        <v>0</v>
      </c>
      <c r="S8" s="406" t="s">
        <v>1241</v>
      </c>
      <c r="T8" s="406">
        <v>31140</v>
      </c>
      <c r="U8" s="406" t="s">
        <v>1851</v>
      </c>
      <c r="X8" s="406" t="s">
        <v>3006</v>
      </c>
      <c r="Y8" s="406" t="s">
        <v>3007</v>
      </c>
      <c r="Z8" s="406" t="s">
        <v>3008</v>
      </c>
    </row>
    <row r="9" spans="1:26">
      <c r="A9" s="406" t="s">
        <v>1241</v>
      </c>
      <c r="B9" s="406">
        <v>312</v>
      </c>
      <c r="C9" s="406">
        <f>+'2.CT1A'!A15</f>
        <v>312</v>
      </c>
      <c r="D9" s="406">
        <f si="0" t="shared"/>
        <v>0</v>
      </c>
      <c r="E9" s="406" t="str">
        <f>+'2.CT1A'!B15</f>
        <v xml:space="preserve">      Банкинд байгаа бэлэн мөнгө</v>
      </c>
      <c r="F9" s="891">
        <f>+'2.CT1A'!C15</f>
        <v>0</v>
      </c>
      <c r="G9" s="406">
        <f>'6.CTT1'!C14</f>
        <v>0</v>
      </c>
      <c r="H9" s="406">
        <f si="1" t="shared"/>
        <v>0</v>
      </c>
      <c r="I9" s="406">
        <f si="2" t="shared"/>
        <v>0</v>
      </c>
      <c r="J9" s="891">
        <f>+'2.CT1A'!F15</f>
        <v>0</v>
      </c>
      <c r="K9" s="406">
        <f>'6.CTT1'!F14</f>
        <v>0</v>
      </c>
      <c r="L9" s="891">
        <f si="4" t="shared"/>
        <v>0</v>
      </c>
      <c r="M9" s="406">
        <f si="3" t="shared"/>
        <v>0</v>
      </c>
      <c r="S9" s="406" t="s">
        <v>1241</v>
      </c>
      <c r="T9" s="406">
        <v>312</v>
      </c>
      <c r="U9" s="406" t="s">
        <v>1851</v>
      </c>
      <c r="X9" s="406" t="s">
        <v>3006</v>
      </c>
      <c r="Y9" s="406" t="s">
        <v>3007</v>
      </c>
      <c r="Z9" s="406" t="s">
        <v>3008</v>
      </c>
    </row>
    <row r="10" spans="1:26">
      <c r="A10" s="406" t="s">
        <v>1241</v>
      </c>
      <c r="B10" s="406">
        <v>3121</v>
      </c>
      <c r="C10" s="406">
        <f>+'2.CT1A'!A16</f>
        <v>3121</v>
      </c>
      <c r="D10" s="406">
        <f si="0" t="shared"/>
        <v>0</v>
      </c>
      <c r="E10" s="406" t="str">
        <f>+'2.CT1A'!B16</f>
        <v xml:space="preserve">         Төгрөг</v>
      </c>
      <c r="F10" s="891">
        <f>+'2.CT1A'!C16</f>
        <v>0</v>
      </c>
      <c r="G10" s="406">
        <f>'6.CTT1'!C15</f>
        <v>0</v>
      </c>
      <c r="H10" s="406">
        <f si="1" t="shared"/>
        <v>0</v>
      </c>
      <c r="I10" s="406">
        <f si="2" t="shared"/>
        <v>0</v>
      </c>
      <c r="J10" s="891">
        <f>+'2.CT1A'!F16</f>
        <v>0</v>
      </c>
      <c r="K10" s="406">
        <f>'6.CTT1'!F15</f>
        <v>0</v>
      </c>
      <c r="L10" s="891">
        <f si="4" t="shared"/>
        <v>0</v>
      </c>
      <c r="M10" s="406">
        <f si="3" t="shared"/>
        <v>0</v>
      </c>
      <c r="S10" s="406" t="s">
        <v>1241</v>
      </c>
      <c r="T10" s="406">
        <v>3121</v>
      </c>
      <c r="U10" s="406" t="s">
        <v>1851</v>
      </c>
      <c r="X10" s="406" t="s">
        <v>3006</v>
      </c>
      <c r="Y10" s="406" t="s">
        <v>3007</v>
      </c>
      <c r="Z10" s="406" t="s">
        <v>3008</v>
      </c>
    </row>
    <row r="11" spans="1:26">
      <c r="A11" s="406" t="s">
        <v>1241</v>
      </c>
      <c r="B11" s="406">
        <v>31211</v>
      </c>
      <c r="C11" s="406">
        <f>+'2.CT1A'!A17</f>
        <v>31211</v>
      </c>
      <c r="D11" s="406">
        <f si="0" t="shared"/>
        <v>0</v>
      </c>
      <c r="E11" s="406" t="str">
        <f>+'2.CT1A'!B17</f>
        <v xml:space="preserve">               Төрийн сангийн харилцах</v>
      </c>
      <c r="F11" s="891">
        <f>+'2.CT1A'!C17</f>
        <v>0</v>
      </c>
      <c r="G11" s="406">
        <f>'6.CTT1'!C16</f>
        <v>0</v>
      </c>
      <c r="H11" s="406">
        <f si="1" t="shared"/>
        <v>0</v>
      </c>
      <c r="I11" s="406">
        <f si="2" t="shared"/>
        <v>0</v>
      </c>
      <c r="J11" s="891">
        <f>+'2.CT1A'!F17</f>
        <v>0</v>
      </c>
      <c r="K11" s="406">
        <f>'6.CTT1'!F16</f>
        <v>0</v>
      </c>
      <c r="L11" s="891">
        <f si="4" t="shared"/>
        <v>0</v>
      </c>
      <c r="M11" s="406">
        <f si="3" t="shared"/>
        <v>0</v>
      </c>
      <c r="S11" s="406" t="s">
        <v>1241</v>
      </c>
      <c r="T11" s="406">
        <v>31211</v>
      </c>
      <c r="U11" s="406" t="s">
        <v>1851</v>
      </c>
      <c r="X11" s="406" t="s">
        <v>3006</v>
      </c>
      <c r="Y11" s="406" t="s">
        <v>3007</v>
      </c>
      <c r="Z11" s="406" t="s">
        <v>3008</v>
      </c>
    </row>
    <row r="12" spans="1:26">
      <c r="A12" s="406" t="s">
        <v>1241</v>
      </c>
      <c r="B12" s="406">
        <v>31212</v>
      </c>
      <c r="C12" s="406">
        <f>+'2.CT1A'!A18</f>
        <v>31212</v>
      </c>
      <c r="D12" s="406">
        <f si="0" t="shared"/>
        <v>0</v>
      </c>
      <c r="E12" s="406" t="str">
        <f>+'2.CT1A'!B18</f>
        <v xml:space="preserve">               Монгол банкин дахь харилцах</v>
      </c>
      <c r="F12" s="891">
        <f>+'2.CT1A'!C18</f>
        <v>0</v>
      </c>
      <c r="G12" s="406">
        <f>'6.CTT1'!C17</f>
        <v>0</v>
      </c>
      <c r="H12" s="406">
        <f si="1" t="shared"/>
        <v>0</v>
      </c>
      <c r="I12" s="406">
        <f si="2" t="shared"/>
        <v>0</v>
      </c>
      <c r="J12" s="891">
        <f>+'2.CT1A'!F18</f>
        <v>0</v>
      </c>
      <c r="K12" s="406">
        <f>'6.CTT1'!F17</f>
        <v>0</v>
      </c>
      <c r="L12" s="891">
        <f si="4" t="shared"/>
        <v>0</v>
      </c>
      <c r="M12" s="406">
        <f si="3" t="shared"/>
        <v>0</v>
      </c>
      <c r="S12" s="406" t="s">
        <v>1241</v>
      </c>
      <c r="T12" s="406">
        <v>31212</v>
      </c>
      <c r="U12" s="406" t="s">
        <v>1851</v>
      </c>
      <c r="X12" s="406" t="s">
        <v>3006</v>
      </c>
      <c r="Y12" s="406" t="s">
        <v>3007</v>
      </c>
      <c r="Z12" s="406" t="s">
        <v>3008</v>
      </c>
    </row>
    <row r="13" spans="1:26">
      <c r="A13" s="406" t="s">
        <v>1241</v>
      </c>
      <c r="B13" s="406">
        <v>31213</v>
      </c>
      <c r="C13" s="406">
        <f>+'2.CT1A'!A19</f>
        <v>31213</v>
      </c>
      <c r="D13" s="406">
        <f si="0" t="shared"/>
        <v>0</v>
      </c>
      <c r="E13" s="406" t="str">
        <f>+'2.CT1A'!B19</f>
        <v xml:space="preserve">               Арилжааны банк дахь харилцах</v>
      </c>
      <c r="F13" s="891">
        <f>+'2.CT1A'!C19</f>
        <v>0</v>
      </c>
      <c r="G13" s="406">
        <f>'6.CTT1'!C18</f>
        <v>0</v>
      </c>
      <c r="H13" s="406">
        <f si="1" t="shared"/>
        <v>0</v>
      </c>
      <c r="I13" s="406">
        <f si="2" t="shared"/>
        <v>0</v>
      </c>
      <c r="J13" s="891">
        <f>+'2.CT1A'!F19</f>
        <v>0</v>
      </c>
      <c r="K13" s="406">
        <f>'6.CTT1'!F18</f>
        <v>0</v>
      </c>
      <c r="L13" s="891">
        <f si="4" t="shared"/>
        <v>0</v>
      </c>
      <c r="M13" s="406">
        <f si="3" t="shared"/>
        <v>0</v>
      </c>
      <c r="S13" s="406" t="s">
        <v>1241</v>
      </c>
      <c r="T13" s="406">
        <v>31213</v>
      </c>
      <c r="U13" s="406" t="s">
        <v>1851</v>
      </c>
      <c r="X13" s="406" t="s">
        <v>3006</v>
      </c>
      <c r="Y13" s="406" t="s">
        <v>3007</v>
      </c>
      <c r="Z13" s="406" t="s">
        <v>3008</v>
      </c>
    </row>
    <row r="14" spans="1:26">
      <c r="A14" s="406" t="s">
        <v>1241</v>
      </c>
      <c r="B14" s="406">
        <v>31214</v>
      </c>
      <c r="C14" s="406">
        <f>+'2.CT1A'!A20</f>
        <v>31214</v>
      </c>
      <c r="D14" s="406">
        <f si="0" t="shared"/>
        <v>0</v>
      </c>
      <c r="E14" s="406" t="str">
        <f>+'2.CT1A'!B20</f>
        <v xml:space="preserve">               Бусад төсөл, нөөцийн харилцах</v>
      </c>
      <c r="F14" s="891">
        <f>+'2.CT1A'!C20</f>
        <v>0</v>
      </c>
      <c r="G14" s="406">
        <f>'6.CTT1'!C19</f>
        <v>0</v>
      </c>
      <c r="H14" s="406">
        <f si="1" t="shared"/>
        <v>0</v>
      </c>
      <c r="I14" s="406">
        <f si="2" t="shared"/>
        <v>0</v>
      </c>
      <c r="J14" s="891">
        <f>+'2.CT1A'!F20</f>
        <v>0</v>
      </c>
      <c r="K14" s="406">
        <f>'6.CTT1'!F19</f>
        <v>0</v>
      </c>
      <c r="L14" s="891">
        <f si="4" t="shared"/>
        <v>0</v>
      </c>
      <c r="M14" s="406">
        <f si="3" t="shared"/>
        <v>0</v>
      </c>
      <c r="S14" s="406" t="s">
        <v>1241</v>
      </c>
      <c r="T14" s="406">
        <v>31214</v>
      </c>
      <c r="U14" s="406" t="s">
        <v>1851</v>
      </c>
      <c r="X14" s="406" t="s">
        <v>3006</v>
      </c>
      <c r="Y14" s="406" t="s">
        <v>3007</v>
      </c>
      <c r="Z14" s="406" t="s">
        <v>3008</v>
      </c>
    </row>
    <row r="15" spans="1:26">
      <c r="A15" s="406" t="s">
        <v>1241</v>
      </c>
      <c r="B15" s="406">
        <v>31215</v>
      </c>
      <c r="C15" s="406">
        <f>+'2.CT1A'!A21</f>
        <v>31215</v>
      </c>
      <c r="D15" s="406">
        <f si="0" t="shared"/>
        <v>0</v>
      </c>
      <c r="E15" s="406" t="str">
        <f>+'2.CT1A'!B21</f>
        <v xml:space="preserve">               Нэмэлт санхүүжилтийн харилцах</v>
      </c>
      <c r="F15" s="891">
        <f>+'2.CT1A'!C21</f>
        <v>0</v>
      </c>
      <c r="G15" s="406">
        <f>'6.CTT1'!C20</f>
        <v>0</v>
      </c>
      <c r="H15" s="406">
        <f si="1" t="shared"/>
        <v>0</v>
      </c>
      <c r="I15" s="406">
        <f si="2" t="shared"/>
        <v>0</v>
      </c>
      <c r="J15" s="891">
        <f>+'2.CT1A'!F21</f>
        <v>0</v>
      </c>
      <c r="K15" s="406">
        <f>'6.CTT1'!F20</f>
        <v>0</v>
      </c>
      <c r="L15" s="891">
        <f si="4" t="shared"/>
        <v>0</v>
      </c>
      <c r="M15" s="406">
        <f si="3" t="shared"/>
        <v>0</v>
      </c>
      <c r="S15" s="406" t="s">
        <v>1241</v>
      </c>
      <c r="T15" s="406">
        <v>31215</v>
      </c>
      <c r="U15" s="406" t="s">
        <v>1851</v>
      </c>
      <c r="X15" s="406" t="s">
        <v>3006</v>
      </c>
      <c r="Y15" s="406" t="s">
        <v>3007</v>
      </c>
      <c r="Z15" s="406" t="s">
        <v>3008</v>
      </c>
    </row>
    <row r="16" spans="1:26">
      <c r="A16" s="406" t="s">
        <v>1241</v>
      </c>
      <c r="B16" s="406">
        <v>31216</v>
      </c>
      <c r="C16" s="406">
        <f>+'2.CT1A'!A22</f>
        <v>31216</v>
      </c>
      <c r="D16" s="406">
        <f si="0" t="shared"/>
        <v>0</v>
      </c>
      <c r="E16" s="406" t="str">
        <f>+'2.CT1A'!B22</f>
        <v xml:space="preserve">               Нэмэлт санхүүжилтийн арилжааны банк</v>
      </c>
      <c r="F16" s="891">
        <f>+'2.CT1A'!C22</f>
        <v>0</v>
      </c>
      <c r="G16" s="406">
        <f>'6.CTT1'!C21</f>
        <v>0</v>
      </c>
      <c r="H16" s="406">
        <f si="1" t="shared"/>
        <v>0</v>
      </c>
      <c r="I16" s="406">
        <f si="2" t="shared"/>
        <v>0</v>
      </c>
      <c r="J16" s="891">
        <f>+'2.CT1A'!F22</f>
        <v>0</v>
      </c>
      <c r="K16" s="406">
        <f>'6.CTT1'!F21</f>
        <v>0</v>
      </c>
      <c r="L16" s="891">
        <f si="4" t="shared"/>
        <v>0</v>
      </c>
      <c r="M16" s="406">
        <f si="3" t="shared"/>
        <v>0</v>
      </c>
      <c r="S16" s="406" t="s">
        <v>1241</v>
      </c>
      <c r="T16" s="406">
        <v>31216</v>
      </c>
      <c r="U16" s="406" t="s">
        <v>1851</v>
      </c>
      <c r="X16" s="406" t="s">
        <v>3006</v>
      </c>
      <c r="Y16" s="406" t="s">
        <v>3007</v>
      </c>
      <c r="Z16" s="406" t="s">
        <v>3008</v>
      </c>
    </row>
    <row r="17" spans="1:26">
      <c r="A17" s="406" t="s">
        <v>1241</v>
      </c>
      <c r="B17" s="406">
        <v>3122</v>
      </c>
      <c r="C17" s="406">
        <f>+'2.CT1A'!A23</f>
        <v>3122</v>
      </c>
      <c r="D17" s="406">
        <f si="0" t="shared"/>
        <v>0</v>
      </c>
      <c r="E17" s="406" t="str">
        <f>+'2.CT1A'!B23</f>
        <v xml:space="preserve">         Гадаад валют</v>
      </c>
      <c r="F17" s="891">
        <f>+'2.CT1A'!C23</f>
        <v>0</v>
      </c>
      <c r="G17" s="406">
        <f>'6.CTT1'!C22</f>
        <v>0</v>
      </c>
      <c r="H17" s="406">
        <f si="1" t="shared"/>
        <v>0</v>
      </c>
      <c r="I17" s="406">
        <f si="2" t="shared"/>
        <v>0</v>
      </c>
      <c r="J17" s="891">
        <f>+'2.CT1A'!F23</f>
        <v>0</v>
      </c>
      <c r="K17" s="406">
        <f>'6.CTT1'!F22</f>
        <v>0</v>
      </c>
      <c r="L17" s="891">
        <f si="4" t="shared"/>
        <v>0</v>
      </c>
      <c r="M17" s="406">
        <f si="3" t="shared"/>
        <v>0</v>
      </c>
      <c r="S17" s="406" t="s">
        <v>1241</v>
      </c>
      <c r="T17" s="406">
        <v>3122</v>
      </c>
      <c r="U17" s="406" t="s">
        <v>1851</v>
      </c>
      <c r="X17" s="406" t="s">
        <v>3006</v>
      </c>
      <c r="Y17" s="406" t="s">
        <v>3007</v>
      </c>
      <c r="Z17" s="406" t="s">
        <v>3008</v>
      </c>
    </row>
    <row r="18" spans="1:26">
      <c r="A18" s="406" t="s">
        <v>1241</v>
      </c>
      <c r="B18" s="406">
        <v>31221</v>
      </c>
      <c r="C18" s="406">
        <f>+'2.CT1A'!A24</f>
        <v>31221</v>
      </c>
      <c r="D18" s="406">
        <f si="0" t="shared"/>
        <v>0</v>
      </c>
      <c r="E18" s="406" t="str">
        <f>+'2.CT1A'!B24</f>
        <v xml:space="preserve">               Төрийн сангийн харилцах</v>
      </c>
      <c r="F18" s="891">
        <f>+'2.CT1A'!C24</f>
        <v>0</v>
      </c>
      <c r="G18" s="406">
        <f>'6.CTT1'!C23</f>
        <v>0</v>
      </c>
      <c r="H18" s="406">
        <f si="1" t="shared"/>
        <v>0</v>
      </c>
      <c r="I18" s="406">
        <f si="2" t="shared"/>
        <v>0</v>
      </c>
      <c r="J18" s="891">
        <f>+'2.CT1A'!F24</f>
        <v>0</v>
      </c>
      <c r="K18" s="406">
        <f>'6.CTT1'!F23</f>
        <v>0</v>
      </c>
      <c r="L18" s="891">
        <f si="4" t="shared"/>
        <v>0</v>
      </c>
      <c r="M18" s="406">
        <f si="3" t="shared"/>
        <v>0</v>
      </c>
      <c r="S18" s="406" t="s">
        <v>1241</v>
      </c>
      <c r="T18" s="406">
        <v>31221</v>
      </c>
      <c r="U18" s="406" t="s">
        <v>1851</v>
      </c>
      <c r="X18" s="406" t="s">
        <v>3006</v>
      </c>
      <c r="Y18" s="406" t="s">
        <v>3007</v>
      </c>
      <c r="Z18" s="406" t="s">
        <v>3008</v>
      </c>
    </row>
    <row r="19" spans="1:26">
      <c r="A19" s="406" t="s">
        <v>1241</v>
      </c>
      <c r="B19" s="406">
        <v>31222</v>
      </c>
      <c r="C19" s="406">
        <f>+'2.CT1A'!A25</f>
        <v>31222</v>
      </c>
      <c r="D19" s="406">
        <f si="0" t="shared"/>
        <v>0</v>
      </c>
      <c r="E19" s="406" t="str">
        <f>+'2.CT1A'!B25</f>
        <v xml:space="preserve">               Монгол банк дахь харилцах</v>
      </c>
      <c r="F19" s="891">
        <f>+'2.CT1A'!C25</f>
        <v>0</v>
      </c>
      <c r="G19" s="406">
        <f>'6.CTT1'!C24</f>
        <v>0</v>
      </c>
      <c r="H19" s="406">
        <f si="1" t="shared"/>
        <v>0</v>
      </c>
      <c r="I19" s="406">
        <f si="2" t="shared"/>
        <v>0</v>
      </c>
      <c r="J19" s="891">
        <f>+'2.CT1A'!F25</f>
        <v>0</v>
      </c>
      <c r="K19" s="406">
        <f>'6.CTT1'!F24</f>
        <v>0</v>
      </c>
      <c r="L19" s="891">
        <f si="4" t="shared"/>
        <v>0</v>
      </c>
      <c r="M19" s="406">
        <f si="3" t="shared"/>
        <v>0</v>
      </c>
      <c r="S19" s="406" t="s">
        <v>1241</v>
      </c>
      <c r="T19" s="406">
        <v>31222</v>
      </c>
      <c r="U19" s="406" t="s">
        <v>1851</v>
      </c>
      <c r="X19" s="406" t="s">
        <v>3006</v>
      </c>
      <c r="Y19" s="406" t="s">
        <v>3007</v>
      </c>
      <c r="Z19" s="406" t="s">
        <v>3008</v>
      </c>
    </row>
    <row r="20" spans="1:26">
      <c r="A20" s="406" t="s">
        <v>1241</v>
      </c>
      <c r="B20" s="406">
        <v>31223</v>
      </c>
      <c r="C20" s="406">
        <f>+'2.CT1A'!A26</f>
        <v>31223</v>
      </c>
      <c r="D20" s="406">
        <f si="0" t="shared"/>
        <v>0</v>
      </c>
      <c r="E20" s="406" t="str">
        <f>+'2.CT1A'!B26</f>
        <v xml:space="preserve">               Арилжааны банк дахь харилцах</v>
      </c>
      <c r="F20" s="891">
        <f>+'2.CT1A'!C26</f>
        <v>0</v>
      </c>
      <c r="G20" s="406">
        <f>'6.CTT1'!C25</f>
        <v>0</v>
      </c>
      <c r="H20" s="406">
        <f si="1" t="shared"/>
        <v>0</v>
      </c>
      <c r="I20" s="406">
        <f si="2" t="shared"/>
        <v>0</v>
      </c>
      <c r="J20" s="891">
        <f>+'2.CT1A'!F26</f>
        <v>0</v>
      </c>
      <c r="K20" s="406">
        <f>'6.CTT1'!F25</f>
        <v>0</v>
      </c>
      <c r="L20" s="891">
        <f si="4" t="shared"/>
        <v>0</v>
      </c>
      <c r="M20" s="406">
        <f si="3" t="shared"/>
        <v>0</v>
      </c>
      <c r="S20" s="406" t="s">
        <v>1241</v>
      </c>
      <c r="T20" s="406">
        <v>31223</v>
      </c>
      <c r="U20" s="406" t="s">
        <v>1851</v>
      </c>
      <c r="X20" s="406" t="s">
        <v>3006</v>
      </c>
      <c r="Y20" s="406" t="s">
        <v>3007</v>
      </c>
      <c r="Z20" s="406" t="s">
        <v>3008</v>
      </c>
    </row>
    <row r="21" spans="1:26">
      <c r="A21" s="406" t="s">
        <v>1241</v>
      </c>
      <c r="B21" s="406">
        <v>31224</v>
      </c>
      <c r="C21" s="406">
        <f>+'2.CT1A'!A27</f>
        <v>31224</v>
      </c>
      <c r="D21" s="406">
        <f si="0" t="shared"/>
        <v>0</v>
      </c>
      <c r="E21" s="406" t="str">
        <f>+'2.CT1A'!B27</f>
        <v xml:space="preserve">               Бусад төсөл, нөөцийн харилцах</v>
      </c>
      <c r="F21" s="891">
        <f>+'2.CT1A'!C27</f>
        <v>0</v>
      </c>
      <c r="G21" s="406">
        <f>'6.CTT1'!C26</f>
        <v>0</v>
      </c>
      <c r="H21" s="406">
        <f si="1" t="shared"/>
        <v>0</v>
      </c>
      <c r="I21" s="406">
        <f si="2" t="shared"/>
        <v>0</v>
      </c>
      <c r="J21" s="891">
        <f>+'2.CT1A'!F27</f>
        <v>0</v>
      </c>
      <c r="K21" s="406">
        <f>'6.CTT1'!F26</f>
        <v>0</v>
      </c>
      <c r="L21" s="891">
        <f si="4" t="shared"/>
        <v>0</v>
      </c>
      <c r="M21" s="406">
        <f si="3" t="shared"/>
        <v>0</v>
      </c>
      <c r="S21" s="406" t="s">
        <v>1241</v>
      </c>
      <c r="T21" s="406">
        <v>31224</v>
      </c>
      <c r="U21" s="406" t="s">
        <v>1851</v>
      </c>
      <c r="X21" s="406" t="s">
        <v>3006</v>
      </c>
      <c r="Y21" s="406" t="s">
        <v>3007</v>
      </c>
      <c r="Z21" s="406" t="s">
        <v>3008</v>
      </c>
    </row>
    <row r="22" spans="1:26">
      <c r="A22" s="406" t="s">
        <v>1241</v>
      </c>
      <c r="B22" s="406">
        <v>31400</v>
      </c>
      <c r="C22" s="406">
        <f>+'2.CT1A'!A28</f>
        <v>31400</v>
      </c>
      <c r="D22" s="406">
        <f si="0" t="shared"/>
        <v>0</v>
      </c>
      <c r="E22" s="406" t="str">
        <f>+'2.CT1A'!B28</f>
        <v xml:space="preserve">           Замд яваа мөнгөн хөрөнгө</v>
      </c>
      <c r="F22" s="891">
        <f>+'2.CT1A'!C28</f>
        <v>0</v>
      </c>
      <c r="G22" s="406">
        <f>'6.CTT1'!C27</f>
        <v>0</v>
      </c>
      <c r="H22" s="406">
        <f si="1" t="shared"/>
        <v>0</v>
      </c>
      <c r="I22" s="406">
        <f si="2" t="shared"/>
        <v>0</v>
      </c>
      <c r="J22" s="891">
        <f>+'2.CT1A'!F28</f>
        <v>0</v>
      </c>
      <c r="K22" s="406">
        <f>'6.CTT1'!F27</f>
        <v>0</v>
      </c>
      <c r="L22" s="891">
        <f si="4" t="shared"/>
        <v>0</v>
      </c>
      <c r="M22" s="406">
        <f si="3" t="shared"/>
        <v>0</v>
      </c>
      <c r="S22" s="406" t="s">
        <v>1241</v>
      </c>
      <c r="T22" s="406">
        <v>31400</v>
      </c>
      <c r="U22" s="406" t="s">
        <v>1851</v>
      </c>
      <c r="X22" s="406" t="s">
        <v>3006</v>
      </c>
      <c r="Y22" s="406" t="s">
        <v>3007</v>
      </c>
      <c r="Z22" s="406" t="s">
        <v>3008</v>
      </c>
    </row>
    <row r="23" spans="1:26">
      <c r="A23" s="406" t="s">
        <v>1241</v>
      </c>
      <c r="B23" s="406">
        <v>31500</v>
      </c>
      <c r="C23" s="406">
        <f>+'2.CT1A'!A29</f>
        <v>31500</v>
      </c>
      <c r="D23" s="406">
        <f si="0" t="shared"/>
        <v>0</v>
      </c>
      <c r="E23" s="406" t="str">
        <f>+'2.CT1A'!B29</f>
        <v xml:space="preserve">           Хадгаламж</v>
      </c>
      <c r="F23" s="891">
        <f>+'2.CT1A'!C29</f>
        <v>0</v>
      </c>
      <c r="G23" s="406">
        <f>'6.CTT1'!C28</f>
        <v>0</v>
      </c>
      <c r="H23" s="406">
        <f si="1" t="shared"/>
        <v>0</v>
      </c>
      <c r="I23" s="406">
        <f si="2" t="shared"/>
        <v>0</v>
      </c>
      <c r="J23" s="891">
        <f>+'2.CT1A'!F29</f>
        <v>0</v>
      </c>
      <c r="K23" s="406">
        <f>'6.CTT1'!F28</f>
        <v>0</v>
      </c>
      <c r="L23" s="891">
        <f si="4" t="shared"/>
        <v>0</v>
      </c>
      <c r="M23" s="406">
        <f si="3" t="shared"/>
        <v>0</v>
      </c>
      <c r="S23" s="406" t="s">
        <v>1241</v>
      </c>
      <c r="T23" s="406">
        <v>31500</v>
      </c>
      <c r="U23" s="406" t="s">
        <v>1851</v>
      </c>
      <c r="X23" s="406" t="s">
        <v>3006</v>
      </c>
      <c r="Y23" s="406" t="s">
        <v>3007</v>
      </c>
      <c r="Z23" s="406" t="s">
        <v>3008</v>
      </c>
    </row>
    <row r="24" spans="1:26">
      <c r="A24" s="406" t="s">
        <v>1241</v>
      </c>
      <c r="B24" s="406">
        <v>32</v>
      </c>
      <c r="C24" s="406">
        <f>+'2.CT1A'!A30</f>
        <v>32</v>
      </c>
      <c r="D24" s="406">
        <f si="0" t="shared"/>
        <v>0</v>
      </c>
      <c r="E24" s="406" t="str">
        <f>+'2.CT1A'!B30</f>
        <v xml:space="preserve">   БОГИНО ХУГАЦААТ ХӨРӨНГӨ ОРУУЛАЛТ</v>
      </c>
      <c r="F24" s="891">
        <f>+'2.CT1A'!C30</f>
        <v>0</v>
      </c>
      <c r="M24" s="406">
        <f si="3" t="shared"/>
        <v>0</v>
      </c>
      <c r="S24" s="406" t="s">
        <v>1241</v>
      </c>
      <c r="T24" s="406">
        <v>32</v>
      </c>
      <c r="U24" s="406" t="s">
        <v>1851</v>
      </c>
      <c r="X24" s="406" t="s">
        <v>3006</v>
      </c>
      <c r="Y24" s="406" t="s">
        <v>3007</v>
      </c>
      <c r="Z24" s="406" t="s">
        <v>3008</v>
      </c>
    </row>
    <row r="25" spans="1:26">
      <c r="A25" s="406" t="s">
        <v>1241</v>
      </c>
      <c r="B25" s="406">
        <v>321</v>
      </c>
      <c r="C25" s="406">
        <f>+'2.CT1A'!A31</f>
        <v>321</v>
      </c>
      <c r="D25" s="406">
        <f si="0" t="shared"/>
        <v>0</v>
      </c>
      <c r="E25" s="406" t="str">
        <f>+'2.CT1A'!B31</f>
        <v xml:space="preserve">      Yнэт цаас</v>
      </c>
      <c r="F25" s="891">
        <f>+'2.CT1A'!C31</f>
        <v>0</v>
      </c>
      <c r="S25" s="406" t="s">
        <v>1241</v>
      </c>
      <c r="T25" s="406">
        <v>321</v>
      </c>
      <c r="U25" s="406" t="s">
        <v>1851</v>
      </c>
      <c r="X25" s="406" t="s">
        <v>3006</v>
      </c>
      <c r="Y25" s="406" t="s">
        <v>3007</v>
      </c>
      <c r="Z25" s="406" t="s">
        <v>3008</v>
      </c>
    </row>
    <row r="26" spans="1:26">
      <c r="A26" s="406" t="s">
        <v>1241</v>
      </c>
      <c r="B26" s="406">
        <v>32110</v>
      </c>
      <c r="C26" s="406">
        <f>+'2.CT1A'!A32</f>
        <v>32110</v>
      </c>
      <c r="D26" s="406">
        <f si="0" t="shared"/>
        <v>0</v>
      </c>
      <c r="E26" s="406" t="str">
        <f>+'2.CT1A'!B32</f>
        <v xml:space="preserve">           Төгрөг</v>
      </c>
      <c r="F26" s="891">
        <f>+'2.CT1A'!C32</f>
        <v>0</v>
      </c>
      <c r="S26" s="406" t="s">
        <v>1241</v>
      </c>
      <c r="T26" s="406">
        <v>32110</v>
      </c>
      <c r="U26" s="406" t="s">
        <v>1851</v>
      </c>
      <c r="X26" s="406" t="s">
        <v>3006</v>
      </c>
      <c r="Y26" s="406" t="s">
        <v>3007</v>
      </c>
      <c r="Z26" s="406" t="s">
        <v>3008</v>
      </c>
    </row>
    <row r="27" spans="1:26">
      <c r="A27" s="406" t="s">
        <v>1241</v>
      </c>
      <c r="B27" s="406">
        <v>32120</v>
      </c>
      <c r="C27" s="406">
        <f>+'2.CT1A'!A33</f>
        <v>32120</v>
      </c>
      <c r="D27" s="406">
        <f si="0" t="shared"/>
        <v>0</v>
      </c>
      <c r="E27" s="406" t="str">
        <f>+'2.CT1A'!B33</f>
        <v xml:space="preserve">           Гадаад валют</v>
      </c>
      <c r="F27" s="891">
        <f>+'2.CT1A'!C33</f>
        <v>0</v>
      </c>
      <c r="S27" s="406" t="s">
        <v>1241</v>
      </c>
      <c r="T27" s="406">
        <v>32120</v>
      </c>
      <c r="U27" s="406" t="s">
        <v>1851</v>
      </c>
      <c r="X27" s="406" t="s">
        <v>3006</v>
      </c>
      <c r="Y27" s="406" t="s">
        <v>3007</v>
      </c>
      <c r="Z27" s="406" t="s">
        <v>3008</v>
      </c>
    </row>
    <row r="28" spans="1:26">
      <c r="A28" s="406" t="s">
        <v>1241</v>
      </c>
      <c r="B28" s="406">
        <v>33</v>
      </c>
      <c r="C28" s="406">
        <f>+'2.CT1A'!A34</f>
        <v>33</v>
      </c>
      <c r="D28" s="406">
        <f si="0" t="shared"/>
        <v>0</v>
      </c>
      <c r="E28" s="406" t="str">
        <f>+'2.CT1A'!B34</f>
        <v xml:space="preserve">   АВЛАГА</v>
      </c>
      <c r="F28" s="891">
        <f>+'2.CT1A'!C34</f>
        <v>0</v>
      </c>
      <c r="S28" s="406" t="s">
        <v>1241</v>
      </c>
      <c r="T28" s="406">
        <v>33</v>
      </c>
      <c r="U28" s="406" t="s">
        <v>1882</v>
      </c>
      <c r="X28" s="406" t="s">
        <v>3006</v>
      </c>
      <c r="Y28" s="406" t="s">
        <v>3007</v>
      </c>
      <c r="Z28" s="406" t="s">
        <v>3008</v>
      </c>
    </row>
    <row r="29" spans="1:26">
      <c r="A29" s="406" t="s">
        <v>1241</v>
      </c>
      <c r="B29" s="406">
        <v>33100</v>
      </c>
      <c r="C29" s="406">
        <f>+'2.CT1A'!A35</f>
        <v>33100</v>
      </c>
      <c r="D29" s="406">
        <f si="0" t="shared"/>
        <v>0</v>
      </c>
      <c r="E29" s="406" t="str">
        <f>+'2.CT1A'!B35</f>
        <v xml:space="preserve">       Ажиллагчидтай холбогдсон авлага</v>
      </c>
      <c r="F29" s="891">
        <f>+'2.CT1A'!C35</f>
        <v>0</v>
      </c>
      <c r="S29" s="406" t="s">
        <v>1241</v>
      </c>
      <c r="T29" s="406">
        <v>33100</v>
      </c>
      <c r="U29" s="406" t="s">
        <v>1882</v>
      </c>
      <c r="X29" s="406" t="s">
        <v>3006</v>
      </c>
      <c r="Y29" s="406" t="s">
        <v>3007</v>
      </c>
      <c r="Z29" s="406" t="s">
        <v>3008</v>
      </c>
    </row>
    <row r="30" spans="1:26">
      <c r="A30" s="406" t="s">
        <v>1241</v>
      </c>
      <c r="B30" s="406">
        <v>33200</v>
      </c>
      <c r="C30" s="406">
        <f>+'2.CT1A'!A36</f>
        <v>33200</v>
      </c>
      <c r="D30" s="406">
        <f si="0" t="shared"/>
        <v>0</v>
      </c>
      <c r="E30" s="406" t="str">
        <f>+'2.CT1A'!B36</f>
        <v xml:space="preserve">       Төлбөртэй үйлчилгээний авлага</v>
      </c>
      <c r="F30" s="891">
        <f>+'2.CT1A'!C36</f>
        <v>0</v>
      </c>
      <c r="S30" s="406" t="s">
        <v>1241</v>
      </c>
      <c r="T30" s="406">
        <v>33200</v>
      </c>
      <c r="U30" s="406" t="s">
        <v>1882</v>
      </c>
      <c r="X30" s="406" t="s">
        <v>3006</v>
      </c>
      <c r="Y30" s="406" t="s">
        <v>3007</v>
      </c>
      <c r="Z30" s="406" t="s">
        <v>3008</v>
      </c>
    </row>
    <row r="31" spans="1:26">
      <c r="A31" s="406" t="s">
        <v>1241</v>
      </c>
      <c r="B31" s="406">
        <v>33300</v>
      </c>
      <c r="C31" s="406">
        <f>+'2.CT1A'!A37</f>
        <v>33300</v>
      </c>
      <c r="D31" s="406">
        <f si="0" t="shared"/>
        <v>0</v>
      </c>
      <c r="E31" s="406" t="str">
        <f>+'2.CT1A'!B37</f>
        <v xml:space="preserve">       Татаас, санхүүжилтийн авлага</v>
      </c>
      <c r="F31" s="891">
        <f>+'2.CT1A'!C37</f>
        <v>0</v>
      </c>
      <c r="S31" s="406" t="s">
        <v>1241</v>
      </c>
      <c r="T31" s="406">
        <v>33300</v>
      </c>
      <c r="U31" s="406" t="s">
        <v>1882</v>
      </c>
      <c r="X31" s="406" t="s">
        <v>3006</v>
      </c>
      <c r="Y31" s="406" t="s">
        <v>3007</v>
      </c>
      <c r="Z31" s="406" t="s">
        <v>3008</v>
      </c>
    </row>
    <row r="32" spans="1:26">
      <c r="A32" s="406" t="s">
        <v>1241</v>
      </c>
      <c r="B32" s="406">
        <v>33400</v>
      </c>
      <c r="C32" s="406">
        <f>+'2.CT1A'!A38</f>
        <v>33400</v>
      </c>
      <c r="D32" s="406">
        <f si="0" t="shared"/>
        <v>0</v>
      </c>
      <c r="E32" s="406" t="str">
        <f>+'2.CT1A'!B38</f>
        <v xml:space="preserve">       Зээлийн хүүгийн авлага</v>
      </c>
      <c r="F32" s="891">
        <f>+'2.CT1A'!C38</f>
        <v>0</v>
      </c>
      <c r="S32" s="406" t="s">
        <v>1241</v>
      </c>
      <c r="T32" s="406">
        <v>33400</v>
      </c>
      <c r="U32" s="406" t="s">
        <v>1882</v>
      </c>
      <c r="X32" s="406" t="s">
        <v>3006</v>
      </c>
      <c r="Y32" s="406" t="s">
        <v>3007</v>
      </c>
      <c r="Z32" s="406" t="s">
        <v>3008</v>
      </c>
    </row>
    <row r="33" spans="1:26">
      <c r="A33" s="406" t="s">
        <v>1241</v>
      </c>
      <c r="B33" s="406">
        <v>33401</v>
      </c>
      <c r="C33" s="406">
        <f>+'2.CT1A'!A39</f>
        <v>33401</v>
      </c>
      <c r="D33" s="406">
        <f si="0" t="shared"/>
        <v>0</v>
      </c>
      <c r="E33" s="406" t="str">
        <f>+'2.CT1A'!B39</f>
        <v xml:space="preserve">       Дансны авлага /ТӨҮГ/</v>
      </c>
      <c r="F33" s="891">
        <f>+'2.CT1A'!C39</f>
        <v>0</v>
      </c>
      <c r="S33" s="406" t="s">
        <v>1241</v>
      </c>
      <c r="T33" s="406">
        <v>33401</v>
      </c>
      <c r="U33" s="406" t="s">
        <v>1882</v>
      </c>
      <c r="X33" s="406" t="s">
        <v>3006</v>
      </c>
      <c r="Y33" s="406" t="s">
        <v>3007</v>
      </c>
      <c r="Z33" s="406" t="s">
        <v>3008</v>
      </c>
    </row>
    <row r="34" spans="1:26">
      <c r="A34" s="406" t="s">
        <v>1241</v>
      </c>
      <c r="B34" s="406">
        <v>33402</v>
      </c>
      <c r="C34" s="406">
        <f>+'2.CT1A'!A40</f>
        <v>33402</v>
      </c>
      <c r="D34" s="406">
        <f si="0" t="shared"/>
        <v>0</v>
      </c>
      <c r="E34" s="406" t="str">
        <f>+'2.CT1A'!B40</f>
        <v xml:space="preserve">       Татвар, НДШ – ийн авлага /ТӨҮГ/</v>
      </c>
      <c r="F34" s="891">
        <f>+'2.CT1A'!C40</f>
        <v>0</v>
      </c>
      <c r="S34" s="406" t="s">
        <v>1241</v>
      </c>
      <c r="T34" s="406">
        <v>33402</v>
      </c>
      <c r="U34" s="406" t="s">
        <v>1882</v>
      </c>
      <c r="X34" s="406" t="s">
        <v>3006</v>
      </c>
      <c r="Y34" s="406" t="s">
        <v>3007</v>
      </c>
      <c r="Z34" s="406" t="s">
        <v>3008</v>
      </c>
    </row>
    <row r="35" spans="1:26">
      <c r="A35" s="406" t="s">
        <v>1241</v>
      </c>
      <c r="B35" s="406">
        <v>335</v>
      </c>
      <c r="C35" s="406">
        <f>+'2.CT1A'!A41</f>
        <v>335</v>
      </c>
      <c r="D35" s="406">
        <f si="0" t="shared"/>
        <v>0</v>
      </c>
      <c r="E35" s="406" t="str">
        <f>+'2.CT1A'!B41</f>
        <v xml:space="preserve">      Бусад авлага</v>
      </c>
      <c r="F35" s="891">
        <f>+'2.CT1A'!C41</f>
        <v>0</v>
      </c>
      <c r="S35" s="406" t="s">
        <v>1241</v>
      </c>
      <c r="T35" s="406">
        <v>335</v>
      </c>
      <c r="U35" s="406" t="s">
        <v>1882</v>
      </c>
      <c r="X35" s="406" t="s">
        <v>3006</v>
      </c>
      <c r="Y35" s="406" t="s">
        <v>3007</v>
      </c>
      <c r="Z35" s="406" t="s">
        <v>3008</v>
      </c>
    </row>
    <row r="36" spans="1:26">
      <c r="A36" s="406" t="s">
        <v>1241</v>
      </c>
      <c r="B36" s="406">
        <v>3351</v>
      </c>
      <c r="C36" s="406">
        <f>+'2.CT1A'!A42</f>
        <v>3351</v>
      </c>
      <c r="D36" s="406">
        <f si="0" t="shared"/>
        <v>0</v>
      </c>
      <c r="E36" s="406" t="str">
        <f>+'2.CT1A'!B42</f>
        <v xml:space="preserve">           Байгууллагаас авах авлага</v>
      </c>
      <c r="F36" s="891">
        <f>+'2.CT1A'!C42</f>
        <v>0</v>
      </c>
      <c r="S36" s="406" t="s">
        <v>1241</v>
      </c>
      <c r="T36" s="406">
        <v>3351</v>
      </c>
      <c r="U36" s="406" t="s">
        <v>1882</v>
      </c>
      <c r="X36" s="406" t="s">
        <v>3006</v>
      </c>
      <c r="Y36" s="406" t="s">
        <v>3007</v>
      </c>
      <c r="Z36" s="406" t="s">
        <v>3008</v>
      </c>
    </row>
    <row r="37" spans="1:26">
      <c r="A37" s="406" t="s">
        <v>1241</v>
      </c>
      <c r="B37" s="406">
        <v>3352</v>
      </c>
      <c r="C37" s="406">
        <f>+'2.CT1A'!A43</f>
        <v>3352</v>
      </c>
      <c r="D37" s="406">
        <f si="0" t="shared"/>
        <v>0</v>
      </c>
      <c r="E37" s="406" t="str">
        <f>+'2.CT1A'!B43</f>
        <v xml:space="preserve">           Хувь хүмүүсээс авах авлага</v>
      </c>
      <c r="F37" s="891">
        <f>+'2.CT1A'!C43</f>
        <v>0</v>
      </c>
      <c r="S37" s="406" t="s">
        <v>1241</v>
      </c>
      <c r="T37" s="406">
        <v>3352</v>
      </c>
      <c r="U37" s="406" t="s">
        <v>1882</v>
      </c>
      <c r="X37" s="406" t="s">
        <v>3006</v>
      </c>
      <c r="Y37" s="406" t="s">
        <v>3007</v>
      </c>
      <c r="Z37" s="406" t="s">
        <v>3008</v>
      </c>
    </row>
    <row r="38" spans="1:26">
      <c r="A38" s="406" t="s">
        <v>1241</v>
      </c>
      <c r="B38" s="406">
        <v>336</v>
      </c>
      <c r="C38" s="406">
        <f>+'2.CT1A'!A44</f>
        <v>336</v>
      </c>
      <c r="D38" s="406">
        <f si="0" t="shared"/>
        <v>0</v>
      </c>
      <c r="E38" s="406" t="str">
        <f>+'2.CT1A'!B44</f>
        <v xml:space="preserve">      Зээлийн авлага</v>
      </c>
      <c r="F38" s="891">
        <f>+'2.CT1A'!C44</f>
        <v>0</v>
      </c>
      <c r="S38" s="406" t="s">
        <v>1241</v>
      </c>
      <c r="T38" s="406">
        <v>336</v>
      </c>
      <c r="U38" s="406" t="s">
        <v>1882</v>
      </c>
      <c r="X38" s="406" t="s">
        <v>3006</v>
      </c>
      <c r="Y38" s="406" t="s">
        <v>3007</v>
      </c>
      <c r="Z38" s="406" t="s">
        <v>3008</v>
      </c>
    </row>
    <row r="39" spans="1:26">
      <c r="A39" s="406" t="s">
        <v>1241</v>
      </c>
      <c r="B39" s="406">
        <v>3361</v>
      </c>
      <c r="C39" s="406">
        <f>+'2.CT1A'!A45</f>
        <v>3361</v>
      </c>
      <c r="D39" s="406">
        <f si="0" t="shared"/>
        <v>0</v>
      </c>
      <c r="E39" s="406" t="str">
        <f>+'2.CT1A'!B45</f>
        <v xml:space="preserve">         Дотоод эх үүсвэрээс олгосон зээлийн авлага</v>
      </c>
      <c r="F39" s="891">
        <f>+'2.CT1A'!C45</f>
        <v>0</v>
      </c>
      <c r="S39" s="406" t="s">
        <v>1241</v>
      </c>
      <c r="T39" s="406">
        <v>3361</v>
      </c>
      <c r="U39" s="406" t="s">
        <v>1882</v>
      </c>
      <c r="X39" s="406" t="s">
        <v>3006</v>
      </c>
      <c r="Y39" s="406" t="s">
        <v>3007</v>
      </c>
      <c r="Z39" s="406" t="s">
        <v>3008</v>
      </c>
    </row>
    <row r="40" spans="1:26">
      <c r="A40" s="406" t="s">
        <v>1241</v>
      </c>
      <c r="B40" s="406">
        <v>33611</v>
      </c>
      <c r="C40" s="406">
        <f>+'2.CT1A'!A46</f>
        <v>33611</v>
      </c>
      <c r="D40" s="406">
        <f si="0" t="shared"/>
        <v>0</v>
      </c>
      <c r="E40" s="406" t="str">
        <f>+'2.CT1A'!B46</f>
        <v xml:space="preserve">               Засгийн газрын байгууллага, бусад шатны төсөвт олгосон</v>
      </c>
      <c r="F40" s="891">
        <f>+'2.CT1A'!C46</f>
        <v>0</v>
      </c>
      <c r="S40" s="406" t="s">
        <v>1241</v>
      </c>
      <c r="T40" s="406">
        <v>33611</v>
      </c>
      <c r="U40" s="406" t="s">
        <v>1882</v>
      </c>
      <c r="X40" s="406" t="s">
        <v>3006</v>
      </c>
      <c r="Y40" s="406" t="s">
        <v>3007</v>
      </c>
      <c r="Z40" s="406" t="s">
        <v>3008</v>
      </c>
    </row>
    <row r="41" spans="1:26">
      <c r="A41" s="406" t="s">
        <v>1241</v>
      </c>
      <c r="B41" s="406">
        <v>33612</v>
      </c>
      <c r="C41" s="406">
        <f>+'2.CT1A'!A47</f>
        <v>33612</v>
      </c>
      <c r="D41" s="406">
        <f si="0" t="shared"/>
        <v>0</v>
      </c>
      <c r="E41" s="406" t="str">
        <f>+'2.CT1A'!B47</f>
        <v xml:space="preserve">               Хувь хүмүүст олгосон зээл</v>
      </c>
      <c r="F41" s="891">
        <f>+'2.CT1A'!C47</f>
        <v>0</v>
      </c>
      <c r="S41" s="406" t="s">
        <v>1241</v>
      </c>
      <c r="T41" s="406">
        <v>33612</v>
      </c>
      <c r="U41" s="406" t="s">
        <v>1882</v>
      </c>
      <c r="X41" s="406" t="s">
        <v>3006</v>
      </c>
      <c r="Y41" s="406" t="s">
        <v>3007</v>
      </c>
      <c r="Z41" s="406" t="s">
        <v>3008</v>
      </c>
    </row>
    <row r="42" spans="1:26">
      <c r="A42" s="406" t="s">
        <v>1241</v>
      </c>
      <c r="B42" s="406">
        <v>33613</v>
      </c>
      <c r="C42" s="406">
        <f>+'2.CT1A'!A48</f>
        <v>33613</v>
      </c>
      <c r="D42" s="406">
        <f si="0" t="shared"/>
        <v>0</v>
      </c>
      <c r="E42" s="406" t="str">
        <f>+'2.CT1A'!B48</f>
        <v xml:space="preserve">               Сургалтын төрийн сангийн зээлийн авлага</v>
      </c>
      <c r="F42" s="891">
        <f>+'2.CT1A'!C48</f>
        <v>0</v>
      </c>
      <c r="S42" s="406" t="s">
        <v>1241</v>
      </c>
      <c r="T42" s="406">
        <v>33613</v>
      </c>
      <c r="U42" s="406" t="s">
        <v>1882</v>
      </c>
      <c r="X42" s="406" t="s">
        <v>3006</v>
      </c>
      <c r="Y42" s="406" t="s">
        <v>3007</v>
      </c>
      <c r="Z42" s="406" t="s">
        <v>3008</v>
      </c>
    </row>
    <row r="43" spans="1:26">
      <c r="A43" s="406" t="s">
        <v>1241</v>
      </c>
      <c r="B43" s="406">
        <v>33614</v>
      </c>
      <c r="C43" s="406">
        <f>+'2.CT1A'!A49</f>
        <v>33614</v>
      </c>
      <c r="D43" s="406">
        <f si="0" t="shared"/>
        <v>0</v>
      </c>
      <c r="E43" s="406" t="str">
        <f>+'2.CT1A'!B49</f>
        <v xml:space="preserve">               Төрийн өмчит аж ахуйн нэгжүүдэд олгосон зээл</v>
      </c>
      <c r="F43" s="891">
        <f>+'2.CT1A'!C49</f>
        <v>0</v>
      </c>
      <c r="S43" s="406" t="s">
        <v>1241</v>
      </c>
      <c r="T43" s="406">
        <v>33614</v>
      </c>
      <c r="U43" s="406" t="s">
        <v>1882</v>
      </c>
      <c r="X43" s="406" t="s">
        <v>3006</v>
      </c>
      <c r="Y43" s="406" t="s">
        <v>3007</v>
      </c>
      <c r="Z43" s="406" t="s">
        <v>3008</v>
      </c>
    </row>
    <row r="44" spans="1:26">
      <c r="A44" s="406" t="s">
        <v>1241</v>
      </c>
      <c r="B44" s="406">
        <v>33615</v>
      </c>
      <c r="C44" s="406">
        <f>+'2.CT1A'!A50</f>
        <v>33615</v>
      </c>
      <c r="D44" s="406">
        <f si="0" t="shared"/>
        <v>0</v>
      </c>
      <c r="E44" s="406" t="str">
        <f>+'2.CT1A'!B50</f>
        <v xml:space="preserve">               Хувийн хэвшлийн аж ахуйн нэгжид олгосон зээл</v>
      </c>
      <c r="F44" s="891">
        <f>+'2.CT1A'!C50</f>
        <v>0</v>
      </c>
      <c r="S44" s="406" t="s">
        <v>1241</v>
      </c>
      <c r="T44" s="406">
        <v>33615</v>
      </c>
      <c r="U44" s="406" t="s">
        <v>1882</v>
      </c>
      <c r="X44" s="406" t="s">
        <v>3006</v>
      </c>
      <c r="Y44" s="406" t="s">
        <v>3007</v>
      </c>
      <c r="Z44" s="406" t="s">
        <v>3008</v>
      </c>
    </row>
    <row r="45" spans="1:26">
      <c r="A45" s="406" t="s">
        <v>1241</v>
      </c>
      <c r="B45" s="406">
        <v>3362</v>
      </c>
      <c r="C45" s="406">
        <f>+'2.CT1A'!A51</f>
        <v>3362</v>
      </c>
      <c r="D45" s="406">
        <f si="0" t="shared"/>
        <v>0</v>
      </c>
      <c r="E45" s="406" t="str">
        <f>+'2.CT1A'!B51</f>
        <v xml:space="preserve">         Гадаад зээлээс дамжуулан зээлдүүлсэн зээлийн авлага</v>
      </c>
      <c r="F45" s="891">
        <f>+'2.CT1A'!C51</f>
        <v>0</v>
      </c>
      <c r="S45" s="406" t="s">
        <v>1241</v>
      </c>
      <c r="T45" s="406">
        <v>3362</v>
      </c>
      <c r="U45" s="406" t="s">
        <v>1882</v>
      </c>
      <c r="X45" s="406" t="s">
        <v>3006</v>
      </c>
      <c r="Y45" s="406" t="s">
        <v>3007</v>
      </c>
      <c r="Z45" s="406" t="s">
        <v>3008</v>
      </c>
    </row>
    <row r="46" spans="1:26">
      <c r="A46" s="406" t="s">
        <v>1241</v>
      </c>
      <c r="B46" s="406">
        <v>33621</v>
      </c>
      <c r="C46" s="406">
        <f>+'2.CT1A'!A52</f>
        <v>33621</v>
      </c>
      <c r="D46" s="406">
        <f si="0" t="shared"/>
        <v>0</v>
      </c>
      <c r="E46" s="406" t="str">
        <f>+'2.CT1A'!B52</f>
        <v xml:space="preserve">               Засгийн газрын байгууллага, бусад шатны төсөвт олгосон</v>
      </c>
      <c r="F46" s="891">
        <f>+'2.CT1A'!C52</f>
        <v>0</v>
      </c>
      <c r="S46" s="406" t="s">
        <v>1241</v>
      </c>
      <c r="T46" s="406">
        <v>33621</v>
      </c>
      <c r="U46" s="406" t="s">
        <v>1882</v>
      </c>
      <c r="X46" s="406" t="s">
        <v>3006</v>
      </c>
      <c r="Y46" s="406" t="s">
        <v>3007</v>
      </c>
      <c r="Z46" s="406" t="s">
        <v>3008</v>
      </c>
    </row>
    <row r="47" spans="1:26">
      <c r="A47" s="406" t="s">
        <v>1241</v>
      </c>
      <c r="B47" s="406">
        <v>33622</v>
      </c>
      <c r="C47" s="406">
        <f>+'2.CT1A'!A53</f>
        <v>33622</v>
      </c>
      <c r="D47" s="406">
        <f si="0" t="shared"/>
        <v>0</v>
      </c>
      <c r="E47" s="406" t="str">
        <f>+'2.CT1A'!B53</f>
        <v xml:space="preserve">               Төрийн өмчит аж ахуйн нэгжүүдэд олгосон зээл</v>
      </c>
      <c r="F47" s="891">
        <f>+'2.CT1A'!C53</f>
        <v>0</v>
      </c>
      <c r="S47" s="406" t="s">
        <v>1241</v>
      </c>
      <c r="T47" s="406">
        <v>33622</v>
      </c>
      <c r="U47" s="406" t="s">
        <v>1882</v>
      </c>
      <c r="X47" s="406" t="s">
        <v>3006</v>
      </c>
      <c r="Y47" s="406" t="s">
        <v>3007</v>
      </c>
      <c r="Z47" s="406" t="s">
        <v>3008</v>
      </c>
    </row>
    <row r="48" spans="1:26">
      <c r="A48" s="406" t="s">
        <v>1241</v>
      </c>
      <c r="B48" s="406">
        <v>33623</v>
      </c>
      <c r="C48" s="406">
        <f>+'2.CT1A'!A54</f>
        <v>33623</v>
      </c>
      <c r="D48" s="406">
        <f si="0" t="shared"/>
        <v>0</v>
      </c>
      <c r="E48" s="406" t="str">
        <f>+'2.CT1A'!B54</f>
        <v xml:space="preserve">               Хувийн хэвшлийн аж ахуйн нэгжид олгосон зээл</v>
      </c>
      <c r="F48" s="891">
        <f>+'2.CT1A'!C54</f>
        <v>0</v>
      </c>
      <c r="S48" s="406" t="s">
        <v>1241</v>
      </c>
      <c r="T48" s="406">
        <v>33623</v>
      </c>
      <c r="U48" s="406" t="s">
        <v>1882</v>
      </c>
      <c r="X48" s="406" t="s">
        <v>3006</v>
      </c>
      <c r="Y48" s="406" t="s">
        <v>3007</v>
      </c>
      <c r="Z48" s="406" t="s">
        <v>3008</v>
      </c>
    </row>
    <row r="49" spans="1:26">
      <c r="A49" s="406" t="s">
        <v>1241</v>
      </c>
      <c r="B49" s="406">
        <v>34</v>
      </c>
      <c r="C49" s="406">
        <f>+'2.CT1A'!A55</f>
        <v>34</v>
      </c>
      <c r="D49" s="406">
        <f si="0" t="shared"/>
        <v>0</v>
      </c>
      <c r="E49" s="406" t="str">
        <f>+'2.CT1A'!B55</f>
        <v xml:space="preserve">   УРЬДЧИЛГАА</v>
      </c>
      <c r="F49" s="891">
        <f>+'2.CT1A'!C55</f>
        <v>0</v>
      </c>
      <c r="S49" s="406" t="s">
        <v>1241</v>
      </c>
      <c r="T49" s="406">
        <v>34</v>
      </c>
      <c r="U49" s="406" t="s">
        <v>1882</v>
      </c>
      <c r="X49" s="406" t="s">
        <v>3006</v>
      </c>
      <c r="Y49" s="406" t="s">
        <v>3007</v>
      </c>
      <c r="Z49" s="406" t="s">
        <v>3008</v>
      </c>
    </row>
    <row r="50" spans="1:26">
      <c r="A50" s="406" t="s">
        <v>1241</v>
      </c>
      <c r="B50" s="406">
        <v>34100</v>
      </c>
      <c r="C50" s="406">
        <f>+'2.CT1A'!A56</f>
        <v>34100</v>
      </c>
      <c r="D50" s="406">
        <f si="0" t="shared"/>
        <v>0</v>
      </c>
      <c r="E50" s="406" t="str">
        <f>+'2.CT1A'!B56</f>
        <v xml:space="preserve">       Засгийн газрын байгууллага, бусад шатны төсөвт олгосон</v>
      </c>
      <c r="F50" s="891">
        <f>+'2.CT1A'!C56</f>
        <v>0</v>
      </c>
      <c r="S50" s="406" t="s">
        <v>1241</v>
      </c>
      <c r="T50" s="406">
        <v>34100</v>
      </c>
      <c r="U50" s="406" t="s">
        <v>1882</v>
      </c>
      <c r="X50" s="406" t="s">
        <v>3006</v>
      </c>
      <c r="Y50" s="406" t="s">
        <v>3007</v>
      </c>
      <c r="Z50" s="406" t="s">
        <v>3008</v>
      </c>
    </row>
    <row r="51" spans="1:26">
      <c r="A51" s="406" t="s">
        <v>1241</v>
      </c>
      <c r="B51" s="406">
        <v>34200</v>
      </c>
      <c r="C51" s="406">
        <f>+'2.CT1A'!A57</f>
        <v>34200</v>
      </c>
      <c r="D51" s="406">
        <f si="0" t="shared"/>
        <v>0</v>
      </c>
      <c r="E51" s="406" t="str">
        <f>+'2.CT1A'!B57</f>
        <v xml:space="preserve">       Төсөвт байгууллага</v>
      </c>
      <c r="F51" s="891">
        <f>+'2.CT1A'!C57</f>
        <v>0</v>
      </c>
      <c r="S51" s="406" t="s">
        <v>1241</v>
      </c>
      <c r="T51" s="406">
        <v>34200</v>
      </c>
      <c r="U51" s="406" t="s">
        <v>1882</v>
      </c>
      <c r="X51" s="406" t="s">
        <v>3006</v>
      </c>
      <c r="Y51" s="406" t="s">
        <v>3007</v>
      </c>
      <c r="Z51" s="406" t="s">
        <v>3008</v>
      </c>
    </row>
    <row r="52" spans="1:26">
      <c r="A52" s="406" t="s">
        <v>1241</v>
      </c>
      <c r="B52" s="406">
        <v>34300</v>
      </c>
      <c r="C52" s="406">
        <f>+'2.CT1A'!A58</f>
        <v>34300</v>
      </c>
      <c r="D52" s="406">
        <f si="0" t="shared"/>
        <v>0</v>
      </c>
      <c r="E52" s="406" t="str">
        <f>+'2.CT1A'!B58</f>
        <v xml:space="preserve">       Тусгай зориулалтын сан</v>
      </c>
      <c r="F52" s="891">
        <f>+'2.CT1A'!C58</f>
        <v>0</v>
      </c>
      <c r="S52" s="406" t="s">
        <v>1241</v>
      </c>
      <c r="T52" s="406">
        <v>34300</v>
      </c>
      <c r="U52" s="406" t="s">
        <v>1882</v>
      </c>
      <c r="X52" s="406" t="s">
        <v>3006</v>
      </c>
      <c r="Y52" s="406" t="s">
        <v>3007</v>
      </c>
      <c r="Z52" s="406" t="s">
        <v>3008</v>
      </c>
    </row>
    <row r="53" spans="1:26">
      <c r="A53" s="406" t="s">
        <v>1241</v>
      </c>
      <c r="B53" s="406">
        <v>34400</v>
      </c>
      <c r="C53" s="406">
        <f>+'2.CT1A'!A59</f>
        <v>34400</v>
      </c>
      <c r="D53" s="406">
        <f si="0" t="shared"/>
        <v>0</v>
      </c>
      <c r="E53" s="406" t="str">
        <f>+'2.CT1A'!B59</f>
        <v xml:space="preserve">       Төрийн өмчийн үйлдвэр, аж ахуйн газар</v>
      </c>
      <c r="F53" s="891">
        <f>+'2.CT1A'!C59</f>
        <v>0</v>
      </c>
      <c r="S53" s="406" t="s">
        <v>1241</v>
      </c>
      <c r="T53" s="406">
        <v>34400</v>
      </c>
      <c r="U53" s="406" t="s">
        <v>1882</v>
      </c>
      <c r="X53" s="406" t="s">
        <v>3006</v>
      </c>
      <c r="Y53" s="406" t="s">
        <v>3007</v>
      </c>
      <c r="Z53" s="406" t="s">
        <v>3008</v>
      </c>
    </row>
    <row r="54" spans="1:26">
      <c r="A54" s="406" t="s">
        <v>1241</v>
      </c>
      <c r="B54" s="406">
        <v>34500</v>
      </c>
      <c r="C54" s="406">
        <f>+'2.CT1A'!A60</f>
        <v>34500</v>
      </c>
      <c r="D54" s="406">
        <f si="0" t="shared"/>
        <v>0</v>
      </c>
      <c r="E54" s="406" t="str">
        <f>+'2.CT1A'!B60</f>
        <v xml:space="preserve">       Хувийн хэвшлийн үйлдвэр, аж ахуйн газар</v>
      </c>
      <c r="F54" s="891">
        <f>+'2.CT1A'!C60</f>
        <v>0</v>
      </c>
      <c r="S54" s="406" t="s">
        <v>1241</v>
      </c>
      <c r="T54" s="406">
        <v>34500</v>
      </c>
      <c r="U54" s="406" t="s">
        <v>1882</v>
      </c>
      <c r="X54" s="406" t="s">
        <v>3006</v>
      </c>
      <c r="Y54" s="406" t="s">
        <v>3007</v>
      </c>
      <c r="Z54" s="406" t="s">
        <v>3008</v>
      </c>
    </row>
    <row r="55" spans="1:26">
      <c r="A55" s="406" t="s">
        <v>1241</v>
      </c>
      <c r="B55" s="406">
        <v>34600</v>
      </c>
      <c r="C55" s="406">
        <f>+'2.CT1A'!A61</f>
        <v>34600</v>
      </c>
      <c r="D55" s="406">
        <f si="0" t="shared"/>
        <v>0</v>
      </c>
      <c r="E55" s="406" t="str">
        <f>+'2.CT1A'!B61</f>
        <v xml:space="preserve">       Урьдчилж гарсан зардал</v>
      </c>
      <c r="F55" s="891">
        <f>+'2.CT1A'!C61</f>
        <v>0</v>
      </c>
      <c r="S55" s="406" t="s">
        <v>1241</v>
      </c>
      <c r="T55" s="406">
        <v>34600</v>
      </c>
      <c r="U55" s="406" t="s">
        <v>1882</v>
      </c>
      <c r="X55" s="406" t="s">
        <v>3006</v>
      </c>
      <c r="Y55" s="406" t="s">
        <v>3007</v>
      </c>
      <c r="Z55" s="406" t="s">
        <v>3008</v>
      </c>
    </row>
    <row r="56" spans="1:26">
      <c r="A56" s="406" t="s">
        <v>1241</v>
      </c>
      <c r="B56" s="406">
        <v>3471</v>
      </c>
      <c r="C56" s="406">
        <f>+'2.CT1A'!A62</f>
        <v>3471</v>
      </c>
      <c r="D56" s="406">
        <f si="0" t="shared"/>
        <v>0</v>
      </c>
      <c r="E56" s="406" t="str">
        <f>+'2.CT1A'!B62</f>
        <v xml:space="preserve">         Урьдчилгаа тооцоо</v>
      </c>
      <c r="F56" s="891">
        <f>+'2.CT1A'!C62</f>
        <v>0</v>
      </c>
      <c r="S56" s="406" t="s">
        <v>1241</v>
      </c>
      <c r="T56" s="406">
        <v>3471</v>
      </c>
      <c r="U56" s="406" t="s">
        <v>1882</v>
      </c>
      <c r="X56" s="406" t="s">
        <v>3006</v>
      </c>
      <c r="Y56" s="406" t="s">
        <v>3007</v>
      </c>
      <c r="Z56" s="406" t="s">
        <v>3008</v>
      </c>
    </row>
    <row r="57" spans="1:26">
      <c r="A57" s="406" t="s">
        <v>1241</v>
      </c>
      <c r="B57" s="406">
        <v>34711</v>
      </c>
      <c r="C57" s="406">
        <f>+'2.CT1A'!A63</f>
        <v>34711</v>
      </c>
      <c r="D57" s="406">
        <f si="0" t="shared"/>
        <v>0</v>
      </c>
      <c r="E57" s="406" t="str">
        <f>+'2.CT1A'!B63</f>
        <v xml:space="preserve">               Бараа материал бэлтгэх урьдчилгаа</v>
      </c>
      <c r="F57" s="891">
        <f>+'2.CT1A'!C63</f>
        <v>0</v>
      </c>
      <c r="S57" s="406" t="s">
        <v>1241</v>
      </c>
      <c r="T57" s="406">
        <v>34711</v>
      </c>
      <c r="U57" s="406" t="s">
        <v>1882</v>
      </c>
      <c r="X57" s="406" t="s">
        <v>3006</v>
      </c>
      <c r="Y57" s="406" t="s">
        <v>3007</v>
      </c>
      <c r="Z57" s="406" t="s">
        <v>3008</v>
      </c>
    </row>
    <row r="58" spans="1:26">
      <c r="A58" s="406" t="s">
        <v>1241</v>
      </c>
      <c r="B58" s="406">
        <v>34712</v>
      </c>
      <c r="C58" s="406">
        <f>+'2.CT1A'!A64</f>
        <v>34712</v>
      </c>
      <c r="D58" s="406">
        <f si="0" t="shared"/>
        <v>0</v>
      </c>
      <c r="E58" s="406" t="str">
        <f>+'2.CT1A'!B64</f>
        <v xml:space="preserve">               Yндсэн хөрөнгө бэлтгэх урьдчилгаа</v>
      </c>
      <c r="F58" s="891">
        <f>+'2.CT1A'!C64</f>
        <v>0</v>
      </c>
      <c r="S58" s="406" t="s">
        <v>1241</v>
      </c>
      <c r="T58" s="406">
        <v>34712</v>
      </c>
      <c r="U58" s="406" t="s">
        <v>1882</v>
      </c>
      <c r="X58" s="406" t="s">
        <v>3006</v>
      </c>
      <c r="Y58" s="406" t="s">
        <v>3007</v>
      </c>
      <c r="Z58" s="406" t="s">
        <v>3008</v>
      </c>
    </row>
    <row r="59" spans="1:26">
      <c r="A59" s="406" t="s">
        <v>1241</v>
      </c>
      <c r="B59" s="406">
        <v>34713</v>
      </c>
      <c r="C59" s="406">
        <f>+'2.CT1A'!A65</f>
        <v>34713</v>
      </c>
      <c r="D59" s="406">
        <f si="0" t="shared"/>
        <v>0</v>
      </c>
      <c r="E59" s="406" t="str">
        <f>+'2.CT1A'!B65</f>
        <v xml:space="preserve">               Цалингийн урьдчилгаа</v>
      </c>
      <c r="F59" s="891">
        <f>+'2.CT1A'!C65</f>
        <v>0</v>
      </c>
      <c r="S59" s="406" t="s">
        <v>1241</v>
      </c>
      <c r="T59" s="406">
        <v>34713</v>
      </c>
      <c r="U59" s="406" t="s">
        <v>1882</v>
      </c>
      <c r="X59" s="406" t="s">
        <v>3006</v>
      </c>
      <c r="Y59" s="406" t="s">
        <v>3007</v>
      </c>
      <c r="Z59" s="406" t="s">
        <v>3008</v>
      </c>
    </row>
    <row r="60" spans="1:26">
      <c r="A60" s="406" t="s">
        <v>1241</v>
      </c>
      <c r="B60" s="406">
        <v>34714</v>
      </c>
      <c r="C60" s="406">
        <f>+'2.CT1A'!A66</f>
        <v>34714</v>
      </c>
      <c r="D60" s="406">
        <f si="0" t="shared"/>
        <v>0</v>
      </c>
      <c r="E60" s="406" t="str">
        <f>+'2.CT1A'!B66</f>
        <v xml:space="preserve">               Томилолтын урьдчилгаа</v>
      </c>
      <c r="F60" s="891">
        <f>+'2.CT1A'!C66</f>
        <v>0</v>
      </c>
      <c r="S60" s="406" t="s">
        <v>1241</v>
      </c>
      <c r="T60" s="406">
        <v>34714</v>
      </c>
      <c r="U60" s="406" t="s">
        <v>1882</v>
      </c>
      <c r="X60" s="406" t="s">
        <v>3006</v>
      </c>
      <c r="Y60" s="406" t="s">
        <v>3007</v>
      </c>
      <c r="Z60" s="406" t="s">
        <v>3008</v>
      </c>
    </row>
    <row r="61" spans="1:26">
      <c r="A61" s="406" t="s">
        <v>1241</v>
      </c>
      <c r="B61" s="406">
        <v>35</v>
      </c>
      <c r="C61" s="406">
        <f>+'2.CT1A'!A67</f>
        <v>35</v>
      </c>
      <c r="D61" s="406">
        <f si="0" t="shared"/>
        <v>0</v>
      </c>
      <c r="E61" s="406" t="str">
        <f>+'2.CT1A'!B67</f>
        <v xml:space="preserve">   БАРАА МАТЕРИАЛ</v>
      </c>
      <c r="F61" s="891">
        <f>+'2.CT1A'!C67</f>
        <v>0</v>
      </c>
      <c r="S61" s="406" t="s">
        <v>1241</v>
      </c>
      <c r="T61" s="406">
        <v>35</v>
      </c>
      <c r="U61" s="406" t="s">
        <v>1855</v>
      </c>
      <c r="X61" s="406" t="s">
        <v>3006</v>
      </c>
      <c r="Y61" s="406" t="s">
        <v>3007</v>
      </c>
      <c r="Z61" s="406" t="s">
        <v>3008</v>
      </c>
    </row>
    <row r="62" spans="1:26">
      <c r="A62" s="406" t="s">
        <v>1241</v>
      </c>
      <c r="B62" s="406">
        <v>351</v>
      </c>
      <c r="C62" s="406">
        <f>+'2.CT1A'!A68</f>
        <v>351</v>
      </c>
      <c r="D62" s="406">
        <f si="0" t="shared"/>
        <v>0</v>
      </c>
      <c r="E62" s="406" t="str">
        <f>+'2.CT1A'!B68</f>
        <v xml:space="preserve">      Түүхий эд материал</v>
      </c>
      <c r="F62" s="891">
        <f>+'2.CT1A'!C68</f>
        <v>0</v>
      </c>
      <c r="S62" s="406" t="s">
        <v>1241</v>
      </c>
      <c r="T62" s="406">
        <v>351</v>
      </c>
      <c r="U62" s="406" t="s">
        <v>1855</v>
      </c>
      <c r="X62" s="406" t="s">
        <v>3006</v>
      </c>
      <c r="Y62" s="406" t="s">
        <v>3007</v>
      </c>
      <c r="Z62" s="406" t="s">
        <v>3008</v>
      </c>
    </row>
    <row r="63" spans="1:26">
      <c r="A63" s="406" t="s">
        <v>1241</v>
      </c>
      <c r="B63" s="406">
        <v>35110</v>
      </c>
      <c r="C63" s="406">
        <f>+'2.CT1A'!A69</f>
        <v>35110</v>
      </c>
      <c r="D63" s="406">
        <f si="0" t="shared"/>
        <v>0</v>
      </c>
      <c r="E63" s="406" t="str">
        <f>+'2.CT1A'!B69</f>
        <v xml:space="preserve">           Тусгай зориулалттай материал</v>
      </c>
      <c r="F63" s="891">
        <f>+'2.CT1A'!C69</f>
        <v>0</v>
      </c>
      <c r="S63" s="406" t="s">
        <v>1241</v>
      </c>
      <c r="T63" s="406">
        <v>35110</v>
      </c>
      <c r="U63" s="406" t="s">
        <v>1855</v>
      </c>
      <c r="X63" s="406" t="s">
        <v>3006</v>
      </c>
      <c r="Y63" s="406" t="s">
        <v>3007</v>
      </c>
      <c r="Z63" s="406" t="s">
        <v>3008</v>
      </c>
    </row>
    <row r="64" spans="1:26">
      <c r="A64" s="406" t="s">
        <v>1241</v>
      </c>
      <c r="B64" s="406">
        <v>35130</v>
      </c>
      <c r="C64" s="406">
        <f>+'2.CT1A'!A70</f>
        <v>35130</v>
      </c>
      <c r="D64" s="406">
        <f si="0" t="shared"/>
        <v>0</v>
      </c>
      <c r="E64" s="406" t="str">
        <f>+'2.CT1A'!B70</f>
        <v xml:space="preserve">           Эм боох материал</v>
      </c>
      <c r="F64" s="891">
        <f>+'2.CT1A'!C70</f>
        <v>0</v>
      </c>
      <c r="S64" s="406" t="s">
        <v>1241</v>
      </c>
      <c r="T64" s="406">
        <v>35130</v>
      </c>
      <c r="U64" s="406" t="s">
        <v>1855</v>
      </c>
      <c r="X64" s="406" t="s">
        <v>3006</v>
      </c>
      <c r="Y64" s="406" t="s">
        <v>3007</v>
      </c>
      <c r="Z64" s="406" t="s">
        <v>3008</v>
      </c>
    </row>
    <row r="65" spans="1:26">
      <c r="A65" s="406" t="s">
        <v>1241</v>
      </c>
      <c r="B65" s="406">
        <v>35200</v>
      </c>
      <c r="C65" s="406">
        <f>+'2.CT1A'!A71</f>
        <v>35200</v>
      </c>
      <c r="D65" s="406">
        <f si="0" t="shared"/>
        <v>0</v>
      </c>
      <c r="E65" s="406" t="str">
        <f>+'2.CT1A'!B71</f>
        <v xml:space="preserve">        Дуусаагүй үйлдвэрлэл</v>
      </c>
      <c r="F65" s="891">
        <f>+'2.CT1A'!C71</f>
        <v>0</v>
      </c>
      <c r="S65" s="406" t="s">
        <v>1241</v>
      </c>
      <c r="T65" s="406">
        <v>35200</v>
      </c>
      <c r="U65" s="406" t="s">
        <v>1855</v>
      </c>
      <c r="X65" s="406" t="s">
        <v>3006</v>
      </c>
      <c r="Y65" s="406" t="s">
        <v>3007</v>
      </c>
      <c r="Z65" s="406" t="s">
        <v>3008</v>
      </c>
    </row>
    <row r="66" spans="1:26">
      <c r="A66" s="406" t="s">
        <v>1241</v>
      </c>
      <c r="B66" s="406">
        <v>35300</v>
      </c>
      <c r="C66" s="406">
        <f>+'2.CT1A'!A72</f>
        <v>35300</v>
      </c>
      <c r="D66" s="406">
        <f si="0" t="shared"/>
        <v>0</v>
      </c>
      <c r="E66" s="406" t="str">
        <f>+'2.CT1A'!B72</f>
        <v xml:space="preserve">        Бэлэн бүтээгдэхүүн</v>
      </c>
      <c r="F66" s="891">
        <f>+'2.CT1A'!C72</f>
        <v>0</v>
      </c>
      <c r="S66" s="406" t="s">
        <v>1241</v>
      </c>
      <c r="T66" s="406">
        <v>35300</v>
      </c>
      <c r="U66" s="406" t="s">
        <v>1855</v>
      </c>
      <c r="X66" s="406" t="s">
        <v>3006</v>
      </c>
      <c r="Y66" s="406" t="s">
        <v>3007</v>
      </c>
      <c r="Z66" s="406" t="s">
        <v>3008</v>
      </c>
    </row>
    <row r="67" spans="1:26">
      <c r="A67" s="406" t="s">
        <v>1241</v>
      </c>
      <c r="B67" s="406">
        <v>354</v>
      </c>
      <c r="C67" s="406">
        <f>+'2.CT1A'!A73</f>
        <v>354</v>
      </c>
      <c r="D67" s="406">
        <f ref="D67:D130" si="5" t="shared">IF(B67=VALUE(C67),0,1)</f>
        <v>0</v>
      </c>
      <c r="E67" s="406" t="str">
        <f>+'2.CT1A'!B73</f>
        <v xml:space="preserve">      Хангамжийн материал</v>
      </c>
      <c r="F67" s="891">
        <f>+'2.CT1A'!C73</f>
        <v>0</v>
      </c>
      <c r="S67" s="406" t="s">
        <v>1241</v>
      </c>
      <c r="T67" s="406">
        <v>354</v>
      </c>
      <c r="U67" s="406" t="s">
        <v>1855</v>
      </c>
      <c r="X67" s="406" t="s">
        <v>3006</v>
      </c>
      <c r="Y67" s="406" t="s">
        <v>3007</v>
      </c>
      <c r="Z67" s="406" t="s">
        <v>3008</v>
      </c>
    </row>
    <row r="68" spans="1:26">
      <c r="A68" s="406" t="s">
        <v>1241</v>
      </c>
      <c r="B68" s="406">
        <v>35410</v>
      </c>
      <c r="C68" s="406">
        <f>+'2.CT1A'!A74</f>
        <v>35410</v>
      </c>
      <c r="D68" s="406">
        <f si="5" t="shared"/>
        <v>0</v>
      </c>
      <c r="E68" s="406" t="str">
        <f>+'2.CT1A'!B74</f>
        <v xml:space="preserve">           Бичиг хэргийн материал</v>
      </c>
      <c r="F68" s="891">
        <f>+'2.CT1A'!C74</f>
        <v>0</v>
      </c>
      <c r="S68" s="406" t="s">
        <v>1241</v>
      </c>
      <c r="T68" s="406">
        <v>35410</v>
      </c>
      <c r="U68" s="406" t="s">
        <v>1855</v>
      </c>
      <c r="X68" s="406" t="s">
        <v>3006</v>
      </c>
      <c r="Y68" s="406" t="s">
        <v>3007</v>
      </c>
      <c r="Z68" s="406" t="s">
        <v>3008</v>
      </c>
    </row>
    <row r="69" spans="1:26">
      <c r="A69" s="406" t="s">
        <v>1241</v>
      </c>
      <c r="B69" s="406">
        <v>35420</v>
      </c>
      <c r="C69" s="406">
        <f>+'2.CT1A'!A75</f>
        <v>35420</v>
      </c>
      <c r="D69" s="406">
        <f si="5" t="shared"/>
        <v>0</v>
      </c>
      <c r="E69" s="406" t="str">
        <f>+'2.CT1A'!B75</f>
        <v xml:space="preserve">           Аж ахуйн материал</v>
      </c>
      <c r="F69" s="891">
        <f>+'2.CT1A'!C75</f>
        <v>0</v>
      </c>
      <c r="S69" s="406" t="s">
        <v>1241</v>
      </c>
      <c r="T69" s="406">
        <v>35420</v>
      </c>
      <c r="U69" s="406" t="s">
        <v>1855</v>
      </c>
      <c r="X69" s="406" t="s">
        <v>3006</v>
      </c>
      <c r="Y69" s="406" t="s">
        <v>3007</v>
      </c>
      <c r="Z69" s="406" t="s">
        <v>3008</v>
      </c>
    </row>
    <row r="70" spans="1:26">
      <c r="A70" s="406" t="s">
        <v>1241</v>
      </c>
      <c r="B70" s="406">
        <v>35430</v>
      </c>
      <c r="C70" s="406">
        <f>+'2.CT1A'!A76</f>
        <v>35430</v>
      </c>
      <c r="D70" s="406">
        <f si="5" t="shared"/>
        <v>0</v>
      </c>
      <c r="E70" s="406" t="str">
        <f>+'2.CT1A'!B76</f>
        <v xml:space="preserve">           Сэлбэг хэрэгсэл</v>
      </c>
      <c r="F70" s="891">
        <f>+'2.CT1A'!C76</f>
        <v>0</v>
      </c>
      <c r="S70" s="406" t="s">
        <v>1241</v>
      </c>
      <c r="T70" s="406">
        <v>35430</v>
      </c>
      <c r="U70" s="406" t="s">
        <v>1855</v>
      </c>
      <c r="X70" s="406" t="s">
        <v>3006</v>
      </c>
      <c r="Y70" s="406" t="s">
        <v>3007</v>
      </c>
      <c r="Z70" s="406" t="s">
        <v>3008</v>
      </c>
    </row>
    <row r="71" spans="1:26">
      <c r="A71" s="406" t="s">
        <v>1241</v>
      </c>
      <c r="B71" s="406">
        <v>35440</v>
      </c>
      <c r="C71" s="406">
        <f>+'2.CT1A'!A77</f>
        <v>35440</v>
      </c>
      <c r="D71" s="406">
        <f si="5" t="shared"/>
        <v>0</v>
      </c>
      <c r="E71" s="406" t="str">
        <f>+'2.CT1A'!B77</f>
        <v xml:space="preserve">           Түлш, шатах тослох материал</v>
      </c>
      <c r="F71" s="891">
        <f>+'2.CT1A'!C77</f>
        <v>0</v>
      </c>
      <c r="S71" s="406" t="s">
        <v>1241</v>
      </c>
      <c r="T71" s="406">
        <v>35440</v>
      </c>
      <c r="U71" s="406" t="s">
        <v>1855</v>
      </c>
      <c r="X71" s="406" t="s">
        <v>3006</v>
      </c>
      <c r="Y71" s="406" t="s">
        <v>3007</v>
      </c>
      <c r="Z71" s="406" t="s">
        <v>3008</v>
      </c>
    </row>
    <row r="72" spans="1:26">
      <c r="A72" s="406" t="s">
        <v>1241</v>
      </c>
      <c r="B72" s="406">
        <v>35450</v>
      </c>
      <c r="C72" s="406">
        <f>+'2.CT1A'!A78</f>
        <v>35450</v>
      </c>
      <c r="D72" s="406">
        <f si="5" t="shared"/>
        <v>0</v>
      </c>
      <c r="E72" s="406" t="str">
        <f>+'2.CT1A'!B78</f>
        <v xml:space="preserve">           Барилгын засварын материал</v>
      </c>
      <c r="F72" s="891">
        <f>+'2.CT1A'!C78</f>
        <v>0</v>
      </c>
      <c r="S72" s="406" t="s">
        <v>1241</v>
      </c>
      <c r="T72" s="406">
        <v>35450</v>
      </c>
      <c r="U72" s="406" t="s">
        <v>1855</v>
      </c>
      <c r="X72" s="406" t="s">
        <v>3006</v>
      </c>
      <c r="Y72" s="406" t="s">
        <v>3007</v>
      </c>
      <c r="Z72" s="406" t="s">
        <v>3008</v>
      </c>
    </row>
    <row r="73" spans="1:26">
      <c r="A73" s="406" t="s">
        <v>1241</v>
      </c>
      <c r="B73" s="406">
        <v>35460</v>
      </c>
      <c r="C73" s="406">
        <f>+'2.CT1A'!A79</f>
        <v>35460</v>
      </c>
      <c r="D73" s="406">
        <f si="5" t="shared"/>
        <v>0</v>
      </c>
      <c r="E73" s="406" t="str">
        <f>+'2.CT1A'!B79</f>
        <v xml:space="preserve">           Хүнсний материал</v>
      </c>
      <c r="F73" s="891">
        <f>+'2.CT1A'!C79</f>
        <v>0</v>
      </c>
      <c r="S73" s="406" t="s">
        <v>1241</v>
      </c>
      <c r="T73" s="406">
        <v>35460</v>
      </c>
      <c r="U73" s="406" t="s">
        <v>1855</v>
      </c>
      <c r="X73" s="406" t="s">
        <v>3006</v>
      </c>
      <c r="Y73" s="406" t="s">
        <v>3007</v>
      </c>
      <c r="Z73" s="406" t="s">
        <v>3008</v>
      </c>
    </row>
    <row r="74" spans="1:26">
      <c r="A74" s="406" t="s">
        <v>1241</v>
      </c>
      <c r="B74" s="406">
        <v>35470</v>
      </c>
      <c r="C74" s="406">
        <f>+'2.CT1A'!A80</f>
        <v>35470</v>
      </c>
      <c r="D74" s="406">
        <f si="5" t="shared"/>
        <v>0</v>
      </c>
      <c r="E74" s="406" t="str">
        <f>+'2.CT1A'!B80</f>
        <v xml:space="preserve">           Бусад хангамжийн материал</v>
      </c>
      <c r="F74" s="891">
        <f>+'2.CT1A'!C80</f>
        <v>0</v>
      </c>
      <c r="S74" s="406" t="s">
        <v>1241</v>
      </c>
      <c r="T74" s="406">
        <v>35470</v>
      </c>
      <c r="U74" s="406" t="s">
        <v>1855</v>
      </c>
      <c r="X74" s="406" t="s">
        <v>3006</v>
      </c>
      <c r="Y74" s="406" t="s">
        <v>3007</v>
      </c>
      <c r="Z74" s="406" t="s">
        <v>3008</v>
      </c>
    </row>
    <row r="75" spans="1:26">
      <c r="A75" s="406" t="s">
        <v>1241</v>
      </c>
      <c r="B75" s="406">
        <v>35500</v>
      </c>
      <c r="C75" s="406">
        <f>+'2.CT1A'!A81</f>
        <v>35500</v>
      </c>
      <c r="D75" s="406">
        <f si="5" t="shared"/>
        <v>0</v>
      </c>
      <c r="E75" s="406" t="str">
        <f>+'2.CT1A'!B81</f>
        <v xml:space="preserve">        Биологийн хөрөнгө</v>
      </c>
      <c r="F75" s="891">
        <f>+'2.CT1A'!C81</f>
        <v>0</v>
      </c>
      <c r="S75" s="406" t="s">
        <v>1241</v>
      </c>
      <c r="T75" s="406">
        <v>35500</v>
      </c>
      <c r="U75" s="406" t="s">
        <v>1855</v>
      </c>
      <c r="X75" s="406" t="s">
        <v>3006</v>
      </c>
      <c r="Y75" s="406" t="s">
        <v>3007</v>
      </c>
      <c r="Z75" s="406" t="s">
        <v>3008</v>
      </c>
    </row>
    <row r="76" spans="1:26">
      <c r="A76" s="406" t="s">
        <v>1241</v>
      </c>
      <c r="B76" s="406">
        <v>35600</v>
      </c>
      <c r="C76" s="406">
        <f>+'2.CT1A'!A82</f>
        <v>35600</v>
      </c>
      <c r="D76" s="406">
        <f si="5" t="shared"/>
        <v>0</v>
      </c>
      <c r="E76" s="406" t="str">
        <f>+'2.CT1A'!B82</f>
        <v xml:space="preserve">        Мал амьтад</v>
      </c>
      <c r="F76" s="891">
        <f>+'2.CT1A'!C82</f>
        <v>0</v>
      </c>
      <c r="S76" s="406" t="s">
        <v>1241</v>
      </c>
      <c r="T76" s="406">
        <v>35600</v>
      </c>
      <c r="U76" s="406" t="s">
        <v>1855</v>
      </c>
      <c r="X76" s="406" t="s">
        <v>3006</v>
      </c>
      <c r="Y76" s="406" t="s">
        <v>3007</v>
      </c>
      <c r="Z76" s="406" t="s">
        <v>3008</v>
      </c>
    </row>
    <row r="77" spans="1:26">
      <c r="A77" s="406" t="s">
        <v>1241</v>
      </c>
      <c r="B77" s="406">
        <v>36</v>
      </c>
      <c r="C77" s="406">
        <f>+'2.CT1A'!A83</f>
        <v>36</v>
      </c>
      <c r="D77" s="406">
        <f si="5" t="shared"/>
        <v>0</v>
      </c>
      <c r="E77" s="406" t="str">
        <f>+'2.CT1A'!B83</f>
        <v xml:space="preserve">   НӨӨЦИЙН БАРАА</v>
      </c>
      <c r="F77" s="891">
        <f>+'2.CT1A'!C83</f>
        <v>0</v>
      </c>
      <c r="S77" s="406" t="s">
        <v>1241</v>
      </c>
      <c r="T77" s="406">
        <v>36</v>
      </c>
      <c r="U77" s="406" t="s">
        <v>1855</v>
      </c>
      <c r="X77" s="406" t="s">
        <v>3006</v>
      </c>
      <c r="Y77" s="406" t="s">
        <v>3007</v>
      </c>
      <c r="Z77" s="406" t="s">
        <v>3008</v>
      </c>
    </row>
    <row r="78" spans="1:26">
      <c r="A78" s="406" t="s">
        <v>1241</v>
      </c>
      <c r="B78" s="406">
        <v>36100</v>
      </c>
      <c r="C78" s="406">
        <f>+'2.CT1A'!A84</f>
        <v>36100</v>
      </c>
      <c r="D78" s="406">
        <f si="5" t="shared"/>
        <v>0</v>
      </c>
      <c r="E78" s="406" t="str">
        <f>+'2.CT1A'!B84</f>
        <v xml:space="preserve">        Барааны нөөц</v>
      </c>
      <c r="F78" s="891">
        <f>+'2.CT1A'!C84</f>
        <v>0</v>
      </c>
      <c r="S78" s="406" t="s">
        <v>1241</v>
      </c>
      <c r="T78" s="406">
        <v>36100</v>
      </c>
      <c r="U78" s="406" t="s">
        <v>1855</v>
      </c>
      <c r="X78" s="406" t="s">
        <v>3006</v>
      </c>
      <c r="Y78" s="406" t="s">
        <v>3007</v>
      </c>
      <c r="Z78" s="406" t="s">
        <v>3008</v>
      </c>
    </row>
    <row r="79" spans="1:26">
      <c r="A79" s="406" t="s">
        <v>1241</v>
      </c>
      <c r="B79" s="406">
        <v>36200</v>
      </c>
      <c r="C79" s="406">
        <f>+'2.CT1A'!A85</f>
        <v>36200</v>
      </c>
      <c r="D79" s="406">
        <f si="5" t="shared"/>
        <v>0</v>
      </c>
      <c r="E79" s="406" t="str">
        <f>+'2.CT1A'!B85</f>
        <v xml:space="preserve">        Yрийн нөөц</v>
      </c>
      <c r="F79" s="891">
        <f>+'2.CT1A'!C85</f>
        <v>0</v>
      </c>
      <c r="S79" s="406" t="s">
        <v>1241</v>
      </c>
      <c r="T79" s="406">
        <v>36200</v>
      </c>
      <c r="U79" s="406" t="s">
        <v>1855</v>
      </c>
      <c r="X79" s="406" t="s">
        <v>3006</v>
      </c>
      <c r="Y79" s="406" t="s">
        <v>3007</v>
      </c>
      <c r="Z79" s="406" t="s">
        <v>3008</v>
      </c>
    </row>
    <row r="80" spans="1:26">
      <c r="A80" s="406" t="s">
        <v>1241</v>
      </c>
      <c r="B80" s="406">
        <v>36300</v>
      </c>
      <c r="C80" s="406">
        <f>+'2.CT1A'!A86</f>
        <v>36300</v>
      </c>
      <c r="D80" s="406">
        <f si="5" t="shared"/>
        <v>0</v>
      </c>
      <c r="E80" s="406" t="str">
        <f>+'2.CT1A'!B86</f>
        <v xml:space="preserve">        Тэжээлийн нөөц</v>
      </c>
      <c r="F80" s="891">
        <f>+'2.CT1A'!C86</f>
        <v>0</v>
      </c>
      <c r="S80" s="406" t="s">
        <v>1241</v>
      </c>
      <c r="T80" s="406">
        <v>36300</v>
      </c>
      <c r="U80" s="406" t="s">
        <v>1855</v>
      </c>
      <c r="X80" s="406" t="s">
        <v>3006</v>
      </c>
      <c r="Y80" s="406" t="s">
        <v>3007</v>
      </c>
      <c r="Z80" s="406" t="s">
        <v>3008</v>
      </c>
    </row>
    <row r="81" spans="1:26">
      <c r="A81" s="406" t="s">
        <v>1241</v>
      </c>
      <c r="B81" s="406">
        <v>36400</v>
      </c>
      <c r="C81" s="406">
        <f>+'2.CT1A'!A87</f>
        <v>36400</v>
      </c>
      <c r="D81" s="406">
        <f si="5" t="shared"/>
        <v>0</v>
      </c>
      <c r="E81" s="406" t="str">
        <f>+'2.CT1A'!B87</f>
        <v xml:space="preserve">        Шатахууны нөөц</v>
      </c>
      <c r="F81" s="891">
        <f>+'2.CT1A'!C87</f>
        <v>0</v>
      </c>
      <c r="S81" s="406" t="s">
        <v>1241</v>
      </c>
      <c r="T81" s="406">
        <v>36400</v>
      </c>
      <c r="U81" s="406" t="s">
        <v>1855</v>
      </c>
      <c r="X81" s="406" t="s">
        <v>3006</v>
      </c>
      <c r="Y81" s="406" t="s">
        <v>3007</v>
      </c>
      <c r="Z81" s="406" t="s">
        <v>3008</v>
      </c>
    </row>
    <row r="82" spans="1:26">
      <c r="A82" s="406" t="s">
        <v>1241</v>
      </c>
      <c r="B82" s="406">
        <v>36500</v>
      </c>
      <c r="C82" s="406">
        <f>+'2.CT1A'!A88</f>
        <v>36500</v>
      </c>
      <c r="D82" s="406">
        <f si="5" t="shared"/>
        <v>0</v>
      </c>
      <c r="E82" s="406" t="str">
        <f>+'2.CT1A'!B88</f>
        <v xml:space="preserve">        Буудайн нөөц</v>
      </c>
      <c r="F82" s="891">
        <f>+'2.CT1A'!C88</f>
        <v>0</v>
      </c>
      <c r="S82" s="406" t="s">
        <v>1241</v>
      </c>
      <c r="T82" s="406">
        <v>36500</v>
      </c>
      <c r="U82" s="406" t="s">
        <v>1855</v>
      </c>
      <c r="X82" s="406" t="s">
        <v>3006</v>
      </c>
      <c r="Y82" s="406" t="s">
        <v>3007</v>
      </c>
      <c r="Z82" s="406" t="s">
        <v>3008</v>
      </c>
    </row>
    <row r="83" spans="1:26">
      <c r="A83" s="406" t="s">
        <v>1241</v>
      </c>
      <c r="B83" s="406">
        <v>36600</v>
      </c>
      <c r="C83" s="406">
        <f>+'2.CT1A'!A89</f>
        <v>36600</v>
      </c>
      <c r="D83" s="406">
        <f si="5" t="shared"/>
        <v>0</v>
      </c>
      <c r="E83" s="406" t="str">
        <f>+'2.CT1A'!B89</f>
        <v xml:space="preserve">        Бусад нөөц</v>
      </c>
      <c r="F83" s="891">
        <f>+'2.CT1A'!C89</f>
        <v>0</v>
      </c>
      <c r="S83" s="406" t="s">
        <v>1241</v>
      </c>
      <c r="T83" s="406">
        <v>36600</v>
      </c>
      <c r="U83" s="406" t="s">
        <v>1855</v>
      </c>
      <c r="X83" s="406" t="s">
        <v>3006</v>
      </c>
      <c r="Y83" s="406" t="s">
        <v>3007</v>
      </c>
      <c r="Z83" s="406" t="s">
        <v>3008</v>
      </c>
    </row>
    <row r="84" spans="1:26">
      <c r="A84" s="406" t="s">
        <v>1241</v>
      </c>
      <c r="B84" s="406">
        <v>36700</v>
      </c>
      <c r="C84" s="406">
        <f>+'2.CT1A'!A90</f>
        <v>36700</v>
      </c>
      <c r="D84" s="406">
        <f si="5" t="shared"/>
        <v>0</v>
      </c>
      <c r="E84" s="406" t="str">
        <f>+'2.CT1A'!B90</f>
        <v xml:space="preserve">        Бусад санхүүгийн хөрөнгө /ТӨҮГ/</v>
      </c>
      <c r="F84" s="891">
        <f>+'2.CT1A'!C90</f>
        <v>0</v>
      </c>
      <c r="S84" s="406" t="s">
        <v>1241</v>
      </c>
      <c r="T84" s="406">
        <v>36700</v>
      </c>
      <c r="U84" s="406" t="s">
        <v>1855</v>
      </c>
      <c r="X84" s="406" t="s">
        <v>3006</v>
      </c>
      <c r="Y84" s="406" t="s">
        <v>3007</v>
      </c>
      <c r="Z84" s="406" t="s">
        <v>3008</v>
      </c>
    </row>
    <row r="85" spans="1:26">
      <c r="A85" s="406" t="s">
        <v>1241</v>
      </c>
      <c r="B85" s="406">
        <v>36800</v>
      </c>
      <c r="C85" s="406">
        <f>+'2.CT1A'!A91</f>
        <v>36800</v>
      </c>
      <c r="D85" s="406">
        <f si="5" t="shared"/>
        <v>0</v>
      </c>
      <c r="E85" s="406" t="str">
        <f>+'2.CT1A'!B91</f>
        <v xml:space="preserve">        Бусад эргэлтийн хөрөнгө /ТӨҮГ/</v>
      </c>
      <c r="F85" s="891">
        <f>+'2.CT1A'!C91</f>
        <v>0</v>
      </c>
      <c r="S85" s="406" t="s">
        <v>1241</v>
      </c>
      <c r="T85" s="406">
        <v>36800</v>
      </c>
      <c r="U85" s="406" t="s">
        <v>1855</v>
      </c>
      <c r="X85" s="406" t="s">
        <v>3006</v>
      </c>
      <c r="Y85" s="406" t="s">
        <v>3007</v>
      </c>
      <c r="Z85" s="406" t="s">
        <v>3008</v>
      </c>
    </row>
    <row r="86" spans="1:26">
      <c r="A86" s="406" t="s">
        <v>1241</v>
      </c>
      <c r="B86" s="406">
        <v>36900</v>
      </c>
      <c r="C86" s="406">
        <f>+'2.CT1A'!A92</f>
        <v>36900</v>
      </c>
      <c r="D86" s="406">
        <f si="5" t="shared"/>
        <v>0</v>
      </c>
      <c r="E86" s="406" t="str">
        <f>+'2.CT1A'!B92</f>
        <v xml:space="preserve">        Борлуулах зорилгоор эзэмшиж буй бусад эргэлтийн хөрөнгө /ТӨҮГ/</v>
      </c>
      <c r="F86" s="891">
        <f>+'2.CT1A'!C92</f>
        <v>0</v>
      </c>
      <c r="S86" s="406" t="s">
        <v>1241</v>
      </c>
      <c r="T86" s="406">
        <v>36900</v>
      </c>
      <c r="U86" s="406" t="s">
        <v>1855</v>
      </c>
      <c r="X86" s="406" t="s">
        <v>3006</v>
      </c>
      <c r="Y86" s="406" t="s">
        <v>3007</v>
      </c>
      <c r="Z86" s="406" t="s">
        <v>3008</v>
      </c>
    </row>
    <row r="87" spans="1:26">
      <c r="A87" s="406" t="s">
        <v>1241</v>
      </c>
      <c r="B87" s="406">
        <v>2</v>
      </c>
      <c r="C87" s="406">
        <f>+'2.CT1A'!A93</f>
        <v>2</v>
      </c>
      <c r="D87" s="406">
        <f si="5" t="shared"/>
        <v>0</v>
      </c>
      <c r="E87" s="406" t="str">
        <f>+'2.CT1A'!B93</f>
        <v>ЭРГЭЛТИЙН БУС ХӨРӨНГИЙН ДҮН</v>
      </c>
      <c r="F87" s="891">
        <f>+'2.CT1A'!C93</f>
        <v>0</v>
      </c>
      <c r="S87" s="406" t="s">
        <v>1241</v>
      </c>
      <c r="T87" s="406">
        <v>2</v>
      </c>
      <c r="U87" s="406" t="s">
        <v>209</v>
      </c>
      <c r="X87" s="406" t="s">
        <v>3006</v>
      </c>
      <c r="Y87" s="406" t="s">
        <v>3007</v>
      </c>
      <c r="Z87" s="406" t="s">
        <v>3008</v>
      </c>
    </row>
    <row r="88" spans="1:26">
      <c r="A88" s="406" t="s">
        <v>1241</v>
      </c>
      <c r="B88" s="406">
        <v>37</v>
      </c>
      <c r="C88" s="406">
        <f>+'2.CT1A'!A94</f>
        <v>37</v>
      </c>
      <c r="D88" s="406">
        <f si="5" t="shared"/>
        <v>0</v>
      </c>
      <c r="E88" s="406" t="str">
        <f>+'2.CT1A'!B94</f>
        <v xml:space="preserve">   УРТ ХУГАЦААТ ХӨРӨНГӨ ОРУУЛАЛТ</v>
      </c>
      <c r="F88" s="891">
        <f>+'2.CT1A'!C94</f>
        <v>0</v>
      </c>
      <c r="S88" s="406" t="s">
        <v>1241</v>
      </c>
      <c r="T88" s="406">
        <v>37</v>
      </c>
      <c r="U88" s="406" t="s">
        <v>1863</v>
      </c>
      <c r="X88" s="406" t="s">
        <v>3006</v>
      </c>
      <c r="Y88" s="406" t="s">
        <v>3007</v>
      </c>
      <c r="Z88" s="406" t="s">
        <v>3008</v>
      </c>
    </row>
    <row r="89" spans="1:26">
      <c r="A89" s="406" t="s">
        <v>1241</v>
      </c>
      <c r="B89" s="406">
        <v>371</v>
      </c>
      <c r="C89" s="406">
        <f>+'2.CT1A'!A95</f>
        <v>371</v>
      </c>
      <c r="D89" s="406">
        <f si="5" t="shared"/>
        <v>0</v>
      </c>
      <c r="E89" s="406" t="str">
        <f>+'2.CT1A'!B95</f>
        <v xml:space="preserve">      Урт хугацаат хадгаламж</v>
      </c>
      <c r="F89" s="891">
        <f>+'2.CT1A'!C95</f>
        <v>0</v>
      </c>
      <c r="S89" s="406" t="s">
        <v>1241</v>
      </c>
      <c r="T89" s="406">
        <v>371</v>
      </c>
      <c r="U89" s="406" t="s">
        <v>1863</v>
      </c>
      <c r="X89" s="406" t="s">
        <v>3006</v>
      </c>
      <c r="Y89" s="406" t="s">
        <v>3007</v>
      </c>
      <c r="Z89" s="406" t="s">
        <v>3008</v>
      </c>
    </row>
    <row r="90" spans="1:26">
      <c r="A90" s="406" t="s">
        <v>1241</v>
      </c>
      <c r="B90" s="406">
        <v>37110</v>
      </c>
      <c r="C90" s="406">
        <f>+'2.CT1A'!A96</f>
        <v>37110</v>
      </c>
      <c r="D90" s="406">
        <f si="5" t="shared"/>
        <v>0</v>
      </c>
      <c r="E90" s="406" t="str">
        <f>+'2.CT1A'!B96</f>
        <v xml:space="preserve">           Төгрөг</v>
      </c>
      <c r="F90" s="891">
        <f>+'2.CT1A'!C96</f>
        <v>0</v>
      </c>
      <c r="S90" s="406" t="s">
        <v>1241</v>
      </c>
      <c r="T90" s="406">
        <v>37110</v>
      </c>
      <c r="U90" s="406" t="s">
        <v>1863</v>
      </c>
      <c r="X90" s="406" t="s">
        <v>3006</v>
      </c>
      <c r="Y90" s="406" t="s">
        <v>3007</v>
      </c>
      <c r="Z90" s="406" t="s">
        <v>3008</v>
      </c>
    </row>
    <row r="91" spans="1:26">
      <c r="A91" s="406" t="s">
        <v>1241</v>
      </c>
      <c r="B91" s="406">
        <v>37120</v>
      </c>
      <c r="C91" s="406">
        <f>+'2.CT1A'!A97</f>
        <v>37120</v>
      </c>
      <c r="D91" s="406">
        <f si="5" t="shared"/>
        <v>0</v>
      </c>
      <c r="E91" s="406" t="str">
        <f>+'2.CT1A'!B97</f>
        <v xml:space="preserve">           Гадаад валют</v>
      </c>
      <c r="F91" s="891">
        <f>+'2.CT1A'!C97</f>
        <v>0</v>
      </c>
      <c r="S91" s="406" t="s">
        <v>1241</v>
      </c>
      <c r="T91" s="406">
        <v>37120</v>
      </c>
      <c r="U91" s="406" t="s">
        <v>1863</v>
      </c>
      <c r="X91" s="406" t="s">
        <v>3006</v>
      </c>
      <c r="Y91" s="406" t="s">
        <v>3007</v>
      </c>
      <c r="Z91" s="406" t="s">
        <v>3008</v>
      </c>
    </row>
    <row r="92" spans="1:26">
      <c r="A92" s="406" t="s">
        <v>1241</v>
      </c>
      <c r="B92" s="406">
        <v>372</v>
      </c>
      <c r="C92" s="406">
        <f>+'2.CT1A'!A98</f>
        <v>372</v>
      </c>
      <c r="D92" s="406">
        <f si="5" t="shared"/>
        <v>0</v>
      </c>
      <c r="E92" s="406" t="str">
        <f>+'2.CT1A'!B98</f>
        <v xml:space="preserve">      Yнэт цаас</v>
      </c>
      <c r="F92" s="891">
        <f>+'2.CT1A'!C98</f>
        <v>0</v>
      </c>
      <c r="S92" s="406" t="s">
        <v>1241</v>
      </c>
      <c r="T92" s="406">
        <v>372</v>
      </c>
      <c r="U92" s="406" t="s">
        <v>1863</v>
      </c>
      <c r="X92" s="406" t="s">
        <v>3006</v>
      </c>
      <c r="Y92" s="406" t="s">
        <v>3007</v>
      </c>
      <c r="Z92" s="406" t="s">
        <v>3008</v>
      </c>
    </row>
    <row r="93" spans="1:26">
      <c r="A93" s="406" t="s">
        <v>1241</v>
      </c>
      <c r="B93" s="406">
        <v>37210</v>
      </c>
      <c r="C93" s="406">
        <f>+'2.CT1A'!A99</f>
        <v>37210</v>
      </c>
      <c r="D93" s="406">
        <f si="5" t="shared"/>
        <v>0</v>
      </c>
      <c r="E93" s="406" t="str">
        <f>+'2.CT1A'!B99</f>
        <v xml:space="preserve">           Төгрөг</v>
      </c>
      <c r="F93" s="891">
        <f>+'2.CT1A'!C99</f>
        <v>0</v>
      </c>
      <c r="S93" s="406" t="s">
        <v>1241</v>
      </c>
      <c r="T93" s="406">
        <v>37210</v>
      </c>
      <c r="U93" s="406" t="s">
        <v>1863</v>
      </c>
      <c r="X93" s="406" t="s">
        <v>3006</v>
      </c>
      <c r="Y93" s="406" t="s">
        <v>3007</v>
      </c>
      <c r="Z93" s="406" t="s">
        <v>3008</v>
      </c>
    </row>
    <row r="94" spans="1:26">
      <c r="A94" s="406" t="s">
        <v>1241</v>
      </c>
      <c r="B94" s="406">
        <v>37220</v>
      </c>
      <c r="C94" s="406">
        <f>+'2.CT1A'!A100</f>
        <v>37220</v>
      </c>
      <c r="D94" s="406">
        <f si="5" t="shared"/>
        <v>0</v>
      </c>
      <c r="E94" s="406" t="str">
        <f>+'2.CT1A'!B100</f>
        <v xml:space="preserve">           Гадаад валют</v>
      </c>
      <c r="F94" s="891">
        <f>+'2.CT1A'!C100</f>
        <v>0</v>
      </c>
      <c r="S94" s="406" t="s">
        <v>1241</v>
      </c>
      <c r="T94" s="406">
        <v>37220</v>
      </c>
      <c r="U94" s="406" t="s">
        <v>1863</v>
      </c>
      <c r="X94" s="406" t="s">
        <v>3006</v>
      </c>
      <c r="Y94" s="406" t="s">
        <v>3007</v>
      </c>
      <c r="Z94" s="406" t="s">
        <v>3008</v>
      </c>
    </row>
    <row r="95" spans="1:26">
      <c r="A95" s="406" t="s">
        <v>1241</v>
      </c>
      <c r="B95" s="406">
        <v>373</v>
      </c>
      <c r="C95" s="406">
        <f>+'2.CT1A'!A101</f>
        <v>373</v>
      </c>
      <c r="D95" s="406">
        <f si="5" t="shared"/>
        <v>0</v>
      </c>
      <c r="E95" s="406" t="str">
        <f>+'2.CT1A'!B101</f>
        <v xml:space="preserve">      Урт хугацаат зээл</v>
      </c>
      <c r="F95" s="891">
        <f>+'2.CT1A'!C101</f>
        <v>0</v>
      </c>
      <c r="S95" s="406" t="s">
        <v>1241</v>
      </c>
      <c r="T95" s="406">
        <v>373</v>
      </c>
      <c r="U95" s="406" t="s">
        <v>1863</v>
      </c>
      <c r="X95" s="406" t="s">
        <v>3006</v>
      </c>
      <c r="Y95" s="406" t="s">
        <v>3007</v>
      </c>
      <c r="Z95" s="406" t="s">
        <v>3008</v>
      </c>
    </row>
    <row r="96" spans="1:26">
      <c r="A96" s="406" t="s">
        <v>1241</v>
      </c>
      <c r="B96" s="406">
        <v>3731</v>
      </c>
      <c r="C96" s="406">
        <f>+'2.CT1A'!A102</f>
        <v>3731</v>
      </c>
      <c r="D96" s="406">
        <f si="5" t="shared"/>
        <v>0</v>
      </c>
      <c r="E96" s="406" t="str">
        <f>+'2.CT1A'!B102</f>
        <v xml:space="preserve">         Дотоод эх үүсвэрээс олгосон зээлийн авлага</v>
      </c>
      <c r="F96" s="891">
        <f>+'2.CT1A'!C102</f>
        <v>0</v>
      </c>
      <c r="S96" s="406" t="s">
        <v>1241</v>
      </c>
      <c r="T96" s="406">
        <v>3731</v>
      </c>
      <c r="U96" s="406" t="s">
        <v>1863</v>
      </c>
      <c r="X96" s="406" t="s">
        <v>3006</v>
      </c>
      <c r="Y96" s="406" t="s">
        <v>3007</v>
      </c>
      <c r="Z96" s="406" t="s">
        <v>3008</v>
      </c>
    </row>
    <row r="97" spans="1:26">
      <c r="A97" s="406" t="s">
        <v>1241</v>
      </c>
      <c r="B97" s="406">
        <v>37311</v>
      </c>
      <c r="C97" s="406">
        <f>+'2.CT1A'!A103</f>
        <v>37311</v>
      </c>
      <c r="D97" s="406">
        <f si="5" t="shared"/>
        <v>0</v>
      </c>
      <c r="E97" s="406" t="str">
        <f>+'2.CT1A'!B103</f>
        <v xml:space="preserve">               Засгийн газрын байгууллага, бусад шатны төсөвт олгосон</v>
      </c>
      <c r="F97" s="891">
        <f>+'2.CT1A'!C103</f>
        <v>0</v>
      </c>
      <c r="S97" s="406" t="s">
        <v>1241</v>
      </c>
      <c r="T97" s="406">
        <v>37311</v>
      </c>
      <c r="U97" s="406" t="s">
        <v>1863</v>
      </c>
      <c r="X97" s="406" t="s">
        <v>3006</v>
      </c>
      <c r="Y97" s="406" t="s">
        <v>3007</v>
      </c>
      <c r="Z97" s="406" t="s">
        <v>3008</v>
      </c>
    </row>
    <row r="98" spans="1:26">
      <c r="A98" s="406" t="s">
        <v>1241</v>
      </c>
      <c r="B98" s="406">
        <v>37312</v>
      </c>
      <c r="C98" s="406">
        <f>+'2.CT1A'!A104</f>
        <v>37312</v>
      </c>
      <c r="D98" s="406">
        <f si="5" t="shared"/>
        <v>0</v>
      </c>
      <c r="E98" s="406" t="str">
        <f>+'2.CT1A'!B104</f>
        <v xml:space="preserve">               Хувь хүмүүст олгосон зээл</v>
      </c>
      <c r="F98" s="891">
        <f>+'2.CT1A'!C104</f>
        <v>0</v>
      </c>
      <c r="S98" s="406" t="s">
        <v>1241</v>
      </c>
      <c r="T98" s="406">
        <v>37312</v>
      </c>
      <c r="U98" s="406" t="s">
        <v>1863</v>
      </c>
      <c r="X98" s="406" t="s">
        <v>3006</v>
      </c>
      <c r="Y98" s="406" t="s">
        <v>3007</v>
      </c>
      <c r="Z98" s="406" t="s">
        <v>3008</v>
      </c>
    </row>
    <row r="99" spans="1:26">
      <c r="A99" s="406" t="s">
        <v>1241</v>
      </c>
      <c r="B99" s="406">
        <v>37313</v>
      </c>
      <c r="C99" s="406">
        <f>+'2.CT1A'!A105</f>
        <v>37313</v>
      </c>
      <c r="D99" s="406">
        <f si="5" t="shared"/>
        <v>0</v>
      </c>
      <c r="E99" s="406" t="str">
        <f>+'2.CT1A'!B105</f>
        <v xml:space="preserve">               Сургалтын төрийн сангийн зээлийн авлага</v>
      </c>
      <c r="F99" s="891">
        <f>+'2.CT1A'!C105</f>
        <v>0</v>
      </c>
      <c r="S99" s="406" t="s">
        <v>1241</v>
      </c>
      <c r="T99" s="406">
        <v>37313</v>
      </c>
      <c r="U99" s="406" t="s">
        <v>1863</v>
      </c>
      <c r="X99" s="406" t="s">
        <v>3006</v>
      </c>
      <c r="Y99" s="406" t="s">
        <v>3007</v>
      </c>
      <c r="Z99" s="406" t="s">
        <v>3008</v>
      </c>
    </row>
    <row r="100" spans="1:26">
      <c r="A100" s="406" t="s">
        <v>1241</v>
      </c>
      <c r="B100" s="406">
        <v>37314</v>
      </c>
      <c r="C100" s="406">
        <f>+'2.CT1A'!A106</f>
        <v>37314</v>
      </c>
      <c r="D100" s="406">
        <f si="5" t="shared"/>
        <v>0</v>
      </c>
      <c r="E100" s="406" t="str">
        <f>+'2.CT1A'!B106</f>
        <v xml:space="preserve">               Төрийн өмчит аж ахуйн нэгжүүдэд олгосон зээл</v>
      </c>
      <c r="F100" s="891">
        <f>+'2.CT1A'!C106</f>
        <v>0</v>
      </c>
      <c r="S100" s="406" t="s">
        <v>1241</v>
      </c>
      <c r="T100" s="406">
        <v>37314</v>
      </c>
      <c r="U100" s="406" t="s">
        <v>1863</v>
      </c>
      <c r="X100" s="406" t="s">
        <v>3006</v>
      </c>
      <c r="Y100" s="406" t="s">
        <v>3007</v>
      </c>
      <c r="Z100" s="406" t="s">
        <v>3008</v>
      </c>
    </row>
    <row r="101" spans="1:26">
      <c r="A101" s="406" t="s">
        <v>1241</v>
      </c>
      <c r="B101" s="406">
        <v>37315</v>
      </c>
      <c r="C101" s="406">
        <f>+'2.CT1A'!A107</f>
        <v>37315</v>
      </c>
      <c r="D101" s="406">
        <f si="5" t="shared"/>
        <v>0</v>
      </c>
      <c r="E101" s="406" t="str">
        <f>+'2.CT1A'!B107</f>
        <v xml:space="preserve">               Хувийн хэвшлийн аж ахуйн нэгжид олгосон зээл</v>
      </c>
      <c r="F101" s="891">
        <f>+'2.CT1A'!C107</f>
        <v>0</v>
      </c>
      <c r="S101" s="406" t="s">
        <v>1241</v>
      </c>
      <c r="T101" s="406">
        <v>37315</v>
      </c>
      <c r="U101" s="406" t="s">
        <v>1863</v>
      </c>
      <c r="X101" s="406" t="s">
        <v>3006</v>
      </c>
      <c r="Y101" s="406" t="s">
        <v>3007</v>
      </c>
      <c r="Z101" s="406" t="s">
        <v>3008</v>
      </c>
    </row>
    <row r="102" spans="1:26">
      <c r="A102" s="406" t="s">
        <v>1241</v>
      </c>
      <c r="B102" s="406">
        <v>3732</v>
      </c>
      <c r="C102" s="406">
        <f>+'2.CT1A'!A108</f>
        <v>3732</v>
      </c>
      <c r="D102" s="406">
        <f si="5" t="shared"/>
        <v>0</v>
      </c>
      <c r="E102" s="406" t="str">
        <f>+'2.CT1A'!B108</f>
        <v>Гадаад зээлээс дамжуулан зээлдүүлсэн зээлийн авлага</v>
      </c>
      <c r="F102" s="891">
        <f>+'2.CT1A'!C108</f>
        <v>0</v>
      </c>
      <c r="S102" s="406" t="s">
        <v>1241</v>
      </c>
      <c r="T102" s="406">
        <v>3732</v>
      </c>
      <c r="U102" s="406" t="s">
        <v>1863</v>
      </c>
      <c r="X102" s="406" t="s">
        <v>3006</v>
      </c>
      <c r="Y102" s="406" t="s">
        <v>3007</v>
      </c>
      <c r="Z102" s="406" t="s">
        <v>3008</v>
      </c>
    </row>
    <row r="103" spans="1:26">
      <c r="A103" s="406" t="s">
        <v>1241</v>
      </c>
      <c r="B103" s="406">
        <v>37321</v>
      </c>
      <c r="C103" s="406">
        <f>+'2.CT1A'!A109</f>
        <v>37321</v>
      </c>
      <c r="D103" s="406">
        <f si="5" t="shared"/>
        <v>0</v>
      </c>
      <c r="E103" s="406" t="str">
        <f>+'2.CT1A'!B109</f>
        <v xml:space="preserve">               Засгийн газрын байгууллага, бусад шатны төсөвт олгосон</v>
      </c>
      <c r="F103" s="891">
        <f>+'2.CT1A'!C109</f>
        <v>0</v>
      </c>
      <c r="S103" s="406" t="s">
        <v>1241</v>
      </c>
      <c r="T103" s="406">
        <v>37321</v>
      </c>
      <c r="U103" s="406" t="s">
        <v>1863</v>
      </c>
      <c r="X103" s="406" t="s">
        <v>3006</v>
      </c>
      <c r="Y103" s="406" t="s">
        <v>3007</v>
      </c>
      <c r="Z103" s="406" t="s">
        <v>3008</v>
      </c>
    </row>
    <row r="104" spans="1:26">
      <c r="A104" s="406" t="s">
        <v>1241</v>
      </c>
      <c r="B104" s="406">
        <v>37323</v>
      </c>
      <c r="C104" s="406">
        <f>+'2.CT1A'!A110</f>
        <v>37323</v>
      </c>
      <c r="D104" s="406">
        <f si="5" t="shared"/>
        <v>0</v>
      </c>
      <c r="E104" s="406" t="str">
        <f>+'2.CT1A'!B110</f>
        <v xml:space="preserve">               Төрийн өмчит аж ахуйн нэгжүүдэд олгосон зээл</v>
      </c>
      <c r="F104" s="891">
        <f>+'2.CT1A'!C110</f>
        <v>0</v>
      </c>
      <c r="S104" s="406" t="s">
        <v>1241</v>
      </c>
      <c r="T104" s="406">
        <v>37323</v>
      </c>
      <c r="U104" s="406" t="s">
        <v>1863</v>
      </c>
      <c r="X104" s="406" t="s">
        <v>3006</v>
      </c>
      <c r="Y104" s="406" t="s">
        <v>3007</v>
      </c>
      <c r="Z104" s="406" t="s">
        <v>3008</v>
      </c>
    </row>
    <row r="105" spans="1:26">
      <c r="A105" s="406" t="s">
        <v>1241</v>
      </c>
      <c r="B105" s="406">
        <v>37324</v>
      </c>
      <c r="C105" s="406">
        <f>+'2.CT1A'!A111</f>
        <v>37324</v>
      </c>
      <c r="D105" s="406">
        <f si="5" t="shared"/>
        <v>0</v>
      </c>
      <c r="E105" s="406" t="str">
        <f>+'2.CT1A'!B111</f>
        <v xml:space="preserve">               Хувийн хэвшлийн аж ахуйн нэгжид олгосон зээл</v>
      </c>
      <c r="F105" s="891">
        <f>+'2.CT1A'!C111</f>
        <v>0</v>
      </c>
      <c r="S105" s="406" t="s">
        <v>1241</v>
      </c>
      <c r="T105" s="406">
        <v>37324</v>
      </c>
      <c r="U105" s="406" t="s">
        <v>1863</v>
      </c>
      <c r="X105" s="406" t="s">
        <v>3006</v>
      </c>
      <c r="Y105" s="406" t="s">
        <v>3007</v>
      </c>
      <c r="Z105" s="406" t="s">
        <v>3008</v>
      </c>
    </row>
    <row r="106" spans="1:26">
      <c r="A106" s="406" t="s">
        <v>1241</v>
      </c>
      <c r="B106" s="406">
        <v>37330</v>
      </c>
      <c r="C106" s="406">
        <f>+'2.CT1A'!A112</f>
        <v>37330</v>
      </c>
      <c r="D106" s="406">
        <f si="5" t="shared"/>
        <v>0</v>
      </c>
      <c r="E106" s="406" t="str">
        <f>+'2.CT1A'!B112</f>
        <v xml:space="preserve">           Урт хугацаат хөрөнгө оруулалт-зам, гүүр</v>
      </c>
      <c r="F106" s="891">
        <f>+'2.CT1A'!C112</f>
        <v>0</v>
      </c>
      <c r="S106" s="406" t="s">
        <v>1241</v>
      </c>
      <c r="T106" s="406">
        <v>37330</v>
      </c>
      <c r="U106" s="406" t="s">
        <v>1863</v>
      </c>
      <c r="X106" s="406" t="s">
        <v>3006</v>
      </c>
      <c r="Y106" s="406" t="s">
        <v>3007</v>
      </c>
      <c r="Z106" s="406" t="s">
        <v>3008</v>
      </c>
    </row>
    <row r="107" spans="1:26">
      <c r="A107" s="406" t="s">
        <v>1241</v>
      </c>
      <c r="B107" s="406">
        <v>39</v>
      </c>
      <c r="C107" s="406">
        <f>+'2.CT1A'!A113</f>
        <v>39</v>
      </c>
      <c r="D107" s="406">
        <f si="5" t="shared"/>
        <v>0</v>
      </c>
      <c r="E107" s="406" t="str">
        <f>+'2.CT1A'!B113</f>
        <v xml:space="preserve">   ҮНДСЭН ХӨРӨНГӨ</v>
      </c>
      <c r="F107" s="891">
        <f>+'2.CT1A'!C113</f>
        <v>0</v>
      </c>
      <c r="S107" s="406" t="s">
        <v>1241</v>
      </c>
      <c r="T107" s="406">
        <v>39</v>
      </c>
      <c r="U107" s="406" t="s">
        <v>1863</v>
      </c>
      <c r="X107" s="406" t="s">
        <v>3006</v>
      </c>
      <c r="Y107" s="406" t="s">
        <v>3007</v>
      </c>
      <c r="Z107" s="406" t="s">
        <v>3008</v>
      </c>
    </row>
    <row r="108" spans="1:26">
      <c r="A108" s="406" t="s">
        <v>1241</v>
      </c>
      <c r="B108" s="406">
        <v>391</v>
      </c>
      <c r="C108" s="406">
        <f>+'2.CT1A'!A114</f>
        <v>391</v>
      </c>
      <c r="D108" s="406">
        <f si="5" t="shared"/>
        <v>0</v>
      </c>
      <c r="E108" s="406" t="str">
        <f>+'2.CT1A'!B114</f>
        <v xml:space="preserve">        Газар</v>
      </c>
      <c r="F108" s="891">
        <f>+'2.CT1A'!C114</f>
        <v>0</v>
      </c>
      <c r="S108" s="406" t="s">
        <v>1241</v>
      </c>
      <c r="T108" s="406">
        <v>391</v>
      </c>
      <c r="U108" s="406" t="s">
        <v>1863</v>
      </c>
      <c r="X108" s="406" t="s">
        <v>3006</v>
      </c>
      <c r="Y108" s="406" t="s">
        <v>3007</v>
      </c>
      <c r="Z108" s="406" t="s">
        <v>3008</v>
      </c>
    </row>
    <row r="109" spans="1:26">
      <c r="A109" s="406" t="s">
        <v>1241</v>
      </c>
      <c r="B109" s="406">
        <v>392</v>
      </c>
      <c r="C109" s="406">
        <f>+'2.CT1A'!A115</f>
        <v>392</v>
      </c>
      <c r="D109" s="406">
        <f si="5" t="shared"/>
        <v>0</v>
      </c>
      <c r="E109" s="406" t="str">
        <f>+'2.CT1A'!B115</f>
        <v xml:space="preserve">      Биет хөрөнгө</v>
      </c>
      <c r="F109" s="891">
        <f>+'2.CT1A'!C115</f>
        <v>0</v>
      </c>
      <c r="S109" s="406" t="s">
        <v>1241</v>
      </c>
      <c r="T109" s="406">
        <v>392</v>
      </c>
      <c r="U109" s="406" t="s">
        <v>1863</v>
      </c>
      <c r="X109" s="406" t="s">
        <v>3006</v>
      </c>
      <c r="Y109" s="406" t="s">
        <v>3007</v>
      </c>
      <c r="Z109" s="406" t="s">
        <v>3008</v>
      </c>
    </row>
    <row r="110" spans="1:26">
      <c r="A110" s="406" t="s">
        <v>1241</v>
      </c>
      <c r="B110" s="406">
        <v>39201</v>
      </c>
      <c r="C110" s="406">
        <f>+'2.CT1A'!A116</f>
        <v>39201</v>
      </c>
      <c r="D110" s="406">
        <f si="5" t="shared"/>
        <v>0</v>
      </c>
      <c r="E110" s="406" t="str">
        <f>+'2.CT1A'!B116</f>
        <v xml:space="preserve">               Барилга, байгууламж, орон сууц</v>
      </c>
      <c r="F110" s="891">
        <f>+'2.CT1A'!C116</f>
        <v>0</v>
      </c>
      <c r="S110" s="406" t="s">
        <v>1241</v>
      </c>
      <c r="T110" s="406">
        <v>39201</v>
      </c>
      <c r="U110" s="406" t="s">
        <v>1863</v>
      </c>
      <c r="X110" s="406" t="s">
        <v>3006</v>
      </c>
      <c r="Y110" s="406" t="s">
        <v>3007</v>
      </c>
      <c r="Z110" s="406" t="s">
        <v>3008</v>
      </c>
    </row>
    <row r="111" spans="1:26">
      <c r="A111" s="406" t="s">
        <v>1241</v>
      </c>
      <c r="B111" s="406">
        <v>39202</v>
      </c>
      <c r="C111" s="406">
        <f>+'2.CT1A'!A117</f>
        <v>39202</v>
      </c>
      <c r="D111" s="406">
        <f si="5" t="shared"/>
        <v>0</v>
      </c>
      <c r="E111" s="406" t="str">
        <f>+'2.CT1A'!B117</f>
        <v xml:space="preserve">               Хуримтлагдсан элэгдэл</v>
      </c>
      <c r="F111" s="891">
        <f>+'2.CT1A'!C117</f>
        <v>0</v>
      </c>
      <c r="S111" s="406" t="s">
        <v>1241</v>
      </c>
      <c r="T111" s="406">
        <v>39202</v>
      </c>
      <c r="U111" s="406" t="s">
        <v>1863</v>
      </c>
      <c r="X111" s="406" t="s">
        <v>3006</v>
      </c>
      <c r="Y111" s="406" t="s">
        <v>3007</v>
      </c>
      <c r="Z111" s="406" t="s">
        <v>3008</v>
      </c>
    </row>
    <row r="112" spans="1:26">
      <c r="A112" s="406" t="s">
        <v>1241</v>
      </c>
      <c r="B112" s="406">
        <v>39203</v>
      </c>
      <c r="C112" s="406">
        <f>+'2.CT1A'!A118</f>
        <v>39203</v>
      </c>
      <c r="D112" s="406">
        <f si="5" t="shared"/>
        <v>0</v>
      </c>
      <c r="E112" s="406" t="str">
        <f>+'2.CT1A'!B118</f>
        <v xml:space="preserve">               Авто-тээврийн хэрэгсэл</v>
      </c>
      <c r="F112" s="891">
        <f>+'2.CT1A'!C118</f>
        <v>0</v>
      </c>
      <c r="S112" s="406" t="s">
        <v>1241</v>
      </c>
      <c r="T112" s="406">
        <v>39203</v>
      </c>
      <c r="U112" s="406" t="s">
        <v>1863</v>
      </c>
      <c r="X112" s="406" t="s">
        <v>3006</v>
      </c>
      <c r="Y112" s="406" t="s">
        <v>3007</v>
      </c>
      <c r="Z112" s="406" t="s">
        <v>3008</v>
      </c>
    </row>
    <row r="113" spans="1:26">
      <c r="A113" s="406" t="s">
        <v>1241</v>
      </c>
      <c r="B113" s="406">
        <v>39204</v>
      </c>
      <c r="C113" s="406">
        <f>+'2.CT1A'!A119</f>
        <v>39204</v>
      </c>
      <c r="D113" s="406">
        <f si="5" t="shared"/>
        <v>0</v>
      </c>
      <c r="E113" s="406" t="str">
        <f>+'2.CT1A'!B119</f>
        <v xml:space="preserve">               Хуримтлагдсан элэгдэл</v>
      </c>
      <c r="F113" s="891">
        <f>+'2.CT1A'!C119</f>
        <v>0</v>
      </c>
      <c r="S113" s="406" t="s">
        <v>1241</v>
      </c>
      <c r="T113" s="406">
        <v>39204</v>
      </c>
      <c r="U113" s="406" t="s">
        <v>1863</v>
      </c>
      <c r="X113" s="406" t="s">
        <v>3006</v>
      </c>
      <c r="Y113" s="406" t="s">
        <v>3007</v>
      </c>
      <c r="Z113" s="406" t="s">
        <v>3008</v>
      </c>
    </row>
    <row r="114" spans="1:26">
      <c r="A114" s="406" t="s">
        <v>1241</v>
      </c>
      <c r="B114" s="406">
        <v>39205</v>
      </c>
      <c r="C114" s="406">
        <f>+'2.CT1A'!A120</f>
        <v>39205</v>
      </c>
      <c r="D114" s="406">
        <f si="5" t="shared"/>
        <v>0</v>
      </c>
      <c r="E114" s="406" t="str">
        <f>+'2.CT1A'!B120</f>
        <v xml:space="preserve">               Машин тоног төхөөрөмж (компьютер)</v>
      </c>
      <c r="F114" s="891">
        <f>+'2.CT1A'!C120</f>
        <v>0</v>
      </c>
      <c r="S114" s="406" t="s">
        <v>1241</v>
      </c>
      <c r="T114" s="406">
        <v>39205</v>
      </c>
      <c r="U114" s="406" t="s">
        <v>1863</v>
      </c>
      <c r="X114" s="406" t="s">
        <v>3006</v>
      </c>
      <c r="Y114" s="406" t="s">
        <v>3007</v>
      </c>
      <c r="Z114" s="406" t="s">
        <v>3008</v>
      </c>
    </row>
    <row r="115" spans="1:26">
      <c r="A115" s="406" t="s">
        <v>1241</v>
      </c>
      <c r="B115" s="406">
        <v>39206</v>
      </c>
      <c r="C115" s="406">
        <f>+'2.CT1A'!A121</f>
        <v>39206</v>
      </c>
      <c r="D115" s="406">
        <f si="5" t="shared"/>
        <v>0</v>
      </c>
      <c r="E115" s="406" t="str">
        <f>+'2.CT1A'!B121</f>
        <v xml:space="preserve">               Хуримтлагдсан элэгдэл</v>
      </c>
      <c r="F115" s="891">
        <f>+'2.CT1A'!C121</f>
        <v>0</v>
      </c>
      <c r="S115" s="406" t="s">
        <v>1241</v>
      </c>
      <c r="T115" s="406">
        <v>39206</v>
      </c>
      <c r="U115" s="406" t="s">
        <v>1863</v>
      </c>
      <c r="X115" s="406" t="s">
        <v>3006</v>
      </c>
      <c r="Y115" s="406" t="s">
        <v>3007</v>
      </c>
      <c r="Z115" s="406" t="s">
        <v>3008</v>
      </c>
    </row>
    <row r="116" spans="1:26">
      <c r="A116" s="406" t="s">
        <v>1241</v>
      </c>
      <c r="B116" s="406">
        <v>39207</v>
      </c>
      <c r="C116" s="406">
        <f>+'2.CT1A'!A122</f>
        <v>39207</v>
      </c>
      <c r="D116" s="406">
        <f si="5" t="shared"/>
        <v>0</v>
      </c>
      <c r="E116" s="406" t="str">
        <f>+'2.CT1A'!B122</f>
        <v xml:space="preserve">               Тавилга, аж ахуйн эд хогшил</v>
      </c>
      <c r="F116" s="891">
        <f>+'2.CT1A'!C122</f>
        <v>0</v>
      </c>
      <c r="S116" s="406" t="s">
        <v>1241</v>
      </c>
      <c r="T116" s="406">
        <v>39207</v>
      </c>
      <c r="U116" s="406" t="s">
        <v>1863</v>
      </c>
      <c r="X116" s="406" t="s">
        <v>3006</v>
      </c>
      <c r="Y116" s="406" t="s">
        <v>3007</v>
      </c>
      <c r="Z116" s="406" t="s">
        <v>3008</v>
      </c>
    </row>
    <row r="117" spans="1:26">
      <c r="A117" s="406" t="s">
        <v>1241</v>
      </c>
      <c r="B117" s="406">
        <v>39208</v>
      </c>
      <c r="C117" s="406">
        <f>+'2.CT1A'!A123</f>
        <v>39208</v>
      </c>
      <c r="D117" s="406">
        <f si="5" t="shared"/>
        <v>0</v>
      </c>
      <c r="E117" s="406" t="str">
        <f>+'2.CT1A'!B123</f>
        <v xml:space="preserve">               Хуримтлагдсан элэгдэл</v>
      </c>
      <c r="F117" s="891">
        <f>+'2.CT1A'!C123</f>
        <v>0</v>
      </c>
      <c r="S117" s="406" t="s">
        <v>1241</v>
      </c>
      <c r="T117" s="406">
        <v>39208</v>
      </c>
      <c r="U117" s="406" t="s">
        <v>1863</v>
      </c>
      <c r="X117" s="406" t="s">
        <v>3006</v>
      </c>
      <c r="Y117" s="406" t="s">
        <v>3007</v>
      </c>
      <c r="Z117" s="406" t="s">
        <v>3008</v>
      </c>
    </row>
    <row r="118" spans="1:26">
      <c r="A118" s="406" t="s">
        <v>1241</v>
      </c>
      <c r="B118" s="406">
        <v>39209</v>
      </c>
      <c r="C118" s="406">
        <f>+'2.CT1A'!A124</f>
        <v>39209</v>
      </c>
      <c r="D118" s="406">
        <f si="5" t="shared"/>
        <v>0</v>
      </c>
      <c r="E118" s="406" t="str">
        <f>+'2.CT1A'!B124</f>
        <v xml:space="preserve">               Зам, гүүрийн байгууламж</v>
      </c>
      <c r="F118" s="891">
        <f>+'2.CT1A'!C124</f>
        <v>0</v>
      </c>
      <c r="S118" s="406" t="s">
        <v>1241</v>
      </c>
      <c r="T118" s="406">
        <v>39209</v>
      </c>
      <c r="U118" s="406" t="s">
        <v>1863</v>
      </c>
      <c r="X118" s="406" t="s">
        <v>3006</v>
      </c>
      <c r="Y118" s="406" t="s">
        <v>3007</v>
      </c>
      <c r="Z118" s="406" t="s">
        <v>3008</v>
      </c>
    </row>
    <row r="119" spans="1:26">
      <c r="A119" s="406" t="s">
        <v>1241</v>
      </c>
      <c r="B119" s="406">
        <v>39210</v>
      </c>
      <c r="C119" s="406">
        <f>+'2.CT1A'!A125</f>
        <v>39210</v>
      </c>
      <c r="D119" s="406">
        <f si="5" t="shared"/>
        <v>0</v>
      </c>
      <c r="E119" s="406" t="str">
        <f>+'2.CT1A'!B125</f>
        <v xml:space="preserve">               Хуримтлагдсан элэгдэл</v>
      </c>
      <c r="F119" s="891">
        <f>+'2.CT1A'!C125</f>
        <v>0</v>
      </c>
      <c r="S119" s="406" t="s">
        <v>1241</v>
      </c>
      <c r="T119" s="406">
        <v>39210</v>
      </c>
      <c r="U119" s="406" t="s">
        <v>1863</v>
      </c>
      <c r="X119" s="406" t="s">
        <v>3006</v>
      </c>
      <c r="Y119" s="406" t="s">
        <v>3007</v>
      </c>
      <c r="Z119" s="406" t="s">
        <v>3008</v>
      </c>
    </row>
    <row r="120" spans="1:26">
      <c r="A120" s="406" t="s">
        <v>1241</v>
      </c>
      <c r="B120" s="406">
        <v>39211</v>
      </c>
      <c r="C120" s="406">
        <f>+'2.CT1A'!A126</f>
        <v>39211</v>
      </c>
      <c r="D120" s="406">
        <f si="5" t="shared"/>
        <v>0</v>
      </c>
      <c r="E120" s="406" t="str">
        <f>+'2.CT1A'!B126</f>
        <v xml:space="preserve">               Батлан хамгаалах, цэргийн зориулалттай тоног төхөөрөмж</v>
      </c>
      <c r="F120" s="891">
        <f>+'2.CT1A'!C126</f>
        <v>0</v>
      </c>
      <c r="S120" s="406" t="s">
        <v>1241</v>
      </c>
      <c r="T120" s="406">
        <v>39211</v>
      </c>
      <c r="U120" s="406" t="s">
        <v>1863</v>
      </c>
      <c r="X120" s="406" t="s">
        <v>3006</v>
      </c>
      <c r="Y120" s="406" t="s">
        <v>3007</v>
      </c>
      <c r="Z120" s="406" t="s">
        <v>3008</v>
      </c>
    </row>
    <row r="121" spans="1:26">
      <c r="A121" s="406" t="s">
        <v>1241</v>
      </c>
      <c r="B121" s="406">
        <v>39212</v>
      </c>
      <c r="C121" s="406">
        <f>+'2.CT1A'!A127</f>
        <v>39212</v>
      </c>
      <c r="D121" s="406">
        <f si="5" t="shared"/>
        <v>0</v>
      </c>
      <c r="E121" s="406" t="str">
        <f>+'2.CT1A'!B127</f>
        <v xml:space="preserve">               Хуримтлагдсан элэгдэл</v>
      </c>
      <c r="F121" s="891">
        <f>+'2.CT1A'!C127</f>
        <v>0</v>
      </c>
      <c r="S121" s="406" t="s">
        <v>1241</v>
      </c>
      <c r="T121" s="406">
        <v>39212</v>
      </c>
      <c r="U121" s="406" t="s">
        <v>1863</v>
      </c>
      <c r="X121" s="406" t="s">
        <v>3006</v>
      </c>
      <c r="Y121" s="406" t="s">
        <v>3007</v>
      </c>
      <c r="Z121" s="406" t="s">
        <v>3008</v>
      </c>
    </row>
    <row r="122" spans="1:26">
      <c r="A122" s="406" t="s">
        <v>1241</v>
      </c>
      <c r="B122" s="406">
        <v>39213</v>
      </c>
      <c r="C122" s="406">
        <f>+'2.CT1A'!A128</f>
        <v>39213</v>
      </c>
      <c r="D122" s="406">
        <f si="5" t="shared"/>
        <v>0</v>
      </c>
      <c r="E122" s="406" t="str">
        <f>+'2.CT1A'!B128</f>
        <v xml:space="preserve">               Түүх соёл, музейн  дурсгалт зүйлс</v>
      </c>
      <c r="F122" s="891">
        <f>+'2.CT1A'!C128</f>
        <v>0</v>
      </c>
      <c r="S122" s="406" t="s">
        <v>1241</v>
      </c>
      <c r="T122" s="406">
        <v>39213</v>
      </c>
      <c r="U122" s="406" t="s">
        <v>1863</v>
      </c>
      <c r="X122" s="406" t="s">
        <v>3006</v>
      </c>
      <c r="Y122" s="406" t="s">
        <v>3007</v>
      </c>
      <c r="Z122" s="406" t="s">
        <v>3008</v>
      </c>
    </row>
    <row r="123" spans="1:26">
      <c r="A123" s="406" t="s">
        <v>1241</v>
      </c>
      <c r="B123" s="406">
        <v>39214</v>
      </c>
      <c r="C123" s="406">
        <f>+'2.CT1A'!A129</f>
        <v>39214</v>
      </c>
      <c r="D123" s="406">
        <f si="5" t="shared"/>
        <v>0</v>
      </c>
      <c r="E123" s="406" t="str">
        <f>+'2.CT1A'!B129</f>
        <v xml:space="preserve">               Бусад үндсэн хөрөнгө</v>
      </c>
      <c r="F123" s="891">
        <f>+'2.CT1A'!C129</f>
        <v>0</v>
      </c>
      <c r="S123" s="406" t="s">
        <v>1241</v>
      </c>
      <c r="T123" s="406">
        <v>39214</v>
      </c>
      <c r="U123" s="406" t="s">
        <v>1863</v>
      </c>
      <c r="X123" s="406" t="s">
        <v>3006</v>
      </c>
      <c r="Y123" s="406" t="s">
        <v>3007</v>
      </c>
      <c r="Z123" s="406" t="s">
        <v>3008</v>
      </c>
    </row>
    <row r="124" spans="1:26">
      <c r="A124" s="406" t="s">
        <v>1241</v>
      </c>
      <c r="B124" s="406">
        <v>39215</v>
      </c>
      <c r="C124" s="406">
        <f>+'2.CT1A'!A130</f>
        <v>39215</v>
      </c>
      <c r="D124" s="406">
        <f si="5" t="shared"/>
        <v>0</v>
      </c>
      <c r="E124" s="406" t="str">
        <f>+'2.CT1A'!B130</f>
        <v xml:space="preserve">               Хуримтлагдсан элэгдэл</v>
      </c>
      <c r="F124" s="891">
        <f>+'2.CT1A'!C130</f>
        <v>0</v>
      </c>
      <c r="S124" s="406" t="s">
        <v>1241</v>
      </c>
      <c r="T124" s="406">
        <v>39215</v>
      </c>
      <c r="U124" s="406" t="s">
        <v>1863</v>
      </c>
      <c r="X124" s="406" t="s">
        <v>3006</v>
      </c>
      <c r="Y124" s="406" t="s">
        <v>3007</v>
      </c>
      <c r="Z124" s="406" t="s">
        <v>3008</v>
      </c>
    </row>
    <row r="125" spans="1:26">
      <c r="A125" s="406" t="s">
        <v>1241</v>
      </c>
      <c r="B125" s="406">
        <v>39216</v>
      </c>
      <c r="C125" s="406">
        <f>+'2.CT1A'!A131</f>
        <v>39216</v>
      </c>
      <c r="D125" s="406">
        <f si="5" t="shared"/>
        <v>0</v>
      </c>
      <c r="E125" s="406" t="str">
        <f>+'2.CT1A'!B131</f>
        <v xml:space="preserve">               Дуусаагүй барилга, байгууламж</v>
      </c>
      <c r="F125" s="891">
        <f>+'2.CT1A'!C131</f>
        <v>0</v>
      </c>
      <c r="S125" s="406" t="s">
        <v>1241</v>
      </c>
      <c r="T125" s="406">
        <v>39216</v>
      </c>
      <c r="U125" s="406" t="s">
        <v>1863</v>
      </c>
      <c r="X125" s="406" t="s">
        <v>3006</v>
      </c>
      <c r="Y125" s="406" t="s">
        <v>3007</v>
      </c>
      <c r="Z125" s="406" t="s">
        <v>3008</v>
      </c>
    </row>
    <row r="126" spans="1:26">
      <c r="A126" s="406" t="s">
        <v>1241</v>
      </c>
      <c r="B126" s="406">
        <v>39217</v>
      </c>
      <c r="C126" s="406">
        <f>+'2.CT1A'!A132</f>
        <v>39217</v>
      </c>
      <c r="D126" s="406">
        <f si="5" t="shared"/>
        <v>0</v>
      </c>
      <c r="E126" s="406" t="str">
        <f>+'2.CT1A'!B132</f>
        <v xml:space="preserve">               Ном</v>
      </c>
      <c r="F126" s="891">
        <f>+'2.CT1A'!C132</f>
        <v>0</v>
      </c>
      <c r="S126" s="406" t="s">
        <v>1241</v>
      </c>
      <c r="T126" s="406">
        <v>39217</v>
      </c>
      <c r="U126" s="406" t="s">
        <v>1863</v>
      </c>
      <c r="X126" s="406" t="s">
        <v>3006</v>
      </c>
      <c r="Y126" s="406" t="s">
        <v>3007</v>
      </c>
      <c r="Z126" s="406" t="s">
        <v>3008</v>
      </c>
    </row>
    <row r="127" spans="1:26">
      <c r="A127" s="406" t="s">
        <v>1241</v>
      </c>
      <c r="B127" s="406">
        <v>393</v>
      </c>
      <c r="C127" s="406">
        <f>+'2.CT1A'!A133</f>
        <v>393</v>
      </c>
      <c r="D127" s="406">
        <f si="5" t="shared"/>
        <v>0</v>
      </c>
      <c r="E127" s="406" t="str">
        <f>+'2.CT1A'!B133</f>
        <v xml:space="preserve">      Биет бус хөрөнгө</v>
      </c>
      <c r="F127" s="891">
        <f>+'2.CT1A'!C133</f>
        <v>0</v>
      </c>
      <c r="S127" s="406" t="s">
        <v>1241</v>
      </c>
      <c r="T127" s="406">
        <v>393</v>
      </c>
      <c r="U127" s="406" t="s">
        <v>1863</v>
      </c>
      <c r="X127" s="406" t="s">
        <v>3006</v>
      </c>
      <c r="Y127" s="406" t="s">
        <v>3007</v>
      </c>
      <c r="Z127" s="406" t="s">
        <v>3008</v>
      </c>
    </row>
    <row r="128" spans="1:26">
      <c r="A128" s="406" t="s">
        <v>1241</v>
      </c>
      <c r="B128" s="406">
        <v>39301</v>
      </c>
      <c r="C128" s="406">
        <f>+'2.CT1A'!A134</f>
        <v>39301</v>
      </c>
      <c r="D128" s="406">
        <f si="5" t="shared"/>
        <v>0</v>
      </c>
      <c r="E128" s="406" t="str">
        <f>+'2.CT1A'!B134</f>
        <v xml:space="preserve">               Програм хангамж</v>
      </c>
      <c r="F128" s="891">
        <f>+'2.CT1A'!C134</f>
        <v>0</v>
      </c>
      <c r="S128" s="406" t="s">
        <v>1241</v>
      </c>
      <c r="T128" s="406">
        <v>39301</v>
      </c>
      <c r="U128" s="406" t="s">
        <v>1863</v>
      </c>
      <c r="X128" s="406" t="s">
        <v>3006</v>
      </c>
      <c r="Y128" s="406" t="s">
        <v>3007</v>
      </c>
      <c r="Z128" s="406" t="s">
        <v>3008</v>
      </c>
    </row>
    <row r="129" spans="1:26">
      <c r="A129" s="406" t="s">
        <v>1241</v>
      </c>
      <c r="B129" s="406">
        <v>39302</v>
      </c>
      <c r="C129" s="406">
        <f>+'2.CT1A'!A135</f>
        <v>39302</v>
      </c>
      <c r="D129" s="406">
        <f si="5" t="shared"/>
        <v>0</v>
      </c>
      <c r="E129" s="406" t="str">
        <f>+'2.CT1A'!B135</f>
        <v xml:space="preserve">               Хуримтлагдсан элэгдэл</v>
      </c>
      <c r="F129" s="891">
        <f>+'2.CT1A'!C135</f>
        <v>0</v>
      </c>
      <c r="S129" s="406" t="s">
        <v>1241</v>
      </c>
      <c r="T129" s="406">
        <v>39302</v>
      </c>
      <c r="U129" s="406" t="s">
        <v>1863</v>
      </c>
      <c r="X129" s="406" t="s">
        <v>3006</v>
      </c>
      <c r="Y129" s="406" t="s">
        <v>3007</v>
      </c>
      <c r="Z129" s="406" t="s">
        <v>3008</v>
      </c>
    </row>
    <row r="130" spans="1:26">
      <c r="A130" s="406" t="s">
        <v>1241</v>
      </c>
      <c r="B130" s="406">
        <v>39303</v>
      </c>
      <c r="C130" s="406">
        <f>+'2.CT1A'!A136</f>
        <v>39303</v>
      </c>
      <c r="D130" s="406">
        <f si="5" t="shared"/>
        <v>0</v>
      </c>
      <c r="E130" s="406" t="str">
        <f>+'2.CT1A'!B136</f>
        <v xml:space="preserve">               Бусад биет бус хөрөнгө</v>
      </c>
      <c r="F130" s="891">
        <f>+'2.CT1A'!C136</f>
        <v>0</v>
      </c>
      <c r="S130" s="406" t="s">
        <v>1241</v>
      </c>
      <c r="T130" s="406">
        <v>39303</v>
      </c>
      <c r="U130" s="406" t="s">
        <v>1863</v>
      </c>
      <c r="X130" s="406" t="s">
        <v>3006</v>
      </c>
      <c r="Y130" s="406" t="s">
        <v>3007</v>
      </c>
      <c r="Z130" s="406" t="s">
        <v>3008</v>
      </c>
    </row>
    <row r="131" spans="1:26">
      <c r="A131" s="406" t="s">
        <v>1241</v>
      </c>
      <c r="B131" s="406">
        <v>39304</v>
      </c>
      <c r="C131" s="406">
        <f>+'2.CT1A'!A137</f>
        <v>39304</v>
      </c>
      <c r="D131" s="406">
        <f ref="D131:D194" si="6" t="shared">IF(B131=VALUE(C131),0,1)</f>
        <v>0</v>
      </c>
      <c r="E131" s="406" t="str">
        <f>+'2.CT1A'!B137</f>
        <v xml:space="preserve">               Хуримтлагдсан элэгдэл</v>
      </c>
      <c r="F131" s="891">
        <f>+'2.CT1A'!C137</f>
        <v>0</v>
      </c>
      <c r="S131" s="406" t="s">
        <v>1241</v>
      </c>
      <c r="T131" s="406">
        <v>39304</v>
      </c>
      <c r="U131" s="406" t="s">
        <v>1863</v>
      </c>
      <c r="X131" s="406" t="s">
        <v>3006</v>
      </c>
      <c r="Y131" s="406" t="s">
        <v>3007</v>
      </c>
      <c r="Z131" s="406" t="s">
        <v>3008</v>
      </c>
    </row>
    <row r="132" spans="1:26">
      <c r="A132" s="406" t="s">
        <v>1241</v>
      </c>
      <c r="B132" s="406">
        <v>394</v>
      </c>
      <c r="C132" s="406">
        <f>+'2.CT1A'!A138</f>
        <v>394</v>
      </c>
      <c r="D132" s="406">
        <f si="6" t="shared"/>
        <v>0</v>
      </c>
      <c r="E132" s="406" t="str">
        <f>+'2.CT1A'!B138</f>
        <v xml:space="preserve">      Бусад хөрөнгө  /ТӨҮГ/</v>
      </c>
      <c r="F132" s="891">
        <f>+'2.CT1A'!C138</f>
        <v>0</v>
      </c>
      <c r="S132" s="406" t="s">
        <v>1241</v>
      </c>
      <c r="T132" s="406">
        <v>394</v>
      </c>
      <c r="U132" s="406" t="s">
        <v>1863</v>
      </c>
      <c r="X132" s="406" t="s">
        <v>3006</v>
      </c>
      <c r="Y132" s="406" t="s">
        <v>3007</v>
      </c>
      <c r="Z132" s="406" t="s">
        <v>3008</v>
      </c>
    </row>
    <row r="133" spans="1:26">
      <c r="A133" s="406" t="s">
        <v>1241</v>
      </c>
      <c r="B133" s="406">
        <v>39401</v>
      </c>
      <c r="C133" s="406">
        <f>+'2.CT1A'!A139</f>
        <v>39401</v>
      </c>
      <c r="D133" s="406">
        <f si="6" t="shared"/>
        <v>0</v>
      </c>
      <c r="E133" s="406" t="str">
        <f>+'2.CT1A'!B139</f>
        <v xml:space="preserve">               Биологийн хөрөнгө    /ТӨҮГ/</v>
      </c>
      <c r="F133" s="891">
        <f>+'2.CT1A'!C139</f>
        <v>0</v>
      </c>
      <c r="S133" s="406" t="s">
        <v>1241</v>
      </c>
      <c r="T133" s="406">
        <v>39401</v>
      </c>
      <c r="U133" s="406" t="s">
        <v>1863</v>
      </c>
      <c r="X133" s="406" t="s">
        <v>3006</v>
      </c>
      <c r="Y133" s="406" t="s">
        <v>3007</v>
      </c>
      <c r="Z133" s="406" t="s">
        <v>3008</v>
      </c>
    </row>
    <row r="134" spans="1:26">
      <c r="A134" s="406" t="s">
        <v>1241</v>
      </c>
      <c r="B134" s="406">
        <v>39402</v>
      </c>
      <c r="C134" s="406">
        <f>+'2.CT1A'!A140</f>
        <v>39402</v>
      </c>
      <c r="D134" s="406">
        <f si="6" t="shared"/>
        <v>0</v>
      </c>
      <c r="E134" s="406" t="str">
        <f>+'2.CT1A'!B140</f>
        <v xml:space="preserve">               Хайгуул ба үнэлгээний хөрөнгө  /ТӨҮГ/</v>
      </c>
      <c r="F134" s="891">
        <f>+'2.CT1A'!C140</f>
        <v>0</v>
      </c>
      <c r="S134" s="406" t="s">
        <v>1241</v>
      </c>
      <c r="T134" s="406">
        <v>39402</v>
      </c>
      <c r="U134" s="406" t="s">
        <v>1863</v>
      </c>
      <c r="X134" s="406" t="s">
        <v>3006</v>
      </c>
      <c r="Y134" s="406" t="s">
        <v>3007</v>
      </c>
      <c r="Z134" s="406" t="s">
        <v>3008</v>
      </c>
    </row>
    <row r="135" spans="1:26">
      <c r="A135" s="406" t="s">
        <v>1241</v>
      </c>
      <c r="B135" s="406">
        <v>39403</v>
      </c>
      <c r="C135" s="406">
        <f>+'2.CT1A'!A141</f>
        <v>39403</v>
      </c>
      <c r="D135" s="406">
        <f si="6" t="shared"/>
        <v>0</v>
      </c>
      <c r="E135" s="406" t="str">
        <f>+'2.CT1A'!B141</f>
        <v xml:space="preserve">               Хойшлогдсон татварын хөрөнгө    /ТӨҮГ/</v>
      </c>
      <c r="F135" s="891">
        <f>+'2.CT1A'!C141</f>
        <v>0</v>
      </c>
      <c r="S135" s="406" t="s">
        <v>1241</v>
      </c>
      <c r="T135" s="406">
        <v>39403</v>
      </c>
      <c r="U135" s="406" t="s">
        <v>1863</v>
      </c>
      <c r="X135" s="406" t="s">
        <v>3006</v>
      </c>
      <c r="Y135" s="406" t="s">
        <v>3007</v>
      </c>
      <c r="Z135" s="406" t="s">
        <v>3008</v>
      </c>
    </row>
    <row r="136" spans="1:26">
      <c r="A136" s="406" t="s">
        <v>1241</v>
      </c>
      <c r="B136" s="406">
        <v>39404</v>
      </c>
      <c r="C136" s="406">
        <f>+'2.CT1A'!A142</f>
        <v>39404</v>
      </c>
      <c r="D136" s="406">
        <f si="6" t="shared"/>
        <v>0</v>
      </c>
      <c r="E136" s="406" t="str">
        <f>+'2.CT1A'!B142</f>
        <v xml:space="preserve">               Хөрөнгө оруулалтын зориулалттай үл хөдлөх хөрөнгө /ТӨҮГ/ </v>
      </c>
      <c r="F136" s="891">
        <f>+'2.CT1A'!C142</f>
        <v>0</v>
      </c>
      <c r="S136" s="406" t="s">
        <v>1241</v>
      </c>
      <c r="T136" s="406">
        <v>39404</v>
      </c>
      <c r="U136" s="406" t="s">
        <v>1863</v>
      </c>
      <c r="X136" s="406" t="s">
        <v>3006</v>
      </c>
      <c r="Y136" s="406" t="s">
        <v>3007</v>
      </c>
      <c r="Z136" s="406" t="s">
        <v>3008</v>
      </c>
    </row>
    <row r="137" spans="1:26">
      <c r="A137" s="406" t="s">
        <v>1241</v>
      </c>
      <c r="B137" s="406">
        <v>39405</v>
      </c>
      <c r="C137" s="406">
        <f>+'2.CT1A'!A143</f>
        <v>39405</v>
      </c>
      <c r="D137" s="406">
        <f si="6" t="shared"/>
        <v>0</v>
      </c>
      <c r="E137" s="406" t="str">
        <f>+'2.CT1A'!B143</f>
        <v xml:space="preserve">               Бусад эргэлтийн бус хөрөнгө   /ТӨҮГ/</v>
      </c>
      <c r="F137" s="891">
        <f>+'2.CT1A'!C143</f>
        <v>0</v>
      </c>
      <c r="S137" s="406" t="s">
        <v>1241</v>
      </c>
      <c r="T137" s="406">
        <v>39405</v>
      </c>
      <c r="U137" s="406" t="s">
        <v>1863</v>
      </c>
      <c r="X137" s="406" t="s">
        <v>3006</v>
      </c>
      <c r="Y137" s="406" t="s">
        <v>3007</v>
      </c>
      <c r="Z137" s="406" t="s">
        <v>3008</v>
      </c>
    </row>
    <row r="138" spans="1:26">
      <c r="A138" s="406" t="s">
        <v>1241</v>
      </c>
      <c r="B138" s="406">
        <v>3</v>
      </c>
      <c r="C138" s="406">
        <f>+'2.CT1A'!A144</f>
        <v>3</v>
      </c>
      <c r="D138" s="406">
        <f si="6" t="shared"/>
        <v>0</v>
      </c>
      <c r="E138" s="406" t="str">
        <f>+'2.CT1A'!B144</f>
        <v>НИЙТ ХӨРӨНГИЙН ДҮН III=I+II</v>
      </c>
      <c r="F138" s="891">
        <f>+'2.CT1A'!C144</f>
        <v>0</v>
      </c>
      <c r="S138" s="406" t="s">
        <v>1241</v>
      </c>
      <c r="T138" s="406">
        <v>3</v>
      </c>
      <c r="U138" s="406" t="s">
        <v>2036</v>
      </c>
      <c r="X138" s="406" t="s">
        <v>3006</v>
      </c>
      <c r="Y138" s="406" t="s">
        <v>3007</v>
      </c>
      <c r="Z138" s="406" t="s">
        <v>3008</v>
      </c>
    </row>
    <row r="139" spans="1:26">
      <c r="A139" s="406" t="s">
        <v>1241</v>
      </c>
      <c r="B139" s="406">
        <v>4</v>
      </c>
      <c r="C139" s="406">
        <f>+'2.CT1A'!A145</f>
        <v>4</v>
      </c>
      <c r="D139" s="406">
        <f si="6" t="shared"/>
        <v>0</v>
      </c>
      <c r="E139" s="406" t="str">
        <f>+'2.CT1A'!B145</f>
        <v>НИЙТ ӨР ТӨЛБӨР</v>
      </c>
      <c r="F139" s="891">
        <f>+'2.CT1A'!C145</f>
        <v>0</v>
      </c>
      <c r="S139" s="406" t="s">
        <v>1241</v>
      </c>
      <c r="T139" s="406">
        <v>4</v>
      </c>
      <c r="U139" s="406" t="s">
        <v>2981</v>
      </c>
      <c r="X139" s="406" t="s">
        <v>3006</v>
      </c>
      <c r="Y139" s="406" t="s">
        <v>3007</v>
      </c>
      <c r="Z139" s="406" t="s">
        <v>3008</v>
      </c>
    </row>
    <row r="140" spans="1:26">
      <c r="A140" s="406" t="s">
        <v>1241</v>
      </c>
      <c r="B140" s="406">
        <v>41</v>
      </c>
      <c r="C140" s="406">
        <f>+'2.CT1A'!A146</f>
        <v>41</v>
      </c>
      <c r="D140" s="406">
        <f si="6" t="shared"/>
        <v>0</v>
      </c>
      <c r="E140" s="406" t="str">
        <f>+'2.CT1A'!B146</f>
        <v xml:space="preserve">   БОГИНО ХУГАЦААТ ӨР ТӨЛБӨР</v>
      </c>
      <c r="F140" s="891">
        <f>+'2.CT1A'!C146</f>
        <v>0</v>
      </c>
      <c r="S140" s="406" t="s">
        <v>1241</v>
      </c>
      <c r="T140" s="406">
        <v>41</v>
      </c>
      <c r="U140" s="406" t="s">
        <v>2981</v>
      </c>
      <c r="X140" s="406" t="s">
        <v>3006</v>
      </c>
      <c r="Y140" s="406" t="s">
        <v>3007</v>
      </c>
      <c r="Z140" s="406" t="s">
        <v>3008</v>
      </c>
    </row>
    <row r="141" spans="1:26">
      <c r="A141" s="406" t="s">
        <v>1241</v>
      </c>
      <c r="B141" s="406">
        <v>411</v>
      </c>
      <c r="C141" s="406">
        <f>+'2.CT1A'!A147</f>
        <v>411</v>
      </c>
      <c r="D141" s="406">
        <f si="6" t="shared"/>
        <v>0</v>
      </c>
      <c r="E141" s="406" t="str">
        <f>+'2.CT1A'!B147</f>
        <v xml:space="preserve">      Богино хугацаат үнэт цаас</v>
      </c>
      <c r="F141" s="891">
        <f>+'2.CT1A'!C147</f>
        <v>0</v>
      </c>
      <c r="S141" s="406" t="s">
        <v>1241</v>
      </c>
      <c r="T141" s="406">
        <v>411</v>
      </c>
      <c r="U141" s="406" t="s">
        <v>2981</v>
      </c>
      <c r="X141" s="406" t="s">
        <v>3006</v>
      </c>
      <c r="Y141" s="406" t="s">
        <v>3007</v>
      </c>
      <c r="Z141" s="406" t="s">
        <v>3008</v>
      </c>
    </row>
    <row r="142" spans="1:26">
      <c r="A142" s="406" t="s">
        <v>1241</v>
      </c>
      <c r="B142" s="406">
        <v>4111</v>
      </c>
      <c r="C142" s="406">
        <f>+'2.CT1A'!A148</f>
        <v>4111</v>
      </c>
      <c r="D142" s="406">
        <f si="6" t="shared"/>
        <v>0</v>
      </c>
      <c r="E142" s="406" t="str">
        <f>+'2.CT1A'!B148</f>
        <v xml:space="preserve">         Төгрөг</v>
      </c>
      <c r="F142" s="891">
        <f>+'2.CT1A'!C148</f>
        <v>0</v>
      </c>
      <c r="S142" s="406" t="s">
        <v>1241</v>
      </c>
      <c r="T142" s="406">
        <v>4111</v>
      </c>
      <c r="U142" s="406" t="s">
        <v>2981</v>
      </c>
      <c r="X142" s="406" t="s">
        <v>3006</v>
      </c>
      <c r="Y142" s="406" t="s">
        <v>3007</v>
      </c>
      <c r="Z142" s="406" t="s">
        <v>3008</v>
      </c>
    </row>
    <row r="143" spans="1:26">
      <c r="A143" s="406" t="s">
        <v>1241</v>
      </c>
      <c r="B143" s="406">
        <v>41111</v>
      </c>
      <c r="C143" s="406">
        <f>+'2.CT1A'!A149</f>
        <v>41111</v>
      </c>
      <c r="D143" s="406">
        <f si="6" t="shared"/>
        <v>0</v>
      </c>
      <c r="E143" s="406" t="str">
        <f>+'2.CT1A'!B149</f>
        <v xml:space="preserve">               Бонд</v>
      </c>
      <c r="F143" s="891">
        <f>+'2.CT1A'!C149</f>
        <v>0</v>
      </c>
      <c r="S143" s="406" t="s">
        <v>1241</v>
      </c>
      <c r="T143" s="406">
        <v>41111</v>
      </c>
      <c r="U143" s="406" t="s">
        <v>2981</v>
      </c>
      <c r="X143" s="406" t="s">
        <v>3006</v>
      </c>
      <c r="Y143" s="406" t="s">
        <v>3007</v>
      </c>
      <c r="Z143" s="406" t="s">
        <v>3008</v>
      </c>
    </row>
    <row r="144" spans="1:26">
      <c r="A144" s="406" t="s">
        <v>1241</v>
      </c>
      <c r="B144" s="406">
        <v>41112</v>
      </c>
      <c r="C144" s="406">
        <f>+'2.CT1A'!A150</f>
        <v>41112</v>
      </c>
      <c r="D144" s="406">
        <f si="6" t="shared"/>
        <v>0</v>
      </c>
      <c r="E144" s="406" t="str">
        <f>+'2.CT1A'!B150</f>
        <v xml:space="preserve">               Бусад үнэт цаас</v>
      </c>
      <c r="F144" s="891">
        <f>+'2.CT1A'!C150</f>
        <v>0</v>
      </c>
      <c r="S144" s="406" t="s">
        <v>1241</v>
      </c>
      <c r="T144" s="406">
        <v>41112</v>
      </c>
      <c r="U144" s="406" t="s">
        <v>2981</v>
      </c>
      <c r="X144" s="406" t="s">
        <v>3006</v>
      </c>
      <c r="Y144" s="406" t="s">
        <v>3007</v>
      </c>
      <c r="Z144" s="406" t="s">
        <v>3008</v>
      </c>
    </row>
    <row r="145" spans="1:26">
      <c r="A145" s="406" t="s">
        <v>1241</v>
      </c>
      <c r="B145" s="406">
        <v>41113</v>
      </c>
      <c r="C145" s="406">
        <f>+'2.CT1A'!A151</f>
        <v>41113</v>
      </c>
      <c r="D145" s="406">
        <f si="6" t="shared"/>
        <v>0</v>
      </c>
      <c r="E145" s="406" t="str">
        <f>+'2.CT1A'!B151</f>
        <v xml:space="preserve">               Бондын хөнгөлөлт</v>
      </c>
      <c r="F145" s="891">
        <f>+'2.CT1A'!C151</f>
        <v>0</v>
      </c>
      <c r="S145" s="406" t="s">
        <v>1241</v>
      </c>
      <c r="T145" s="406">
        <v>41113</v>
      </c>
      <c r="U145" s="406" t="s">
        <v>2981</v>
      </c>
      <c r="X145" s="406" t="s">
        <v>3006</v>
      </c>
      <c r="Y145" s="406" t="s">
        <v>3007</v>
      </c>
      <c r="Z145" s="406" t="s">
        <v>3008</v>
      </c>
    </row>
    <row r="146" spans="1:26">
      <c r="A146" s="406" t="s">
        <v>1241</v>
      </c>
      <c r="B146" s="406">
        <v>4112</v>
      </c>
      <c r="C146" s="406">
        <f>+'2.CT1A'!A152</f>
        <v>4112</v>
      </c>
      <c r="D146" s="406">
        <f si="6" t="shared"/>
        <v>0</v>
      </c>
      <c r="E146" s="406" t="str">
        <f>+'2.CT1A'!B152</f>
        <v xml:space="preserve">         Гадаад валют</v>
      </c>
      <c r="F146" s="891">
        <f>+'2.CT1A'!C152</f>
        <v>0</v>
      </c>
      <c r="S146" s="406" t="s">
        <v>1241</v>
      </c>
      <c r="T146" s="406">
        <v>4112</v>
      </c>
      <c r="U146" s="406" t="s">
        <v>2981</v>
      </c>
      <c r="X146" s="406" t="s">
        <v>3006</v>
      </c>
      <c r="Y146" s="406" t="s">
        <v>3007</v>
      </c>
      <c r="Z146" s="406" t="s">
        <v>3008</v>
      </c>
    </row>
    <row r="147" spans="1:26">
      <c r="A147" s="406" t="s">
        <v>1241</v>
      </c>
      <c r="B147" s="406">
        <v>41121</v>
      </c>
      <c r="C147" s="406">
        <f>+'2.CT1A'!A153</f>
        <v>41121</v>
      </c>
      <c r="D147" s="406">
        <f si="6" t="shared"/>
        <v>0</v>
      </c>
      <c r="E147" s="406" t="str">
        <f>+'2.CT1A'!B153</f>
        <v xml:space="preserve">               Бонд</v>
      </c>
      <c r="F147" s="891">
        <f>+'2.CT1A'!C153</f>
        <v>0</v>
      </c>
      <c r="S147" s="406" t="s">
        <v>1241</v>
      </c>
      <c r="T147" s="406">
        <v>41121</v>
      </c>
      <c r="U147" s="406" t="s">
        <v>2981</v>
      </c>
      <c r="X147" s="406" t="s">
        <v>3006</v>
      </c>
      <c r="Y147" s="406" t="s">
        <v>3007</v>
      </c>
      <c r="Z147" s="406" t="s">
        <v>3008</v>
      </c>
    </row>
    <row r="148" spans="1:26">
      <c r="A148" s="406" t="s">
        <v>1241</v>
      </c>
      <c r="B148" s="406">
        <v>41122</v>
      </c>
      <c r="C148" s="406">
        <f>+'2.CT1A'!A154</f>
        <v>41122</v>
      </c>
      <c r="D148" s="406">
        <f si="6" t="shared"/>
        <v>0</v>
      </c>
      <c r="E148" s="406" t="str">
        <f>+'2.CT1A'!B154</f>
        <v xml:space="preserve">               Бусад үнэт цаас</v>
      </c>
      <c r="F148" s="891">
        <f>+'2.CT1A'!C154</f>
        <v>0</v>
      </c>
      <c r="S148" s="406" t="s">
        <v>1241</v>
      </c>
      <c r="T148" s="406">
        <v>41122</v>
      </c>
      <c r="U148" s="406" t="s">
        <v>2981</v>
      </c>
      <c r="X148" s="406" t="s">
        <v>3006</v>
      </c>
      <c r="Y148" s="406" t="s">
        <v>3007</v>
      </c>
      <c r="Z148" s="406" t="s">
        <v>3008</v>
      </c>
    </row>
    <row r="149" spans="1:26">
      <c r="A149" s="406" t="s">
        <v>1241</v>
      </c>
      <c r="B149" s="406">
        <v>41123</v>
      </c>
      <c r="C149" s="406">
        <f>+'2.CT1A'!A155</f>
        <v>41123</v>
      </c>
      <c r="D149" s="406">
        <f si="6" t="shared"/>
        <v>0</v>
      </c>
      <c r="E149" s="406" t="str">
        <f>+'2.CT1A'!B155</f>
        <v xml:space="preserve">               Бондын хөнгөлөлт</v>
      </c>
      <c r="F149" s="891">
        <f>+'2.CT1A'!C155</f>
        <v>0</v>
      </c>
      <c r="S149" s="406" t="s">
        <v>1241</v>
      </c>
      <c r="T149" s="406">
        <v>41123</v>
      </c>
      <c r="U149" s="406" t="s">
        <v>2981</v>
      </c>
      <c r="X149" s="406" t="s">
        <v>3006</v>
      </c>
      <c r="Y149" s="406" t="s">
        <v>3007</v>
      </c>
      <c r="Z149" s="406" t="s">
        <v>3008</v>
      </c>
    </row>
    <row r="150" spans="1:26">
      <c r="A150" s="406" t="s">
        <v>1241</v>
      </c>
      <c r="B150" s="406">
        <v>412</v>
      </c>
      <c r="C150" s="406">
        <f>+'2.CT1A'!A156</f>
        <v>412</v>
      </c>
      <c r="D150" s="406">
        <f si="6" t="shared"/>
        <v>0</v>
      </c>
      <c r="E150" s="406" t="str">
        <f>+'2.CT1A'!B156</f>
        <v xml:space="preserve">      Богино хугацаат зээлийн өглөг</v>
      </c>
      <c r="F150" s="891">
        <f>+'2.CT1A'!C156</f>
        <v>0</v>
      </c>
      <c r="S150" s="406" t="s">
        <v>1241</v>
      </c>
      <c r="T150" s="406">
        <v>412</v>
      </c>
      <c r="U150" s="406" t="s">
        <v>2981</v>
      </c>
      <c r="X150" s="406" t="s">
        <v>3006</v>
      </c>
      <c r="Y150" s="406" t="s">
        <v>3007</v>
      </c>
      <c r="Z150" s="406" t="s">
        <v>3008</v>
      </c>
    </row>
    <row r="151" spans="1:26">
      <c r="A151" s="406" t="s">
        <v>1241</v>
      </c>
      <c r="B151" s="406">
        <v>4121</v>
      </c>
      <c r="C151" s="406">
        <f>+'2.CT1A'!A157</f>
        <v>4121</v>
      </c>
      <c r="D151" s="406">
        <f si="6" t="shared"/>
        <v>0</v>
      </c>
      <c r="E151" s="406" t="str">
        <f>+'2.CT1A'!B157</f>
        <v xml:space="preserve">         Төгрөг</v>
      </c>
      <c r="F151" s="891">
        <f>+'2.CT1A'!C157</f>
        <v>0</v>
      </c>
      <c r="S151" s="406" t="s">
        <v>1241</v>
      </c>
      <c r="T151" s="406">
        <v>4121</v>
      </c>
      <c r="U151" s="406" t="s">
        <v>2981</v>
      </c>
      <c r="X151" s="406" t="s">
        <v>3006</v>
      </c>
      <c r="Y151" s="406" t="s">
        <v>3007</v>
      </c>
      <c r="Z151" s="406" t="s">
        <v>3008</v>
      </c>
    </row>
    <row r="152" spans="1:26">
      <c r="A152" s="406" t="s">
        <v>1241</v>
      </c>
      <c r="B152" s="406">
        <v>41211</v>
      </c>
      <c r="C152" s="406">
        <f>+'2.CT1A'!A158</f>
        <v>41211</v>
      </c>
      <c r="D152" s="406">
        <f si="6" t="shared"/>
        <v>0</v>
      </c>
      <c r="E152" s="406" t="str">
        <f>+'2.CT1A'!B158</f>
        <v xml:space="preserve">               Засгийн газрын байгууллага, бусад шатны төсөв</v>
      </c>
      <c r="F152" s="891">
        <f>+'2.CT1A'!C158</f>
        <v>0</v>
      </c>
      <c r="S152" s="406" t="s">
        <v>1241</v>
      </c>
      <c r="T152" s="406">
        <v>41211</v>
      </c>
      <c r="U152" s="406" t="s">
        <v>2981</v>
      </c>
      <c r="X152" s="406" t="s">
        <v>3006</v>
      </c>
      <c r="Y152" s="406" t="s">
        <v>3007</v>
      </c>
      <c r="Z152" s="406" t="s">
        <v>3008</v>
      </c>
    </row>
    <row r="153" spans="1:26">
      <c r="A153" s="406" t="s">
        <v>1241</v>
      </c>
      <c r="B153" s="406">
        <v>41212</v>
      </c>
      <c r="C153" s="406">
        <f>+'2.CT1A'!A159</f>
        <v>41212</v>
      </c>
      <c r="D153" s="406">
        <f si="6" t="shared"/>
        <v>0</v>
      </c>
      <c r="E153" s="406" t="str">
        <f>+'2.CT1A'!B159</f>
        <v xml:space="preserve">               Хувь хүмүүст олгосон зээл</v>
      </c>
      <c r="F153" s="891">
        <f>+'2.CT1A'!C159</f>
        <v>0</v>
      </c>
      <c r="S153" s="406" t="s">
        <v>1241</v>
      </c>
      <c r="T153" s="406">
        <v>41212</v>
      </c>
      <c r="U153" s="406" t="s">
        <v>2981</v>
      </c>
      <c r="X153" s="406" t="s">
        <v>3006</v>
      </c>
      <c r="Y153" s="406" t="s">
        <v>3007</v>
      </c>
      <c r="Z153" s="406" t="s">
        <v>3008</v>
      </c>
    </row>
    <row r="154" spans="1:26">
      <c r="A154" s="406" t="s">
        <v>1241</v>
      </c>
      <c r="B154" s="406">
        <v>41213</v>
      </c>
      <c r="C154" s="406">
        <f>+'2.CT1A'!A160</f>
        <v>41213</v>
      </c>
      <c r="D154" s="406">
        <f si="6" t="shared"/>
        <v>0</v>
      </c>
      <c r="E154" s="406" t="str">
        <f>+'2.CT1A'!B160</f>
        <v xml:space="preserve">               Сургалтын төрийн сангийн зээлийн өглөг</v>
      </c>
      <c r="F154" s="891">
        <f>+'2.CT1A'!C160</f>
        <v>0</v>
      </c>
      <c r="S154" s="406" t="s">
        <v>1241</v>
      </c>
      <c r="T154" s="406">
        <v>41213</v>
      </c>
      <c r="U154" s="406" t="s">
        <v>2981</v>
      </c>
      <c r="X154" s="406" t="s">
        <v>3006</v>
      </c>
      <c r="Y154" s="406" t="s">
        <v>3007</v>
      </c>
      <c r="Z154" s="406" t="s">
        <v>3008</v>
      </c>
    </row>
    <row r="155" spans="1:26">
      <c r="A155" s="406" t="s">
        <v>1241</v>
      </c>
      <c r="B155" s="406">
        <v>41214</v>
      </c>
      <c r="C155" s="406">
        <f>+'2.CT1A'!A161</f>
        <v>41214</v>
      </c>
      <c r="D155" s="406">
        <f si="6" t="shared"/>
        <v>0</v>
      </c>
      <c r="E155" s="406" t="str">
        <f>+'2.CT1A'!B161</f>
        <v xml:space="preserve">               Төрийн өмчит аж ахуйн нэгжүүдийн зээл</v>
      </c>
      <c r="F155" s="891">
        <f>+'2.CT1A'!C161</f>
        <v>0</v>
      </c>
      <c r="S155" s="406" t="s">
        <v>1241</v>
      </c>
      <c r="T155" s="406">
        <v>41214</v>
      </c>
      <c r="U155" s="406" t="s">
        <v>2981</v>
      </c>
      <c r="X155" s="406" t="s">
        <v>3006</v>
      </c>
      <c r="Y155" s="406" t="s">
        <v>3007</v>
      </c>
      <c r="Z155" s="406" t="s">
        <v>3008</v>
      </c>
    </row>
    <row r="156" spans="1:26">
      <c r="A156" s="406" t="s">
        <v>1241</v>
      </c>
      <c r="B156" s="406">
        <v>41215</v>
      </c>
      <c r="C156" s="406">
        <f>+'2.CT1A'!A162</f>
        <v>41215</v>
      </c>
      <c r="D156" s="406">
        <f si="6" t="shared"/>
        <v>0</v>
      </c>
      <c r="E156" s="406" t="str">
        <f>+'2.CT1A'!B162</f>
        <v xml:space="preserve">               Монгол банк</v>
      </c>
      <c r="F156" s="891">
        <f>+'2.CT1A'!C162</f>
        <v>0</v>
      </c>
      <c r="S156" s="406" t="s">
        <v>1241</v>
      </c>
      <c r="T156" s="406">
        <v>41215</v>
      </c>
      <c r="U156" s="406" t="s">
        <v>2981</v>
      </c>
      <c r="X156" s="406" t="s">
        <v>3006</v>
      </c>
      <c r="Y156" s="406" t="s">
        <v>3007</v>
      </c>
      <c r="Z156" s="406" t="s">
        <v>3008</v>
      </c>
    </row>
    <row r="157" spans="1:26">
      <c r="A157" s="406" t="s">
        <v>1241</v>
      </c>
      <c r="B157" s="406">
        <v>41216</v>
      </c>
      <c r="C157" s="406">
        <f>+'2.CT1A'!A163</f>
        <v>41216</v>
      </c>
      <c r="D157" s="406">
        <f si="6" t="shared"/>
        <v>0</v>
      </c>
      <c r="E157" s="406" t="str">
        <f>+'2.CT1A'!B163</f>
        <v xml:space="preserve">               Арилжааны банк</v>
      </c>
      <c r="F157" s="891">
        <f>+'2.CT1A'!C163</f>
        <v>0</v>
      </c>
      <c r="S157" s="406" t="s">
        <v>1241</v>
      </c>
      <c r="T157" s="406">
        <v>41216</v>
      </c>
      <c r="U157" s="406" t="s">
        <v>2981</v>
      </c>
      <c r="X157" s="406" t="s">
        <v>3006</v>
      </c>
      <c r="Y157" s="406" t="s">
        <v>3007</v>
      </c>
      <c r="Z157" s="406" t="s">
        <v>3008</v>
      </c>
    </row>
    <row r="158" spans="1:26">
      <c r="A158" s="406" t="s">
        <v>1241</v>
      </c>
      <c r="B158" s="406">
        <v>41217</v>
      </c>
      <c r="C158" s="406">
        <f>+'2.CT1A'!A164</f>
        <v>41217</v>
      </c>
      <c r="D158" s="406">
        <f si="6" t="shared"/>
        <v>0</v>
      </c>
      <c r="E158" s="406" t="str">
        <f>+'2.CT1A'!B164</f>
        <v xml:space="preserve">               Санхүүгийн бусад байгууллага</v>
      </c>
      <c r="F158" s="891">
        <f>+'2.CT1A'!C164</f>
        <v>0</v>
      </c>
      <c r="S158" s="406" t="s">
        <v>1241</v>
      </c>
      <c r="T158" s="406">
        <v>41217</v>
      </c>
      <c r="U158" s="406" t="s">
        <v>2981</v>
      </c>
      <c r="X158" s="406" t="s">
        <v>3006</v>
      </c>
      <c r="Y158" s="406" t="s">
        <v>3007</v>
      </c>
      <c r="Z158" s="406" t="s">
        <v>3008</v>
      </c>
    </row>
    <row r="159" spans="1:26">
      <c r="A159" s="406" t="s">
        <v>1241</v>
      </c>
      <c r="B159" s="406">
        <v>4122</v>
      </c>
      <c r="C159" s="406">
        <f>+'2.CT1A'!A165</f>
        <v>4122</v>
      </c>
      <c r="D159" s="406">
        <f si="6" t="shared"/>
        <v>0</v>
      </c>
      <c r="E159" s="406" t="str">
        <f>+'2.CT1A'!B165</f>
        <v xml:space="preserve">         Гадаад валют</v>
      </c>
      <c r="F159" s="891">
        <f>+'2.CT1A'!C165</f>
        <v>0</v>
      </c>
      <c r="S159" s="406" t="s">
        <v>1241</v>
      </c>
      <c r="T159" s="406">
        <v>4122</v>
      </c>
      <c r="U159" s="406" t="s">
        <v>2981</v>
      </c>
      <c r="X159" s="406" t="s">
        <v>3006</v>
      </c>
      <c r="Y159" s="406" t="s">
        <v>3007</v>
      </c>
      <c r="Z159" s="406" t="s">
        <v>3008</v>
      </c>
    </row>
    <row r="160" spans="1:26">
      <c r="A160" s="406" t="s">
        <v>1241</v>
      </c>
      <c r="B160" s="406">
        <v>41221</v>
      </c>
      <c r="C160" s="406">
        <f>+'2.CT1A'!A166</f>
        <v>41221</v>
      </c>
      <c r="D160" s="406">
        <f si="6" t="shared"/>
        <v>0</v>
      </c>
      <c r="E160" s="406" t="str">
        <f>+'2.CT1A'!B166</f>
        <v xml:space="preserve">               Гадаадын Засгийн газар</v>
      </c>
      <c r="F160" s="891">
        <f>+'2.CT1A'!C166</f>
        <v>0</v>
      </c>
      <c r="S160" s="406" t="s">
        <v>1241</v>
      </c>
      <c r="T160" s="406">
        <v>41221</v>
      </c>
      <c r="U160" s="406" t="s">
        <v>2981</v>
      </c>
      <c r="X160" s="406" t="s">
        <v>3006</v>
      </c>
      <c r="Y160" s="406" t="s">
        <v>3007</v>
      </c>
      <c r="Z160" s="406" t="s">
        <v>3008</v>
      </c>
    </row>
    <row r="161" spans="1:26">
      <c r="A161" s="406" t="s">
        <v>1241</v>
      </c>
      <c r="B161" s="406">
        <v>41222</v>
      </c>
      <c r="C161" s="406">
        <f>+'2.CT1A'!A167</f>
        <v>41222</v>
      </c>
      <c r="D161" s="406">
        <f si="6" t="shared"/>
        <v>0</v>
      </c>
      <c r="E161" s="406" t="str">
        <f>+'2.CT1A'!B167</f>
        <v xml:space="preserve">               Олон улсын байгууллага</v>
      </c>
      <c r="F161" s="891">
        <f>+'2.CT1A'!C167</f>
        <v>0</v>
      </c>
      <c r="S161" s="406" t="s">
        <v>1241</v>
      </c>
      <c r="T161" s="406">
        <v>41222</v>
      </c>
      <c r="U161" s="406" t="s">
        <v>2981</v>
      </c>
      <c r="X161" s="406" t="s">
        <v>3006</v>
      </c>
      <c r="Y161" s="406" t="s">
        <v>3007</v>
      </c>
      <c r="Z161" s="406" t="s">
        <v>3008</v>
      </c>
    </row>
    <row r="162" spans="1:26">
      <c r="A162" s="406" t="s">
        <v>1241</v>
      </c>
      <c r="B162" s="406">
        <v>41223</v>
      </c>
      <c r="C162" s="406">
        <f>+'2.CT1A'!A168</f>
        <v>41223</v>
      </c>
      <c r="D162" s="406">
        <f si="6" t="shared"/>
        <v>0</v>
      </c>
      <c r="E162" s="406" t="str">
        <f>+'2.CT1A'!B168</f>
        <v xml:space="preserve">               Санхүүгийн зээл</v>
      </c>
      <c r="F162" s="891">
        <f>+'2.CT1A'!C168</f>
        <v>0</v>
      </c>
      <c r="S162" s="406" t="s">
        <v>1241</v>
      </c>
      <c r="T162" s="406">
        <v>41223</v>
      </c>
      <c r="U162" s="406" t="s">
        <v>2981</v>
      </c>
      <c r="X162" s="406" t="s">
        <v>3006</v>
      </c>
      <c r="Y162" s="406" t="s">
        <v>3007</v>
      </c>
      <c r="Z162" s="406" t="s">
        <v>3008</v>
      </c>
    </row>
    <row r="163" spans="1:26">
      <c r="A163" s="406" t="s">
        <v>1241</v>
      </c>
      <c r="B163" s="406">
        <v>41224</v>
      </c>
      <c r="C163" s="406">
        <f>+'2.CT1A'!A169</f>
        <v>41224</v>
      </c>
      <c r="D163" s="406">
        <f si="6" t="shared"/>
        <v>0</v>
      </c>
      <c r="E163" s="406" t="str">
        <f>+'2.CT1A'!B169</f>
        <v xml:space="preserve">               Төслийн зээл</v>
      </c>
      <c r="F163" s="891">
        <f>+'2.CT1A'!C169</f>
        <v>0</v>
      </c>
      <c r="S163" s="406" t="s">
        <v>1241</v>
      </c>
      <c r="T163" s="406">
        <v>41224</v>
      </c>
      <c r="U163" s="406" t="s">
        <v>2981</v>
      </c>
      <c r="X163" s="406" t="s">
        <v>3006</v>
      </c>
      <c r="Y163" s="406" t="s">
        <v>3007</v>
      </c>
      <c r="Z163" s="406" t="s">
        <v>3008</v>
      </c>
    </row>
    <row r="164" spans="1:26">
      <c r="A164" s="406" t="s">
        <v>1241</v>
      </c>
      <c r="B164" s="406">
        <v>41225</v>
      </c>
      <c r="C164" s="406">
        <f>+'2.CT1A'!A170</f>
        <v>41225</v>
      </c>
      <c r="D164" s="406">
        <f si="6" t="shared"/>
        <v>0</v>
      </c>
      <c r="E164" s="406" t="str">
        <f>+'2.CT1A'!B170</f>
        <v xml:space="preserve">               Бусад гадаад эх үүсвэрээс</v>
      </c>
      <c r="F164" s="891">
        <f>+'2.CT1A'!C170</f>
        <v>0</v>
      </c>
      <c r="S164" s="406" t="s">
        <v>1241</v>
      </c>
      <c r="T164" s="406">
        <v>41225</v>
      </c>
      <c r="U164" s="406" t="s">
        <v>2981</v>
      </c>
      <c r="X164" s="406" t="s">
        <v>3006</v>
      </c>
      <c r="Y164" s="406" t="s">
        <v>3007</v>
      </c>
      <c r="Z164" s="406" t="s">
        <v>3008</v>
      </c>
    </row>
    <row r="165" spans="1:26">
      <c r="A165" s="406" t="s">
        <v>1241</v>
      </c>
      <c r="B165" s="406">
        <v>413</v>
      </c>
      <c r="C165" s="406">
        <f>+'2.CT1A'!A171</f>
        <v>413</v>
      </c>
      <c r="D165" s="406">
        <f si="6" t="shared"/>
        <v>0</v>
      </c>
      <c r="E165" s="406" t="str">
        <f>+'2.CT1A'!B171</f>
        <v xml:space="preserve">      Өглөг</v>
      </c>
      <c r="F165" s="891">
        <f>+'2.CT1A'!C171</f>
        <v>0</v>
      </c>
      <c r="S165" s="406" t="s">
        <v>1241</v>
      </c>
      <c r="T165" s="406">
        <v>413</v>
      </c>
      <c r="U165" s="406" t="s">
        <v>2981</v>
      </c>
      <c r="X165" s="406" t="s">
        <v>3006</v>
      </c>
      <c r="Y165" s="406" t="s">
        <v>3007</v>
      </c>
      <c r="Z165" s="406" t="s">
        <v>3008</v>
      </c>
    </row>
    <row r="166" spans="1:26">
      <c r="A166" s="406" t="s">
        <v>1241</v>
      </c>
      <c r="B166" s="406">
        <v>41310</v>
      </c>
      <c r="C166" s="406">
        <f>+'2.CT1A'!A172</f>
        <v>41310</v>
      </c>
      <c r="D166" s="406">
        <f si="6" t="shared"/>
        <v>0</v>
      </c>
      <c r="E166" s="406" t="str">
        <f>+'2.CT1A'!B172</f>
        <v xml:space="preserve">           Ажилчидтай холбогдсон өглөг</v>
      </c>
      <c r="F166" s="891">
        <f>+'2.CT1A'!C172</f>
        <v>0</v>
      </c>
      <c r="S166" s="406" t="s">
        <v>1241</v>
      </c>
      <c r="T166" s="406">
        <v>41310</v>
      </c>
      <c r="U166" s="406" t="s">
        <v>2981</v>
      </c>
      <c r="X166" s="406" t="s">
        <v>3006</v>
      </c>
      <c r="Y166" s="406" t="s">
        <v>3007</v>
      </c>
      <c r="Z166" s="406" t="s">
        <v>3008</v>
      </c>
    </row>
    <row r="167" spans="1:26">
      <c r="A167" s="406" t="s">
        <v>1241</v>
      </c>
      <c r="B167" s="406">
        <v>41320</v>
      </c>
      <c r="C167" s="406">
        <f>+'2.CT1A'!A173</f>
        <v>41320</v>
      </c>
      <c r="D167" s="406">
        <f si="6" t="shared"/>
        <v>0</v>
      </c>
      <c r="E167" s="406" t="str">
        <f>+'2.CT1A'!B173</f>
        <v xml:space="preserve">           Бараа үйлчилгээний зардлын өглөг</v>
      </c>
      <c r="F167" s="891">
        <f>+'2.CT1A'!C173</f>
        <v>0</v>
      </c>
      <c r="S167" s="406" t="s">
        <v>1241</v>
      </c>
      <c r="T167" s="406">
        <v>41320</v>
      </c>
      <c r="U167" s="406" t="s">
        <v>2981</v>
      </c>
      <c r="X167" s="406" t="s">
        <v>3006</v>
      </c>
      <c r="Y167" s="406" t="s">
        <v>3007</v>
      </c>
      <c r="Z167" s="406" t="s">
        <v>3008</v>
      </c>
    </row>
    <row r="168" spans="1:26">
      <c r="A168" s="406" t="s">
        <v>1241</v>
      </c>
      <c r="B168" s="406">
        <v>41330</v>
      </c>
      <c r="C168" s="406">
        <f>+'2.CT1A'!A174</f>
        <v>41330</v>
      </c>
      <c r="D168" s="406">
        <f si="6" t="shared"/>
        <v>0</v>
      </c>
      <c r="E168" s="406" t="str">
        <f>+'2.CT1A'!B174</f>
        <v xml:space="preserve">           Татаас, санхүүжилт, шилжүүлгийн өглөг</v>
      </c>
      <c r="F168" s="891">
        <f>+'2.CT1A'!C174</f>
        <v>0</v>
      </c>
      <c r="S168" s="406" t="s">
        <v>1241</v>
      </c>
      <c r="T168" s="406">
        <v>41330</v>
      </c>
      <c r="U168" s="406" t="s">
        <v>2981</v>
      </c>
      <c r="X168" s="406" t="s">
        <v>3006</v>
      </c>
      <c r="Y168" s="406" t="s">
        <v>3007</v>
      </c>
      <c r="Z168" s="406" t="s">
        <v>3008</v>
      </c>
    </row>
    <row r="169" spans="1:26">
      <c r="A169" s="406" t="s">
        <v>1241</v>
      </c>
      <c r="B169" s="406">
        <v>41340</v>
      </c>
      <c r="C169" s="406">
        <f>+'2.CT1A'!A175</f>
        <v>41340</v>
      </c>
      <c r="D169" s="406">
        <f si="6" t="shared"/>
        <v>0</v>
      </c>
      <c r="E169" s="406" t="str">
        <f>+'2.CT1A'!B175</f>
        <v xml:space="preserve">           Хөрөнгө бэлтгэхтэй холбогдсон өглөг</v>
      </c>
      <c r="F169" s="891">
        <f>+'2.CT1A'!C175</f>
        <v>0</v>
      </c>
      <c r="S169" s="406" t="s">
        <v>1241</v>
      </c>
      <c r="T169" s="406">
        <v>41340</v>
      </c>
      <c r="U169" s="406" t="s">
        <v>2981</v>
      </c>
      <c r="X169" s="406" t="s">
        <v>3006</v>
      </c>
      <c r="Y169" s="406" t="s">
        <v>3007</v>
      </c>
      <c r="Z169" s="406" t="s">
        <v>3008</v>
      </c>
    </row>
    <row r="170" spans="1:26">
      <c r="A170" s="406" t="s">
        <v>1241</v>
      </c>
      <c r="B170" s="406">
        <v>41350</v>
      </c>
      <c r="C170" s="406">
        <f>+'2.CT1A'!A176</f>
        <v>41350</v>
      </c>
      <c r="D170" s="406">
        <f si="6" t="shared"/>
        <v>0</v>
      </c>
      <c r="E170" s="406" t="str">
        <f>+'2.CT1A'!B176</f>
        <v xml:space="preserve">           Зээлийн хүүгийн өглөг</v>
      </c>
      <c r="F170" s="891">
        <f>+'2.CT1A'!C176</f>
        <v>0</v>
      </c>
      <c r="S170" s="406" t="s">
        <v>1241</v>
      </c>
      <c r="T170" s="406">
        <v>41350</v>
      </c>
      <c r="U170" s="406" t="s">
        <v>2981</v>
      </c>
      <c r="X170" s="406" t="s">
        <v>3006</v>
      </c>
      <c r="Y170" s="406" t="s">
        <v>3007</v>
      </c>
      <c r="Z170" s="406" t="s">
        <v>3008</v>
      </c>
    </row>
    <row r="171" spans="1:26">
      <c r="A171" s="406" t="s">
        <v>1241</v>
      </c>
      <c r="B171" s="406">
        <v>4136</v>
      </c>
      <c r="C171" s="406">
        <f>+'2.CT1A'!A177</f>
        <v>4136</v>
      </c>
      <c r="D171" s="406">
        <f si="6" t="shared"/>
        <v>0</v>
      </c>
      <c r="E171" s="406" t="str">
        <f>+'2.CT1A'!B177</f>
        <v xml:space="preserve">           Бусад өглөг</v>
      </c>
      <c r="F171" s="891">
        <f>+'2.CT1A'!C177</f>
        <v>0</v>
      </c>
      <c r="S171" s="406" t="s">
        <v>1241</v>
      </c>
      <c r="T171" s="406">
        <v>4136</v>
      </c>
      <c r="U171" s="406" t="s">
        <v>2981</v>
      </c>
      <c r="X171" s="406" t="s">
        <v>3006</v>
      </c>
      <c r="Y171" s="406" t="s">
        <v>3007</v>
      </c>
      <c r="Z171" s="406" t="s">
        <v>3008</v>
      </c>
    </row>
    <row r="172" spans="1:26">
      <c r="A172" s="406" t="s">
        <v>1241</v>
      </c>
      <c r="B172" s="406">
        <v>41361</v>
      </c>
      <c r="C172" s="406">
        <f>+'2.CT1A'!A178</f>
        <v>41361</v>
      </c>
      <c r="D172" s="406">
        <f si="6" t="shared"/>
        <v>0</v>
      </c>
      <c r="E172" s="406" t="str">
        <f>+'2.CT1A'!B178</f>
        <v xml:space="preserve">               Байгууллагад төлөх өглөг</v>
      </c>
      <c r="F172" s="891">
        <f>+'2.CT1A'!C178</f>
        <v>0</v>
      </c>
      <c r="S172" s="406" t="s">
        <v>1241</v>
      </c>
      <c r="T172" s="406">
        <v>41361</v>
      </c>
      <c r="U172" s="406" t="s">
        <v>2981</v>
      </c>
      <c r="X172" s="406" t="s">
        <v>3006</v>
      </c>
      <c r="Y172" s="406" t="s">
        <v>3007</v>
      </c>
      <c r="Z172" s="406" t="s">
        <v>3008</v>
      </c>
    </row>
    <row r="173" spans="1:26">
      <c r="A173" s="406" t="s">
        <v>1241</v>
      </c>
      <c r="B173" s="406">
        <v>41362</v>
      </c>
      <c r="C173" s="406">
        <f>+'2.CT1A'!A179</f>
        <v>41362</v>
      </c>
      <c r="D173" s="406">
        <f si="6" t="shared"/>
        <v>0</v>
      </c>
      <c r="E173" s="406" t="str">
        <f>+'2.CT1A'!B179</f>
        <v xml:space="preserve">               Хувь хүмүүст төлөх өглөг</v>
      </c>
      <c r="F173" s="891">
        <f>+'2.CT1A'!C179</f>
        <v>0</v>
      </c>
      <c r="S173" s="406" t="s">
        <v>1241</v>
      </c>
      <c r="T173" s="406">
        <v>41362</v>
      </c>
      <c r="U173" s="406" t="s">
        <v>2981</v>
      </c>
      <c r="X173" s="406" t="s">
        <v>3006</v>
      </c>
      <c r="Y173" s="406" t="s">
        <v>3007</v>
      </c>
      <c r="Z173" s="406" t="s">
        <v>3008</v>
      </c>
    </row>
    <row r="174" spans="1:26">
      <c r="A174" s="406" t="s">
        <v>1241</v>
      </c>
      <c r="B174" s="406">
        <v>41363</v>
      </c>
      <c r="C174" s="406">
        <f>+'2.CT1A'!A180</f>
        <v>41363</v>
      </c>
      <c r="D174" s="406">
        <f si="6" t="shared"/>
        <v>0</v>
      </c>
      <c r="E174" s="406" t="str">
        <f>+'2.CT1A'!B180</f>
        <v xml:space="preserve">               Татварын өглөг  /ТӨҮГ/</v>
      </c>
      <c r="F174" s="891">
        <f>+'2.CT1A'!C180</f>
        <v>0</v>
      </c>
      <c r="S174" s="406" t="s">
        <v>1241</v>
      </c>
      <c r="T174" s="406">
        <v>41363</v>
      </c>
      <c r="U174" s="406" t="s">
        <v>2981</v>
      </c>
      <c r="X174" s="406" t="s">
        <v>3006</v>
      </c>
      <c r="Y174" s="406" t="s">
        <v>3007</v>
      </c>
      <c r="Z174" s="406" t="s">
        <v>3008</v>
      </c>
    </row>
    <row r="175" spans="1:26">
      <c r="A175" s="406" t="s">
        <v>1241</v>
      </c>
      <c r="B175" s="406">
        <v>41364</v>
      </c>
      <c r="C175" s="406">
        <f>+'2.CT1A'!A181</f>
        <v>41364</v>
      </c>
      <c r="D175" s="406">
        <f si="6" t="shared"/>
        <v>0</v>
      </c>
      <c r="E175" s="406" t="str">
        <f>+'2.CT1A'!B181</f>
        <v xml:space="preserve">               НДШ - ийн өглөг /ТӨҮГ/</v>
      </c>
      <c r="F175" s="891">
        <f>+'2.CT1A'!C181</f>
        <v>0</v>
      </c>
      <c r="S175" s="406" t="s">
        <v>1241</v>
      </c>
      <c r="T175" s="406">
        <v>41364</v>
      </c>
      <c r="U175" s="406" t="s">
        <v>2981</v>
      </c>
      <c r="X175" s="406" t="s">
        <v>3006</v>
      </c>
      <c r="Y175" s="406" t="s">
        <v>3007</v>
      </c>
      <c r="Z175" s="406" t="s">
        <v>3008</v>
      </c>
    </row>
    <row r="176" spans="1:26">
      <c r="A176" s="406" t="s">
        <v>1241</v>
      </c>
      <c r="B176" s="406">
        <v>41365</v>
      </c>
      <c r="C176" s="406">
        <f>+'2.CT1A'!A182</f>
        <v>41365</v>
      </c>
      <c r="D176" s="406">
        <f si="6" t="shared"/>
        <v>0</v>
      </c>
      <c r="E176" s="406" t="str">
        <f>+'2.CT1A'!B182</f>
        <v xml:space="preserve">               Ноогдол ашгийн өглөг /ТӨҮГ/</v>
      </c>
      <c r="F176" s="891">
        <f>+'2.CT1A'!C182</f>
        <v>0</v>
      </c>
      <c r="S176" s="406" t="s">
        <v>1241</v>
      </c>
      <c r="T176" s="406">
        <v>41365</v>
      </c>
      <c r="U176" s="406" t="s">
        <v>2981</v>
      </c>
      <c r="X176" s="406" t="s">
        <v>3006</v>
      </c>
      <c r="Y176" s="406" t="s">
        <v>3007</v>
      </c>
      <c r="Z176" s="406" t="s">
        <v>3008</v>
      </c>
    </row>
    <row r="177" spans="1:26">
      <c r="A177" s="406" t="s">
        <v>1241</v>
      </c>
      <c r="B177" s="406">
        <v>41366</v>
      </c>
      <c r="C177" s="406">
        <f>+'2.CT1A'!A183</f>
        <v>41366</v>
      </c>
      <c r="D177" s="406">
        <f si="6" t="shared"/>
        <v>0</v>
      </c>
      <c r="E177" s="406" t="str">
        <f>+'2.CT1A'!B183</f>
        <v xml:space="preserve">               Дансны өглөг /ТӨҮГ/</v>
      </c>
      <c r="F177" s="891">
        <f>+'2.CT1A'!C183</f>
        <v>0</v>
      </c>
      <c r="S177" s="406" t="s">
        <v>1241</v>
      </c>
      <c r="T177" s="406">
        <v>41366</v>
      </c>
      <c r="U177" s="406" t="s">
        <v>2981</v>
      </c>
      <c r="X177" s="406" t="s">
        <v>3006</v>
      </c>
      <c r="Y177" s="406" t="s">
        <v>3007</v>
      </c>
      <c r="Z177" s="406" t="s">
        <v>3008</v>
      </c>
    </row>
    <row r="178" spans="1:26">
      <c r="A178" s="406" t="s">
        <v>1241</v>
      </c>
      <c r="B178" s="406">
        <v>414</v>
      </c>
      <c r="C178" s="406">
        <f>+'2.CT1A'!A184</f>
        <v>414</v>
      </c>
      <c r="D178" s="406">
        <f si="6" t="shared"/>
        <v>0</v>
      </c>
      <c r="E178" s="406" t="str">
        <f>+'2.CT1A'!B184</f>
        <v xml:space="preserve">      Урьдчилж орсон орлого</v>
      </c>
      <c r="F178" s="891">
        <f>+'2.CT1A'!C184</f>
        <v>0</v>
      </c>
      <c r="S178" s="406" t="s">
        <v>1241</v>
      </c>
      <c r="T178" s="406">
        <v>414</v>
      </c>
      <c r="U178" s="406" t="s">
        <v>2981</v>
      </c>
      <c r="X178" s="406" t="s">
        <v>3006</v>
      </c>
      <c r="Y178" s="406" t="s">
        <v>3007</v>
      </c>
      <c r="Z178" s="406" t="s">
        <v>3008</v>
      </c>
    </row>
    <row r="179" spans="1:26">
      <c r="A179" s="406" t="s">
        <v>1241</v>
      </c>
      <c r="B179" s="406">
        <v>41410</v>
      </c>
      <c r="C179" s="406">
        <f>+'2.CT1A'!A185</f>
        <v>41410</v>
      </c>
      <c r="D179" s="406">
        <f si="6" t="shared"/>
        <v>0</v>
      </c>
      <c r="E179" s="406" t="str">
        <f>+'2.CT1A'!B185</f>
        <v xml:space="preserve">           Засгийн газрын байгууллага, бусад шатны төсөв</v>
      </c>
      <c r="F179" s="891">
        <f>+'2.CT1A'!C185</f>
        <v>0</v>
      </c>
      <c r="S179" s="406" t="s">
        <v>1241</v>
      </c>
      <c r="T179" s="406">
        <v>41410</v>
      </c>
      <c r="U179" s="406" t="s">
        <v>2981</v>
      </c>
      <c r="X179" s="406" t="s">
        <v>3006</v>
      </c>
      <c r="Y179" s="406" t="s">
        <v>3007</v>
      </c>
      <c r="Z179" s="406" t="s">
        <v>3008</v>
      </c>
    </row>
    <row r="180" spans="1:26">
      <c r="A180" s="406" t="s">
        <v>1241</v>
      </c>
      <c r="B180" s="406">
        <v>41420</v>
      </c>
      <c r="C180" s="406">
        <f>+'2.CT1A'!A186</f>
        <v>41420</v>
      </c>
      <c r="D180" s="406">
        <f si="6" t="shared"/>
        <v>0</v>
      </c>
      <c r="E180" s="406" t="str">
        <f>+'2.CT1A'!B186</f>
        <v xml:space="preserve">           Төлбөртэй ажил үйлчилгээний урьдчилж орсон орлого</v>
      </c>
      <c r="F180" s="891">
        <f>+'2.CT1A'!C186</f>
        <v>0</v>
      </c>
      <c r="S180" s="406" t="s">
        <v>1241</v>
      </c>
      <c r="T180" s="406">
        <v>41420</v>
      </c>
      <c r="U180" s="406" t="s">
        <v>2981</v>
      </c>
      <c r="X180" s="406" t="s">
        <v>3006</v>
      </c>
      <c r="Y180" s="406" t="s">
        <v>3007</v>
      </c>
      <c r="Z180" s="406" t="s">
        <v>3008</v>
      </c>
    </row>
    <row r="181" spans="1:26">
      <c r="A181" s="406" t="s">
        <v>1241</v>
      </c>
      <c r="B181" s="406">
        <v>41430</v>
      </c>
      <c r="C181" s="406">
        <f>+'2.CT1A'!A187</f>
        <v>41430</v>
      </c>
      <c r="D181" s="406">
        <f si="6" t="shared"/>
        <v>0</v>
      </c>
      <c r="E181" s="406" t="str">
        <f>+'2.CT1A'!B187</f>
        <v xml:space="preserve">           Барьцаа, дэнчингийн урьдчилж орсон орлого</v>
      </c>
      <c r="F181" s="891">
        <f>+'2.CT1A'!C187</f>
        <v>0</v>
      </c>
      <c r="S181" s="406" t="s">
        <v>1241</v>
      </c>
      <c r="T181" s="406">
        <v>41430</v>
      </c>
      <c r="U181" s="406" t="s">
        <v>2981</v>
      </c>
      <c r="X181" s="406" t="s">
        <v>3006</v>
      </c>
      <c r="Y181" s="406" t="s">
        <v>3007</v>
      </c>
      <c r="Z181" s="406" t="s">
        <v>3008</v>
      </c>
    </row>
    <row r="182" spans="1:26">
      <c r="A182" s="406" t="s">
        <v>1241</v>
      </c>
      <c r="B182" s="406">
        <v>41440</v>
      </c>
      <c r="C182" s="406">
        <f>+'2.CT1A'!A188</f>
        <v>41440</v>
      </c>
      <c r="D182" s="406">
        <f si="6" t="shared"/>
        <v>0</v>
      </c>
      <c r="E182" s="406" t="str">
        <f>+'2.CT1A'!B188</f>
        <v xml:space="preserve">           Бусад урьдчилж орсон орлого</v>
      </c>
      <c r="F182" s="891">
        <f>+'2.CT1A'!C188</f>
        <v>0</v>
      </c>
      <c r="S182" s="406" t="s">
        <v>1241</v>
      </c>
      <c r="T182" s="406">
        <v>41440</v>
      </c>
      <c r="U182" s="406" t="s">
        <v>2981</v>
      </c>
      <c r="X182" s="406" t="s">
        <v>3006</v>
      </c>
      <c r="Y182" s="406" t="s">
        <v>3007</v>
      </c>
      <c r="Z182" s="406" t="s">
        <v>3008</v>
      </c>
    </row>
    <row r="183" spans="1:26">
      <c r="A183" s="406" t="s">
        <v>1241</v>
      </c>
      <c r="B183" s="406">
        <v>41450</v>
      </c>
      <c r="C183" s="406">
        <f>+'2.CT1A'!A189</f>
        <v>41450</v>
      </c>
      <c r="D183" s="406">
        <f si="6" t="shared"/>
        <v>0</v>
      </c>
      <c r="E183" s="406" t="str">
        <f>+'2.CT1A'!B189</f>
        <v xml:space="preserve">           Төрийн өмчийн үйлдвэр, аж ахуйн газар</v>
      </c>
      <c r="F183" s="891">
        <f>+'2.CT1A'!C189</f>
        <v>0</v>
      </c>
      <c r="S183" s="406" t="s">
        <v>1241</v>
      </c>
      <c r="T183" s="406">
        <v>41450</v>
      </c>
      <c r="U183" s="406" t="s">
        <v>2981</v>
      </c>
      <c r="X183" s="406" t="s">
        <v>3006</v>
      </c>
      <c r="Y183" s="406" t="s">
        <v>3007</v>
      </c>
      <c r="Z183" s="406" t="s">
        <v>3008</v>
      </c>
    </row>
    <row r="184" spans="1:26">
      <c r="A184" s="406" t="s">
        <v>1241</v>
      </c>
      <c r="B184" s="406">
        <v>42</v>
      </c>
      <c r="C184" s="406">
        <f>+'2.CT1A'!A190</f>
        <v>42</v>
      </c>
      <c r="D184" s="406">
        <f si="6" t="shared"/>
        <v>0</v>
      </c>
      <c r="E184" s="406" t="str">
        <f>+'2.CT1A'!B190</f>
        <v xml:space="preserve">   УРТ ХУГАЦААТ ӨР ТӨЛБӨР</v>
      </c>
      <c r="F184" s="891">
        <f>+'2.CT1A'!C190</f>
        <v>0</v>
      </c>
      <c r="S184" s="406" t="s">
        <v>1241</v>
      </c>
      <c r="T184" s="406">
        <v>42</v>
      </c>
      <c r="U184" s="406" t="s">
        <v>2981</v>
      </c>
      <c r="X184" s="406" t="s">
        <v>3006</v>
      </c>
      <c r="Y184" s="406" t="s">
        <v>3007</v>
      </c>
      <c r="Z184" s="406" t="s">
        <v>3008</v>
      </c>
    </row>
    <row r="185" spans="1:26">
      <c r="A185" s="406" t="s">
        <v>1241</v>
      </c>
      <c r="B185" s="406">
        <v>421</v>
      </c>
      <c r="C185" s="406">
        <f>+'2.CT1A'!A191</f>
        <v>421</v>
      </c>
      <c r="D185" s="406">
        <f si="6" t="shared"/>
        <v>0</v>
      </c>
      <c r="E185" s="406" t="str">
        <f>+'2.CT1A'!B191</f>
        <v xml:space="preserve">      Урт хугацаат үнэт цаас</v>
      </c>
      <c r="F185" s="891">
        <f>+'2.CT1A'!C191</f>
        <v>0</v>
      </c>
      <c r="S185" s="406" t="s">
        <v>1241</v>
      </c>
      <c r="T185" s="406">
        <v>421</v>
      </c>
      <c r="U185" s="406" t="s">
        <v>2981</v>
      </c>
      <c r="X185" s="406" t="s">
        <v>3006</v>
      </c>
      <c r="Y185" s="406" t="s">
        <v>3007</v>
      </c>
      <c r="Z185" s="406" t="s">
        <v>3008</v>
      </c>
    </row>
    <row r="186" spans="1:26">
      <c r="A186" s="406" t="s">
        <v>1241</v>
      </c>
      <c r="B186" s="406">
        <v>4211</v>
      </c>
      <c r="C186" s="406">
        <f>+'2.CT1A'!A192</f>
        <v>4211</v>
      </c>
      <c r="D186" s="406">
        <f si="6" t="shared"/>
        <v>0</v>
      </c>
      <c r="E186" s="406" t="str">
        <f>+'2.CT1A'!B192</f>
        <v xml:space="preserve">         Төгрөг</v>
      </c>
      <c r="F186" s="891">
        <f>+'2.CT1A'!C192</f>
        <v>0</v>
      </c>
      <c r="S186" s="406" t="s">
        <v>1241</v>
      </c>
      <c r="T186" s="406">
        <v>4211</v>
      </c>
      <c r="U186" s="406" t="s">
        <v>2981</v>
      </c>
      <c r="X186" s="406" t="s">
        <v>3006</v>
      </c>
      <c r="Y186" s="406" t="s">
        <v>3007</v>
      </c>
      <c r="Z186" s="406" t="s">
        <v>3008</v>
      </c>
    </row>
    <row r="187" spans="1:26">
      <c r="A187" s="406" t="s">
        <v>1241</v>
      </c>
      <c r="B187" s="406">
        <v>42111</v>
      </c>
      <c r="C187" s="406">
        <f>+'2.CT1A'!A193</f>
        <v>42111</v>
      </c>
      <c r="D187" s="406">
        <f si="6" t="shared"/>
        <v>0</v>
      </c>
      <c r="E187" s="406" t="str">
        <f>+'2.CT1A'!B193</f>
        <v xml:space="preserve">               Бонд</v>
      </c>
      <c r="F187" s="891">
        <f>+'2.CT1A'!C193</f>
        <v>0</v>
      </c>
      <c r="S187" s="406" t="s">
        <v>1241</v>
      </c>
      <c r="T187" s="406">
        <v>42111</v>
      </c>
      <c r="U187" s="406" t="s">
        <v>2981</v>
      </c>
      <c r="X187" s="406" t="s">
        <v>3006</v>
      </c>
      <c r="Y187" s="406" t="s">
        <v>3007</v>
      </c>
      <c r="Z187" s="406" t="s">
        <v>3008</v>
      </c>
    </row>
    <row r="188" spans="1:26">
      <c r="A188" s="406" t="s">
        <v>1241</v>
      </c>
      <c r="B188" s="406">
        <v>42112</v>
      </c>
      <c r="C188" s="406">
        <f>+'2.CT1A'!A194</f>
        <v>42112</v>
      </c>
      <c r="D188" s="406">
        <f si="6" t="shared"/>
        <v>0</v>
      </c>
      <c r="E188" s="406" t="str">
        <f>+'2.CT1A'!B194</f>
        <v xml:space="preserve">               Бусад үнэт цаас</v>
      </c>
      <c r="F188" s="891">
        <f>+'2.CT1A'!C194</f>
        <v>0</v>
      </c>
      <c r="S188" s="406" t="s">
        <v>1241</v>
      </c>
      <c r="T188" s="406">
        <v>42112</v>
      </c>
      <c r="U188" s="406" t="s">
        <v>2981</v>
      </c>
      <c r="X188" s="406" t="s">
        <v>3006</v>
      </c>
      <c r="Y188" s="406" t="s">
        <v>3007</v>
      </c>
      <c r="Z188" s="406" t="s">
        <v>3008</v>
      </c>
    </row>
    <row r="189" spans="1:26">
      <c r="A189" s="406" t="s">
        <v>1241</v>
      </c>
      <c r="B189" s="406">
        <v>42113</v>
      </c>
      <c r="C189" s="406">
        <f>+'2.CT1A'!A195</f>
        <v>42113</v>
      </c>
      <c r="D189" s="406">
        <f si="6" t="shared"/>
        <v>0</v>
      </c>
      <c r="E189" s="406" t="str">
        <f>+'2.CT1A'!B195</f>
        <v xml:space="preserve">               Бондын хөнгөлөлт</v>
      </c>
      <c r="F189" s="891">
        <f>+'2.CT1A'!C195</f>
        <v>0</v>
      </c>
      <c r="S189" s="406" t="s">
        <v>1241</v>
      </c>
      <c r="T189" s="406">
        <v>42113</v>
      </c>
      <c r="U189" s="406" t="s">
        <v>2981</v>
      </c>
      <c r="X189" s="406" t="s">
        <v>3006</v>
      </c>
      <c r="Y189" s="406" t="s">
        <v>3007</v>
      </c>
      <c r="Z189" s="406" t="s">
        <v>3008</v>
      </c>
    </row>
    <row r="190" spans="1:26">
      <c r="A190" s="406" t="s">
        <v>1241</v>
      </c>
      <c r="B190" s="406">
        <v>4212</v>
      </c>
      <c r="C190" s="406">
        <f>+'2.CT1A'!A196</f>
        <v>4212</v>
      </c>
      <c r="D190" s="406">
        <f si="6" t="shared"/>
        <v>0</v>
      </c>
      <c r="E190" s="406" t="str">
        <f>+'2.CT1A'!B196</f>
        <v xml:space="preserve">         Гадаад валют</v>
      </c>
      <c r="F190" s="891">
        <f>+'2.CT1A'!C196</f>
        <v>0</v>
      </c>
      <c r="S190" s="406" t="s">
        <v>1241</v>
      </c>
      <c r="T190" s="406">
        <v>4212</v>
      </c>
      <c r="U190" s="406" t="s">
        <v>2981</v>
      </c>
      <c r="X190" s="406" t="s">
        <v>3006</v>
      </c>
      <c r="Y190" s="406" t="s">
        <v>3007</v>
      </c>
      <c r="Z190" s="406" t="s">
        <v>3008</v>
      </c>
    </row>
    <row r="191" spans="1:26">
      <c r="A191" s="406" t="s">
        <v>1241</v>
      </c>
      <c r="B191" s="406">
        <v>42121</v>
      </c>
      <c r="C191" s="406">
        <f>+'2.CT1A'!A197</f>
        <v>42121</v>
      </c>
      <c r="D191" s="406">
        <f si="6" t="shared"/>
        <v>0</v>
      </c>
      <c r="E191" s="406" t="str">
        <f>+'2.CT1A'!B197</f>
        <v xml:space="preserve">               Бонд</v>
      </c>
      <c r="F191" s="891">
        <f>+'2.CT1A'!C197</f>
        <v>0</v>
      </c>
      <c r="S191" s="406" t="s">
        <v>1241</v>
      </c>
      <c r="T191" s="406">
        <v>42121</v>
      </c>
      <c r="U191" s="406" t="s">
        <v>2981</v>
      </c>
      <c r="X191" s="406" t="s">
        <v>3006</v>
      </c>
      <c r="Y191" s="406" t="s">
        <v>3007</v>
      </c>
      <c r="Z191" s="406" t="s">
        <v>3008</v>
      </c>
    </row>
    <row r="192" spans="1:26">
      <c r="A192" s="406" t="s">
        <v>1241</v>
      </c>
      <c r="B192" s="406">
        <v>42122</v>
      </c>
      <c r="C192" s="406">
        <f>+'2.CT1A'!A198</f>
        <v>42122</v>
      </c>
      <c r="D192" s="406">
        <f si="6" t="shared"/>
        <v>0</v>
      </c>
      <c r="E192" s="406" t="str">
        <f>+'2.CT1A'!B198</f>
        <v xml:space="preserve">               Бусад үнэт цаас</v>
      </c>
      <c r="F192" s="891">
        <f>+'2.CT1A'!C198</f>
        <v>0</v>
      </c>
      <c r="S192" s="406" t="s">
        <v>1241</v>
      </c>
      <c r="T192" s="406">
        <v>42122</v>
      </c>
      <c r="U192" s="406" t="s">
        <v>2981</v>
      </c>
      <c r="X192" s="406" t="s">
        <v>3006</v>
      </c>
      <c r="Y192" s="406" t="s">
        <v>3007</v>
      </c>
      <c r="Z192" s="406" t="s">
        <v>3008</v>
      </c>
    </row>
    <row r="193" spans="1:26">
      <c r="A193" s="406" t="s">
        <v>1241</v>
      </c>
      <c r="B193" s="406">
        <v>42123</v>
      </c>
      <c r="C193" s="406">
        <f>+'2.CT1A'!A199</f>
        <v>42123</v>
      </c>
      <c r="D193" s="406">
        <f si="6" t="shared"/>
        <v>0</v>
      </c>
      <c r="E193" s="406" t="str">
        <f>+'2.CT1A'!B199</f>
        <v xml:space="preserve">               Бондын хөнгөлөлт</v>
      </c>
      <c r="F193" s="891">
        <f>+'2.CT1A'!C199</f>
        <v>0</v>
      </c>
      <c r="S193" s="406" t="s">
        <v>1241</v>
      </c>
      <c r="T193" s="406">
        <v>42123</v>
      </c>
      <c r="U193" s="406" t="s">
        <v>2981</v>
      </c>
      <c r="X193" s="406" t="s">
        <v>3006</v>
      </c>
      <c r="Y193" s="406" t="s">
        <v>3007</v>
      </c>
      <c r="Z193" s="406" t="s">
        <v>3008</v>
      </c>
    </row>
    <row r="194" spans="1:26">
      <c r="A194" s="406" t="s">
        <v>1241</v>
      </c>
      <c r="B194" s="406">
        <v>422</v>
      </c>
      <c r="C194" s="406">
        <f>+'2.CT1A'!A200</f>
        <v>422</v>
      </c>
      <c r="D194" s="406">
        <f si="6" t="shared"/>
        <v>0</v>
      </c>
      <c r="E194" s="406" t="str">
        <f>+'2.CT1A'!B200</f>
        <v xml:space="preserve">      Урт хугацаат зээл</v>
      </c>
      <c r="F194" s="891">
        <f>+'2.CT1A'!C200</f>
        <v>0</v>
      </c>
      <c r="S194" s="406" t="s">
        <v>1241</v>
      </c>
      <c r="T194" s="406">
        <v>422</v>
      </c>
      <c r="U194" s="406" t="s">
        <v>2981</v>
      </c>
      <c r="X194" s="406" t="s">
        <v>3006</v>
      </c>
      <c r="Y194" s="406" t="s">
        <v>3007</v>
      </c>
      <c r="Z194" s="406" t="s">
        <v>3008</v>
      </c>
    </row>
    <row r="195" spans="1:26">
      <c r="A195" s="406" t="s">
        <v>1241</v>
      </c>
      <c r="B195" s="406">
        <v>4221</v>
      </c>
      <c r="C195" s="406">
        <f>+'2.CT1A'!A201</f>
        <v>4221</v>
      </c>
      <c r="D195" s="406">
        <f ref="D195:D258" si="7" t="shared">IF(B195=VALUE(C195),0,1)</f>
        <v>0</v>
      </c>
      <c r="E195" s="406" t="str">
        <f>+'2.CT1A'!B201</f>
        <v xml:space="preserve">         Төгрөг</v>
      </c>
      <c r="F195" s="891">
        <f>+'2.CT1A'!C201</f>
        <v>0</v>
      </c>
      <c r="S195" s="406" t="s">
        <v>1241</v>
      </c>
      <c r="T195" s="406">
        <v>4221</v>
      </c>
      <c r="U195" s="406" t="s">
        <v>2981</v>
      </c>
      <c r="X195" s="406" t="s">
        <v>3006</v>
      </c>
      <c r="Y195" s="406" t="s">
        <v>3007</v>
      </c>
      <c r="Z195" s="406" t="s">
        <v>3008</v>
      </c>
    </row>
    <row r="196" spans="1:26">
      <c r="A196" s="406" t="s">
        <v>1241</v>
      </c>
      <c r="B196" s="406">
        <v>42211</v>
      </c>
      <c r="C196" s="406">
        <f>+'2.CT1A'!A202</f>
        <v>42211</v>
      </c>
      <c r="D196" s="406">
        <f si="7" t="shared"/>
        <v>0</v>
      </c>
      <c r="E196" s="406" t="str">
        <f>+'2.CT1A'!B202</f>
        <v xml:space="preserve">               Засгийн газрын байгууллага, бусад шатны төсөв</v>
      </c>
      <c r="F196" s="891">
        <f>+'2.CT1A'!C202</f>
        <v>0</v>
      </c>
      <c r="S196" s="406" t="s">
        <v>1241</v>
      </c>
      <c r="T196" s="406">
        <v>42211</v>
      </c>
      <c r="U196" s="406" t="s">
        <v>2981</v>
      </c>
      <c r="X196" s="406" t="s">
        <v>3006</v>
      </c>
      <c r="Y196" s="406" t="s">
        <v>3007</v>
      </c>
      <c r="Z196" s="406" t="s">
        <v>3008</v>
      </c>
    </row>
    <row r="197" spans="1:26">
      <c r="A197" s="406" t="s">
        <v>1241</v>
      </c>
      <c r="B197" s="406">
        <v>42212</v>
      </c>
      <c r="C197" s="406">
        <f>+'2.CT1A'!A203</f>
        <v>42212</v>
      </c>
      <c r="D197" s="406">
        <f si="7" t="shared"/>
        <v>0</v>
      </c>
      <c r="E197" s="406" t="str">
        <f>+'2.CT1A'!B203</f>
        <v xml:space="preserve">               Хувь хүмүүсийн зээл</v>
      </c>
      <c r="F197" s="891">
        <f>+'2.CT1A'!C203</f>
        <v>0</v>
      </c>
      <c r="S197" s="406" t="s">
        <v>1241</v>
      </c>
      <c r="T197" s="406">
        <v>42212</v>
      </c>
      <c r="U197" s="406" t="s">
        <v>2981</v>
      </c>
      <c r="X197" s="406" t="s">
        <v>3006</v>
      </c>
      <c r="Y197" s="406" t="s">
        <v>3007</v>
      </c>
      <c r="Z197" s="406" t="s">
        <v>3008</v>
      </c>
    </row>
    <row r="198" spans="1:26">
      <c r="A198" s="406" t="s">
        <v>1241</v>
      </c>
      <c r="B198" s="406">
        <v>42213</v>
      </c>
      <c r="C198" s="406">
        <f>+'2.CT1A'!A204</f>
        <v>42213</v>
      </c>
      <c r="D198" s="406">
        <f si="7" t="shared"/>
        <v>0</v>
      </c>
      <c r="E198" s="406" t="str">
        <f>+'2.CT1A'!B204</f>
        <v xml:space="preserve">               Сургалтын төрийн сангийн зээлийн өглөг</v>
      </c>
      <c r="F198" s="891">
        <f>+'2.CT1A'!C204</f>
        <v>0</v>
      </c>
      <c r="S198" s="406" t="s">
        <v>1241</v>
      </c>
      <c r="T198" s="406">
        <v>42213</v>
      </c>
      <c r="U198" s="406" t="s">
        <v>2981</v>
      </c>
      <c r="X198" s="406" t="s">
        <v>3006</v>
      </c>
      <c r="Y198" s="406" t="s">
        <v>3007</v>
      </c>
      <c r="Z198" s="406" t="s">
        <v>3008</v>
      </c>
    </row>
    <row r="199" spans="1:26">
      <c r="A199" s="406" t="s">
        <v>1241</v>
      </c>
      <c r="B199" s="406">
        <v>42214</v>
      </c>
      <c r="C199" s="406">
        <f>+'2.CT1A'!A205</f>
        <v>42214</v>
      </c>
      <c r="D199" s="406">
        <f si="7" t="shared"/>
        <v>0</v>
      </c>
      <c r="E199" s="406" t="str">
        <f>+'2.CT1A'!B205</f>
        <v xml:space="preserve">               Төрийн өмчит аж ахуйн нэгжүүдийн зээл</v>
      </c>
      <c r="F199" s="891">
        <f>+'2.CT1A'!C205</f>
        <v>0</v>
      </c>
      <c r="S199" s="406" t="s">
        <v>1241</v>
      </c>
      <c r="T199" s="406">
        <v>42214</v>
      </c>
      <c r="U199" s="406" t="s">
        <v>2981</v>
      </c>
      <c r="X199" s="406" t="s">
        <v>3006</v>
      </c>
      <c r="Y199" s="406" t="s">
        <v>3007</v>
      </c>
      <c r="Z199" s="406" t="s">
        <v>3008</v>
      </c>
    </row>
    <row r="200" spans="1:26">
      <c r="A200" s="406" t="s">
        <v>1241</v>
      </c>
      <c r="B200" s="406">
        <v>42215</v>
      </c>
      <c r="C200" s="406">
        <f>+'2.CT1A'!A206</f>
        <v>42215</v>
      </c>
      <c r="D200" s="406">
        <f si="7" t="shared"/>
        <v>0</v>
      </c>
      <c r="E200" s="406" t="str">
        <f>+'2.CT1A'!B206</f>
        <v xml:space="preserve">               Монгол банк</v>
      </c>
      <c r="F200" s="891">
        <f>+'2.CT1A'!C206</f>
        <v>0</v>
      </c>
      <c r="S200" s="406" t="s">
        <v>1241</v>
      </c>
      <c r="T200" s="406">
        <v>42215</v>
      </c>
      <c r="U200" s="406" t="s">
        <v>2981</v>
      </c>
      <c r="X200" s="406" t="s">
        <v>3006</v>
      </c>
      <c r="Y200" s="406" t="s">
        <v>3007</v>
      </c>
      <c r="Z200" s="406" t="s">
        <v>3008</v>
      </c>
    </row>
    <row r="201" spans="1:26">
      <c r="A201" s="406" t="s">
        <v>1241</v>
      </c>
      <c r="B201" s="406">
        <v>42216</v>
      </c>
      <c r="C201" s="406">
        <f>+'2.CT1A'!A207</f>
        <v>42216</v>
      </c>
      <c r="D201" s="406">
        <f si="7" t="shared"/>
        <v>0</v>
      </c>
      <c r="E201" s="406" t="str">
        <f>+'2.CT1A'!B207</f>
        <v xml:space="preserve">               Арилжааны банк</v>
      </c>
      <c r="F201" s="891">
        <f>+'2.CT1A'!C207</f>
        <v>0</v>
      </c>
      <c r="S201" s="406" t="s">
        <v>1241</v>
      </c>
      <c r="T201" s="406">
        <v>42216</v>
      </c>
      <c r="U201" s="406" t="s">
        <v>2981</v>
      </c>
      <c r="X201" s="406" t="s">
        <v>3006</v>
      </c>
      <c r="Y201" s="406" t="s">
        <v>3007</v>
      </c>
      <c r="Z201" s="406" t="s">
        <v>3008</v>
      </c>
    </row>
    <row r="202" spans="1:26">
      <c r="A202" s="406" t="s">
        <v>1241</v>
      </c>
      <c r="B202" s="406">
        <v>42217</v>
      </c>
      <c r="C202" s="406">
        <f>+'2.CT1A'!A208</f>
        <v>42217</v>
      </c>
      <c r="D202" s="406">
        <f si="7" t="shared"/>
        <v>0</v>
      </c>
      <c r="E202" s="406" t="str">
        <f>+'2.CT1A'!B208</f>
        <v xml:space="preserve">               Санхүүгийн бусад байгууллага</v>
      </c>
      <c r="F202" s="891">
        <f>+'2.CT1A'!C208</f>
        <v>0</v>
      </c>
      <c r="S202" s="406" t="s">
        <v>1241</v>
      </c>
      <c r="T202" s="406">
        <v>42217</v>
      </c>
      <c r="U202" s="406" t="s">
        <v>2981</v>
      </c>
      <c r="X202" s="406" t="s">
        <v>3006</v>
      </c>
      <c r="Y202" s="406" t="s">
        <v>3007</v>
      </c>
      <c r="Z202" s="406" t="s">
        <v>3008</v>
      </c>
    </row>
    <row r="203" spans="1:26">
      <c r="A203" s="406" t="s">
        <v>1241</v>
      </c>
      <c r="B203" s="406">
        <v>4222</v>
      </c>
      <c r="C203" s="406">
        <f>+'2.CT1A'!A209</f>
        <v>4222</v>
      </c>
      <c r="D203" s="406">
        <f si="7" t="shared"/>
        <v>0</v>
      </c>
      <c r="E203" s="406" t="str">
        <f>+'2.CT1A'!B209</f>
        <v xml:space="preserve">         Гадаад валют</v>
      </c>
      <c r="F203" s="891">
        <f>+'2.CT1A'!C209</f>
        <v>0</v>
      </c>
      <c r="S203" s="406" t="s">
        <v>1241</v>
      </c>
      <c r="T203" s="406">
        <v>4222</v>
      </c>
      <c r="U203" s="406" t="s">
        <v>2981</v>
      </c>
      <c r="X203" s="406" t="s">
        <v>3006</v>
      </c>
      <c r="Y203" s="406" t="s">
        <v>3007</v>
      </c>
      <c r="Z203" s="406" t="s">
        <v>3008</v>
      </c>
    </row>
    <row r="204" spans="1:26">
      <c r="A204" s="406" t="s">
        <v>1241</v>
      </c>
      <c r="B204" s="406">
        <v>42221</v>
      </c>
      <c r="C204" s="406">
        <f>+'2.CT1A'!A210</f>
        <v>42221</v>
      </c>
      <c r="D204" s="406">
        <f si="7" t="shared"/>
        <v>0</v>
      </c>
      <c r="E204" s="406" t="str">
        <f>+'2.CT1A'!B210</f>
        <v xml:space="preserve">               Гадаадын засгийн газраас</v>
      </c>
      <c r="F204" s="891">
        <f>+'2.CT1A'!C210</f>
        <v>0</v>
      </c>
      <c r="S204" s="406" t="s">
        <v>1241</v>
      </c>
      <c r="T204" s="406">
        <v>42221</v>
      </c>
      <c r="U204" s="406" t="s">
        <v>2981</v>
      </c>
      <c r="X204" s="406" t="s">
        <v>3006</v>
      </c>
      <c r="Y204" s="406" t="s">
        <v>3007</v>
      </c>
      <c r="Z204" s="406" t="s">
        <v>3008</v>
      </c>
    </row>
    <row r="205" spans="1:26">
      <c r="A205" s="406" t="s">
        <v>1241</v>
      </c>
      <c r="B205" s="406">
        <v>42222</v>
      </c>
      <c r="C205" s="406">
        <f>+'2.CT1A'!A211</f>
        <v>42222</v>
      </c>
      <c r="D205" s="406">
        <f si="7" t="shared"/>
        <v>0</v>
      </c>
      <c r="E205" s="406" t="str">
        <f>+'2.CT1A'!B211</f>
        <v xml:space="preserve">               Олон улсын санхүүгийн байгууллагаас</v>
      </c>
      <c r="F205" s="891">
        <f>+'2.CT1A'!C211</f>
        <v>0</v>
      </c>
      <c r="S205" s="406" t="s">
        <v>1241</v>
      </c>
      <c r="T205" s="406">
        <v>42222</v>
      </c>
      <c r="U205" s="406" t="s">
        <v>2981</v>
      </c>
      <c r="X205" s="406" t="s">
        <v>3006</v>
      </c>
      <c r="Y205" s="406" t="s">
        <v>3007</v>
      </c>
      <c r="Z205" s="406" t="s">
        <v>3008</v>
      </c>
    </row>
    <row r="206" spans="1:26">
      <c r="A206" s="406" t="s">
        <v>1241</v>
      </c>
      <c r="B206" s="406">
        <v>42223</v>
      </c>
      <c r="C206" s="406">
        <f>+'2.CT1A'!A212</f>
        <v>42223</v>
      </c>
      <c r="D206" s="406">
        <f si="7" t="shared"/>
        <v>0</v>
      </c>
      <c r="E206" s="406" t="str">
        <f>+'2.CT1A'!B212</f>
        <v xml:space="preserve">               Санхүүгийн зээл</v>
      </c>
      <c r="F206" s="891">
        <f>+'2.CT1A'!C212</f>
        <v>0</v>
      </c>
      <c r="S206" s="406" t="s">
        <v>1241</v>
      </c>
      <c r="T206" s="406">
        <v>42223</v>
      </c>
      <c r="U206" s="406" t="s">
        <v>2981</v>
      </c>
      <c r="X206" s="406" t="s">
        <v>3006</v>
      </c>
      <c r="Y206" s="406" t="s">
        <v>3007</v>
      </c>
      <c r="Z206" s="406" t="s">
        <v>3008</v>
      </c>
    </row>
    <row r="207" spans="1:26">
      <c r="A207" s="406" t="s">
        <v>1241</v>
      </c>
      <c r="B207" s="406">
        <v>42224</v>
      </c>
      <c r="C207" s="406">
        <f>+'2.CT1A'!A213</f>
        <v>42224</v>
      </c>
      <c r="D207" s="406">
        <f si="7" t="shared"/>
        <v>0</v>
      </c>
      <c r="E207" s="406" t="str">
        <f>+'2.CT1A'!B213</f>
        <v xml:space="preserve">               Төслийн зээл</v>
      </c>
      <c r="F207" s="891">
        <f>+'2.CT1A'!C213</f>
        <v>0</v>
      </c>
      <c r="S207" s="406" t="s">
        <v>1241</v>
      </c>
      <c r="T207" s="406">
        <v>42224</v>
      </c>
      <c r="U207" s="406" t="s">
        <v>2981</v>
      </c>
      <c r="X207" s="406" t="s">
        <v>3006</v>
      </c>
      <c r="Y207" s="406" t="s">
        <v>3007</v>
      </c>
      <c r="Z207" s="406" t="s">
        <v>3008</v>
      </c>
    </row>
    <row r="208" spans="1:26">
      <c r="A208" s="406" t="s">
        <v>1241</v>
      </c>
      <c r="B208" s="406">
        <v>42225</v>
      </c>
      <c r="C208" s="406">
        <f>+'2.CT1A'!A214</f>
        <v>42225</v>
      </c>
      <c r="D208" s="406">
        <f si="7" t="shared"/>
        <v>0</v>
      </c>
      <c r="E208" s="406" t="str">
        <f>+'2.CT1A'!B214</f>
        <v xml:space="preserve">               Гадаадын арилжааны банк</v>
      </c>
      <c r="F208" s="891">
        <f>+'2.CT1A'!C214</f>
        <v>0</v>
      </c>
      <c r="S208" s="406" t="s">
        <v>1241</v>
      </c>
      <c r="T208" s="406">
        <v>42225</v>
      </c>
      <c r="U208" s="406" t="s">
        <v>2981</v>
      </c>
      <c r="X208" s="406" t="s">
        <v>3006</v>
      </c>
      <c r="Y208" s="406" t="s">
        <v>3007</v>
      </c>
      <c r="Z208" s="406" t="s">
        <v>3008</v>
      </c>
    </row>
    <row r="209" spans="1:26">
      <c r="A209" s="406" t="s">
        <v>1241</v>
      </c>
      <c r="B209" s="406">
        <v>42226</v>
      </c>
      <c r="C209" s="406">
        <f>+'2.CT1A'!A215</f>
        <v>42226</v>
      </c>
      <c r="D209" s="406">
        <f si="7" t="shared"/>
        <v>0</v>
      </c>
      <c r="E209" s="406" t="str">
        <f>+'2.CT1A'!B215</f>
        <v xml:space="preserve">               Бусад гадаад эх үүсвэр</v>
      </c>
      <c r="F209" s="891">
        <f>+'2.CT1A'!C215</f>
        <v>0</v>
      </c>
      <c r="S209" s="406" t="s">
        <v>1241</v>
      </c>
      <c r="T209" s="406">
        <v>42226</v>
      </c>
      <c r="U209" s="406" t="s">
        <v>2981</v>
      </c>
      <c r="X209" s="406" t="s">
        <v>3006</v>
      </c>
      <c r="Y209" s="406" t="s">
        <v>3007</v>
      </c>
      <c r="Z209" s="406" t="s">
        <v>3008</v>
      </c>
    </row>
    <row r="210" spans="1:26">
      <c r="A210" s="406" t="s">
        <v>1241</v>
      </c>
      <c r="B210" s="406">
        <v>42227</v>
      </c>
      <c r="C210" s="406">
        <f>+'2.CT1A'!A216</f>
        <v>42227</v>
      </c>
      <c r="D210" s="406">
        <f si="7" t="shared"/>
        <v>0</v>
      </c>
      <c r="E210" s="891" t="str">
        <f>+'2.CT1A'!B216</f>
        <v xml:space="preserve">               ОУВС-ийн зээл</v>
      </c>
      <c r="F210" s="891">
        <f>+'2.CT1A'!C216</f>
        <v>0</v>
      </c>
      <c r="S210" s="406" t="s">
        <v>1241</v>
      </c>
      <c r="T210" s="406">
        <v>42227</v>
      </c>
      <c r="U210" s="406" t="s">
        <v>2981</v>
      </c>
      <c r="X210" s="406" t="s">
        <v>3006</v>
      </c>
      <c r="Y210" s="406" t="s">
        <v>3007</v>
      </c>
      <c r="Z210" s="406" t="s">
        <v>3008</v>
      </c>
    </row>
    <row r="211" spans="1:26">
      <c r="A211" s="406" t="s">
        <v>1241</v>
      </c>
      <c r="B211" s="406">
        <v>42228</v>
      </c>
      <c r="C211" s="406">
        <f>+'2.CT1A'!A217</f>
        <v>42228</v>
      </c>
      <c r="D211" s="406">
        <f si="7" t="shared"/>
        <v>0</v>
      </c>
      <c r="E211" s="891" t="str">
        <f>+'2.CT1A'!B217</f>
        <v xml:space="preserve">               Нөөц /өр төлбөр/    /ТӨҮГ/</v>
      </c>
      <c r="F211" s="891">
        <f>+'2.CT1A'!C217</f>
        <v>0</v>
      </c>
      <c r="S211" s="406" t="s">
        <v>1241</v>
      </c>
      <c r="T211" s="406">
        <v>42228</v>
      </c>
      <c r="U211" s="406" t="s">
        <v>2981</v>
      </c>
      <c r="X211" s="406" t="s">
        <v>3006</v>
      </c>
      <c r="Y211" s="406" t="s">
        <v>3007</v>
      </c>
      <c r="Z211" s="406" t="s">
        <v>3008</v>
      </c>
    </row>
    <row r="212" spans="1:26">
      <c r="A212" s="406" t="s">
        <v>1241</v>
      </c>
      <c r="B212" s="406">
        <v>42229</v>
      </c>
      <c r="C212" s="406">
        <f>+'2.CT1A'!A218</f>
        <v>42229</v>
      </c>
      <c r="D212" s="406">
        <f si="7" t="shared"/>
        <v>0</v>
      </c>
      <c r="E212" s="891" t="str">
        <f>+'2.CT1A'!B218</f>
        <v xml:space="preserve">               Хойшлогдсон татварын өр  /ТӨҮГ/</v>
      </c>
      <c r="F212" s="891">
        <f>+'2.CT1A'!C218</f>
        <v>0</v>
      </c>
      <c r="S212" s="406" t="s">
        <v>1241</v>
      </c>
      <c r="T212" s="406">
        <v>42229</v>
      </c>
      <c r="U212" s="406" t="s">
        <v>2981</v>
      </c>
      <c r="X212" s="406" t="s">
        <v>3006</v>
      </c>
      <c r="Y212" s="406" t="s">
        <v>3007</v>
      </c>
      <c r="Z212" s="406" t="s">
        <v>3008</v>
      </c>
    </row>
    <row r="213" spans="1:26">
      <c r="A213" s="406" t="s">
        <v>1241</v>
      </c>
      <c r="B213" s="406">
        <v>42230</v>
      </c>
      <c r="C213" s="406">
        <f>+'2.CT1A'!A219</f>
        <v>42230</v>
      </c>
      <c r="D213" s="406">
        <f si="7" t="shared"/>
        <v>0</v>
      </c>
      <c r="E213" s="891" t="str">
        <f>+'2.CT1A'!B219</f>
        <v xml:space="preserve">               Бусад урт хугацаат өр төлбөр   /ТӨҮГ/</v>
      </c>
      <c r="F213" s="891">
        <f>+'2.CT1A'!C219</f>
        <v>0</v>
      </c>
      <c r="S213" s="406" t="s">
        <v>1241</v>
      </c>
      <c r="T213" s="406">
        <v>42230</v>
      </c>
      <c r="U213" s="406" t="s">
        <v>2981</v>
      </c>
      <c r="X213" s="406" t="s">
        <v>3006</v>
      </c>
      <c r="Y213" s="406" t="s">
        <v>3007</v>
      </c>
      <c r="Z213" s="406" t="s">
        <v>3008</v>
      </c>
    </row>
    <row r="214" spans="1:26">
      <c r="A214" s="406" t="s">
        <v>1241</v>
      </c>
      <c r="B214" s="406">
        <v>42231</v>
      </c>
      <c r="C214" s="406">
        <f>+'2.CT1A'!A220</f>
        <v>42231</v>
      </c>
      <c r="D214" s="406">
        <f si="7" t="shared"/>
        <v>0</v>
      </c>
      <c r="E214" s="891" t="str">
        <f>+'2.CT1A'!B220</f>
        <v xml:space="preserve">               Санхүүгийн бусад  байгууллага  /ТӨҮГ/</v>
      </c>
      <c r="F214" s="891">
        <f>+'2.CT1A'!C220</f>
        <v>0</v>
      </c>
      <c r="S214" s="406" t="s">
        <v>1241</v>
      </c>
      <c r="T214" s="406">
        <v>42231</v>
      </c>
      <c r="U214" s="406" t="s">
        <v>2981</v>
      </c>
      <c r="X214" s="406" t="s">
        <v>3006</v>
      </c>
      <c r="Y214" s="406" t="s">
        <v>3007</v>
      </c>
      <c r="Z214" s="406" t="s">
        <v>3008</v>
      </c>
    </row>
    <row r="215" spans="1:26">
      <c r="A215" s="406" t="s">
        <v>1241</v>
      </c>
      <c r="B215" s="406">
        <v>5</v>
      </c>
      <c r="C215" s="406">
        <f>+'2.CT1A'!A221</f>
        <v>5</v>
      </c>
      <c r="D215" s="406">
        <f si="7" t="shared"/>
        <v>0</v>
      </c>
      <c r="E215" s="406" t="str">
        <f>+'2.CT1A'!B221</f>
        <v>ЦЭВЭР ХӨРӨНГӨ ӨМЧИЙН ДҮН</v>
      </c>
      <c r="F215" s="891">
        <f>+'2.CT1A'!C221</f>
        <v>0</v>
      </c>
      <c r="S215" s="406" t="s">
        <v>1241</v>
      </c>
      <c r="T215" s="406">
        <v>5</v>
      </c>
      <c r="U215" s="406" t="s">
        <v>3009</v>
      </c>
      <c r="X215" s="406" t="s">
        <v>3006</v>
      </c>
      <c r="Y215" s="406" t="s">
        <v>3007</v>
      </c>
      <c r="Z215" s="406" t="s">
        <v>3008</v>
      </c>
    </row>
    <row r="216" spans="1:26">
      <c r="A216" s="406" t="s">
        <v>1241</v>
      </c>
      <c r="B216" s="406">
        <v>51</v>
      </c>
      <c r="C216" s="406">
        <f>+'2.CT1A'!A222</f>
        <v>51</v>
      </c>
      <c r="D216" s="406">
        <f si="7" t="shared"/>
        <v>0</v>
      </c>
      <c r="E216" s="406" t="str">
        <f>+'2.CT1A'!B222</f>
        <v xml:space="preserve">   Засгийн газрын хувь оролцоо</v>
      </c>
      <c r="F216" s="891">
        <f>+'2.CT1A'!C222</f>
        <v>0</v>
      </c>
      <c r="S216" s="406" t="s">
        <v>1241</v>
      </c>
      <c r="T216" s="406">
        <v>51</v>
      </c>
      <c r="U216" s="406" t="s">
        <v>3009</v>
      </c>
      <c r="X216" s="406" t="s">
        <v>3006</v>
      </c>
      <c r="Y216" s="406" t="s">
        <v>3007</v>
      </c>
      <c r="Z216" s="406" t="s">
        <v>3008</v>
      </c>
    </row>
    <row r="217" spans="1:26">
      <c r="A217" s="406" t="s">
        <v>1241</v>
      </c>
      <c r="B217" s="406">
        <v>511</v>
      </c>
      <c r="C217" s="406">
        <f>+'2.CT1A'!A223</f>
        <v>511</v>
      </c>
      <c r="D217" s="406">
        <f si="7" t="shared"/>
        <v>0</v>
      </c>
      <c r="E217" s="406" t="str">
        <f>+'2.CT1A'!B223</f>
        <v xml:space="preserve">   Засгийн газрын оруулсан капитал /Засгийн газрын сан/ орон нутгийн сан</v>
      </c>
      <c r="F217" s="891">
        <f>+'2.CT1A'!C223</f>
        <v>0</v>
      </c>
      <c r="S217" s="406" t="s">
        <v>1241</v>
      </c>
      <c r="T217" s="406">
        <v>511</v>
      </c>
      <c r="U217" s="406" t="s">
        <v>3009</v>
      </c>
      <c r="X217" s="406" t="s">
        <v>3006</v>
      </c>
      <c r="Y217" s="406" t="s">
        <v>3007</v>
      </c>
      <c r="Z217" s="406" t="s">
        <v>3008</v>
      </c>
    </row>
    <row r="218" spans="1:26">
      <c r="A218" s="406" t="s">
        <v>1241</v>
      </c>
      <c r="B218" s="406">
        <v>51101</v>
      </c>
      <c r="C218" s="406">
        <f>+'2.CT1A'!A224</f>
        <v>51101</v>
      </c>
      <c r="D218" s="406">
        <f si="7" t="shared"/>
        <v>0</v>
      </c>
      <c r="E218" s="406" t="str">
        <f>+'2.CT1A'!B224</f>
        <v xml:space="preserve">        Өмч:  - төрийн </v>
      </c>
      <c r="F218" s="891">
        <f>+'2.CT1A'!C224</f>
        <v>0</v>
      </c>
      <c r="S218" s="406" t="s">
        <v>1241</v>
      </c>
      <c r="T218" s="406">
        <v>51101</v>
      </c>
      <c r="U218" s="406" t="s">
        <v>3009</v>
      </c>
      <c r="X218" s="406" t="s">
        <v>3006</v>
      </c>
      <c r="Y218" s="406" t="s">
        <v>3007</v>
      </c>
      <c r="Z218" s="406" t="s">
        <v>3008</v>
      </c>
    </row>
    <row r="219" spans="1:26">
      <c r="A219" s="406" t="s">
        <v>1241</v>
      </c>
      <c r="B219" s="406">
        <v>51102</v>
      </c>
      <c r="C219" s="406">
        <f>+'2.CT1A'!A225</f>
        <v>51102</v>
      </c>
      <c r="D219" s="406">
        <f si="7" t="shared"/>
        <v>0</v>
      </c>
      <c r="E219" s="406" t="str">
        <f>+'2.CT1A'!B225</f>
        <v xml:space="preserve">                  - хувийн </v>
      </c>
      <c r="F219" s="891">
        <f>+'2.CT1A'!C225</f>
        <v>0</v>
      </c>
      <c r="S219" s="406" t="s">
        <v>1241</v>
      </c>
      <c r="T219" s="406">
        <v>51102</v>
      </c>
      <c r="U219" s="406" t="s">
        <v>3009</v>
      </c>
      <c r="X219" s="406" t="s">
        <v>3006</v>
      </c>
      <c r="Y219" s="406" t="s">
        <v>3007</v>
      </c>
      <c r="Z219" s="406" t="s">
        <v>3008</v>
      </c>
    </row>
    <row r="220" spans="1:26">
      <c r="A220" s="406" t="s">
        <v>1241</v>
      </c>
      <c r="B220" s="406">
        <v>51103</v>
      </c>
      <c r="C220" s="406">
        <f>+'2.CT1A'!A226</f>
        <v>51103</v>
      </c>
      <c r="D220" s="406">
        <f si="7" t="shared"/>
        <v>0</v>
      </c>
      <c r="E220" s="406" t="str">
        <f>+'2.CT1A'!B226</f>
        <v xml:space="preserve">                  - хувьцаат </v>
      </c>
      <c r="F220" s="891">
        <f>+'2.CT1A'!C226</f>
        <v>0</v>
      </c>
      <c r="S220" s="406" t="s">
        <v>1241</v>
      </c>
      <c r="T220" s="406">
        <v>51103</v>
      </c>
      <c r="U220" s="406" t="s">
        <v>3009</v>
      </c>
      <c r="X220" s="406" t="s">
        <v>3006</v>
      </c>
      <c r="Y220" s="406" t="s">
        <v>3007</v>
      </c>
      <c r="Z220" s="406" t="s">
        <v>3008</v>
      </c>
    </row>
    <row r="221" spans="1:26">
      <c r="A221" s="406" t="s">
        <v>1241</v>
      </c>
      <c r="B221" s="406">
        <v>51104</v>
      </c>
      <c r="C221" s="406">
        <f>+'2.CT1A'!A227</f>
        <v>51104</v>
      </c>
      <c r="D221" s="406">
        <f si="7" t="shared"/>
        <v>0</v>
      </c>
      <c r="E221" s="406" t="str">
        <f>+'2.CT1A'!B227</f>
        <v xml:space="preserve">        Халаасны хувьцаа </v>
      </c>
      <c r="F221" s="891">
        <f>+'2.CT1A'!C227</f>
        <v>0</v>
      </c>
      <c r="S221" s="406" t="s">
        <v>1241</v>
      </c>
      <c r="T221" s="406">
        <v>51104</v>
      </c>
      <c r="U221" s="406" t="s">
        <v>3009</v>
      </c>
      <c r="X221" s="406" t="s">
        <v>3006</v>
      </c>
      <c r="Y221" s="406" t="s">
        <v>3007</v>
      </c>
      <c r="Z221" s="406" t="s">
        <v>3008</v>
      </c>
    </row>
    <row r="222" spans="1:26">
      <c r="A222" s="406" t="s">
        <v>1241</v>
      </c>
      <c r="B222" s="406">
        <v>51105</v>
      </c>
      <c r="C222" s="406">
        <f>+'2.CT1A'!A228</f>
        <v>51105</v>
      </c>
      <c r="D222" s="406">
        <f si="7" t="shared"/>
        <v>0</v>
      </c>
      <c r="E222" s="406" t="str">
        <f>+'2.CT1A'!B228</f>
        <v xml:space="preserve">        Нэмж төлөгдсөн капитал </v>
      </c>
      <c r="F222" s="891">
        <f>+'2.CT1A'!C228</f>
        <v>0</v>
      </c>
      <c r="S222" s="406" t="s">
        <v>1241</v>
      </c>
      <c r="T222" s="406">
        <v>51105</v>
      </c>
      <c r="U222" s="406" t="s">
        <v>3009</v>
      </c>
      <c r="X222" s="406" t="s">
        <v>3006</v>
      </c>
      <c r="Y222" s="406" t="s">
        <v>3007</v>
      </c>
      <c r="Z222" s="406" t="s">
        <v>3008</v>
      </c>
    </row>
    <row r="223" spans="1:26">
      <c r="A223" s="406" t="s">
        <v>1241</v>
      </c>
      <c r="B223" s="406">
        <v>51106</v>
      </c>
      <c r="C223" s="406">
        <f>+'2.CT1A'!A229</f>
        <v>51106</v>
      </c>
      <c r="D223" s="406">
        <f si="7" t="shared"/>
        <v>0</v>
      </c>
      <c r="E223" s="406" t="str">
        <f>+'2.CT1A'!B229</f>
        <v xml:space="preserve">        Эздийн өмчийн бусад хэсэг  </v>
      </c>
      <c r="F223" s="891">
        <f>+'2.CT1A'!C229</f>
        <v>0</v>
      </c>
      <c r="S223" s="406" t="s">
        <v>1241</v>
      </c>
      <c r="T223" s="406">
        <v>51106</v>
      </c>
      <c r="U223" s="406" t="s">
        <v>3009</v>
      </c>
      <c r="X223" s="406" t="s">
        <v>3006</v>
      </c>
      <c r="Y223" s="406" t="s">
        <v>3007</v>
      </c>
      <c r="Z223" s="406" t="s">
        <v>3008</v>
      </c>
    </row>
    <row r="224" spans="1:26">
      <c r="A224" s="406" t="s">
        <v>1241</v>
      </c>
      <c r="B224" s="406">
        <v>512</v>
      </c>
      <c r="C224" s="406">
        <f>+'2.CT1A'!A230</f>
        <v>512</v>
      </c>
      <c r="D224" s="406">
        <f si="7" t="shared"/>
        <v>0</v>
      </c>
      <c r="E224" s="406" t="str">
        <f>+'2.CT1A'!B230</f>
        <v xml:space="preserve">      Хуримтлагдсан үр дүн</v>
      </c>
      <c r="F224" s="891">
        <f>+'2.CT1A'!C230</f>
        <v>0</v>
      </c>
      <c r="S224" s="406" t="s">
        <v>1241</v>
      </c>
      <c r="T224" s="406">
        <v>512</v>
      </c>
      <c r="U224" s="406" t="s">
        <v>3009</v>
      </c>
      <c r="X224" s="406" t="s">
        <v>3006</v>
      </c>
      <c r="Y224" s="406" t="s">
        <v>3007</v>
      </c>
      <c r="Z224" s="406" t="s">
        <v>3008</v>
      </c>
    </row>
    <row r="225" spans="1:26">
      <c r="A225" s="406" t="s">
        <v>1241</v>
      </c>
      <c r="B225" s="406">
        <v>51210</v>
      </c>
      <c r="C225" s="406">
        <f>+'2.CT1A'!A231</f>
        <v>51210</v>
      </c>
      <c r="D225" s="406">
        <f si="7" t="shared"/>
        <v>0</v>
      </c>
      <c r="E225" s="406" t="str">
        <f>+'2.CT1A'!B231</f>
        <v xml:space="preserve">           Өмнөх үеийн үр дүн</v>
      </c>
      <c r="F225" s="891">
        <f>+'2.CT1A'!C231</f>
        <v>0</v>
      </c>
      <c r="S225" s="406" t="s">
        <v>1241</v>
      </c>
      <c r="T225" s="406">
        <v>51210</v>
      </c>
      <c r="U225" s="406" t="s">
        <v>3009</v>
      </c>
      <c r="X225" s="406" t="s">
        <v>3006</v>
      </c>
      <c r="Y225" s="406" t="s">
        <v>3007</v>
      </c>
      <c r="Z225" s="406" t="s">
        <v>3008</v>
      </c>
    </row>
    <row r="226" spans="1:26">
      <c r="A226" s="406" t="s">
        <v>1241</v>
      </c>
      <c r="B226" s="406">
        <v>51220</v>
      </c>
      <c r="C226" s="406">
        <f>+'2.CT1A'!A232</f>
        <v>51220</v>
      </c>
      <c r="D226" s="406">
        <f si="7" t="shared"/>
        <v>0</v>
      </c>
      <c r="E226" s="406" t="str">
        <f>+'2.CT1A'!B232</f>
        <v xml:space="preserve">           Тайлант үеийн үр дүн</v>
      </c>
      <c r="F226" s="891">
        <f>+'2.CT1A'!C232</f>
        <v>0</v>
      </c>
      <c r="S226" s="406" t="s">
        <v>1241</v>
      </c>
      <c r="T226" s="406">
        <v>51220</v>
      </c>
      <c r="U226" s="406" t="s">
        <v>3009</v>
      </c>
      <c r="X226" s="406" t="s">
        <v>3006</v>
      </c>
      <c r="Y226" s="406" t="s">
        <v>3007</v>
      </c>
      <c r="Z226" s="406" t="s">
        <v>3008</v>
      </c>
    </row>
    <row r="227" spans="1:26">
      <c r="A227" s="406" t="s">
        <v>1241</v>
      </c>
      <c r="B227" s="406">
        <v>51230</v>
      </c>
      <c r="C227" s="406">
        <f>+'2.CT1A'!A233</f>
        <v>51230</v>
      </c>
      <c r="D227" s="406">
        <f si="7" t="shared"/>
        <v>0</v>
      </c>
      <c r="E227" s="406" t="str">
        <f>+'2.CT1A'!B233</f>
        <v xml:space="preserve">           Давхардсан гүйлгээг цэвэрлэх данс</v>
      </c>
      <c r="F227" s="891">
        <f>+'2.CT1A'!C233</f>
        <v>0</v>
      </c>
      <c r="S227" s="406" t="s">
        <v>1241</v>
      </c>
      <c r="T227" s="406">
        <v>51230</v>
      </c>
      <c r="U227" s="406" t="s">
        <v>3009</v>
      </c>
      <c r="X227" s="406" t="s">
        <v>3006</v>
      </c>
      <c r="Y227" s="406" t="s">
        <v>3007</v>
      </c>
      <c r="Z227" s="406" t="s">
        <v>3008</v>
      </c>
    </row>
    <row r="228" spans="1:26">
      <c r="A228" s="406" t="s">
        <v>1241</v>
      </c>
      <c r="B228" s="406">
        <v>51300</v>
      </c>
      <c r="C228" s="406">
        <f>+'2.CT1A'!A234</f>
        <v>51300</v>
      </c>
      <c r="D228" s="406">
        <f si="7" t="shared"/>
        <v>0</v>
      </c>
      <c r="E228" s="406" t="str">
        <f>+'2.CT1A'!B234</f>
        <v xml:space="preserve">        Хөрөнгийн дахин үнэлгээний зөрүү</v>
      </c>
      <c r="F228" s="891">
        <f>+'2.CT1A'!C234</f>
        <v>0</v>
      </c>
      <c r="S228" s="406" t="s">
        <v>1241</v>
      </c>
      <c r="T228" s="406">
        <v>51300</v>
      </c>
      <c r="U228" s="406" t="s">
        <v>3009</v>
      </c>
      <c r="X228" s="406" t="s">
        <v>3006</v>
      </c>
      <c r="Y228" s="406" t="s">
        <v>3007</v>
      </c>
      <c r="Z228" s="406" t="s">
        <v>3008</v>
      </c>
    </row>
    <row r="229" spans="1:26">
      <c r="A229" s="406" t="s">
        <v>1241</v>
      </c>
      <c r="B229" s="406">
        <v>51400</v>
      </c>
      <c r="C229" s="406">
        <f>+'2.CT1A'!A235</f>
        <v>51400</v>
      </c>
      <c r="D229" s="406">
        <f si="7" t="shared"/>
        <v>0</v>
      </c>
      <c r="E229" s="406" t="str">
        <f>+'2.CT1A'!B235</f>
        <v xml:space="preserve">        Гадаад валютын хөрвүүлэлтийн зөрүү</v>
      </c>
      <c r="F229" s="891">
        <f>+'2.CT1A'!C235</f>
        <v>0</v>
      </c>
      <c r="S229" s="406" t="s">
        <v>1241</v>
      </c>
      <c r="T229" s="406">
        <v>51400</v>
      </c>
      <c r="U229" s="406" t="s">
        <v>3009</v>
      </c>
      <c r="X229" s="406" t="s">
        <v>3006</v>
      </c>
      <c r="Y229" s="406" t="s">
        <v>3007</v>
      </c>
      <c r="Z229" s="406" t="s">
        <v>3008</v>
      </c>
    </row>
    <row r="230" spans="1:26">
      <c r="A230" s="406" t="s">
        <v>1241</v>
      </c>
      <c r="B230" s="406">
        <v>51500</v>
      </c>
      <c r="C230" s="406">
        <f>+'2.CT1A'!A236</f>
        <v>51500</v>
      </c>
      <c r="D230" s="406">
        <f si="7" t="shared"/>
        <v>0</v>
      </c>
      <c r="E230" s="406" t="str">
        <f>+'2.CT1A'!B236</f>
        <v xml:space="preserve">        Бодлогын өөрчлөлт алдааны залруулга</v>
      </c>
      <c r="F230" s="891">
        <f>+'2.CT1A'!C236</f>
        <v>0</v>
      </c>
      <c r="S230" s="406" t="s">
        <v>1241</v>
      </c>
      <c r="T230" s="406">
        <v>51500</v>
      </c>
      <c r="U230" s="406" t="s">
        <v>3009</v>
      </c>
      <c r="X230" s="406" t="s">
        <v>3006</v>
      </c>
      <c r="Y230" s="406" t="s">
        <v>3007</v>
      </c>
      <c r="Z230" s="406" t="s">
        <v>3008</v>
      </c>
    </row>
    <row r="231" spans="1:26">
      <c r="A231" s="406" t="s">
        <v>1241</v>
      </c>
      <c r="B231" s="406">
        <v>51600</v>
      </c>
      <c r="C231" s="406">
        <f>+'2.CT1A'!A237</f>
        <v>51600</v>
      </c>
      <c r="D231" s="406">
        <f si="7" t="shared"/>
        <v>0</v>
      </c>
      <c r="E231" s="406" t="str">
        <f>+'2.CT1A'!B237</f>
        <v xml:space="preserve">        Нөөцийн сан</v>
      </c>
      <c r="F231" s="891">
        <f>+'2.CT1A'!C237</f>
        <v>0</v>
      </c>
      <c r="S231" s="406" t="s">
        <v>1241</v>
      </c>
      <c r="T231" s="406">
        <v>51600</v>
      </c>
      <c r="U231" s="406" t="s">
        <v>3009</v>
      </c>
      <c r="X231" s="406" t="s">
        <v>3006</v>
      </c>
      <c r="Y231" s="406" t="s">
        <v>3007</v>
      </c>
      <c r="Z231" s="406" t="s">
        <v>3008</v>
      </c>
    </row>
    <row r="232" spans="1:26">
      <c r="A232" s="406" t="s">
        <v>1241</v>
      </c>
      <c r="B232" s="406">
        <v>6</v>
      </c>
      <c r="C232" s="406">
        <f>+'2.CT1A'!A238</f>
        <v>6</v>
      </c>
      <c r="D232" s="406">
        <f si="7" t="shared"/>
        <v>0</v>
      </c>
      <c r="E232" s="406" t="str">
        <f>+'2.CT1A'!B238</f>
        <v>ӨР ТӨЛБӨР, ЦЭВЭР ХӨРӨНГӨ ӨМЧИЙН ДҮН VI=IV+V</v>
      </c>
      <c r="F232" s="891">
        <f>+'2.CT1A'!C238</f>
        <v>0</v>
      </c>
      <c r="S232" s="406" t="s">
        <v>1241</v>
      </c>
      <c r="T232" s="406">
        <v>6</v>
      </c>
      <c r="U232" s="406" t="s">
        <v>3009</v>
      </c>
      <c r="X232" s="406" t="s">
        <v>3006</v>
      </c>
      <c r="Y232" s="406" t="s">
        <v>3007</v>
      </c>
      <c r="Z232" s="406" t="s">
        <v>3008</v>
      </c>
    </row>
    <row r="233" spans="1:26">
      <c r="A233" s="406" t="s">
        <v>1242</v>
      </c>
      <c r="B233" s="406">
        <v>1</v>
      </c>
      <c r="C233" s="406">
        <f>+'3.CT2A'!A8</f>
        <v>1</v>
      </c>
      <c r="D233" s="406">
        <f si="7" t="shared"/>
        <v>0</v>
      </c>
      <c r="E233" s="406" t="str">
        <f>+'3.CT2A'!B8</f>
        <v>YЙЛ АЖИЛЛАГААНЫ ОРЛОГЫН ДYН (I)</v>
      </c>
      <c r="S233" s="406" t="s">
        <v>1242</v>
      </c>
      <c r="T233" s="406">
        <v>1</v>
      </c>
      <c r="U233" s="406" t="s">
        <v>32</v>
      </c>
    </row>
    <row r="234" spans="1:26">
      <c r="A234" s="406" t="s">
        <v>1242</v>
      </c>
      <c r="B234" s="406">
        <v>11</v>
      </c>
      <c r="C234" s="406">
        <f>+'3.CT2A'!A9</f>
        <v>11</v>
      </c>
      <c r="D234" s="406">
        <f si="7" t="shared"/>
        <v>0</v>
      </c>
      <c r="E234" s="406" t="str">
        <f>+'3.CT2A'!B9</f>
        <v xml:space="preserve"> ТАТВАРЫН ОРЛОГО</v>
      </c>
      <c r="S234" s="406" t="s">
        <v>1242</v>
      </c>
      <c r="T234" s="406">
        <v>11</v>
      </c>
      <c r="U234" s="406" t="s">
        <v>32</v>
      </c>
    </row>
    <row r="235" spans="1:26">
      <c r="A235" s="406" t="s">
        <v>1242</v>
      </c>
      <c r="B235" s="406">
        <v>110</v>
      </c>
      <c r="C235" s="406">
        <f>+'3.CT2A'!A10</f>
        <v>110</v>
      </c>
      <c r="D235" s="406">
        <f si="7" t="shared"/>
        <v>0</v>
      </c>
      <c r="E235" s="406" t="str">
        <f>+'3.CT2A'!B10</f>
        <v xml:space="preserve">   Орлогын албан татвар</v>
      </c>
      <c r="S235" s="406" t="s">
        <v>1242</v>
      </c>
      <c r="T235" s="406">
        <v>110</v>
      </c>
      <c r="U235" s="406" t="s">
        <v>32</v>
      </c>
    </row>
    <row r="236" spans="1:26">
      <c r="A236" s="406" t="s">
        <v>1242</v>
      </c>
      <c r="B236" s="406">
        <v>1100</v>
      </c>
      <c r="C236" s="406">
        <f>+'3.CT2A'!A11</f>
        <v>1100</v>
      </c>
      <c r="D236" s="406">
        <f si="7" t="shared"/>
        <v>0</v>
      </c>
      <c r="E236" s="406" t="str">
        <f>+'3.CT2A'!B11</f>
        <v xml:space="preserve">     Хувь хүний орлогын албан татвар</v>
      </c>
      <c r="S236" s="406" t="s">
        <v>1242</v>
      </c>
      <c r="T236" s="406">
        <v>1100</v>
      </c>
      <c r="U236" s="406" t="s">
        <v>32</v>
      </c>
    </row>
    <row r="237" spans="1:26">
      <c r="A237" s="406" t="s">
        <v>1242</v>
      </c>
      <c r="B237" s="406">
        <v>110001</v>
      </c>
      <c r="C237" s="406">
        <f>+'3.CT2A'!A12</f>
        <v>110001</v>
      </c>
      <c r="D237" s="406">
        <f si="7" t="shared"/>
        <v>0</v>
      </c>
      <c r="E237" s="406" t="str">
        <f>+'3.CT2A'!B12</f>
        <v xml:space="preserve">       Цалин, хөдөлмөрийн хөлс, шагнал, урамшуулал болон тэдгээртэй адилтгах хөдөлмөр эрх</v>
      </c>
      <c r="S237" s="406" t="s">
        <v>1242</v>
      </c>
      <c r="T237" s="406">
        <v>110001</v>
      </c>
      <c r="U237" s="406" t="s">
        <v>32</v>
      </c>
    </row>
    <row r="238" spans="1:26">
      <c r="A238" s="406" t="s">
        <v>1242</v>
      </c>
      <c r="B238" s="406">
        <v>110002</v>
      </c>
      <c r="C238" s="406">
        <f>+'3.CT2A'!A13</f>
        <v>110002</v>
      </c>
      <c r="D238" s="406">
        <f si="7" t="shared"/>
        <v>0</v>
      </c>
      <c r="E238" s="406" t="str">
        <f>+'3.CT2A'!B13</f>
        <v xml:space="preserve">       Үйл ажиллагааны орлого</v>
      </c>
      <c r="S238" s="406" t="s">
        <v>1242</v>
      </c>
      <c r="T238" s="406">
        <v>110002</v>
      </c>
      <c r="U238" s="406" t="s">
        <v>32</v>
      </c>
    </row>
    <row r="239" spans="1:26">
      <c r="A239" s="406" t="s">
        <v>1242</v>
      </c>
      <c r="B239" s="406">
        <v>110003</v>
      </c>
      <c r="C239" s="406">
        <f>+'3.CT2A'!A14</f>
        <v>110003</v>
      </c>
      <c r="D239" s="406">
        <f si="7" t="shared"/>
        <v>0</v>
      </c>
      <c r="E239" s="406" t="str">
        <f>+'3.CT2A'!B14</f>
        <v xml:space="preserve">       Хөрөнгийн орлого</v>
      </c>
      <c r="S239" s="406" t="s">
        <v>1242</v>
      </c>
      <c r="T239" s="406">
        <v>110003</v>
      </c>
      <c r="U239" s="406" t="s">
        <v>32</v>
      </c>
    </row>
    <row r="240" spans="1:26">
      <c r="A240" s="406" t="s">
        <v>1242</v>
      </c>
      <c r="B240" s="406">
        <v>110004</v>
      </c>
      <c r="C240" s="406">
        <f>+'3.CT2A'!A15</f>
        <v>110004</v>
      </c>
      <c r="D240" s="406">
        <f si="7" t="shared"/>
        <v>0</v>
      </c>
      <c r="E240" s="406" t="str">
        <f>+'3.CT2A'!B15</f>
        <v xml:space="preserve">       Хөрөнгө борлуулсны орлого</v>
      </c>
      <c r="S240" s="406" t="s">
        <v>1242</v>
      </c>
      <c r="T240" s="406">
        <v>110004</v>
      </c>
      <c r="U240" s="406" t="s">
        <v>32</v>
      </c>
    </row>
    <row r="241" spans="1:21">
      <c r="A241" s="406" t="s">
        <v>1242</v>
      </c>
      <c r="B241" s="406">
        <v>110005</v>
      </c>
      <c r="C241" s="406">
        <f>+'3.CT2A'!A16</f>
        <v>110005</v>
      </c>
      <c r="D241" s="406">
        <f si="7" t="shared"/>
        <v>0</v>
      </c>
      <c r="E241" s="406"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6" t="s">
        <v>1242</v>
      </c>
      <c r="T241" s="406">
        <v>110005</v>
      </c>
      <c r="U241" s="406" t="s">
        <v>32</v>
      </c>
    </row>
    <row r="242" spans="1:21">
      <c r="A242" s="406" t="s">
        <v>1242</v>
      </c>
      <c r="B242" s="406">
        <v>110006</v>
      </c>
      <c r="C242" s="406">
        <f>+'3.CT2A'!A17</f>
        <v>110006</v>
      </c>
      <c r="D242" s="406">
        <f si="7" t="shared"/>
        <v>0</v>
      </c>
      <c r="E242" s="406" t="str">
        <f>+'3.CT2A'!B17</f>
        <v xml:space="preserve">        Урлагийн тоглолт, спортын тэмцээний шагнал, наадмын бай шагнал</v>
      </c>
      <c r="S242" s="406" t="s">
        <v>1242</v>
      </c>
      <c r="T242" s="406">
        <v>110006</v>
      </c>
      <c r="U242" s="406" t="s">
        <v>32</v>
      </c>
    </row>
    <row r="243" spans="1:21">
      <c r="A243" s="406" t="s">
        <v>1242</v>
      </c>
      <c r="B243" s="406">
        <v>110007</v>
      </c>
      <c r="C243" s="406">
        <f>+'3.CT2A'!A18</f>
        <v>110007</v>
      </c>
      <c r="D243" s="406">
        <f si="7" t="shared"/>
        <v>0</v>
      </c>
      <c r="E243" s="406" t="str">
        <f>+'3.CT2A'!B18</f>
        <v xml:space="preserve">        Төлбөрт таавар, бооцоот тоглоом, эд мөнгөний хонжворт сугалааны орлого</v>
      </c>
      <c r="S243" s="406" t="s">
        <v>1242</v>
      </c>
      <c r="T243" s="406">
        <v>110007</v>
      </c>
      <c r="U243" s="406" t="s">
        <v>32</v>
      </c>
    </row>
    <row r="244" spans="1:21">
      <c r="A244" s="406" t="s">
        <v>1242</v>
      </c>
      <c r="B244" s="406">
        <v>110008</v>
      </c>
      <c r="C244" s="406">
        <f>+'3.CT2A'!A19</f>
        <v>110008</v>
      </c>
      <c r="D244" s="406">
        <f si="7" t="shared"/>
        <v>0</v>
      </c>
      <c r="E244" s="406" t="str">
        <f>+'3.CT2A'!B19</f>
        <v xml:space="preserve">        Шууд бус орлого</v>
      </c>
      <c r="S244" s="406" t="s">
        <v>1242</v>
      </c>
      <c r="T244" s="406">
        <v>110008</v>
      </c>
      <c r="U244" s="406" t="s">
        <v>32</v>
      </c>
    </row>
    <row r="245" spans="1:21">
      <c r="A245" s="406" t="s">
        <v>1242</v>
      </c>
      <c r="B245" s="406">
        <v>1101</v>
      </c>
      <c r="C245" s="406">
        <f>+'3.CT2A'!A20</f>
        <v>1101</v>
      </c>
      <c r="D245" s="406">
        <f si="7" t="shared"/>
        <v>0</v>
      </c>
      <c r="E245" s="406" t="str">
        <f>+'3.CT2A'!B20</f>
        <v xml:space="preserve">     Хувь хүний орлогын албан татварын буцаан олголт</v>
      </c>
      <c r="S245" s="406" t="s">
        <v>1242</v>
      </c>
      <c r="T245" s="406">
        <v>1101</v>
      </c>
      <c r="U245" s="406" t="s">
        <v>32</v>
      </c>
    </row>
    <row r="246" spans="1:21">
      <c r="A246" s="406" t="s">
        <v>1242</v>
      </c>
      <c r="B246" s="406">
        <v>110101</v>
      </c>
      <c r="C246" s="406">
        <f>+'3.CT2A'!A21</f>
        <v>110101</v>
      </c>
      <c r="D246" s="406">
        <f si="7" t="shared"/>
        <v>0</v>
      </c>
      <c r="E246" s="406" t="str">
        <f>+'3.CT2A'!B21</f>
        <v xml:space="preserve">        Хувь хүний орлогын албан татварын буцаан олголт</v>
      </c>
      <c r="S246" s="406" t="s">
        <v>1242</v>
      </c>
      <c r="T246" s="406">
        <v>110101</v>
      </c>
      <c r="U246" s="406" t="s">
        <v>32</v>
      </c>
    </row>
    <row r="247" spans="1:21">
      <c r="A247" s="406" t="s">
        <v>1242</v>
      </c>
      <c r="B247" s="406">
        <v>1102</v>
      </c>
      <c r="C247" s="406">
        <f>+'3.CT2A'!A22</f>
        <v>1102</v>
      </c>
      <c r="D247" s="406">
        <f si="7" t="shared"/>
        <v>0</v>
      </c>
      <c r="E247" s="406" t="str">
        <f>+'3.CT2A'!B22</f>
        <v xml:space="preserve">     Орлогыг нь тухай бүр тодорхойлох боломжгүй ажил, үйлчилгээ хувиараа эрхлэгч</v>
      </c>
      <c r="S247" s="406" t="s">
        <v>1242</v>
      </c>
      <c r="T247" s="406">
        <v>1102</v>
      </c>
      <c r="U247" s="406" t="s">
        <v>32</v>
      </c>
    </row>
    <row r="248" spans="1:21">
      <c r="A248" s="406" t="s">
        <v>1242</v>
      </c>
      <c r="B248" s="406">
        <v>110201</v>
      </c>
      <c r="C248" s="406">
        <f>+'3.CT2A'!A23</f>
        <v>110201</v>
      </c>
      <c r="D248" s="406">
        <f si="7" t="shared"/>
        <v>0</v>
      </c>
      <c r="E248" s="406" t="str">
        <f>+'3.CT2A'!B23</f>
        <v xml:space="preserve">       Орлогыг нь тухай бүр тодорхойлох боломжгүй ажил, үйлчилгээ хувиараа эрхлэгч иргэний орлогын албан татвар</v>
      </c>
      <c r="S248" s="406" t="s">
        <v>1242</v>
      </c>
      <c r="T248" s="406">
        <v>110201</v>
      </c>
      <c r="U248" s="406" t="s">
        <v>32</v>
      </c>
    </row>
    <row r="249" spans="1:21">
      <c r="A249" s="406" t="s">
        <v>1242</v>
      </c>
      <c r="B249" s="406">
        <v>1103</v>
      </c>
      <c r="C249" s="406">
        <f>+'3.CT2A'!A24</f>
        <v>1103</v>
      </c>
      <c r="D249" s="406">
        <f si="7" t="shared"/>
        <v>0</v>
      </c>
      <c r="E249" s="406" t="str">
        <f>+'3.CT2A'!B24</f>
        <v xml:space="preserve">     ААН-ын орлогын албан татвар</v>
      </c>
      <c r="S249" s="406" t="s">
        <v>1242</v>
      </c>
      <c r="T249" s="406">
        <v>1103</v>
      </c>
      <c r="U249" s="406" t="s">
        <v>32</v>
      </c>
    </row>
    <row r="250" spans="1:21">
      <c r="A250" s="406" t="s">
        <v>1242</v>
      </c>
      <c r="B250" s="406">
        <v>110301</v>
      </c>
      <c r="C250" s="406">
        <f>+'3.CT2A'!A25</f>
        <v>110301</v>
      </c>
      <c r="D250" s="406">
        <f si="7" t="shared"/>
        <v>0</v>
      </c>
      <c r="E250" s="406" t="str">
        <f>+'3.CT2A'!B25</f>
        <v xml:space="preserve">        ААН-ын орлогын албан татвар</v>
      </c>
      <c r="S250" s="406" t="s">
        <v>1242</v>
      </c>
      <c r="T250" s="406">
        <v>110301</v>
      </c>
      <c r="U250" s="406" t="s">
        <v>32</v>
      </c>
    </row>
    <row r="251" spans="1:21">
      <c r="A251" s="406" t="s">
        <v>1242</v>
      </c>
      <c r="B251" s="406">
        <v>1104</v>
      </c>
      <c r="C251" s="406">
        <f>+'3.CT2A'!A26</f>
        <v>1104</v>
      </c>
      <c r="D251" s="406">
        <f si="7" t="shared"/>
        <v>0</v>
      </c>
      <c r="E251" s="406" t="str">
        <f>+'3.CT2A'!B26</f>
        <v xml:space="preserve">     Зарим бүтээгдэхүүний үнийн өсөлтийн албан татвар</v>
      </c>
      <c r="S251" s="406" t="s">
        <v>1242</v>
      </c>
      <c r="T251" s="406">
        <v>1104</v>
      </c>
      <c r="U251" s="406" t="s">
        <v>32</v>
      </c>
    </row>
    <row r="252" spans="1:21">
      <c r="A252" s="406" t="s">
        <v>1242</v>
      </c>
      <c r="B252" s="406">
        <v>110401</v>
      </c>
      <c r="C252" s="406">
        <f>+'3.CT2A'!A27</f>
        <v>110401</v>
      </c>
      <c r="D252" s="406">
        <f si="7" t="shared"/>
        <v>0</v>
      </c>
      <c r="E252" s="406" t="str">
        <f>+'3.CT2A'!B27</f>
        <v xml:space="preserve">               Зарим бүтээгдэхүүний үнийн өсөлтийн албан татвар</v>
      </c>
      <c r="S252" s="406" t="s">
        <v>1242</v>
      </c>
      <c r="T252" s="406">
        <v>110401</v>
      </c>
      <c r="U252" s="406" t="s">
        <v>32</v>
      </c>
    </row>
    <row r="253" spans="1:21">
      <c r="A253" s="406" t="s">
        <v>1242</v>
      </c>
      <c r="B253" s="406">
        <v>112</v>
      </c>
      <c r="C253" s="406">
        <f>+'3.CT2A'!A28</f>
        <v>112</v>
      </c>
      <c r="D253" s="406">
        <f si="7" t="shared"/>
        <v>0</v>
      </c>
      <c r="E253" s="406" t="str">
        <f>+'3.CT2A'!B28</f>
        <v xml:space="preserve">  Нийгмийн даатгалын шимтгэлийн орлого</v>
      </c>
      <c r="S253" s="406" t="s">
        <v>1242</v>
      </c>
      <c r="T253" s="406">
        <v>112</v>
      </c>
      <c r="U253" s="406" t="s">
        <v>32</v>
      </c>
    </row>
    <row r="254" spans="1:21">
      <c r="A254" s="406" t="s">
        <v>1242</v>
      </c>
      <c r="B254" s="406">
        <v>112001</v>
      </c>
      <c r="C254" s="406">
        <f>+'3.CT2A'!A29</f>
        <v>112001</v>
      </c>
      <c r="D254" s="406">
        <f si="7" t="shared"/>
        <v>0</v>
      </c>
      <c r="E254" s="406" t="str">
        <f>+'3.CT2A'!B29</f>
        <v xml:space="preserve">    Тэтгэврийн даатгалын шимтгэл</v>
      </c>
      <c r="S254" s="406" t="s">
        <v>1242</v>
      </c>
      <c r="T254" s="406">
        <v>112001</v>
      </c>
      <c r="U254" s="406" t="s">
        <v>32</v>
      </c>
    </row>
    <row r="255" spans="1:21">
      <c r="A255" s="406" t="s">
        <v>1242</v>
      </c>
      <c r="B255" s="406">
        <v>112002</v>
      </c>
      <c r="C255" s="406">
        <f>+'3.CT2A'!A30</f>
        <v>112002</v>
      </c>
      <c r="D255" s="406">
        <f si="7" t="shared"/>
        <v>0</v>
      </c>
      <c r="E255" s="406" t="str">
        <f>+'3.CT2A'!B30</f>
        <v xml:space="preserve">    Тэтгэмжийн даатгалын шимтгэл</v>
      </c>
      <c r="S255" s="406" t="s">
        <v>1242</v>
      </c>
      <c r="T255" s="406">
        <v>112002</v>
      </c>
      <c r="U255" s="406" t="s">
        <v>32</v>
      </c>
    </row>
    <row r="256" spans="1:21">
      <c r="A256" s="406" t="s">
        <v>1242</v>
      </c>
      <c r="B256" s="406">
        <v>112003</v>
      </c>
      <c r="C256" s="406">
        <f>+'3.CT2A'!A31</f>
        <v>112003</v>
      </c>
      <c r="D256" s="406">
        <f si="7" t="shared"/>
        <v>0</v>
      </c>
      <c r="E256" s="406" t="str">
        <f>+'3.CT2A'!B31</f>
        <v xml:space="preserve">    ҮОМШ өвчний даатгалын шимтгэл</v>
      </c>
      <c r="S256" s="406" t="s">
        <v>1242</v>
      </c>
      <c r="T256" s="406">
        <v>112003</v>
      </c>
      <c r="U256" s="406" t="s">
        <v>32</v>
      </c>
    </row>
    <row r="257" spans="1:21">
      <c r="A257" s="406" t="s">
        <v>1242</v>
      </c>
      <c r="B257" s="406">
        <v>112004</v>
      </c>
      <c r="C257" s="406">
        <f>+'3.CT2A'!A32</f>
        <v>112004</v>
      </c>
      <c r="D257" s="406">
        <f si="7" t="shared"/>
        <v>0</v>
      </c>
      <c r="E257" s="406" t="str">
        <f>+'3.CT2A'!B32</f>
        <v xml:space="preserve">    Ажилгүйдлийн даатгалын шимтгэл</v>
      </c>
      <c r="S257" s="406" t="s">
        <v>1242</v>
      </c>
      <c r="T257" s="406">
        <v>112004</v>
      </c>
      <c r="U257" s="406" t="s">
        <v>32</v>
      </c>
    </row>
    <row r="258" spans="1:21">
      <c r="A258" s="406" t="s">
        <v>1242</v>
      </c>
      <c r="B258" s="406">
        <v>112005</v>
      </c>
      <c r="C258" s="406">
        <f>+'3.CT2A'!A33</f>
        <v>112005</v>
      </c>
      <c r="D258" s="406">
        <f si="7" t="shared"/>
        <v>0</v>
      </c>
      <c r="E258" s="406" t="str">
        <f>+'3.CT2A'!B33</f>
        <v xml:space="preserve">    Эрүүл мэндийн даатгалын шимтгэл</v>
      </c>
      <c r="S258" s="406" t="s">
        <v>1242</v>
      </c>
      <c r="T258" s="406">
        <v>112005</v>
      </c>
      <c r="U258" s="406" t="s">
        <v>32</v>
      </c>
    </row>
    <row r="259" spans="1:21">
      <c r="A259" s="406" t="s">
        <v>1242</v>
      </c>
      <c r="B259" s="406">
        <v>113</v>
      </c>
      <c r="C259" s="406">
        <f>+'3.CT2A'!A34</f>
        <v>113</v>
      </c>
      <c r="D259" s="406">
        <f ref="D259:D322" si="8" t="shared">IF(B259=VALUE(C259),0,1)</f>
        <v>0</v>
      </c>
      <c r="E259" s="406" t="str">
        <f>+'3.CT2A'!B34</f>
        <v xml:space="preserve">  Хөрөнгийн албан татвар</v>
      </c>
      <c r="S259" s="406" t="s">
        <v>1242</v>
      </c>
      <c r="T259" s="406">
        <v>113</v>
      </c>
      <c r="U259" s="406" t="s">
        <v>32</v>
      </c>
    </row>
    <row r="260" spans="1:21">
      <c r="A260" s="406" t="s">
        <v>1242</v>
      </c>
      <c r="B260" s="406">
        <v>113001</v>
      </c>
      <c r="C260" s="406">
        <f>+'3.CT2A'!A35</f>
        <v>113001</v>
      </c>
      <c r="D260" s="406">
        <f si="8" t="shared"/>
        <v>0</v>
      </c>
      <c r="E260" s="406" t="str">
        <f>+'3.CT2A'!B35</f>
        <v xml:space="preserve">    Үл хөдлөх эд хөрөнгийн албан татвар</v>
      </c>
      <c r="S260" s="406" t="s">
        <v>1242</v>
      </c>
      <c r="T260" s="406">
        <v>113001</v>
      </c>
      <c r="U260" s="406" t="s">
        <v>32</v>
      </c>
    </row>
    <row r="261" spans="1:21">
      <c r="A261" s="406" t="s">
        <v>1242</v>
      </c>
      <c r="B261" s="406">
        <v>113002</v>
      </c>
      <c r="C261" s="406">
        <f>+'3.CT2A'!A36</f>
        <v>113002</v>
      </c>
      <c r="D261" s="406">
        <f si="8" t="shared"/>
        <v>0</v>
      </c>
      <c r="E261" s="406" t="str">
        <f>+'3.CT2A'!B36</f>
        <v xml:space="preserve">    Бууны албан татвар</v>
      </c>
      <c r="S261" s="406" t="s">
        <v>1242</v>
      </c>
      <c r="T261" s="406">
        <v>113002</v>
      </c>
      <c r="U261" s="406" t="s">
        <v>32</v>
      </c>
    </row>
    <row r="262" spans="1:21">
      <c r="A262" s="406" t="s">
        <v>1242</v>
      </c>
      <c r="B262" s="406">
        <v>113003</v>
      </c>
      <c r="C262" s="406">
        <f>+'3.CT2A'!A37</f>
        <v>113003</v>
      </c>
      <c r="D262" s="406">
        <f si="8" t="shared"/>
        <v>0</v>
      </c>
      <c r="E262" s="406" t="str">
        <f>+'3.CT2A'!B37</f>
        <v xml:space="preserve">    Автотээврийн болон өөрөө явагч хэрэгслийн албан татвар</v>
      </c>
      <c r="S262" s="406" t="s">
        <v>1242</v>
      </c>
      <c r="T262" s="406">
        <v>113003</v>
      </c>
      <c r="U262" s="406" t="s">
        <v>32</v>
      </c>
    </row>
    <row r="263" spans="1:21">
      <c r="A263" s="406" t="s">
        <v>1242</v>
      </c>
      <c r="B263" s="406">
        <v>113004</v>
      </c>
      <c r="C263" s="406">
        <f>+'3.CT2A'!A38</f>
        <v>113004</v>
      </c>
      <c r="D263" s="406">
        <f si="8" t="shared"/>
        <v>0</v>
      </c>
      <c r="E263" s="406" t="str">
        <f>+'3.CT2A'!B38</f>
        <v xml:space="preserve">    Малд ногдуулах албан татвар</v>
      </c>
      <c r="S263" s="406" t="s">
        <v>1242</v>
      </c>
      <c r="T263" s="406">
        <v>113004</v>
      </c>
      <c r="U263" s="406" t="s">
        <v>32</v>
      </c>
    </row>
    <row r="264" spans="1:21">
      <c r="A264" s="406" t="s">
        <v>1242</v>
      </c>
      <c r="B264" s="406">
        <v>114</v>
      </c>
      <c r="C264" s="406">
        <f>+'3.CT2A'!A39</f>
        <v>114</v>
      </c>
      <c r="D264" s="406">
        <f si="8" t="shared"/>
        <v>0</v>
      </c>
      <c r="E264" s="406" t="str">
        <f>+'3.CT2A'!B39</f>
        <v xml:space="preserve">  Нэмэгдсэн өртгийн албан татвар</v>
      </c>
      <c r="S264" s="406" t="s">
        <v>1242</v>
      </c>
      <c r="T264" s="406">
        <v>114</v>
      </c>
      <c r="U264" s="406" t="s">
        <v>32</v>
      </c>
    </row>
    <row r="265" spans="1:21">
      <c r="A265" s="406" t="s">
        <v>1242</v>
      </c>
      <c r="B265" s="406">
        <v>114001</v>
      </c>
      <c r="C265" s="406">
        <f>+'3.CT2A'!A40</f>
        <v>114001</v>
      </c>
      <c r="D265" s="406">
        <f si="8" t="shared"/>
        <v>0</v>
      </c>
      <c r="E265" s="406" t="str">
        <f>+'3.CT2A'!B40</f>
        <v xml:space="preserve">    Дотоодын барааны НӨАТ</v>
      </c>
      <c r="S265" s="406" t="s">
        <v>1242</v>
      </c>
      <c r="T265" s="406">
        <v>114001</v>
      </c>
      <c r="U265" s="406" t="s">
        <v>32</v>
      </c>
    </row>
    <row r="266" spans="1:21">
      <c r="A266" s="406" t="s">
        <v>1242</v>
      </c>
      <c r="B266" s="406">
        <v>114002</v>
      </c>
      <c r="C266" s="406">
        <f>+'3.CT2A'!A41</f>
        <v>114002</v>
      </c>
      <c r="D266" s="406">
        <f si="8" t="shared"/>
        <v>0</v>
      </c>
      <c r="E266" s="406" t="str">
        <f>+'3.CT2A'!B41</f>
        <v xml:space="preserve">    Импортын барааны НӨАТ</v>
      </c>
      <c r="S266" s="406" t="s">
        <v>1242</v>
      </c>
      <c r="T266" s="406">
        <v>114002</v>
      </c>
      <c r="U266" s="406" t="s">
        <v>32</v>
      </c>
    </row>
    <row r="267" spans="1:21">
      <c r="A267" s="406" t="s">
        <v>1242</v>
      </c>
      <c r="B267" s="406">
        <v>114003</v>
      </c>
      <c r="C267" s="406">
        <f>+'3.CT2A'!A42</f>
        <v>114003</v>
      </c>
      <c r="D267" s="406">
        <f si="8" t="shared"/>
        <v>0</v>
      </c>
      <c r="E267" s="406" t="str">
        <f>+'3.CT2A'!B42</f>
        <v xml:space="preserve">    НӨАТ-ын буцаан олголт</v>
      </c>
      <c r="S267" s="406" t="s">
        <v>1242</v>
      </c>
      <c r="T267" s="406">
        <v>114003</v>
      </c>
      <c r="U267" s="406" t="s">
        <v>32</v>
      </c>
    </row>
    <row r="268" spans="1:21">
      <c r="A268" s="406" t="s">
        <v>1242</v>
      </c>
      <c r="B268" s="406">
        <v>115</v>
      </c>
      <c r="C268" s="406">
        <f>+'3.CT2A'!A43</f>
        <v>115</v>
      </c>
      <c r="D268" s="406">
        <f si="8" t="shared"/>
        <v>0</v>
      </c>
      <c r="E268" s="406" t="str">
        <f>+'3.CT2A'!B43</f>
        <v xml:space="preserve">  Онцгой албан татвар</v>
      </c>
      <c r="S268" s="406" t="s">
        <v>1242</v>
      </c>
      <c r="T268" s="406">
        <v>115</v>
      </c>
      <c r="U268" s="406" t="s">
        <v>32</v>
      </c>
    </row>
    <row r="269" spans="1:21">
      <c r="A269" s="406" t="s">
        <v>1242</v>
      </c>
      <c r="B269" s="406">
        <v>115001</v>
      </c>
      <c r="C269" s="406">
        <f>+'3.CT2A'!A44</f>
        <v>115001</v>
      </c>
      <c r="D269" s="406">
        <f si="8" t="shared"/>
        <v>0</v>
      </c>
      <c r="E269" s="406" t="str">
        <f>+'3.CT2A'!B44</f>
        <v xml:space="preserve">    Дотоодын архи, дарсны онцгой албан татвар</v>
      </c>
      <c r="S269" s="406" t="s">
        <v>1242</v>
      </c>
      <c r="T269" s="406">
        <v>115001</v>
      </c>
      <c r="U269" s="406" t="s">
        <v>32</v>
      </c>
    </row>
    <row r="270" spans="1:21">
      <c r="A270" s="406" t="s">
        <v>1242</v>
      </c>
      <c r="B270" s="406">
        <v>115002</v>
      </c>
      <c r="C270" s="406">
        <f>+'3.CT2A'!A45</f>
        <v>115002</v>
      </c>
      <c r="D270" s="406">
        <f si="8" t="shared"/>
        <v>0</v>
      </c>
      <c r="E270" s="406" t="str">
        <f>+'3.CT2A'!B45</f>
        <v xml:space="preserve">    Дотоодын тамхины онцгой албан татвар</v>
      </c>
      <c r="S270" s="406" t="s">
        <v>1242</v>
      </c>
      <c r="T270" s="406">
        <v>115002</v>
      </c>
      <c r="U270" s="406" t="s">
        <v>32</v>
      </c>
    </row>
    <row r="271" spans="1:21">
      <c r="A271" s="406" t="s">
        <v>1242</v>
      </c>
      <c r="B271" s="406">
        <v>115003</v>
      </c>
      <c r="C271" s="406">
        <f>+'3.CT2A'!A46</f>
        <v>115003</v>
      </c>
      <c r="D271" s="406">
        <f si="8" t="shared"/>
        <v>0</v>
      </c>
      <c r="E271" s="406" t="str">
        <f>+'3.CT2A'!B46</f>
        <v xml:space="preserve">    Дотоодын пивоны онцгой албан татвар</v>
      </c>
      <c r="S271" s="406" t="s">
        <v>1242</v>
      </c>
      <c r="T271" s="406">
        <v>115003</v>
      </c>
      <c r="U271" s="406" t="s">
        <v>32</v>
      </c>
    </row>
    <row r="272" spans="1:21">
      <c r="A272" s="406" t="s">
        <v>1242</v>
      </c>
      <c r="B272" s="406">
        <v>115004</v>
      </c>
      <c r="C272" s="406">
        <f>+'3.CT2A'!A47</f>
        <v>115004</v>
      </c>
      <c r="D272" s="406">
        <f si="8" t="shared"/>
        <v>0</v>
      </c>
      <c r="E272" s="406" t="str">
        <f>+'3.CT2A'!B47</f>
        <v xml:space="preserve">    Имтортын архи, дарсны онцгой албан татвар</v>
      </c>
      <c r="S272" s="406" t="s">
        <v>1242</v>
      </c>
      <c r="T272" s="406">
        <v>115004</v>
      </c>
      <c r="U272" s="406" t="s">
        <v>32</v>
      </c>
    </row>
    <row r="273" spans="1:21">
      <c r="A273" s="406" t="s">
        <v>1242</v>
      </c>
      <c r="B273" s="406">
        <v>115005</v>
      </c>
      <c r="C273" s="406">
        <f>+'3.CT2A'!A48</f>
        <v>115005</v>
      </c>
      <c r="D273" s="406">
        <f si="8" t="shared"/>
        <v>0</v>
      </c>
      <c r="E273" s="406" t="str">
        <f>+'3.CT2A'!B48</f>
        <v xml:space="preserve">    Имтортын тамхины онцгой албан татвар</v>
      </c>
      <c r="S273" s="406" t="s">
        <v>1242</v>
      </c>
      <c r="T273" s="406">
        <v>115005</v>
      </c>
      <c r="U273" s="406" t="s">
        <v>32</v>
      </c>
    </row>
    <row r="274" spans="1:21">
      <c r="A274" s="406" t="s">
        <v>1242</v>
      </c>
      <c r="B274" s="406">
        <v>115006</v>
      </c>
      <c r="C274" s="406">
        <f>+'3.CT2A'!A49</f>
        <v>115006</v>
      </c>
      <c r="D274" s="406">
        <f si="8" t="shared"/>
        <v>0</v>
      </c>
      <c r="E274" s="406" t="str">
        <f>+'3.CT2A'!B49</f>
        <v xml:space="preserve">    Имтортын пивоны онцгой албан татвар</v>
      </c>
      <c r="S274" s="406" t="s">
        <v>1242</v>
      </c>
      <c r="T274" s="406">
        <v>115006</v>
      </c>
      <c r="U274" s="406" t="s">
        <v>32</v>
      </c>
    </row>
    <row r="275" spans="1:21">
      <c r="A275" s="406" t="s">
        <v>1242</v>
      </c>
      <c r="B275" s="406">
        <v>115007</v>
      </c>
      <c r="C275" s="406">
        <f>+'3.CT2A'!A50</f>
        <v>115007</v>
      </c>
      <c r="D275" s="406">
        <f si="8" t="shared"/>
        <v>0</v>
      </c>
      <c r="E275" s="406" t="str">
        <f>+'3.CT2A'!B50</f>
        <v xml:space="preserve">    Суудлын автомашины онцгой албан татвар</v>
      </c>
      <c r="S275" s="406" t="s">
        <v>1242</v>
      </c>
      <c r="T275" s="406">
        <v>115007</v>
      </c>
      <c r="U275" s="406" t="s">
        <v>32</v>
      </c>
    </row>
    <row r="276" spans="1:21">
      <c r="A276" s="406" t="s">
        <v>1242</v>
      </c>
      <c r="B276" s="406">
        <v>115008</v>
      </c>
      <c r="C276" s="406">
        <f>+'3.CT2A'!A51</f>
        <v>115008</v>
      </c>
      <c r="D276" s="406">
        <f si="8" t="shared"/>
        <v>0</v>
      </c>
      <c r="E276" s="406" t="str">
        <f>+'3.CT2A'!B51</f>
        <v xml:space="preserve">    Автобензин, дизелийн түлшний онцгой албан татвар</v>
      </c>
      <c r="S276" s="406" t="s">
        <v>1242</v>
      </c>
      <c r="T276" s="406">
        <v>115008</v>
      </c>
      <c r="U276" s="406" t="s">
        <v>32</v>
      </c>
    </row>
    <row r="277" spans="1:21">
      <c r="A277" s="406" t="s">
        <v>1242</v>
      </c>
      <c r="B277" s="406">
        <v>116</v>
      </c>
      <c r="C277" s="406">
        <f>+'3.CT2A'!A52</f>
        <v>116</v>
      </c>
      <c r="D277" s="406">
        <f si="8" t="shared"/>
        <v>0</v>
      </c>
      <c r="E277" s="406" t="str">
        <f>+'3.CT2A'!B52</f>
        <v xml:space="preserve">  Тусгай зориулалтын орлого</v>
      </c>
      <c r="S277" s="406" t="s">
        <v>1242</v>
      </c>
      <c r="T277" s="406">
        <v>116</v>
      </c>
      <c r="U277" s="406" t="s">
        <v>32</v>
      </c>
    </row>
    <row r="278" spans="1:21">
      <c r="A278" s="406" t="s">
        <v>1242</v>
      </c>
      <c r="B278" s="406">
        <v>116001</v>
      </c>
      <c r="C278" s="406">
        <f>+'3.CT2A'!A53</f>
        <v>116001</v>
      </c>
      <c r="D278" s="406">
        <f si="8" t="shared"/>
        <v>0</v>
      </c>
      <c r="E278" s="406" t="str">
        <f>+'3.CT2A'!B53</f>
        <v xml:space="preserve">    Автобензин, дизелийн түлшний албан татвар</v>
      </c>
      <c r="S278" s="406" t="s">
        <v>1242</v>
      </c>
      <c r="T278" s="406">
        <v>116001</v>
      </c>
      <c r="U278" s="406" t="s">
        <v>32</v>
      </c>
    </row>
    <row r="279" spans="1:21">
      <c r="A279" s="406" t="s">
        <v>1242</v>
      </c>
      <c r="B279" s="406">
        <v>117</v>
      </c>
      <c r="C279" s="406">
        <f>+'3.CT2A'!A54</f>
        <v>117</v>
      </c>
      <c r="D279" s="406">
        <f si="8" t="shared"/>
        <v>0</v>
      </c>
      <c r="E279" s="406" t="str">
        <f>+'3.CT2A'!B54</f>
        <v xml:space="preserve">  Гадаад үйл ажиллагааны орлого</v>
      </c>
      <c r="S279" s="406" t="s">
        <v>1242</v>
      </c>
      <c r="T279" s="406">
        <v>117</v>
      </c>
      <c r="U279" s="406" t="s">
        <v>32</v>
      </c>
    </row>
    <row r="280" spans="1:21">
      <c r="A280" s="406" t="s">
        <v>1242</v>
      </c>
      <c r="B280" s="406">
        <v>117001</v>
      </c>
      <c r="C280" s="406">
        <f>+'3.CT2A'!A55</f>
        <v>117001</v>
      </c>
      <c r="D280" s="406">
        <f si="8" t="shared"/>
        <v>0</v>
      </c>
      <c r="E280" s="406" t="str">
        <f>+'3.CT2A'!B55</f>
        <v xml:space="preserve">    Импортын гаалийн албан татвар</v>
      </c>
      <c r="S280" s="406" t="s">
        <v>1242</v>
      </c>
      <c r="T280" s="406">
        <v>117001</v>
      </c>
      <c r="U280" s="406" t="s">
        <v>32</v>
      </c>
    </row>
    <row r="281" spans="1:21">
      <c r="A281" s="406" t="s">
        <v>1242</v>
      </c>
      <c r="B281" s="406">
        <v>117002</v>
      </c>
      <c r="C281" s="406">
        <f>+'3.CT2A'!A56</f>
        <v>117002</v>
      </c>
      <c r="D281" s="406">
        <f si="8" t="shared"/>
        <v>0</v>
      </c>
      <c r="E281" s="406" t="str">
        <f>+'3.CT2A'!B56</f>
        <v xml:space="preserve">    Экспортын гаалийн албан татвар</v>
      </c>
      <c r="S281" s="406" t="s">
        <v>1242</v>
      </c>
      <c r="T281" s="406">
        <v>117002</v>
      </c>
      <c r="U281" s="406" t="s">
        <v>32</v>
      </c>
    </row>
    <row r="282" spans="1:21">
      <c r="A282" s="406" t="s">
        <v>1242</v>
      </c>
      <c r="B282" s="406">
        <v>118</v>
      </c>
      <c r="C282" s="406">
        <f>+'3.CT2A'!A57</f>
        <v>118</v>
      </c>
      <c r="D282" s="406">
        <f si="8" t="shared"/>
        <v>0</v>
      </c>
      <c r="E282" s="406" t="str">
        <f>+'3.CT2A'!B57</f>
        <v xml:space="preserve">  Бусад татвар, төлбөр, хураамж</v>
      </c>
      <c r="S282" s="406" t="s">
        <v>1242</v>
      </c>
      <c r="T282" s="406">
        <v>118</v>
      </c>
      <c r="U282" s="406" t="s">
        <v>32</v>
      </c>
    </row>
    <row r="283" spans="1:21">
      <c r="A283" s="406" t="s">
        <v>1242</v>
      </c>
      <c r="B283" s="406">
        <v>1180</v>
      </c>
      <c r="C283" s="406">
        <f>+'3.CT2A'!A58</f>
        <v>1180</v>
      </c>
      <c r="D283" s="406">
        <f si="8" t="shared"/>
        <v>0</v>
      </c>
      <c r="E283" s="406" t="str">
        <f>+'3.CT2A'!B58</f>
        <v xml:space="preserve">    Бусад нийтлэг төлбөр, хураамж</v>
      </c>
      <c r="S283" s="406" t="s">
        <v>1242</v>
      </c>
      <c r="T283" s="406">
        <v>1180</v>
      </c>
      <c r="U283" s="406" t="s">
        <v>32</v>
      </c>
    </row>
    <row r="284" spans="1:21">
      <c r="A284" s="406" t="s">
        <v>1242</v>
      </c>
      <c r="B284" s="406">
        <v>118001</v>
      </c>
      <c r="C284" s="406">
        <f>+'3.CT2A'!A59</f>
        <v>118001</v>
      </c>
      <c r="D284" s="406">
        <f si="8" t="shared"/>
        <v>0</v>
      </c>
      <c r="E284" s="406" t="str">
        <f>+'3.CT2A'!B59</f>
        <v xml:space="preserve">      Улсын тэмдэгтийн хураамж</v>
      </c>
      <c r="S284" s="406" t="s">
        <v>1242</v>
      </c>
      <c r="T284" s="406">
        <v>118001</v>
      </c>
      <c r="U284" s="406" t="s">
        <v>32</v>
      </c>
    </row>
    <row r="285" spans="1:21">
      <c r="A285" s="406" t="s">
        <v>1242</v>
      </c>
      <c r="B285" s="406">
        <v>118002</v>
      </c>
      <c r="C285" s="406">
        <f>+'3.CT2A'!A60</f>
        <v>118002</v>
      </c>
      <c r="D285" s="406">
        <f si="8" t="shared"/>
        <v>0</v>
      </c>
      <c r="E285" s="406" t="str">
        <f>+'3.CT2A'!B60</f>
        <v xml:space="preserve">      Ашигт малтмалын хайгуулын болон ашиглалтын тусгай зөвшөөрлийн төлбөр</v>
      </c>
      <c r="S285" s="406" t="s">
        <v>1242</v>
      </c>
      <c r="T285" s="406">
        <v>118002</v>
      </c>
      <c r="U285" s="406" t="s">
        <v>32</v>
      </c>
    </row>
    <row r="286" spans="1:21">
      <c r="A286" s="406" t="s">
        <v>1242</v>
      </c>
      <c r="B286" s="406">
        <v>118003</v>
      </c>
      <c r="C286" s="406">
        <f>+'3.CT2A'!A61</f>
        <v>118003</v>
      </c>
      <c r="D286" s="406">
        <f si="8" t="shared"/>
        <v>0</v>
      </c>
      <c r="E286" s="406" t="str">
        <f>+'3.CT2A'!B61</f>
        <v xml:space="preserve">      Улсын төсвийн хөрөнгөөр хайгуул хийсэн ордын нөхөн төлбөр</v>
      </c>
      <c r="S286" s="406" t="s">
        <v>1242</v>
      </c>
      <c r="T286" s="406">
        <v>118003</v>
      </c>
      <c r="U286" s="406" t="s">
        <v>32</v>
      </c>
    </row>
    <row r="287" spans="1:21">
      <c r="A287" s="406" t="s">
        <v>1242</v>
      </c>
      <c r="B287" s="406">
        <v>118004</v>
      </c>
      <c r="C287" s="406">
        <f>+'3.CT2A'!A62</f>
        <v>118004</v>
      </c>
      <c r="D287" s="406">
        <f si="8" t="shared"/>
        <v>0</v>
      </c>
      <c r="E287" s="406" t="str">
        <f>+'3.CT2A'!B62</f>
        <v xml:space="preserve">      Ашигт малтмалын нөөц ашигласны төлбөр</v>
      </c>
      <c r="S287" s="406" t="s">
        <v>1242</v>
      </c>
      <c r="T287" s="406">
        <v>118004</v>
      </c>
      <c r="U287" s="406" t="s">
        <v>32</v>
      </c>
    </row>
    <row r="288" spans="1:21">
      <c r="A288" s="406" t="s">
        <v>1242</v>
      </c>
      <c r="B288" s="406">
        <v>118005</v>
      </c>
      <c r="C288" s="406">
        <f>+'3.CT2A'!A63</f>
        <v>118005</v>
      </c>
      <c r="D288" s="406">
        <f si="8" t="shared"/>
        <v>0</v>
      </c>
      <c r="E288" s="406" t="str">
        <f>+'3.CT2A'!B63</f>
        <v xml:space="preserve">      Агаарын бохирдлын төлбөр</v>
      </c>
      <c r="S288" s="406" t="s">
        <v>1242</v>
      </c>
      <c r="T288" s="406">
        <v>118005</v>
      </c>
      <c r="U288" s="406" t="s">
        <v>32</v>
      </c>
    </row>
    <row r="289" spans="1:21">
      <c r="A289" s="406" t="s">
        <v>1242</v>
      </c>
      <c r="B289" s="406">
        <v>118006</v>
      </c>
      <c r="C289" s="406">
        <f>+'3.CT2A'!A64</f>
        <v>118006</v>
      </c>
      <c r="D289" s="406">
        <f si="8" t="shared"/>
        <v>0</v>
      </c>
      <c r="E289" s="406" t="str">
        <f>+'3.CT2A'!B64</f>
        <v xml:space="preserve">      Түгээмэл тархацтай ашигт малтмал ашигласны төлбөр</v>
      </c>
      <c r="S289" s="406" t="s">
        <v>1242</v>
      </c>
      <c r="T289" s="406">
        <v>118006</v>
      </c>
      <c r="U289" s="406" t="s">
        <v>32</v>
      </c>
    </row>
    <row r="290" spans="1:21">
      <c r="A290" s="406" t="s">
        <v>1242</v>
      </c>
      <c r="B290" s="406">
        <v>118007</v>
      </c>
      <c r="C290" s="406">
        <f>+'3.CT2A'!A65</f>
        <v>118007</v>
      </c>
      <c r="D290" s="406">
        <f si="8" t="shared"/>
        <v>0</v>
      </c>
      <c r="E290" s="406" t="str">
        <f>+'3.CT2A'!B65</f>
        <v xml:space="preserve">      Ус бохирдлын төлбөр</v>
      </c>
      <c r="S290" s="406" t="s">
        <v>1242</v>
      </c>
      <c r="T290" s="406">
        <v>118007</v>
      </c>
      <c r="U290" s="406" t="s">
        <v>32</v>
      </c>
    </row>
    <row r="291" spans="1:21">
      <c r="A291" s="406" t="s">
        <v>1242</v>
      </c>
      <c r="B291" s="406">
        <v>118008</v>
      </c>
      <c r="C291" s="406">
        <f>+'3.CT2A'!A66</f>
        <v>118008</v>
      </c>
      <c r="D291" s="406">
        <f si="8" t="shared"/>
        <v>0</v>
      </c>
      <c r="E291" s="406" t="str">
        <f>+'3.CT2A'!B66</f>
        <v xml:space="preserve">      Улсын төсвийн хөрөнгөөр тогтоосон усны нөөцийн зардлын нөхөн төлбөр</v>
      </c>
      <c r="S291" s="406" t="s">
        <v>1242</v>
      </c>
      <c r="T291" s="406">
        <v>118008</v>
      </c>
      <c r="U291" s="406" t="s">
        <v>32</v>
      </c>
    </row>
    <row r="292" spans="1:21">
      <c r="A292" s="406" t="s">
        <v>1242</v>
      </c>
      <c r="B292" s="406">
        <v>118009</v>
      </c>
      <c r="C292" s="406">
        <f>+'3.CT2A'!A67</f>
        <v>118009</v>
      </c>
      <c r="D292" s="406">
        <f si="8" t="shared"/>
        <v>0</v>
      </c>
      <c r="E292" s="406" t="str">
        <f>+'3.CT2A'!B67</f>
        <v xml:space="preserve">      Хог хаягдлын үйлчилгээний хураамж</v>
      </c>
      <c r="S292" s="406" t="s">
        <v>1242</v>
      </c>
      <c r="T292" s="406">
        <v>118009</v>
      </c>
      <c r="U292" s="406" t="s">
        <v>32</v>
      </c>
    </row>
    <row r="293" spans="1:21">
      <c r="A293" s="406" t="s">
        <v>1242</v>
      </c>
      <c r="B293" s="406">
        <v>118010</v>
      </c>
      <c r="C293" s="406">
        <f>+'3.CT2A'!A68</f>
        <v>118010</v>
      </c>
      <c r="D293" s="406">
        <f si="8" t="shared"/>
        <v>0</v>
      </c>
      <c r="E293" s="406" t="str">
        <f>+'3.CT2A'!B68</f>
        <v xml:space="preserve">      Ашигт малтмалаас бусад байгалийн баялаг ашиглахад олгох эрхийн зөвшөөрлийн хураамж</v>
      </c>
      <c r="S293" s="406" t="s">
        <v>1242</v>
      </c>
      <c r="T293" s="406">
        <v>118010</v>
      </c>
      <c r="U293" s="406" t="s">
        <v>32</v>
      </c>
    </row>
    <row r="294" spans="1:21">
      <c r="A294" s="406" t="s">
        <v>1242</v>
      </c>
      <c r="B294" s="406">
        <v>118011</v>
      </c>
      <c r="C294" s="406">
        <f>+'3.CT2A'!A69</f>
        <v>118011</v>
      </c>
      <c r="D294" s="406">
        <f si="8" t="shared"/>
        <v>0</v>
      </c>
      <c r="E294" s="406" t="str">
        <f>+'3.CT2A'!B69</f>
        <v xml:space="preserve">      Бусад татвар</v>
      </c>
      <c r="S294" s="406" t="s">
        <v>1242</v>
      </c>
      <c r="T294" s="406">
        <v>118011</v>
      </c>
      <c r="U294" s="406" t="s">
        <v>32</v>
      </c>
    </row>
    <row r="295" spans="1:21">
      <c r="A295" s="406" t="s">
        <v>1242</v>
      </c>
      <c r="B295" s="406">
        <v>1181</v>
      </c>
      <c r="C295" s="406">
        <f>+'3.CT2A'!A70</f>
        <v>1181</v>
      </c>
      <c r="D295" s="406">
        <f si="8" t="shared"/>
        <v>0</v>
      </c>
      <c r="E295" s="406" t="str">
        <f>+'3.CT2A'!B70</f>
        <v xml:space="preserve">    Газрын төлбөр</v>
      </c>
      <c r="S295" s="406" t="s">
        <v>1242</v>
      </c>
      <c r="T295" s="406">
        <v>1181</v>
      </c>
      <c r="U295" s="406" t="s">
        <v>32</v>
      </c>
    </row>
    <row r="296" spans="1:21">
      <c r="A296" s="406" t="s">
        <v>1242</v>
      </c>
      <c r="B296" s="406">
        <v>118101</v>
      </c>
      <c r="C296" s="406">
        <f>+'3.CT2A'!A71</f>
        <v>118101</v>
      </c>
      <c r="D296" s="406">
        <f si="8" t="shared"/>
        <v>0</v>
      </c>
      <c r="E296" s="406" t="str">
        <f>+'3.CT2A'!B71</f>
        <v xml:space="preserve">      Газрын төлбөр</v>
      </c>
      <c r="S296" s="406" t="s">
        <v>1242</v>
      </c>
      <c r="T296" s="406">
        <v>118101</v>
      </c>
      <c r="U296" s="406" t="s">
        <v>32</v>
      </c>
    </row>
    <row r="297" spans="1:21">
      <c r="A297" s="406" t="s">
        <v>1242</v>
      </c>
      <c r="B297" s="406">
        <v>118102</v>
      </c>
      <c r="C297" s="406">
        <f>+'3.CT2A'!A72</f>
        <v>118102</v>
      </c>
      <c r="D297" s="406">
        <f si="8" t="shared"/>
        <v>0</v>
      </c>
      <c r="E297" s="406" t="str">
        <f>+'3.CT2A'!B72</f>
        <v xml:space="preserve">      Дуудлага худалдаа</v>
      </c>
      <c r="S297" s="406" t="s">
        <v>1242</v>
      </c>
      <c r="T297" s="406">
        <v>118102</v>
      </c>
      <c r="U297" s="406" t="s">
        <v>32</v>
      </c>
    </row>
    <row r="298" spans="1:21">
      <c r="A298" s="406" t="s">
        <v>1242</v>
      </c>
      <c r="B298" s="406">
        <v>1182</v>
      </c>
      <c r="C298" s="406">
        <f>+'3.CT2A'!A73</f>
        <v>1182</v>
      </c>
      <c r="D298" s="406">
        <f si="8" t="shared"/>
        <v>0</v>
      </c>
      <c r="E298" s="406" t="str">
        <f>+'3.CT2A'!B73</f>
        <v xml:space="preserve">    Байгалийн нөөц ашигласны төлбөр</v>
      </c>
      <c r="S298" s="406" t="s">
        <v>1242</v>
      </c>
      <c r="T298" s="406">
        <v>1182</v>
      </c>
      <c r="U298" s="406" t="s">
        <v>32</v>
      </c>
    </row>
    <row r="299" spans="1:21">
      <c r="A299" s="406" t="s">
        <v>1242</v>
      </c>
      <c r="B299" s="406">
        <v>118201</v>
      </c>
      <c r="C299" s="406">
        <f>+'3.CT2A'!A74</f>
        <v>118201</v>
      </c>
      <c r="D299" s="406">
        <f si="8" t="shared"/>
        <v>0</v>
      </c>
      <c r="E299" s="406" t="str">
        <f>+'3.CT2A'!B74</f>
        <v xml:space="preserve">      Ойн нөөц ашигласны төлбөр</v>
      </c>
      <c r="S299" s="406" t="s">
        <v>1242</v>
      </c>
      <c r="T299" s="406">
        <v>118201</v>
      </c>
      <c r="U299" s="406" t="s">
        <v>32</v>
      </c>
    </row>
    <row r="300" spans="1:21">
      <c r="A300" s="406" t="s">
        <v>1242</v>
      </c>
      <c r="B300" s="406">
        <v>118202</v>
      </c>
      <c r="C300" s="406">
        <f>+'3.CT2A'!A75</f>
        <v>118202</v>
      </c>
      <c r="D300" s="406">
        <f si="8" t="shared"/>
        <v>0</v>
      </c>
      <c r="E300" s="406" t="str">
        <f>+'3.CT2A'!B75</f>
        <v xml:space="preserve">      Ан амьтны нөөц ашигласны төлбөр</v>
      </c>
      <c r="S300" s="406" t="s">
        <v>1242</v>
      </c>
      <c r="T300" s="406">
        <v>118202</v>
      </c>
      <c r="U300" s="406" t="s">
        <v>32</v>
      </c>
    </row>
    <row r="301" spans="1:21">
      <c r="A301" s="406" t="s">
        <v>1242</v>
      </c>
      <c r="B301" s="406">
        <v>118203</v>
      </c>
      <c r="C301" s="406">
        <f>+'3.CT2A'!A76</f>
        <v>118203</v>
      </c>
      <c r="D301" s="406">
        <f si="8" t="shared"/>
        <v>0</v>
      </c>
      <c r="E301" s="406" t="str">
        <f>+'3.CT2A'!B76</f>
        <v xml:space="preserve">      Ус, рашааны нөөц ашигласны төлбөр</v>
      </c>
      <c r="S301" s="406" t="s">
        <v>1242</v>
      </c>
      <c r="T301" s="406">
        <v>118203</v>
      </c>
      <c r="U301" s="406" t="s">
        <v>32</v>
      </c>
    </row>
    <row r="302" spans="1:21">
      <c r="A302" s="406" t="s">
        <v>1242</v>
      </c>
      <c r="B302" s="406">
        <v>118204</v>
      </c>
      <c r="C302" s="406">
        <f>+'3.CT2A'!A77</f>
        <v>118204</v>
      </c>
      <c r="D302" s="406">
        <f si="8" t="shared"/>
        <v>0</v>
      </c>
      <c r="E302" s="406" t="str">
        <f>+'3.CT2A'!B77</f>
        <v xml:space="preserve">      Байгалийн ургамлын нөөц ашигласны төлбөр</v>
      </c>
      <c r="S302" s="406" t="s">
        <v>1242</v>
      </c>
      <c r="T302" s="406">
        <v>118204</v>
      </c>
      <c r="U302" s="406" t="s">
        <v>32</v>
      </c>
    </row>
    <row r="303" spans="1:21">
      <c r="A303" s="406" t="s">
        <v>1242</v>
      </c>
      <c r="B303" s="406">
        <v>1183</v>
      </c>
      <c r="C303" s="406">
        <f>+'3.CT2A'!A78</f>
        <v>1183</v>
      </c>
      <c r="D303" s="406">
        <f si="8" t="shared"/>
        <v>0</v>
      </c>
      <c r="E303" s="406" t="str">
        <f>+'3.CT2A'!B78</f>
        <v xml:space="preserve">   Бусад татвар</v>
      </c>
      <c r="S303" s="406" t="s">
        <v>1242</v>
      </c>
      <c r="T303" s="406">
        <v>1183</v>
      </c>
      <c r="U303" s="406" t="s">
        <v>32</v>
      </c>
    </row>
    <row r="304" spans="1:21">
      <c r="A304" s="406" t="s">
        <v>1242</v>
      </c>
      <c r="B304" s="406">
        <v>118301</v>
      </c>
      <c r="C304" s="406">
        <f>+'3.CT2A'!A79</f>
        <v>118301</v>
      </c>
      <c r="D304" s="406">
        <f si="8" t="shared"/>
        <v>0</v>
      </c>
      <c r="E304" s="406" t="str">
        <f>+'3.CT2A'!B79</f>
        <v xml:space="preserve">      Бусад татвар</v>
      </c>
      <c r="S304" s="406" t="s">
        <v>1242</v>
      </c>
      <c r="T304" s="406">
        <v>118301</v>
      </c>
      <c r="U304" s="406" t="s">
        <v>32</v>
      </c>
    </row>
    <row r="305" spans="1:21">
      <c r="A305" s="406" t="s">
        <v>1242</v>
      </c>
      <c r="B305" s="406">
        <v>118302</v>
      </c>
      <c r="C305" s="406">
        <f>+'3.CT2A'!A80</f>
        <v>118302</v>
      </c>
      <c r="D305" s="406">
        <f si="8" t="shared"/>
        <v>0</v>
      </c>
      <c r="E305" s="406" t="str">
        <f>+'3.CT2A'!B80</f>
        <v xml:space="preserve">      Нийслэл хотын албан татвар</v>
      </c>
      <c r="S305" s="406" t="s">
        <v>1242</v>
      </c>
      <c r="T305" s="406">
        <v>118302</v>
      </c>
      <c r="U305" s="406" t="s">
        <v>32</v>
      </c>
    </row>
    <row r="306" spans="1:21">
      <c r="A306" s="406" t="s">
        <v>1242</v>
      </c>
      <c r="B306" s="406">
        <v>118303</v>
      </c>
      <c r="C306" s="406">
        <f>+'3.CT2A'!A81</f>
        <v>118303</v>
      </c>
      <c r="D306" s="406">
        <f si="8" t="shared"/>
        <v>0</v>
      </c>
      <c r="E306" s="406" t="str">
        <f>+'3.CT2A'!B81</f>
        <v xml:space="preserve">      Өв, залгамжлал, бэлэглэлийн албан татвар</v>
      </c>
      <c r="S306" s="406" t="s">
        <v>1242</v>
      </c>
      <c r="T306" s="406">
        <v>118303</v>
      </c>
      <c r="U306" s="406" t="s">
        <v>32</v>
      </c>
    </row>
    <row r="307" spans="1:21">
      <c r="A307" s="406" t="s">
        <v>1242</v>
      </c>
      <c r="B307" s="406">
        <v>118304</v>
      </c>
      <c r="C307" s="406">
        <f>+'3.CT2A'!A82</f>
        <v>118304</v>
      </c>
      <c r="D307" s="406">
        <f si="8" t="shared"/>
        <v>0</v>
      </c>
      <c r="E307" s="406" t="str">
        <f>+'3.CT2A'!B82</f>
        <v xml:space="preserve">      Нохойны албан татвар</v>
      </c>
      <c r="S307" s="406" t="s">
        <v>1242</v>
      </c>
      <c r="T307" s="406">
        <v>118304</v>
      </c>
      <c r="U307" s="406" t="s">
        <v>32</v>
      </c>
    </row>
    <row r="308" spans="1:21">
      <c r="A308" s="406" t="s">
        <v>1242</v>
      </c>
      <c r="B308" s="406">
        <v>12</v>
      </c>
      <c r="C308" s="406">
        <f>+'3.CT2A'!A83</f>
        <v>12</v>
      </c>
      <c r="D308" s="406">
        <f si="8" t="shared"/>
        <v>0</v>
      </c>
      <c r="E308" s="406" t="str">
        <f>+'3.CT2A'!B83</f>
        <v xml:space="preserve"> ТАТВАРЫН БУС ОРЛОГО</v>
      </c>
      <c r="S308" s="406" t="s">
        <v>1242</v>
      </c>
      <c r="T308" s="406">
        <v>12</v>
      </c>
      <c r="U308" s="406" t="s">
        <v>32</v>
      </c>
    </row>
    <row r="309" spans="1:21">
      <c r="A309" s="406" t="s">
        <v>1242</v>
      </c>
      <c r="B309" s="406">
        <v>120</v>
      </c>
      <c r="C309" s="406">
        <f>+'3.CT2A'!A84</f>
        <v>120</v>
      </c>
      <c r="D309" s="406">
        <f si="8" t="shared"/>
        <v>0</v>
      </c>
      <c r="E309" s="406" t="str">
        <f>+'3.CT2A'!B84</f>
        <v xml:space="preserve">    Нийтлэг татварын бус орлого</v>
      </c>
      <c r="S309" s="406" t="s">
        <v>1242</v>
      </c>
      <c r="T309" s="406">
        <v>120</v>
      </c>
      <c r="U309" s="406" t="s">
        <v>32</v>
      </c>
    </row>
    <row r="310" spans="1:21">
      <c r="A310" s="406" t="s">
        <v>1242</v>
      </c>
      <c r="B310" s="406">
        <v>120001</v>
      </c>
      <c r="C310" s="406">
        <f>+'3.CT2A'!A85</f>
        <v>120001</v>
      </c>
      <c r="D310" s="406">
        <f si="8" t="shared"/>
        <v>0</v>
      </c>
      <c r="E310" s="406" t="str">
        <f>+'3.CT2A'!B85</f>
        <v xml:space="preserve">       Хувьцааны ногдол ашиг</v>
      </c>
      <c r="S310" s="406" t="s">
        <v>1242</v>
      </c>
      <c r="T310" s="406">
        <v>120001</v>
      </c>
      <c r="U310" s="406" t="s">
        <v>32</v>
      </c>
    </row>
    <row r="311" spans="1:21">
      <c r="A311" s="406" t="s">
        <v>1242</v>
      </c>
      <c r="B311" s="406">
        <v>120002</v>
      </c>
      <c r="C311" s="406">
        <f>+'3.CT2A'!A86</f>
        <v>120002</v>
      </c>
      <c r="D311" s="406">
        <f si="8" t="shared"/>
        <v>0</v>
      </c>
      <c r="E311" s="406" t="str">
        <f>+'3.CT2A'!B86</f>
        <v xml:space="preserve">       Хүүгийн орлого</v>
      </c>
      <c r="S311" s="406" t="s">
        <v>1242</v>
      </c>
      <c r="T311" s="406">
        <v>120002</v>
      </c>
      <c r="U311" s="406" t="s">
        <v>32</v>
      </c>
    </row>
    <row r="312" spans="1:21">
      <c r="A312" s="406" t="s">
        <v>1242</v>
      </c>
      <c r="B312" s="406">
        <v>120003</v>
      </c>
      <c r="C312" s="406">
        <f>+'3.CT2A'!A87</f>
        <v>120003</v>
      </c>
      <c r="D312" s="406">
        <f si="8" t="shared"/>
        <v>0</v>
      </c>
      <c r="E312" s="406" t="str">
        <f>+'3.CT2A'!B87</f>
        <v xml:space="preserve">       Торгуулийн орлого</v>
      </c>
      <c r="S312" s="406" t="s">
        <v>1242</v>
      </c>
      <c r="T312" s="406">
        <v>120003</v>
      </c>
      <c r="U312" s="406" t="s">
        <v>32</v>
      </c>
    </row>
    <row r="313" spans="1:21">
      <c r="A313" s="406" t="s">
        <v>1242</v>
      </c>
      <c r="B313" s="406">
        <v>120004</v>
      </c>
      <c r="C313" s="406">
        <f>+'3.CT2A'!A88</f>
        <v>120004</v>
      </c>
      <c r="D313" s="406">
        <f si="8" t="shared"/>
        <v>0</v>
      </c>
      <c r="E313" s="406" t="str">
        <f>+'3.CT2A'!B88</f>
        <v xml:space="preserve">       Төсөвт байгууллагын өөрийн орлого</v>
      </c>
      <c r="S313" s="406" t="s">
        <v>1242</v>
      </c>
      <c r="T313" s="406">
        <v>120004</v>
      </c>
      <c r="U313" s="406" t="s">
        <v>32</v>
      </c>
    </row>
    <row r="314" spans="1:21">
      <c r="A314" s="406" t="s">
        <v>1242</v>
      </c>
      <c r="B314" s="406">
        <v>1200041</v>
      </c>
      <c r="C314" s="406">
        <f>+'3.CT2A'!A89</f>
        <v>1200041</v>
      </c>
      <c r="D314" s="406">
        <f si="8" t="shared"/>
        <v>0</v>
      </c>
      <c r="E314" s="406" t="str">
        <f>+'3.CT2A'!B89</f>
        <v xml:space="preserve">            Үндсэн үйл ажиллагааны орлогоос санхүүжих</v>
      </c>
      <c r="S314" s="406" t="s">
        <v>1242</v>
      </c>
      <c r="T314" s="406">
        <v>1200041</v>
      </c>
      <c r="U314" s="406" t="s">
        <v>32</v>
      </c>
    </row>
    <row r="315" spans="1:21">
      <c r="A315" s="406" t="s">
        <v>1242</v>
      </c>
      <c r="B315" s="406">
        <v>1200042</v>
      </c>
      <c r="C315" s="406">
        <f>+'3.CT2A'!A90</f>
        <v>1200042</v>
      </c>
      <c r="D315" s="406">
        <f si="8" t="shared"/>
        <v>0</v>
      </c>
      <c r="E315" s="406" t="str">
        <f>+'3.CT2A'!B90</f>
        <v xml:space="preserve">            Туслах үйл ажиллагааны орлогоос санхүүжих</v>
      </c>
      <c r="S315" s="406" t="s">
        <v>1242</v>
      </c>
      <c r="T315" s="406">
        <v>1200042</v>
      </c>
      <c r="U315" s="406" t="s">
        <v>32</v>
      </c>
    </row>
    <row r="316" spans="1:21">
      <c r="A316" s="406" t="s">
        <v>1242</v>
      </c>
      <c r="B316" s="406">
        <v>1200043</v>
      </c>
      <c r="C316" s="406">
        <f>+'3.CT2A'!A91</f>
        <v>1200043</v>
      </c>
      <c r="D316" s="406">
        <f si="8" t="shared"/>
        <v>0</v>
      </c>
      <c r="E316" s="406" t="str">
        <f>+'3.CT2A'!B91</f>
        <v xml:space="preserve">            Урьд оны үлдэгдэлээс санхүүжих</v>
      </c>
      <c r="S316" s="406" t="s">
        <v>1242</v>
      </c>
      <c r="T316" s="406">
        <v>1200043</v>
      </c>
      <c r="U316" s="406" t="s">
        <v>32</v>
      </c>
    </row>
    <row r="317" spans="1:21">
      <c r="A317" s="406" t="s">
        <v>1242</v>
      </c>
      <c r="B317" s="406">
        <v>1200044</v>
      </c>
      <c r="C317" s="406">
        <f>+'3.CT2A'!A92</f>
        <v>1200044</v>
      </c>
      <c r="D317" s="406">
        <f si="8" t="shared"/>
        <v>0</v>
      </c>
      <c r="E317" s="406" t="str">
        <f>+'3.CT2A'!B92</f>
        <v xml:space="preserve">             Гадаадын эх үүсвэрээс санхүүжих</v>
      </c>
      <c r="S317" s="406" t="s">
        <v>1242</v>
      </c>
      <c r="T317" s="406">
        <v>1200044</v>
      </c>
      <c r="U317" s="406" t="s">
        <v>32</v>
      </c>
    </row>
    <row r="318" spans="1:21">
      <c r="A318" s="406" t="s">
        <v>1242</v>
      </c>
      <c r="B318" s="406">
        <v>1200045</v>
      </c>
      <c r="C318" s="406">
        <f>+'3.CT2A'!A93</f>
        <v>1200045</v>
      </c>
      <c r="D318" s="406">
        <f si="8" t="shared"/>
        <v>0</v>
      </c>
      <c r="E318" s="406" t="str">
        <f>+'3.CT2A'!B93</f>
        <v xml:space="preserve">             Үнэ төлбөргүй хүлээн авсан орлого</v>
      </c>
      <c r="S318" s="406" t="s">
        <v>1242</v>
      </c>
      <c r="T318" s="406">
        <v>1200045</v>
      </c>
      <c r="U318" s="406" t="s">
        <v>32</v>
      </c>
    </row>
    <row r="319" spans="1:21">
      <c r="A319" s="406" t="s">
        <v>1242</v>
      </c>
      <c r="B319" s="406">
        <v>120005</v>
      </c>
      <c r="C319" s="406">
        <f>+'3.CT2A'!A94</f>
        <v>120005</v>
      </c>
      <c r="D319" s="406">
        <f si="8" t="shared"/>
        <v>0</v>
      </c>
      <c r="E319" s="406" t="str">
        <f>+'3.CT2A'!B94</f>
        <v xml:space="preserve">       Түрээсийн орлого</v>
      </c>
      <c r="S319" s="406" t="s">
        <v>1242</v>
      </c>
      <c r="T319" s="406">
        <v>120005</v>
      </c>
      <c r="U319" s="406" t="s">
        <v>32</v>
      </c>
    </row>
    <row r="320" spans="1:21">
      <c r="A320" s="406" t="s">
        <v>1242</v>
      </c>
      <c r="B320" s="406">
        <v>120006</v>
      </c>
      <c r="C320" s="406">
        <f>+'3.CT2A'!A95</f>
        <v>120006</v>
      </c>
      <c r="D320" s="406">
        <f si="8" t="shared"/>
        <v>0</v>
      </c>
      <c r="E320" s="406" t="str">
        <f>+'3.CT2A'!B95</f>
        <v xml:space="preserve">       Газрын тосны орлого</v>
      </c>
      <c r="S320" s="406" t="s">
        <v>1242</v>
      </c>
      <c r="T320" s="406">
        <v>120006</v>
      </c>
      <c r="U320" s="406" t="s">
        <v>32</v>
      </c>
    </row>
    <row r="321" spans="1:21">
      <c r="A321" s="406" t="s">
        <v>1242</v>
      </c>
      <c r="B321" s="406">
        <v>120007</v>
      </c>
      <c r="C321" s="406">
        <f>+'3.CT2A'!A96</f>
        <v>120007</v>
      </c>
      <c r="D321" s="406">
        <f si="8" t="shared"/>
        <v>0</v>
      </c>
      <c r="E321" s="406" t="str">
        <f>+'3.CT2A'!B96</f>
        <v xml:space="preserve">       Навигацийн орлого</v>
      </c>
      <c r="S321" s="406" t="s">
        <v>1242</v>
      </c>
      <c r="T321" s="406">
        <v>120007</v>
      </c>
      <c r="U321" s="406" t="s">
        <v>32</v>
      </c>
    </row>
    <row r="322" spans="1:21">
      <c r="A322" s="406" t="s">
        <v>1242</v>
      </c>
      <c r="B322" s="406">
        <v>120008</v>
      </c>
      <c r="C322" s="406">
        <f>+'3.CT2A'!A97</f>
        <v>120008</v>
      </c>
      <c r="D322" s="406">
        <f si="8" t="shared"/>
        <v>0</v>
      </c>
      <c r="E322" s="406" t="str">
        <f>+'3.CT2A'!B97</f>
        <v xml:space="preserve">       Монгол банкны ашиг</v>
      </c>
      <c r="S322" s="406" t="s">
        <v>1242</v>
      </c>
      <c r="T322" s="406">
        <v>120008</v>
      </c>
      <c r="U322" s="406" t="s">
        <v>32</v>
      </c>
    </row>
    <row r="323" spans="1:21">
      <c r="A323" s="406" t="s">
        <v>1242</v>
      </c>
      <c r="B323" s="406">
        <v>120009</v>
      </c>
      <c r="C323" s="406">
        <f>+'3.CT2A'!A98</f>
        <v>120009</v>
      </c>
      <c r="D323" s="406">
        <f ref="D323:D386" si="9" t="shared">IF(B323=VALUE(C323),0,1)</f>
        <v>0</v>
      </c>
      <c r="E323" s="406" t="str">
        <f>+'3.CT2A'!B98</f>
        <v xml:space="preserve">       Бусад орлого</v>
      </c>
      <c r="S323" s="406" t="s">
        <v>1242</v>
      </c>
      <c r="T323" s="406">
        <v>120009</v>
      </c>
      <c r="U323" s="406" t="s">
        <v>32</v>
      </c>
    </row>
    <row r="324" spans="1:21">
      <c r="A324" s="406" t="s">
        <v>1242</v>
      </c>
      <c r="B324" s="406">
        <v>120010</v>
      </c>
      <c r="C324" s="406">
        <f>+'3.CT2A'!A99</f>
        <v>120010</v>
      </c>
      <c r="D324" s="406">
        <f si="9" t="shared"/>
        <v>0</v>
      </c>
      <c r="E324" s="406" t="str">
        <f>+'3.CT2A'!B99</f>
        <v xml:space="preserve">       Борлуулалтын орлого (цэвэр)  /ТӨҮГ/</v>
      </c>
      <c r="S324" s="406" t="s">
        <v>1242</v>
      </c>
      <c r="T324" s="406">
        <v>120010</v>
      </c>
      <c r="U324" s="406" t="s">
        <v>32</v>
      </c>
    </row>
    <row r="325" spans="1:21">
      <c r="A325" s="406" t="s">
        <v>1242</v>
      </c>
      <c r="B325" s="406">
        <v>120011</v>
      </c>
      <c r="C325" s="406">
        <f>+'3.CT2A'!A100</f>
        <v>120011</v>
      </c>
      <c r="D325" s="406">
        <f si="9" t="shared"/>
        <v>0</v>
      </c>
      <c r="E325" s="406" t="str">
        <f>+'3.CT2A'!B100</f>
        <v xml:space="preserve">       Борлуулалтын өртөг   /ТӨҮГ/</v>
      </c>
      <c r="S325" s="406" t="s">
        <v>1242</v>
      </c>
      <c r="T325" s="406">
        <v>120011</v>
      </c>
      <c r="U325" s="406" t="s">
        <v>32</v>
      </c>
    </row>
    <row r="326" spans="1:21">
      <c r="A326" s="406" t="s">
        <v>1242</v>
      </c>
      <c r="B326" s="406">
        <v>120012</v>
      </c>
      <c r="C326" s="406">
        <f>+'3.CT2A'!A101</f>
        <v>120012</v>
      </c>
      <c r="D326" s="406">
        <f si="9" t="shared"/>
        <v>0</v>
      </c>
      <c r="E326" s="406" t="str">
        <f>+'3.CT2A'!B101</f>
        <v xml:space="preserve">       Эрхийн шимтгэлийн орлого   /ТӨҮГ/</v>
      </c>
      <c r="S326" s="406" t="s">
        <v>1242</v>
      </c>
      <c r="T326" s="406">
        <v>120012</v>
      </c>
      <c r="U326" s="406" t="s">
        <v>32</v>
      </c>
    </row>
    <row r="327" spans="1:21">
      <c r="A327" s="406" t="s">
        <v>1242</v>
      </c>
      <c r="B327" s="406">
        <v>121</v>
      </c>
      <c r="C327" s="406">
        <f>+'3.CT2A'!A102</f>
        <v>121</v>
      </c>
      <c r="D327" s="406">
        <f si="9" t="shared"/>
        <v>0</v>
      </c>
      <c r="E327" s="406" t="str">
        <f>+'3.CT2A'!B102</f>
        <v xml:space="preserve">    Хөрөнгийн орлого</v>
      </c>
      <c r="S327" s="406" t="s">
        <v>1242</v>
      </c>
      <c r="T327" s="406">
        <v>121</v>
      </c>
      <c r="U327" s="406" t="s">
        <v>32</v>
      </c>
    </row>
    <row r="328" spans="1:21">
      <c r="A328" s="406" t="s">
        <v>1242</v>
      </c>
      <c r="B328" s="406">
        <v>121001</v>
      </c>
      <c r="C328" s="406">
        <f>+'3.CT2A'!A103</f>
        <v>121001</v>
      </c>
      <c r="D328" s="406">
        <f si="9" t="shared"/>
        <v>0</v>
      </c>
      <c r="E328" s="406" t="str">
        <f>+'3.CT2A'!B103</f>
        <v xml:space="preserve">     Төрийн болон орон нутгийн өмчид бүртгэлтэй хөрөнгө борлуулсны орлого</v>
      </c>
      <c r="S328" s="406" t="s">
        <v>1242</v>
      </c>
      <c r="T328" s="406">
        <v>121001</v>
      </c>
      <c r="U328" s="406" t="s">
        <v>32</v>
      </c>
    </row>
    <row r="329" spans="1:21">
      <c r="A329" s="406" t="s">
        <v>1242</v>
      </c>
      <c r="B329" s="406">
        <v>121002</v>
      </c>
      <c r="C329" s="406">
        <f>+'3.CT2A'!A104</f>
        <v>121002</v>
      </c>
      <c r="D329" s="406">
        <f si="9" t="shared"/>
        <v>0</v>
      </c>
      <c r="E329" s="406" t="str">
        <f>+'3.CT2A'!B104</f>
        <v xml:space="preserve">     Өмч хувьчлалын орлого</v>
      </c>
      <c r="S329" s="406" t="s">
        <v>1242</v>
      </c>
      <c r="T329" s="406">
        <v>121002</v>
      </c>
      <c r="U329" s="406" t="s">
        <v>32</v>
      </c>
    </row>
    <row r="330" spans="1:21">
      <c r="A330" s="406" t="s">
        <v>1242</v>
      </c>
      <c r="B330" s="406">
        <v>122</v>
      </c>
      <c r="C330" s="406">
        <f>+'3.CT2A'!A105</f>
        <v>122</v>
      </c>
      <c r="D330" s="406">
        <f si="9" t="shared"/>
        <v>0</v>
      </c>
      <c r="E330" s="406" t="str">
        <f>+'3.CT2A'!B105</f>
        <v xml:space="preserve">      Тусламжийн орлого</v>
      </c>
      <c r="S330" s="406" t="s">
        <v>1242</v>
      </c>
      <c r="T330" s="406">
        <v>122</v>
      </c>
      <c r="U330" s="406" t="s">
        <v>32</v>
      </c>
    </row>
    <row r="331" spans="1:21">
      <c r="A331" s="406" t="s">
        <v>1242</v>
      </c>
      <c r="B331" s="406">
        <v>122001</v>
      </c>
      <c r="C331" s="406">
        <f>+'3.CT2A'!A106</f>
        <v>122001</v>
      </c>
      <c r="D331" s="406">
        <f si="9" t="shared"/>
        <v>0</v>
      </c>
      <c r="E331" s="406" t="str">
        <f>+'3.CT2A'!B106</f>
        <v xml:space="preserve">               Хандив тусламж /дотоод/</v>
      </c>
      <c r="S331" s="406" t="s">
        <v>1242</v>
      </c>
      <c r="T331" s="406">
        <v>122001</v>
      </c>
      <c r="U331" s="406" t="s">
        <v>32</v>
      </c>
    </row>
    <row r="332" spans="1:21">
      <c r="A332" s="406" t="s">
        <v>1242</v>
      </c>
      <c r="B332" s="406">
        <v>122002</v>
      </c>
      <c r="C332" s="406">
        <f>+'3.CT2A'!A107</f>
        <v>122002</v>
      </c>
      <c r="D332" s="406">
        <f si="9" t="shared"/>
        <v>0</v>
      </c>
      <c r="E332" s="406" t="str">
        <f>+'3.CT2A'!B107</f>
        <v xml:space="preserve">               Хандив тусламж /гадаад/</v>
      </c>
      <c r="S332" s="406" t="s">
        <v>1242</v>
      </c>
      <c r="T332" s="406">
        <v>122002</v>
      </c>
      <c r="U332" s="406" t="s">
        <v>32</v>
      </c>
    </row>
    <row r="333" spans="1:21">
      <c r="A333" s="406" t="s">
        <v>1242</v>
      </c>
      <c r="B333" s="406">
        <v>123</v>
      </c>
      <c r="C333" s="406">
        <f>+'3.CT2A'!A108</f>
        <v>123</v>
      </c>
      <c r="D333" s="406">
        <f si="9" t="shared"/>
        <v>0</v>
      </c>
      <c r="E333" s="406" t="str">
        <f>+'3.CT2A'!B108</f>
        <v xml:space="preserve">      Улсын төсөв орон нутгийн төсөв хоорондын шилжүүлэг</v>
      </c>
      <c r="S333" s="406" t="s">
        <v>1242</v>
      </c>
      <c r="T333" s="406">
        <v>123</v>
      </c>
      <c r="U333" s="406" t="s">
        <v>32</v>
      </c>
    </row>
    <row r="334" spans="1:21">
      <c r="A334" s="406" t="s">
        <v>1242</v>
      </c>
      <c r="B334" s="406">
        <v>123001</v>
      </c>
      <c r="C334" s="406">
        <f>+'3.CT2A'!A109</f>
        <v>123001</v>
      </c>
      <c r="D334" s="406">
        <f si="9" t="shared"/>
        <v>0</v>
      </c>
      <c r="E334" s="406" t="str">
        <f>+'3.CT2A'!B109</f>
        <v xml:space="preserve">               Тусгай зориулалтын шилжүүлгийн орлого</v>
      </c>
      <c r="S334" s="406" t="s">
        <v>1242</v>
      </c>
      <c r="T334" s="406">
        <v>123001</v>
      </c>
      <c r="U334" s="406" t="s">
        <v>32</v>
      </c>
    </row>
    <row r="335" spans="1:21">
      <c r="A335" s="406" t="s">
        <v>1242</v>
      </c>
      <c r="B335" s="406">
        <v>123002</v>
      </c>
      <c r="C335" s="406">
        <f>+'3.CT2A'!A110</f>
        <v>123002</v>
      </c>
      <c r="D335" s="406">
        <f si="9" t="shared"/>
        <v>0</v>
      </c>
      <c r="E335" s="406" t="str">
        <f>+'3.CT2A'!B110</f>
        <v xml:space="preserve">               Орон нутгийн хөгжлийн нэгдсэн сангаас шилжүүлсэн орлого</v>
      </c>
      <c r="S335" s="406" t="s">
        <v>1242</v>
      </c>
      <c r="T335" s="406">
        <v>123002</v>
      </c>
      <c r="U335" s="406" t="s">
        <v>32</v>
      </c>
    </row>
    <row r="336" spans="1:21">
      <c r="A336" s="406" t="s">
        <v>1242</v>
      </c>
      <c r="B336" s="406">
        <v>123003</v>
      </c>
      <c r="C336" s="406">
        <f>+'3.CT2A'!A111</f>
        <v>123003</v>
      </c>
      <c r="D336" s="406">
        <f si="9" t="shared"/>
        <v>0</v>
      </c>
      <c r="E336" s="406" t="str">
        <f>+'3.CT2A'!B111</f>
        <v xml:space="preserve">               Улсын төсвөөс орон нутгийн төсөвт олгох санхүүгийн дэмжлэг</v>
      </c>
      <c r="S336" s="406" t="s">
        <v>1242</v>
      </c>
      <c r="T336" s="406">
        <v>123003</v>
      </c>
      <c r="U336" s="406" t="s">
        <v>32</v>
      </c>
    </row>
    <row r="337" spans="1:21">
      <c r="A337" s="406" t="s">
        <v>1242</v>
      </c>
      <c r="B337" s="406">
        <v>123004</v>
      </c>
      <c r="C337" s="406">
        <f>+'3.CT2A'!A112</f>
        <v>123004</v>
      </c>
      <c r="D337" s="406">
        <f si="9" t="shared"/>
        <v>0</v>
      </c>
      <c r="E337" s="406" t="str">
        <f>+'3.CT2A'!B112</f>
        <v xml:space="preserve">               Улсын төсвөөс орон нутгийн төсвөөс төвлөрүүлэх шилжүүлэг</v>
      </c>
      <c r="S337" s="406" t="s">
        <v>1242</v>
      </c>
      <c r="T337" s="406">
        <v>123004</v>
      </c>
      <c r="U337" s="406" t="s">
        <v>32</v>
      </c>
    </row>
    <row r="338" spans="1:21">
      <c r="A338" s="406" t="s">
        <v>1242</v>
      </c>
      <c r="B338" s="406">
        <v>124</v>
      </c>
      <c r="C338" s="406">
        <f>+'3.CT2A'!A113</f>
        <v>124</v>
      </c>
      <c r="D338" s="406">
        <f si="9" t="shared"/>
        <v>0</v>
      </c>
      <c r="E338" s="406" t="str">
        <f>+'3.CT2A'!B113</f>
        <v xml:space="preserve">       Зээлийн орлого</v>
      </c>
      <c r="S338" s="406" t="s">
        <v>1242</v>
      </c>
      <c r="T338" s="406">
        <v>124</v>
      </c>
      <c r="U338" s="406" t="s">
        <v>32</v>
      </c>
    </row>
    <row r="339" spans="1:21">
      <c r="A339" s="406" t="s">
        <v>1242</v>
      </c>
      <c r="B339" s="406">
        <v>140002</v>
      </c>
      <c r="C339" s="406">
        <f>+'3.CT2A'!A114</f>
        <v>140002</v>
      </c>
      <c r="D339" s="406">
        <f si="9" t="shared"/>
        <v>0</v>
      </c>
      <c r="E339" s="406" t="str">
        <f>+'3.CT2A'!B114</f>
        <v xml:space="preserve">               Улсын төсвөөс олгосон зээл</v>
      </c>
      <c r="S339" s="406" t="s">
        <v>1242</v>
      </c>
      <c r="T339" s="406">
        <v>140002</v>
      </c>
      <c r="U339" s="406" t="s">
        <v>32</v>
      </c>
    </row>
    <row r="340" spans="1:21">
      <c r="A340" s="406" t="s">
        <v>1242</v>
      </c>
      <c r="B340" s="406">
        <v>140003</v>
      </c>
      <c r="C340" s="406">
        <f>+'3.CT2A'!A115</f>
        <v>140003</v>
      </c>
      <c r="D340" s="406">
        <f si="9" t="shared"/>
        <v>0</v>
      </c>
      <c r="E340" s="406" t="str">
        <f>+'3.CT2A'!B115</f>
        <v xml:space="preserve">               Бусдад олгосон зээл болон урьдчилгааны эргэн төлөлт</v>
      </c>
      <c r="S340" s="406" t="s">
        <v>1242</v>
      </c>
      <c r="T340" s="406">
        <v>140003</v>
      </c>
      <c r="U340" s="406" t="s">
        <v>32</v>
      </c>
    </row>
    <row r="341" spans="1:21">
      <c r="A341" s="406" t="s">
        <v>1242</v>
      </c>
      <c r="B341" s="406">
        <v>141001</v>
      </c>
      <c r="C341" s="406">
        <f>+'3.CT2A'!A116</f>
        <v>141001</v>
      </c>
      <c r="D341" s="406">
        <f si="9" t="shared"/>
        <v>0</v>
      </c>
      <c r="E341" s="406" t="str">
        <f>+'3.CT2A'!B116</f>
        <v xml:space="preserve">               Гадаадын санхүүгийн зээлийн эх үүсвэр</v>
      </c>
      <c r="S341" s="406" t="s">
        <v>1242</v>
      </c>
      <c r="T341" s="406">
        <v>141001</v>
      </c>
      <c r="U341" s="406" t="s">
        <v>32</v>
      </c>
    </row>
    <row r="342" spans="1:21">
      <c r="A342" s="406" t="s">
        <v>1242</v>
      </c>
      <c r="B342" s="406">
        <v>13</v>
      </c>
      <c r="C342" s="406">
        <f>+'3.CT2A'!A117</f>
        <v>13</v>
      </c>
      <c r="D342" s="406">
        <f si="9" t="shared"/>
        <v>0</v>
      </c>
      <c r="E342" s="406" t="str">
        <f>+'3.CT2A'!B117</f>
        <v xml:space="preserve"> ТУСЛАМЖ, САНХҮҮЖИЛТИЙН ОРЛОГО</v>
      </c>
      <c r="S342" s="406" t="s">
        <v>1242</v>
      </c>
      <c r="T342" s="406">
        <v>13</v>
      </c>
      <c r="U342" s="406" t="s">
        <v>32</v>
      </c>
    </row>
    <row r="343" spans="1:21">
      <c r="A343" s="406" t="s">
        <v>1242</v>
      </c>
      <c r="B343" s="406">
        <v>1310</v>
      </c>
      <c r="C343" s="406">
        <f>+'3.CT2A'!A118</f>
        <v>1310</v>
      </c>
      <c r="D343" s="406">
        <f si="9" t="shared"/>
        <v>0</v>
      </c>
      <c r="E343" s="406" t="str">
        <f>+'3.CT2A'!B118</f>
        <v xml:space="preserve">    Улсын төвлөрсөн төсвөөс</v>
      </c>
      <c r="S343" s="406" t="s">
        <v>1242</v>
      </c>
      <c r="T343" s="406">
        <v>1310</v>
      </c>
      <c r="U343" s="406" t="s">
        <v>32</v>
      </c>
    </row>
    <row r="344" spans="1:21">
      <c r="A344" s="406" t="s">
        <v>1242</v>
      </c>
      <c r="B344" s="406">
        <v>131001</v>
      </c>
      <c r="C344" s="406">
        <f>+'3.CT2A'!A119</f>
        <v>131001</v>
      </c>
      <c r="D344" s="406">
        <f si="9" t="shared"/>
        <v>0</v>
      </c>
      <c r="E344" s="406" t="str">
        <f>+'3.CT2A'!B119</f>
        <v xml:space="preserve">      Урсгал үйл ажиллагааны санхүүжилт</v>
      </c>
      <c r="S344" s="406" t="s">
        <v>1242</v>
      </c>
      <c r="T344" s="406">
        <v>131001</v>
      </c>
      <c r="U344" s="406" t="s">
        <v>32</v>
      </c>
    </row>
    <row r="345" spans="1:21">
      <c r="A345" s="406" t="s">
        <v>1242</v>
      </c>
      <c r="B345" s="406">
        <v>131002</v>
      </c>
      <c r="C345" s="406">
        <f>+'3.CT2A'!A120</f>
        <v>131002</v>
      </c>
      <c r="D345" s="406">
        <f si="9" t="shared"/>
        <v>0</v>
      </c>
      <c r="E345" s="406" t="str">
        <f>+'3.CT2A'!B120</f>
        <v xml:space="preserve">      Засгийн газрын, Засаг даргын нөөц хөрөнгийн санхүүжилт</v>
      </c>
      <c r="S345" s="406" t="s">
        <v>1242</v>
      </c>
      <c r="T345" s="406">
        <v>131002</v>
      </c>
      <c r="U345" s="406" t="s">
        <v>32</v>
      </c>
    </row>
    <row r="346" spans="1:21">
      <c r="A346" s="406" t="s">
        <v>1242</v>
      </c>
      <c r="B346" s="406">
        <v>131003</v>
      </c>
      <c r="C346" s="406">
        <f>+'3.CT2A'!A121</f>
        <v>131003</v>
      </c>
      <c r="D346" s="406">
        <f si="9" t="shared"/>
        <v>0</v>
      </c>
      <c r="E346" s="406" t="str">
        <f>+'3.CT2A'!B121</f>
        <v xml:space="preserve">      Төвлөрүүлэх шилжүүлэг</v>
      </c>
      <c r="S346" s="406" t="s">
        <v>1242</v>
      </c>
      <c r="T346" s="406">
        <v>131003</v>
      </c>
      <c r="U346" s="406" t="s">
        <v>32</v>
      </c>
    </row>
    <row r="347" spans="1:21">
      <c r="A347" s="406" t="s">
        <v>1242</v>
      </c>
      <c r="B347" s="406">
        <v>131004</v>
      </c>
      <c r="C347" s="406">
        <f>+'3.CT2A'!A122</f>
        <v>131004</v>
      </c>
      <c r="D347" s="406">
        <f si="9" t="shared"/>
        <v>0</v>
      </c>
      <c r="E347" s="406" t="str">
        <f>+'3.CT2A'!B122</f>
        <v xml:space="preserve">      Төсөв болон дамжуулан зээлдүүлсэн зээлээс эргэж төлөгдөх	</v>
      </c>
      <c r="S347" s="406" t="s">
        <v>1242</v>
      </c>
      <c r="T347" s="406">
        <v>131004</v>
      </c>
      <c r="U347" s="406" t="s">
        <v>32</v>
      </c>
    </row>
    <row r="348" spans="1:21">
      <c r="A348" s="406" t="s">
        <v>1242</v>
      </c>
      <c r="B348" s="406">
        <v>131005</v>
      </c>
      <c r="C348" s="406">
        <f>+'3.CT2A'!A123</f>
        <v>131005</v>
      </c>
      <c r="D348" s="406">
        <f si="9" t="shared"/>
        <v>0</v>
      </c>
      <c r="E348" s="406" t="str">
        <f>+'3.CT2A'!B123</f>
        <v xml:space="preserve">      Хөрөнгийн санхүүжилт</v>
      </c>
      <c r="S348" s="406" t="s">
        <v>1242</v>
      </c>
      <c r="T348" s="406">
        <v>131005</v>
      </c>
      <c r="U348" s="406" t="s">
        <v>32</v>
      </c>
    </row>
    <row r="349" spans="1:21">
      <c r="A349" s="406" t="s">
        <v>1242</v>
      </c>
      <c r="B349" s="406">
        <v>131006</v>
      </c>
      <c r="C349" s="406">
        <f>+'3.CT2A'!A124</f>
        <v>131006</v>
      </c>
      <c r="D349" s="406">
        <f si="9" t="shared"/>
        <v>0</v>
      </c>
      <c r="E349" s="406" t="str">
        <f>+'3.CT2A'!B124</f>
        <v xml:space="preserve">      Засгийн газрын тусгай сангаас санхүүжих</v>
      </c>
      <c r="S349" s="406" t="s">
        <v>1242</v>
      </c>
      <c r="T349" s="406">
        <v>131006</v>
      </c>
      <c r="U349" s="406" t="s">
        <v>32</v>
      </c>
    </row>
    <row r="350" spans="1:21">
      <c r="A350" s="406" t="s">
        <v>1242</v>
      </c>
      <c r="B350" s="406">
        <v>131007</v>
      </c>
      <c r="C350" s="406">
        <f>+'3.CT2A'!A125</f>
        <v>131007</v>
      </c>
      <c r="D350" s="406">
        <f si="9" t="shared"/>
        <v>0</v>
      </c>
      <c r="E350" s="406" t="str">
        <f>+'3.CT2A'!B125</f>
        <v xml:space="preserve">      Тусгай зориулалтын шилжүүлгээс санхүүжих</v>
      </c>
      <c r="S350" s="406" t="s">
        <v>1242</v>
      </c>
      <c r="T350" s="406">
        <v>131007</v>
      </c>
      <c r="U350" s="406" t="s">
        <v>32</v>
      </c>
    </row>
    <row r="351" spans="1:21">
      <c r="A351" s="406" t="s">
        <v>1242</v>
      </c>
      <c r="B351" s="406">
        <v>131008</v>
      </c>
      <c r="C351" s="406">
        <f>+'3.CT2A'!A126</f>
        <v>131008</v>
      </c>
      <c r="D351" s="406">
        <f si="9" t="shared"/>
        <v>0</v>
      </c>
      <c r="E351" s="406" t="str">
        <f>+'3.CT2A'!B126</f>
        <v xml:space="preserve">      Орон нутгийн хөгжлийн нэгдсэн сангаас санхүүжих</v>
      </c>
      <c r="S351" s="406" t="s">
        <v>1242</v>
      </c>
      <c r="T351" s="406">
        <v>131008</v>
      </c>
      <c r="U351" s="406" t="s">
        <v>32</v>
      </c>
    </row>
    <row r="352" spans="1:21">
      <c r="A352" s="406" t="s">
        <v>1242</v>
      </c>
      <c r="B352" s="406">
        <v>131009</v>
      </c>
      <c r="C352" s="406">
        <f>+'3.CT2A'!A127</f>
        <v>131009</v>
      </c>
      <c r="D352" s="406">
        <f si="9" t="shared"/>
        <v>0</v>
      </c>
      <c r="E352" s="406" t="str">
        <f>+'3.CT2A'!B127</f>
        <v xml:space="preserve">     Оны эхний үлдэгдлээс санхүүжих</v>
      </c>
      <c r="S352" s="406" t="s">
        <v>1242</v>
      </c>
      <c r="T352" s="406">
        <v>131009</v>
      </c>
      <c r="U352" s="406" t="s">
        <v>32</v>
      </c>
    </row>
    <row r="353" spans="1:21">
      <c r="A353" s="406" t="s">
        <v>1242</v>
      </c>
      <c r="B353" s="406">
        <v>1311</v>
      </c>
      <c r="C353" s="406">
        <f>+'3.CT2A'!A128</f>
        <v>1311</v>
      </c>
      <c r="D353" s="406">
        <f si="9" t="shared"/>
        <v>0</v>
      </c>
      <c r="E353" s="406" t="str">
        <f>+'3.CT2A'!B128</f>
        <v xml:space="preserve">   Нэмэлт санхүүжилтийн орлого</v>
      </c>
      <c r="S353" s="406" t="s">
        <v>1242</v>
      </c>
      <c r="T353" s="406">
        <v>1311</v>
      </c>
      <c r="U353" s="406" t="s">
        <v>32</v>
      </c>
    </row>
    <row r="354" spans="1:21">
      <c r="A354" s="406" t="s">
        <v>1242</v>
      </c>
      <c r="B354" s="406">
        <v>131101</v>
      </c>
      <c r="C354" s="406">
        <f>+'3.CT2A'!A129</f>
        <v>131101</v>
      </c>
      <c r="D354" s="406">
        <f si="9" t="shared"/>
        <v>0</v>
      </c>
      <c r="E354" s="406" t="str">
        <f>+'3.CT2A'!B129</f>
        <v xml:space="preserve">      Төрийн болон орон нутгийн өмчит бус этгээдээс авсан хандив, тусламж</v>
      </c>
      <c r="S354" s="406" t="s">
        <v>1242</v>
      </c>
      <c r="T354" s="406">
        <v>131101</v>
      </c>
      <c r="U354" s="406" t="s">
        <v>32</v>
      </c>
    </row>
    <row r="355" spans="1:21">
      <c r="A355" s="406" t="s">
        <v>1242</v>
      </c>
      <c r="B355" s="406">
        <v>131102</v>
      </c>
      <c r="C355" s="406">
        <f>+'3.CT2A'!A130</f>
        <v>131102</v>
      </c>
      <c r="D355" s="406">
        <f si="9" t="shared"/>
        <v>0</v>
      </c>
      <c r="E355" s="406" t="str">
        <f>+'3.CT2A'!B130</f>
        <v xml:space="preserve">      Төсвийн жилийн явцад УИХ-аас соёрхон баталсан, ЗГ хоорондын гэрээ болон ОУ байгууллагаас авах хөнгөлөлттэй зээл</v>
      </c>
      <c r="S355" s="406" t="s">
        <v>1242</v>
      </c>
      <c r="T355" s="406">
        <v>131102</v>
      </c>
      <c r="U355" s="406" t="s">
        <v>32</v>
      </c>
    </row>
    <row r="356" spans="1:21">
      <c r="A356" s="406" t="s">
        <v>1242</v>
      </c>
      <c r="B356" s="406">
        <v>131103</v>
      </c>
      <c r="C356" s="406">
        <f>+'3.CT2A'!A131</f>
        <v>131103</v>
      </c>
      <c r="D356" s="406">
        <f si="9" t="shared"/>
        <v>0</v>
      </c>
      <c r="E356" s="406" t="str">
        <f>+'3.CT2A'!B131</f>
        <v xml:space="preserve">      ЗГНХ,ЗДНХөрөнгө,түүнтэй адилтгах ангилагдаагүй нөөц хөрөнгөөс тухайн төсвийн захирагчид хуваарилсан хөрөнгө</v>
      </c>
      <c r="S356" s="406" t="s">
        <v>1242</v>
      </c>
      <c r="T356" s="406">
        <v>131103</v>
      </c>
      <c r="U356" s="406" t="s">
        <v>32</v>
      </c>
    </row>
    <row r="357" spans="1:21">
      <c r="A357" s="406" t="s">
        <v>1242</v>
      </c>
      <c r="B357" s="406">
        <v>131104</v>
      </c>
      <c r="C357" s="406">
        <f>+'3.CT2A'!A132</f>
        <v>131104</v>
      </c>
      <c r="D357" s="406">
        <f si="9" t="shared"/>
        <v>0</v>
      </c>
      <c r="E357" s="406" t="str">
        <f>+'3.CT2A'!B132</f>
        <v xml:space="preserve">      Дээд шатны төсвийн захирагчийн төсөвт тусгагдсан төсвөөс доод шатны төсвийн захирагчид хуваарилсан хөрөнгө</v>
      </c>
      <c r="S357" s="406" t="s">
        <v>1242</v>
      </c>
      <c r="T357" s="406">
        <v>131104</v>
      </c>
      <c r="U357" s="406" t="s">
        <v>32</v>
      </c>
    </row>
    <row r="358" spans="1:21">
      <c r="A358" s="406" t="s">
        <v>1242</v>
      </c>
      <c r="B358" s="406">
        <v>131105</v>
      </c>
      <c r="C358" s="406">
        <f>+'3.CT2A'!A133</f>
        <v>131105</v>
      </c>
      <c r="D358" s="406">
        <f si="9" t="shared"/>
        <v>0</v>
      </c>
      <c r="E358" s="406" t="str">
        <f>+'3.CT2A'!B133</f>
        <v xml:space="preserve">      Төсвийн байгууллагын үндсэн үйл ажиллагааны хүрээнд бий болсон нэмэлт орлого</v>
      </c>
      <c r="S358" s="406" t="s">
        <v>1242</v>
      </c>
      <c r="T358" s="406">
        <v>131105</v>
      </c>
      <c r="U358" s="406" t="s">
        <v>32</v>
      </c>
    </row>
    <row r="359" spans="1:21">
      <c r="A359" s="406" t="s">
        <v>1242</v>
      </c>
      <c r="B359" s="406">
        <v>131106</v>
      </c>
      <c r="C359" s="406">
        <f>+'3.CT2A'!A134</f>
        <v>131106</v>
      </c>
      <c r="D359" s="406">
        <f si="9" t="shared"/>
        <v>0</v>
      </c>
      <c r="E359" s="406" t="str">
        <f>+'3.CT2A'!B134</f>
        <v xml:space="preserve">      Төсвийн урамшуулал</v>
      </c>
      <c r="S359" s="406" t="s">
        <v>1242</v>
      </c>
      <c r="T359" s="406">
        <v>131106</v>
      </c>
      <c r="U359" s="406" t="s">
        <v>32</v>
      </c>
    </row>
    <row r="360" spans="1:21">
      <c r="A360" s="406" t="s">
        <v>1242</v>
      </c>
      <c r="B360" s="406">
        <v>1320</v>
      </c>
      <c r="C360" s="406">
        <f>+'3.CT2A'!A135</f>
        <v>1320</v>
      </c>
      <c r="D360" s="406">
        <f si="9" t="shared"/>
        <v>0</v>
      </c>
      <c r="E360" s="406" t="str">
        <f>+'3.CT2A'!B135</f>
        <v xml:space="preserve">   Орон нутгийн төсвөөс санхүүжих</v>
      </c>
      <c r="S360" s="406" t="s">
        <v>1242</v>
      </c>
      <c r="T360" s="406">
        <v>1320</v>
      </c>
      <c r="U360" s="406" t="s">
        <v>32</v>
      </c>
    </row>
    <row r="361" spans="1:21">
      <c r="A361" s="406" t="s">
        <v>1242</v>
      </c>
      <c r="B361" s="406">
        <v>132001</v>
      </c>
      <c r="C361" s="406">
        <f>+'3.CT2A'!A136</f>
        <v>132001</v>
      </c>
      <c r="D361" s="406">
        <f si="9" t="shared"/>
        <v>0</v>
      </c>
      <c r="E361" s="406" t="str">
        <f>+'3.CT2A'!B136</f>
        <v xml:space="preserve">      Урсгал үйл ажиллагааны санхүүжилт /орон нутгийн төсөвт байгууллага/</v>
      </c>
      <c r="S361" s="406" t="s">
        <v>1242</v>
      </c>
      <c r="T361" s="406">
        <v>132001</v>
      </c>
      <c r="U361" s="406" t="s">
        <v>32</v>
      </c>
    </row>
    <row r="362" spans="1:21">
      <c r="A362" s="406" t="s">
        <v>1242</v>
      </c>
      <c r="B362" s="406">
        <v>132002</v>
      </c>
      <c r="C362" s="406">
        <f>+'3.CT2A'!A137</f>
        <v>132002</v>
      </c>
      <c r="D362" s="406">
        <f si="9" t="shared"/>
        <v>0</v>
      </c>
      <c r="E362" s="406" t="str">
        <f>+'3.CT2A'!B137</f>
        <v xml:space="preserve">      Засгийн газрын, Засаг даргын нөөц хөрөнгийн санхүүжилт</v>
      </c>
      <c r="S362" s="406" t="s">
        <v>1242</v>
      </c>
      <c r="T362" s="406">
        <v>132002</v>
      </c>
      <c r="U362" s="406" t="s">
        <v>32</v>
      </c>
    </row>
    <row r="363" spans="1:21">
      <c r="A363" s="406" t="s">
        <v>1242</v>
      </c>
      <c r="B363" s="406">
        <v>132003</v>
      </c>
      <c r="C363" s="406">
        <f>+'3.CT2A'!A138</f>
        <v>132003</v>
      </c>
      <c r="D363" s="406">
        <f si="9" t="shared"/>
        <v>0</v>
      </c>
      <c r="E363" s="406" t="str">
        <f>+'3.CT2A'!B138</f>
        <v xml:space="preserve">      Төвлөрүүлэх шилжүүлэг /орон нутгийн төсөвт байгууллага улсад төвлөрүүлэх орлого/</v>
      </c>
      <c r="S363" s="406" t="s">
        <v>1242</v>
      </c>
      <c r="T363" s="406">
        <v>132003</v>
      </c>
      <c r="U363" s="406" t="s">
        <v>32</v>
      </c>
    </row>
    <row r="364" spans="1:21">
      <c r="A364" s="406" t="s">
        <v>1242</v>
      </c>
      <c r="B364" s="406">
        <v>132004</v>
      </c>
      <c r="C364" s="406">
        <f>+'3.CT2A'!A139</f>
        <v>132004</v>
      </c>
      <c r="D364" s="406">
        <f si="9" t="shared"/>
        <v>0</v>
      </c>
      <c r="E364" s="406" t="str">
        <f>+'3.CT2A'!B139</f>
        <v xml:space="preserve">      Оны эхний үлдэгдлээс санхүүжих / орон нутгийн төсөв/</v>
      </c>
      <c r="S364" s="406" t="s">
        <v>1242</v>
      </c>
      <c r="T364" s="406">
        <v>132004</v>
      </c>
      <c r="U364" s="406" t="s">
        <v>32</v>
      </c>
    </row>
    <row r="365" spans="1:21">
      <c r="A365" s="406" t="s">
        <v>1242</v>
      </c>
      <c r="B365" s="406">
        <v>132005</v>
      </c>
      <c r="C365" s="406">
        <f>+'3.CT2A'!A140</f>
        <v>132005</v>
      </c>
      <c r="D365" s="406">
        <f si="9" t="shared"/>
        <v>0</v>
      </c>
      <c r="E365" s="406" t="str">
        <f>+'3.CT2A'!B140</f>
        <v xml:space="preserve">      Хөрөнгийн санхүүжилт / орон нутгийн төсөвт байгууллага/</v>
      </c>
      <c r="S365" s="406" t="s">
        <v>1242</v>
      </c>
      <c r="T365" s="406">
        <v>132005</v>
      </c>
      <c r="U365" s="406" t="s">
        <v>32</v>
      </c>
    </row>
    <row r="366" spans="1:21">
      <c r="A366" s="406" t="s">
        <v>1242</v>
      </c>
      <c r="B366" s="406">
        <v>132006</v>
      </c>
      <c r="C366" s="406">
        <f>+'3.CT2A'!A141</f>
        <v>132006</v>
      </c>
      <c r="D366" s="406">
        <f si="9" t="shared"/>
        <v>0</v>
      </c>
      <c r="E366" s="406" t="str">
        <f>+'3.CT2A'!B141</f>
        <v xml:space="preserve">      Урсгал үйл ажиллагааны санхүүжилт / аймгаас авсан санхүүгийн дэмжлэг/</v>
      </c>
      <c r="S366" s="406" t="s">
        <v>1242</v>
      </c>
      <c r="T366" s="406">
        <v>132006</v>
      </c>
      <c r="U366" s="406" t="s">
        <v>32</v>
      </c>
    </row>
    <row r="367" spans="1:21">
      <c r="A367" s="406" t="s">
        <v>1242</v>
      </c>
      <c r="B367" s="406">
        <v>132007</v>
      </c>
      <c r="C367" s="406">
        <f>+'3.CT2A'!A142</f>
        <v>132007</v>
      </c>
      <c r="D367" s="406">
        <f si="9" t="shared"/>
        <v>0</v>
      </c>
      <c r="E367" s="406" t="str">
        <f>+'3.CT2A'!B142</f>
        <v xml:space="preserve">      Орон нутгийн хөгжлийн сангаас санхүүжих</v>
      </c>
      <c r="S367" s="406" t="s">
        <v>1242</v>
      </c>
      <c r="T367" s="406">
        <v>132007</v>
      </c>
      <c r="U367" s="406" t="s">
        <v>32</v>
      </c>
    </row>
    <row r="368" spans="1:21">
      <c r="A368" s="406" t="s">
        <v>1242</v>
      </c>
      <c r="B368" s="406">
        <v>1330</v>
      </c>
      <c r="C368" s="406">
        <f>+'3.CT2A'!A143</f>
        <v>1330</v>
      </c>
      <c r="D368" s="406">
        <f si="9" t="shared"/>
        <v>0</v>
      </c>
      <c r="E368" s="406" t="str">
        <f>+'3.CT2A'!B143</f>
        <v xml:space="preserve">   Төсвийн захирагчдаас </v>
      </c>
      <c r="S368" s="406" t="s">
        <v>1242</v>
      </c>
      <c r="T368" s="406">
        <v>1330</v>
      </c>
      <c r="U368" s="406" t="s">
        <v>32</v>
      </c>
    </row>
    <row r="369" spans="1:21">
      <c r="A369" s="406" t="s">
        <v>1242</v>
      </c>
      <c r="B369" s="406">
        <v>133001</v>
      </c>
      <c r="C369" s="406">
        <f>+'3.CT2A'!A144</f>
        <v>133001</v>
      </c>
      <c r="D369" s="406">
        <f si="9" t="shared"/>
        <v>0</v>
      </c>
      <c r="E369" s="406" t="str">
        <f>+'3.CT2A'!B144</f>
        <v xml:space="preserve">      Урсгал үйл ажиллагааны санхүүжилт</v>
      </c>
      <c r="S369" s="406" t="s">
        <v>1242</v>
      </c>
      <c r="T369" s="406">
        <v>133001</v>
      </c>
      <c r="U369" s="406" t="s">
        <v>32</v>
      </c>
    </row>
    <row r="370" spans="1:21">
      <c r="A370" s="406" t="s">
        <v>1242</v>
      </c>
      <c r="B370" s="406">
        <v>133002</v>
      </c>
      <c r="C370" s="406">
        <f>+'3.CT2A'!A145</f>
        <v>133002</v>
      </c>
      <c r="D370" s="406">
        <f si="9" t="shared"/>
        <v>0</v>
      </c>
      <c r="E370" s="406" t="str">
        <f>+'3.CT2A'!B145</f>
        <v xml:space="preserve">      Төвлөрүүлэх шилжүүлэг</v>
      </c>
      <c r="S370" s="406" t="s">
        <v>1242</v>
      </c>
      <c r="T370" s="406">
        <v>133002</v>
      </c>
      <c r="U370" s="406" t="s">
        <v>32</v>
      </c>
    </row>
    <row r="371" spans="1:21">
      <c r="A371" s="406" t="s">
        <v>1242</v>
      </c>
      <c r="B371" s="406">
        <v>133003</v>
      </c>
      <c r="C371" s="406">
        <f>+'3.CT2A'!A146</f>
        <v>133003</v>
      </c>
      <c r="D371" s="406">
        <f si="9" t="shared"/>
        <v>0</v>
      </c>
      <c r="E371" s="406" t="str">
        <f>+'3.CT2A'!B146</f>
        <v xml:space="preserve">      Хөрөнгийн</v>
      </c>
      <c r="S371" s="406" t="s">
        <v>1242</v>
      </c>
      <c r="T371" s="406">
        <v>133003</v>
      </c>
      <c r="U371" s="406" t="s">
        <v>32</v>
      </c>
    </row>
    <row r="372" spans="1:21">
      <c r="A372" s="406" t="s">
        <v>1242</v>
      </c>
      <c r="B372" s="406">
        <v>133004</v>
      </c>
      <c r="C372" s="406">
        <f>+'3.CT2A'!A147</f>
        <v>133004</v>
      </c>
      <c r="D372" s="406">
        <f si="9" t="shared"/>
        <v>0</v>
      </c>
      <c r="E372" s="406" t="str">
        <f>+'3.CT2A'!B147</f>
        <v xml:space="preserve">      Төсвийн ерөнхийлөн захирагчаас олгосон санхүүжилт</v>
      </c>
      <c r="S372" s="406" t="s">
        <v>1242</v>
      </c>
      <c r="T372" s="406">
        <v>133004</v>
      </c>
      <c r="U372" s="406" t="s">
        <v>32</v>
      </c>
    </row>
    <row r="373" spans="1:21">
      <c r="A373" s="406" t="s">
        <v>1242</v>
      </c>
      <c r="B373" s="406">
        <v>133005</v>
      </c>
      <c r="C373" s="406">
        <f>+'3.CT2A'!A148</f>
        <v>133005</v>
      </c>
      <c r="D373" s="406">
        <f si="9" t="shared"/>
        <v>0</v>
      </c>
      <c r="E373" s="406" t="str">
        <f>+'3.CT2A'!B148</f>
        <v xml:space="preserve">      Төсвийн ерөнхийлөн захирагч хооронд хийсэн санхүүжилт</v>
      </c>
      <c r="S373" s="406" t="s">
        <v>1242</v>
      </c>
      <c r="T373" s="406">
        <v>133005</v>
      </c>
      <c r="U373" s="406" t="s">
        <v>32</v>
      </c>
    </row>
    <row r="374" spans="1:21">
      <c r="A374" s="406" t="s">
        <v>1242</v>
      </c>
      <c r="B374" s="406">
        <v>1340</v>
      </c>
      <c r="C374" s="406">
        <f>+'3.CT2A'!A149</f>
        <v>1340</v>
      </c>
      <c r="D374" s="406">
        <f si="9" t="shared"/>
        <v>0</v>
      </c>
      <c r="E374" s="406" t="str">
        <f>+'3.CT2A'!B149</f>
        <v xml:space="preserve">   Нийгмийн даатгалын сангийн төсвөөс санхүүжих</v>
      </c>
      <c r="S374" s="406" t="s">
        <v>1242</v>
      </c>
      <c r="T374" s="406">
        <v>1340</v>
      </c>
      <c r="U374" s="406" t="s">
        <v>32</v>
      </c>
    </row>
    <row r="375" spans="1:21">
      <c r="A375" s="406" t="s">
        <v>1242</v>
      </c>
      <c r="B375" s="406">
        <v>134001</v>
      </c>
      <c r="C375" s="406">
        <f>+'3.CT2A'!A150</f>
        <v>134001</v>
      </c>
      <c r="D375" s="406">
        <f si="9" t="shared"/>
        <v>0</v>
      </c>
      <c r="E375" s="406" t="str">
        <f>+'3.CT2A'!B150</f>
        <v xml:space="preserve">      Нийгмийн даатгалын сангаас санхүүжих</v>
      </c>
      <c r="S375" s="406" t="s">
        <v>1242</v>
      </c>
      <c r="T375" s="406">
        <v>134001</v>
      </c>
      <c r="U375" s="406" t="s">
        <v>32</v>
      </c>
    </row>
    <row r="376" spans="1:21">
      <c r="A376" s="406" t="s">
        <v>1242</v>
      </c>
      <c r="B376" s="406">
        <v>134002</v>
      </c>
      <c r="C376" s="406">
        <f>+'3.CT2A'!A151</f>
        <v>134002</v>
      </c>
      <c r="D376" s="406">
        <f si="9" t="shared"/>
        <v>0</v>
      </c>
      <c r="E376" s="406" t="str">
        <f>+'3.CT2A'!B151</f>
        <v xml:space="preserve">       Эрүүл мэндийн даатгалын сангаас санхүүжих</v>
      </c>
      <c r="S376" s="406" t="s">
        <v>1242</v>
      </c>
      <c r="T376" s="406">
        <v>134002</v>
      </c>
      <c r="U376" s="406" t="s">
        <v>32</v>
      </c>
    </row>
    <row r="377" spans="1:21">
      <c r="A377" s="406" t="s">
        <v>1242</v>
      </c>
      <c r="B377" s="406">
        <v>134003</v>
      </c>
      <c r="C377" s="406">
        <f>+'3.CT2A'!A152</f>
        <v>134003</v>
      </c>
      <c r="D377" s="406">
        <f si="9" t="shared"/>
        <v>0</v>
      </c>
      <c r="E377" s="406" t="str">
        <f>+'3.CT2A'!B152</f>
        <v xml:space="preserve">       Нийгмийн даатгалын сангаас эмнэлгүүдэд олгох санхүүжилт</v>
      </c>
      <c r="S377" s="406" t="s">
        <v>1242</v>
      </c>
      <c r="T377" s="406">
        <v>134003</v>
      </c>
      <c r="U377" s="406" t="s">
        <v>32</v>
      </c>
    </row>
    <row r="378" spans="1:21">
      <c r="A378" s="406" t="s">
        <v>1242</v>
      </c>
      <c r="B378" s="406">
        <v>2</v>
      </c>
      <c r="C378" s="406">
        <f>+'3.CT2A'!A153</f>
        <v>2</v>
      </c>
      <c r="D378" s="406">
        <f si="9" t="shared"/>
        <v>0</v>
      </c>
      <c r="E378" s="406" t="str">
        <f>+'3.CT2A'!B153</f>
        <v>ҮЙЛ АЖИЛЛАГААНЫ ЗАРДЛЫН ДҮН</v>
      </c>
      <c r="S378" s="406" t="s">
        <v>1242</v>
      </c>
      <c r="T378" s="406">
        <v>2</v>
      </c>
      <c r="U378" s="406" t="s">
        <v>92</v>
      </c>
    </row>
    <row r="379" spans="1:21">
      <c r="A379" s="406" t="s">
        <v>1242</v>
      </c>
      <c r="B379" s="406">
        <v>21</v>
      </c>
      <c r="C379" s="406">
        <f>+'3.CT2A'!A154</f>
        <v>21</v>
      </c>
      <c r="D379" s="406">
        <f si="9" t="shared"/>
        <v>0</v>
      </c>
      <c r="E379" s="406" t="str">
        <f>+'3.CT2A'!B154</f>
        <v xml:space="preserve">  УРСГАЛ ЗАРДАЛ </v>
      </c>
      <c r="S379" s="406" t="s">
        <v>1242</v>
      </c>
      <c r="T379" s="406">
        <v>21</v>
      </c>
      <c r="U379" s="406" t="s">
        <v>92</v>
      </c>
    </row>
    <row r="380" spans="1:21">
      <c r="A380" s="406" t="s">
        <v>1242</v>
      </c>
      <c r="B380" s="406">
        <v>210</v>
      </c>
      <c r="C380" s="406">
        <f>+'3.CT2A'!A155</f>
        <v>210</v>
      </c>
      <c r="D380" s="406">
        <f si="9" t="shared"/>
        <v>0</v>
      </c>
      <c r="E380" s="406" t="str">
        <f>+'3.CT2A'!B155</f>
        <v xml:space="preserve">    БАРАА, АЖИЛ ҮЙЛЧИЛГЭЭНИЙ ЗАРДАЛ</v>
      </c>
      <c r="S380" s="406" t="s">
        <v>1242</v>
      </c>
      <c r="T380" s="406">
        <v>210</v>
      </c>
      <c r="U380" s="406" t="s">
        <v>92</v>
      </c>
    </row>
    <row r="381" spans="1:21">
      <c r="A381" s="406" t="s">
        <v>1242</v>
      </c>
      <c r="B381" s="406">
        <v>2101</v>
      </c>
      <c r="C381" s="406">
        <f>+'3.CT2A'!A156</f>
        <v>2101</v>
      </c>
      <c r="D381" s="406">
        <f si="9" t="shared"/>
        <v>0</v>
      </c>
      <c r="E381" s="406" t="str">
        <f>+'3.CT2A'!B156</f>
        <v xml:space="preserve">      Цалин хөлс болон нэмэгдэл урамшил</v>
      </c>
      <c r="S381" s="406" t="s">
        <v>1242</v>
      </c>
      <c r="T381" s="406">
        <v>2101</v>
      </c>
      <c r="U381" s="406" t="s">
        <v>92</v>
      </c>
    </row>
    <row r="382" spans="1:21">
      <c r="A382" s="406" t="s">
        <v>1242</v>
      </c>
      <c r="B382" s="406">
        <v>210101</v>
      </c>
      <c r="C382" s="406">
        <f>+'3.CT2A'!A157</f>
        <v>210101</v>
      </c>
      <c r="D382" s="406">
        <f si="9" t="shared"/>
        <v>0</v>
      </c>
      <c r="E382" s="406" t="str">
        <f>+'3.CT2A'!B157</f>
        <v xml:space="preserve">          Үндсэн цалин</v>
      </c>
      <c r="S382" s="406" t="s">
        <v>1242</v>
      </c>
      <c r="T382" s="406">
        <v>210101</v>
      </c>
      <c r="U382" s="406" t="s">
        <v>92</v>
      </c>
    </row>
    <row r="383" spans="1:21">
      <c r="A383" s="406" t="s">
        <v>1242</v>
      </c>
      <c r="B383" s="406">
        <v>210102</v>
      </c>
      <c r="C383" s="406">
        <f>+'3.CT2A'!A158</f>
        <v>210102</v>
      </c>
      <c r="D383" s="406">
        <f si="9" t="shared"/>
        <v>0</v>
      </c>
      <c r="E383" s="406" t="str">
        <f>+'3.CT2A'!B158</f>
        <v xml:space="preserve">          Нэмэгдэл</v>
      </c>
      <c r="S383" s="406" t="s">
        <v>1242</v>
      </c>
      <c r="T383" s="406">
        <v>210102</v>
      </c>
      <c r="U383" s="406" t="s">
        <v>92</v>
      </c>
    </row>
    <row r="384" spans="1:21">
      <c r="A384" s="406" t="s">
        <v>1242</v>
      </c>
      <c r="B384" s="406">
        <v>210103</v>
      </c>
      <c r="C384" s="406">
        <f>+'3.CT2A'!A159</f>
        <v>210103</v>
      </c>
      <c r="D384" s="406">
        <f si="9" t="shared"/>
        <v>0</v>
      </c>
      <c r="E384" s="406" t="str">
        <f>+'3.CT2A'!B159</f>
        <v xml:space="preserve">          Унаа хоолны хөнгөлөлт</v>
      </c>
      <c r="S384" s="406" t="s">
        <v>1242</v>
      </c>
      <c r="T384" s="406">
        <v>210103</v>
      </c>
      <c r="U384" s="406" t="s">
        <v>92</v>
      </c>
    </row>
    <row r="385" spans="1:21">
      <c r="A385" s="406" t="s">
        <v>1242</v>
      </c>
      <c r="B385" s="406">
        <v>210104</v>
      </c>
      <c r="C385" s="406">
        <f>+'3.CT2A'!A160</f>
        <v>210104</v>
      </c>
      <c r="D385" s="406">
        <f si="9" t="shared"/>
        <v>0</v>
      </c>
      <c r="E385" s="406" t="str">
        <f>+'3.CT2A'!B160</f>
        <v xml:space="preserve">          Урамшуулал</v>
      </c>
      <c r="S385" s="406" t="s">
        <v>1242</v>
      </c>
      <c r="T385" s="406">
        <v>210104</v>
      </c>
      <c r="U385" s="406" t="s">
        <v>92</v>
      </c>
    </row>
    <row r="386" spans="1:21">
      <c r="A386" s="406" t="s">
        <v>1242</v>
      </c>
      <c r="B386" s="406">
        <v>210105</v>
      </c>
      <c r="C386" s="406">
        <f>+'3.CT2A'!A161</f>
        <v>210105</v>
      </c>
      <c r="D386" s="406">
        <f si="9" t="shared"/>
        <v>0</v>
      </c>
      <c r="E386" s="406" t="str">
        <f>+'3.CT2A'!B161</f>
        <v xml:space="preserve">          Гэрээт ажлын хөлс</v>
      </c>
      <c r="S386" s="406" t="s">
        <v>1242</v>
      </c>
      <c r="T386" s="406">
        <v>210105</v>
      </c>
      <c r="U386" s="406" t="s">
        <v>92</v>
      </c>
    </row>
    <row r="387" spans="1:21">
      <c r="A387" s="406" t="s">
        <v>1242</v>
      </c>
      <c r="B387" s="406">
        <v>210106</v>
      </c>
      <c r="C387" s="406">
        <f>+'3.CT2A'!A162</f>
        <v>210106</v>
      </c>
      <c r="D387" s="406">
        <f ref="D387:D450" si="10" t="shared">IF(B387=VALUE(C387),0,1)</f>
        <v>0</v>
      </c>
      <c r="E387" s="406" t="str">
        <f>+'3.CT2A'!B162</f>
        <v xml:space="preserve">         Ажиллагчдад төлсөн   /ТӨҮГ/</v>
      </c>
      <c r="S387" s="406" t="s">
        <v>1242</v>
      </c>
      <c r="T387" s="406">
        <v>210106</v>
      </c>
      <c r="U387" s="406" t="s">
        <v>92</v>
      </c>
    </row>
    <row r="388" spans="1:21">
      <c r="A388" s="406" t="s">
        <v>1242</v>
      </c>
      <c r="B388" s="406">
        <v>2102</v>
      </c>
      <c r="C388" s="406">
        <f>+'3.CT2A'!A163</f>
        <v>2102</v>
      </c>
      <c r="D388" s="406">
        <f si="10" t="shared"/>
        <v>0</v>
      </c>
      <c r="E388" s="406" t="str">
        <f>+'3.CT2A'!B163</f>
        <v xml:space="preserve">      Ажил олгогчоос нийгмийн даатгалд төлөх шимтгэл</v>
      </c>
      <c r="S388" s="406" t="s">
        <v>1242</v>
      </c>
      <c r="T388" s="406">
        <v>2102</v>
      </c>
      <c r="U388" s="406" t="s">
        <v>92</v>
      </c>
    </row>
    <row r="389" spans="1:21">
      <c r="A389" s="406" t="s">
        <v>1242</v>
      </c>
      <c r="B389" s="406">
        <v>210201</v>
      </c>
      <c r="C389" s="406">
        <f>+'3.CT2A'!A164</f>
        <v>210201</v>
      </c>
      <c r="D389" s="406">
        <f si="10" t="shared"/>
        <v>0</v>
      </c>
      <c r="E389" s="406" t="str">
        <f>+'3.CT2A'!B164</f>
        <v xml:space="preserve">          Тэтгэврийн даатгал</v>
      </c>
      <c r="S389" s="406" t="s">
        <v>1242</v>
      </c>
      <c r="T389" s="406">
        <v>210201</v>
      </c>
      <c r="U389" s="406" t="s">
        <v>92</v>
      </c>
    </row>
    <row r="390" spans="1:21">
      <c r="A390" s="406" t="s">
        <v>1242</v>
      </c>
      <c r="B390" s="406">
        <v>210202</v>
      </c>
      <c r="C390" s="406">
        <f>+'3.CT2A'!A165</f>
        <v>210202</v>
      </c>
      <c r="D390" s="406">
        <f si="10" t="shared"/>
        <v>0</v>
      </c>
      <c r="E390" s="406" t="str">
        <f>+'3.CT2A'!B165</f>
        <v xml:space="preserve">          Тэтгэмжийн даатгал</v>
      </c>
      <c r="S390" s="406" t="s">
        <v>1242</v>
      </c>
      <c r="T390" s="406">
        <v>210202</v>
      </c>
      <c r="U390" s="406" t="s">
        <v>92</v>
      </c>
    </row>
    <row r="391" spans="1:21">
      <c r="A391" s="406" t="s">
        <v>1242</v>
      </c>
      <c r="B391" s="406">
        <v>210203</v>
      </c>
      <c r="C391" s="406">
        <f>+'3.CT2A'!A166</f>
        <v>210203</v>
      </c>
      <c r="D391" s="406">
        <f si="10" t="shared"/>
        <v>0</v>
      </c>
      <c r="E391" s="406" t="str">
        <f>+'3.CT2A'!B166</f>
        <v xml:space="preserve">          ҮОМШӨ-ний даатгал</v>
      </c>
      <c r="S391" s="406" t="s">
        <v>1242</v>
      </c>
      <c r="T391" s="406">
        <v>210203</v>
      </c>
      <c r="U391" s="406" t="s">
        <v>92</v>
      </c>
    </row>
    <row r="392" spans="1:21">
      <c r="A392" s="406" t="s">
        <v>1242</v>
      </c>
      <c r="B392" s="406">
        <v>210204</v>
      </c>
      <c r="C392" s="406">
        <f>+'3.CT2A'!A167</f>
        <v>210204</v>
      </c>
      <c r="D392" s="406">
        <f si="10" t="shared"/>
        <v>0</v>
      </c>
      <c r="E392" s="406" t="str">
        <f>+'3.CT2A'!B167</f>
        <v xml:space="preserve">          Ажилгүйдлийн даатгал</v>
      </c>
      <c r="S392" s="406" t="s">
        <v>1242</v>
      </c>
      <c r="T392" s="406">
        <v>210204</v>
      </c>
      <c r="U392" s="406" t="s">
        <v>92</v>
      </c>
    </row>
    <row r="393" spans="1:21">
      <c r="A393" s="406" t="s">
        <v>1242</v>
      </c>
      <c r="B393" s="406">
        <v>210205</v>
      </c>
      <c r="C393" s="406">
        <f>+'3.CT2A'!A168</f>
        <v>210205</v>
      </c>
      <c r="D393" s="406">
        <f si="10" t="shared"/>
        <v>0</v>
      </c>
      <c r="E393" s="406" t="str">
        <f>+'3.CT2A'!B168</f>
        <v xml:space="preserve">          Эрүүл мэндийн даатгал</v>
      </c>
      <c r="S393" s="406" t="s">
        <v>1242</v>
      </c>
      <c r="T393" s="406">
        <v>210205</v>
      </c>
      <c r="U393" s="406" t="s">
        <v>92</v>
      </c>
    </row>
    <row r="394" spans="1:21">
      <c r="A394" s="406" t="s">
        <v>1242</v>
      </c>
      <c r="B394" s="406">
        <v>210206</v>
      </c>
      <c r="C394" s="406">
        <f>+'3.CT2A'!A169</f>
        <v>210206</v>
      </c>
      <c r="D394" s="406">
        <f si="10" t="shared"/>
        <v>0</v>
      </c>
      <c r="E394" s="406" t="str">
        <f>+'3.CT2A'!B169</f>
        <v xml:space="preserve">          Нийгмийн даатгалын байгууллагад төлсөн   /ТӨҮГ/</v>
      </c>
      <c r="S394" s="406" t="s">
        <v>1242</v>
      </c>
      <c r="T394" s="406">
        <v>210206</v>
      </c>
      <c r="U394" s="406" t="s">
        <v>92</v>
      </c>
    </row>
    <row r="395" spans="1:21">
      <c r="A395" s="406" t="s">
        <v>1242</v>
      </c>
      <c r="B395" s="406">
        <v>2103</v>
      </c>
      <c r="C395" s="406">
        <f>+'3.CT2A'!A170</f>
        <v>2103</v>
      </c>
      <c r="D395" s="406">
        <f si="10" t="shared"/>
        <v>0</v>
      </c>
      <c r="E395" s="406" t="str">
        <f>+'3.CT2A'!B170</f>
        <v xml:space="preserve">      Байр ашиглалттай холбоотой тогтмол зардал</v>
      </c>
      <c r="S395" s="406" t="s">
        <v>1242</v>
      </c>
      <c r="T395" s="406">
        <v>2103</v>
      </c>
      <c r="U395" s="406" t="s">
        <v>92</v>
      </c>
    </row>
    <row r="396" spans="1:21">
      <c r="A396" s="406" t="s">
        <v>1242</v>
      </c>
      <c r="B396" s="406">
        <v>210301</v>
      </c>
      <c r="C396" s="406">
        <f>+'3.CT2A'!A171</f>
        <v>210301</v>
      </c>
      <c r="D396" s="406">
        <f si="10" t="shared"/>
        <v>0</v>
      </c>
      <c r="E396" s="406" t="str">
        <f>+'3.CT2A'!B171</f>
        <v xml:space="preserve">        Гэрэл, цахилгаан</v>
      </c>
      <c r="S396" s="406" t="s">
        <v>1242</v>
      </c>
      <c r="T396" s="406">
        <v>210301</v>
      </c>
      <c r="U396" s="406" t="s">
        <v>92</v>
      </c>
    </row>
    <row r="397" spans="1:21">
      <c r="A397" s="406" t="s">
        <v>1242</v>
      </c>
      <c r="B397" s="406">
        <v>210302</v>
      </c>
      <c r="C397" s="406">
        <f>+'3.CT2A'!A172</f>
        <v>210302</v>
      </c>
      <c r="D397" s="406">
        <f si="10" t="shared"/>
        <v>0</v>
      </c>
      <c r="E397" s="406" t="str">
        <f>+'3.CT2A'!B172</f>
        <v xml:space="preserve">        Түлш, халаалт</v>
      </c>
      <c r="S397" s="406" t="s">
        <v>1242</v>
      </c>
      <c r="T397" s="406">
        <v>210302</v>
      </c>
      <c r="U397" s="406" t="s">
        <v>92</v>
      </c>
    </row>
    <row r="398" spans="1:21">
      <c r="A398" s="406" t="s">
        <v>1242</v>
      </c>
      <c r="B398" s="406">
        <v>210303</v>
      </c>
      <c r="C398" s="406">
        <f>+'3.CT2A'!A173</f>
        <v>210303</v>
      </c>
      <c r="D398" s="406">
        <f si="10" t="shared"/>
        <v>0</v>
      </c>
      <c r="E398" s="406" t="str">
        <f>+'3.CT2A'!B173</f>
        <v xml:space="preserve">        Цэвэр, бохир ус</v>
      </c>
      <c r="S398" s="406" t="s">
        <v>1242</v>
      </c>
      <c r="T398" s="406">
        <v>210303</v>
      </c>
      <c r="U398" s="406" t="s">
        <v>92</v>
      </c>
    </row>
    <row r="399" spans="1:21">
      <c r="A399" s="406" t="s">
        <v>1242</v>
      </c>
      <c r="B399" s="406">
        <v>210304</v>
      </c>
      <c r="C399" s="406">
        <f>+'3.CT2A'!A174</f>
        <v>210304</v>
      </c>
      <c r="D399" s="406">
        <f si="10" t="shared"/>
        <v>0</v>
      </c>
      <c r="E399" s="406" t="str">
        <f>+'3.CT2A'!B174</f>
        <v xml:space="preserve">        Байрны түрээс</v>
      </c>
      <c r="S399" s="406" t="s">
        <v>1242</v>
      </c>
      <c r="T399" s="406">
        <v>210304</v>
      </c>
      <c r="U399" s="406" t="s">
        <v>92</v>
      </c>
    </row>
    <row r="400" spans="1:21">
      <c r="A400" s="406" t="s">
        <v>1242</v>
      </c>
      <c r="B400" s="406">
        <v>210305</v>
      </c>
      <c r="C400" s="406">
        <f>+'3.CT2A'!A175</f>
        <v>210305</v>
      </c>
      <c r="D400" s="406">
        <f si="10" t="shared"/>
        <v>0</v>
      </c>
      <c r="E400" s="406" t="str">
        <f>+'3.CT2A'!B175</f>
        <v xml:space="preserve">        Ашиглалтын зардалд төлсөн   /ТӨҮГ/</v>
      </c>
      <c r="S400" s="406" t="s">
        <v>1242</v>
      </c>
      <c r="T400" s="406">
        <v>210305</v>
      </c>
      <c r="U400" s="406" t="s">
        <v>92</v>
      </c>
    </row>
    <row r="401" spans="1:21">
      <c r="A401" s="406" t="s">
        <v>1242</v>
      </c>
      <c r="B401" s="406">
        <v>2104</v>
      </c>
      <c r="C401" s="406">
        <f>+'3.CT2A'!A176</f>
        <v>2104</v>
      </c>
      <c r="D401" s="406">
        <f si="10" t="shared"/>
        <v>0</v>
      </c>
      <c r="E401" s="406" t="str">
        <f>+'3.CT2A'!B176</f>
        <v xml:space="preserve">      Хангамж, бараа материалын зардал</v>
      </c>
      <c r="S401" s="406" t="s">
        <v>1242</v>
      </c>
      <c r="T401" s="406">
        <v>2104</v>
      </c>
      <c r="U401" s="406" t="s">
        <v>92</v>
      </c>
    </row>
    <row r="402" spans="1:21">
      <c r="A402" s="406" t="s">
        <v>1242</v>
      </c>
      <c r="B402" s="406">
        <v>210401</v>
      </c>
      <c r="C402" s="406">
        <f>+'3.CT2A'!A177</f>
        <v>210401</v>
      </c>
      <c r="D402" s="406">
        <f si="10" t="shared"/>
        <v>0</v>
      </c>
      <c r="E402" s="406" t="str">
        <f>+'3.CT2A'!B177</f>
        <v xml:space="preserve">        Бичиг хэрэг</v>
      </c>
      <c r="S402" s="406" t="s">
        <v>1242</v>
      </c>
      <c r="T402" s="406">
        <v>210401</v>
      </c>
      <c r="U402" s="406" t="s">
        <v>92</v>
      </c>
    </row>
    <row r="403" spans="1:21">
      <c r="A403" s="406" t="s">
        <v>1242</v>
      </c>
      <c r="B403" s="406">
        <v>210402</v>
      </c>
      <c r="C403" s="406">
        <f>+'3.CT2A'!A178</f>
        <v>210402</v>
      </c>
      <c r="D403" s="406">
        <f si="10" t="shared"/>
        <v>0</v>
      </c>
      <c r="E403" s="406" t="str">
        <f>+'3.CT2A'!B178</f>
        <v xml:space="preserve">        Тээвэр, шатахуун</v>
      </c>
      <c r="S403" s="406" t="s">
        <v>1242</v>
      </c>
      <c r="T403" s="406">
        <v>210402</v>
      </c>
      <c r="U403" s="406" t="s">
        <v>92</v>
      </c>
    </row>
    <row r="404" spans="1:21">
      <c r="A404" s="406" t="s">
        <v>1242</v>
      </c>
      <c r="B404" s="406">
        <v>210403</v>
      </c>
      <c r="C404" s="406">
        <f>+'3.CT2A'!A179</f>
        <v>210403</v>
      </c>
      <c r="D404" s="406">
        <f si="10" t="shared"/>
        <v>0</v>
      </c>
      <c r="E404" s="406" t="str">
        <f>+'3.CT2A'!B179</f>
        <v xml:space="preserve">        Шуудан, холбоо, интернэтийн төлбөр</v>
      </c>
      <c r="S404" s="406" t="s">
        <v>1242</v>
      </c>
      <c r="T404" s="406">
        <v>210403</v>
      </c>
      <c r="U404" s="406" t="s">
        <v>92</v>
      </c>
    </row>
    <row r="405" spans="1:21">
      <c r="A405" s="406" t="s">
        <v>1242</v>
      </c>
      <c r="B405" s="406">
        <v>210404</v>
      </c>
      <c r="C405" s="406">
        <f>+'3.CT2A'!A180</f>
        <v>210404</v>
      </c>
      <c r="D405" s="406">
        <f si="10" t="shared"/>
        <v>0</v>
      </c>
      <c r="E405" s="406" t="str">
        <f>+'3.CT2A'!B180</f>
        <v xml:space="preserve">        Ном, хэвлэл</v>
      </c>
      <c r="S405" s="406" t="s">
        <v>1242</v>
      </c>
      <c r="T405" s="406">
        <v>210404</v>
      </c>
      <c r="U405" s="406" t="s">
        <v>92</v>
      </c>
    </row>
    <row r="406" spans="1:21">
      <c r="A406" s="406" t="s">
        <v>1242</v>
      </c>
      <c r="B406" s="406">
        <v>210405</v>
      </c>
      <c r="C406" s="406">
        <f>+'3.CT2A'!A181</f>
        <v>210405</v>
      </c>
      <c r="D406" s="406">
        <f si="10" t="shared"/>
        <v>0</v>
      </c>
      <c r="E406" s="406" t="str">
        <f>+'3.CT2A'!B181</f>
        <v xml:space="preserve">        Хог хаягдал зайлуулах, хортон мэрэгчдийн устгал, ариутгал</v>
      </c>
      <c r="S406" s="406" t="s">
        <v>1242</v>
      </c>
      <c r="T406" s="406">
        <v>210405</v>
      </c>
      <c r="U406" s="406" t="s">
        <v>92</v>
      </c>
    </row>
    <row r="407" spans="1:21">
      <c r="A407" s="406" t="s">
        <v>1242</v>
      </c>
      <c r="B407" s="406">
        <v>210406</v>
      </c>
      <c r="C407" s="406">
        <f>+'3.CT2A'!A182</f>
        <v>210406</v>
      </c>
      <c r="D407" s="406">
        <f si="10" t="shared"/>
        <v>0</v>
      </c>
      <c r="E407" s="406" t="str">
        <f>+'3.CT2A'!B182</f>
        <v xml:space="preserve">         Бага үнэтэй, түргэн элэгдэх, ахуйн эд зүйлс</v>
      </c>
      <c r="S407" s="406" t="s">
        <v>1242</v>
      </c>
      <c r="T407" s="406">
        <v>210406</v>
      </c>
      <c r="U407" s="406" t="s">
        <v>92</v>
      </c>
    </row>
    <row r="408" spans="1:21">
      <c r="A408" s="406" t="s">
        <v>1242</v>
      </c>
      <c r="B408" s="406">
        <v>210407</v>
      </c>
      <c r="C408" s="406">
        <f>+'3.CT2A'!A183</f>
        <v>210407</v>
      </c>
      <c r="D408" s="406">
        <f si="10" t="shared"/>
        <v>0</v>
      </c>
      <c r="E408" s="406" t="str">
        <f>+'3.CT2A'!B183</f>
        <v xml:space="preserve">         Аж ахуйн материал худалдан авах зардал</v>
      </c>
      <c r="S408" s="406" t="s">
        <v>1242</v>
      </c>
      <c r="T408" s="406">
        <v>210407</v>
      </c>
      <c r="U408" s="406" t="s">
        <v>92</v>
      </c>
    </row>
    <row r="409" spans="1:21">
      <c r="A409" s="406" t="s">
        <v>1242</v>
      </c>
      <c r="B409" s="406">
        <v>210408</v>
      </c>
      <c r="C409" s="406">
        <f>+'3.CT2A'!A184</f>
        <v>210408</v>
      </c>
      <c r="D409" s="406">
        <f si="10" t="shared"/>
        <v>0</v>
      </c>
      <c r="E409" s="406" t="str">
        <f>+'3.CT2A'!B184</f>
        <v xml:space="preserve">         Бараа материал акталсны зардал</v>
      </c>
      <c r="S409" s="406" t="s">
        <v>1242</v>
      </c>
      <c r="T409" s="406">
        <v>210408</v>
      </c>
      <c r="U409" s="406" t="s">
        <v>92</v>
      </c>
    </row>
    <row r="410" spans="1:21">
      <c r="A410" s="406" t="s">
        <v>1242</v>
      </c>
      <c r="B410" s="406">
        <v>210409</v>
      </c>
      <c r="C410" s="406">
        <f>+'3.CT2A'!A185</f>
        <v>210409</v>
      </c>
      <c r="D410" s="406">
        <f si="10" t="shared"/>
        <v>0</v>
      </c>
      <c r="E410" s="406" t="str">
        <f>+'3.CT2A'!B185</f>
        <v xml:space="preserve">         Түлш шатахуун, тээврийн хөлс, сэлбэг хэрэгсэлд төлсөн  /ТӨҮГ/</v>
      </c>
      <c r="S410" s="406" t="s">
        <v>1242</v>
      </c>
      <c r="T410" s="406">
        <v>210409</v>
      </c>
      <c r="U410" s="406" t="s">
        <v>92</v>
      </c>
    </row>
    <row r="411" spans="1:21">
      <c r="A411" s="406" t="s">
        <v>1242</v>
      </c>
      <c r="B411" s="406">
        <v>210410</v>
      </c>
      <c r="C411" s="406">
        <f>+'3.CT2A'!A186</f>
        <v>210410</v>
      </c>
      <c r="D411" s="406">
        <f si="10" t="shared"/>
        <v>0</v>
      </c>
      <c r="E411" s="406" t="str">
        <f>+'3.CT2A'!B186</f>
        <v xml:space="preserve">         Бараа материал худалдан авахад төлсөн    /ТӨҮГ/</v>
      </c>
      <c r="S411" s="406" t="s">
        <v>1242</v>
      </c>
      <c r="T411" s="406">
        <v>210410</v>
      </c>
      <c r="U411" s="406" t="s">
        <v>92</v>
      </c>
    </row>
    <row r="412" spans="1:21">
      <c r="A412" s="406" t="s">
        <v>1242</v>
      </c>
      <c r="B412" s="406">
        <v>2105</v>
      </c>
      <c r="C412" s="406">
        <f>+'3.CT2A'!A187</f>
        <v>2105</v>
      </c>
      <c r="D412" s="406">
        <f si="10" t="shared"/>
        <v>0</v>
      </c>
      <c r="E412" s="406" t="str">
        <f>+'3.CT2A'!B187</f>
        <v xml:space="preserve">     Нормативт зардал</v>
      </c>
      <c r="S412" s="406" t="s">
        <v>1242</v>
      </c>
      <c r="T412" s="406">
        <v>2105</v>
      </c>
      <c r="U412" s="406" t="s">
        <v>92</v>
      </c>
    </row>
    <row r="413" spans="1:21">
      <c r="A413" s="406" t="s">
        <v>1242</v>
      </c>
      <c r="B413" s="406">
        <v>210501</v>
      </c>
      <c r="C413" s="406">
        <f>+'3.CT2A'!A188</f>
        <v>210501</v>
      </c>
      <c r="D413" s="406">
        <f si="10" t="shared"/>
        <v>0</v>
      </c>
      <c r="E413" s="406" t="str">
        <f>+'3.CT2A'!B188</f>
        <v xml:space="preserve">         Эм, бэлдмэл, эмнэлгийн хэрэгсэл</v>
      </c>
      <c r="S413" s="406" t="s">
        <v>1242</v>
      </c>
      <c r="T413" s="406">
        <v>210501</v>
      </c>
      <c r="U413" s="406" t="s">
        <v>92</v>
      </c>
    </row>
    <row r="414" spans="1:21">
      <c r="A414" s="406" t="s">
        <v>1242</v>
      </c>
      <c r="B414" s="406">
        <v>210502</v>
      </c>
      <c r="C414" s="406">
        <f>+'3.CT2A'!A189</f>
        <v>210502</v>
      </c>
      <c r="D414" s="406">
        <f si="10" t="shared"/>
        <v>0</v>
      </c>
      <c r="E414" s="406" t="str">
        <f>+'3.CT2A'!B189</f>
        <v xml:space="preserve">         Хоол, хүнс</v>
      </c>
      <c r="S414" s="406" t="s">
        <v>1242</v>
      </c>
      <c r="T414" s="406">
        <v>210502</v>
      </c>
      <c r="U414" s="406" t="s">
        <v>92</v>
      </c>
    </row>
    <row r="415" spans="1:21">
      <c r="A415" s="406" t="s">
        <v>1242</v>
      </c>
      <c r="B415" s="406">
        <v>210503</v>
      </c>
      <c r="C415" s="406">
        <f>+'3.CT2A'!A190</f>
        <v>210503</v>
      </c>
      <c r="D415" s="406">
        <f si="10" t="shared"/>
        <v>0</v>
      </c>
      <c r="E415" s="406" t="str">
        <f>+'3.CT2A'!B190</f>
        <v xml:space="preserve">         Нормын хувцас, зөөлөн эдлэл</v>
      </c>
      <c r="S415" s="406" t="s">
        <v>1242</v>
      </c>
      <c r="T415" s="406">
        <v>210503</v>
      </c>
      <c r="U415" s="406" t="s">
        <v>92</v>
      </c>
    </row>
    <row r="416" spans="1:21">
      <c r="A416" s="406" t="s">
        <v>1242</v>
      </c>
      <c r="B416" s="406">
        <v>2106</v>
      </c>
      <c r="C416" s="406">
        <f>+'3.CT2A'!A191</f>
        <v>2106</v>
      </c>
      <c r="D416" s="406">
        <f si="10" t="shared"/>
        <v>0</v>
      </c>
      <c r="E416" s="406" t="str">
        <f>+'3.CT2A'!B191</f>
        <v xml:space="preserve">     Эд хогшил, урсгал засварын зардал</v>
      </c>
      <c r="S416" s="406" t="s">
        <v>1242</v>
      </c>
      <c r="T416" s="406">
        <v>2106</v>
      </c>
      <c r="U416" s="406" t="s">
        <v>92</v>
      </c>
    </row>
    <row r="417" spans="1:21">
      <c r="A417" s="406" t="s">
        <v>1242</v>
      </c>
      <c r="B417" s="406">
        <v>210601</v>
      </c>
      <c r="C417" s="406">
        <f>+'3.CT2A'!A192</f>
        <v>210601</v>
      </c>
      <c r="D417" s="406">
        <f si="10" t="shared"/>
        <v>0</v>
      </c>
      <c r="E417" s="406" t="str">
        <f>+'3.CT2A'!B192</f>
        <v xml:space="preserve">         Багаж, техник, хэрэгсэл</v>
      </c>
      <c r="S417" s="406" t="s">
        <v>1242</v>
      </c>
      <c r="T417" s="406">
        <v>210601</v>
      </c>
      <c r="U417" s="406" t="s">
        <v>92</v>
      </c>
    </row>
    <row r="418" spans="1:21">
      <c r="A418" s="406" t="s">
        <v>1242</v>
      </c>
      <c r="B418" s="406">
        <v>210602</v>
      </c>
      <c r="C418" s="406">
        <f>+'3.CT2A'!A193</f>
        <v>210602</v>
      </c>
      <c r="D418" s="406">
        <f si="10" t="shared"/>
        <v>0</v>
      </c>
      <c r="E418" s="406" t="str">
        <f>+'3.CT2A'!B193</f>
        <v xml:space="preserve">         Тавилга</v>
      </c>
      <c r="S418" s="406" t="s">
        <v>1242</v>
      </c>
      <c r="T418" s="406">
        <v>210602</v>
      </c>
      <c r="U418" s="406" t="s">
        <v>92</v>
      </c>
    </row>
    <row r="419" spans="1:21">
      <c r="A419" s="406" t="s">
        <v>1242</v>
      </c>
      <c r="B419" s="406">
        <v>210603</v>
      </c>
      <c r="C419" s="406">
        <f>+'3.CT2A'!A194</f>
        <v>210603</v>
      </c>
      <c r="D419" s="406">
        <f si="10" t="shared"/>
        <v>0</v>
      </c>
      <c r="E419" s="406" t="str">
        <f>+'3.CT2A'!B194</f>
        <v xml:space="preserve">         Хөдөлмөр хамгааллын хэрэглэл</v>
      </c>
      <c r="S419" s="406" t="s">
        <v>1242</v>
      </c>
      <c r="T419" s="406">
        <v>210603</v>
      </c>
      <c r="U419" s="406" t="s">
        <v>92</v>
      </c>
    </row>
    <row r="420" spans="1:21">
      <c r="A420" s="406" t="s">
        <v>1242</v>
      </c>
      <c r="B420" s="406">
        <v>210604</v>
      </c>
      <c r="C420" s="406">
        <f>+'3.CT2A'!A195</f>
        <v>210604</v>
      </c>
      <c r="D420" s="406">
        <f si="10" t="shared"/>
        <v>0</v>
      </c>
      <c r="E420" s="406" t="str">
        <f>+'3.CT2A'!B195</f>
        <v xml:space="preserve">         Урсгал засвар</v>
      </c>
      <c r="S420" s="406" t="s">
        <v>1242</v>
      </c>
      <c r="T420" s="406">
        <v>210604</v>
      </c>
      <c r="U420" s="406" t="s">
        <v>92</v>
      </c>
    </row>
    <row r="421" spans="1:21">
      <c r="A421" s="406" t="s">
        <v>1242</v>
      </c>
      <c r="B421" s="406">
        <v>2107</v>
      </c>
      <c r="C421" s="406">
        <f>+'3.CT2A'!A196</f>
        <v>2107</v>
      </c>
      <c r="D421" s="406">
        <f si="10" t="shared"/>
        <v>0</v>
      </c>
      <c r="E421" s="406" t="str">
        <f>+'3.CT2A'!B196</f>
        <v xml:space="preserve">     Томилолт, зочны зардал</v>
      </c>
      <c r="S421" s="406" t="s">
        <v>1242</v>
      </c>
      <c r="T421" s="406">
        <v>2107</v>
      </c>
      <c r="U421" s="406" t="s">
        <v>92</v>
      </c>
    </row>
    <row r="422" spans="1:21">
      <c r="A422" s="406" t="s">
        <v>1242</v>
      </c>
      <c r="B422" s="406">
        <v>210701</v>
      </c>
      <c r="C422" s="406">
        <f>+'3.CT2A'!A197</f>
        <v>210701</v>
      </c>
      <c r="D422" s="406">
        <f si="10" t="shared"/>
        <v>0</v>
      </c>
      <c r="E422" s="406" t="str">
        <f>+'3.CT2A'!B197</f>
        <v xml:space="preserve">         Гадаад албан томилолт</v>
      </c>
      <c r="S422" s="406" t="s">
        <v>1242</v>
      </c>
      <c r="T422" s="406">
        <v>210701</v>
      </c>
      <c r="U422" s="406" t="s">
        <v>92</v>
      </c>
    </row>
    <row r="423" spans="1:21">
      <c r="A423" s="406" t="s">
        <v>1242</v>
      </c>
      <c r="B423" s="406">
        <v>210702</v>
      </c>
      <c r="C423" s="406">
        <f>+'3.CT2A'!A198</f>
        <v>210702</v>
      </c>
      <c r="D423" s="406">
        <f si="10" t="shared"/>
        <v>0</v>
      </c>
      <c r="E423" s="406" t="str">
        <f>+'3.CT2A'!B198</f>
        <v xml:space="preserve">         Дотоод албан томилолт</v>
      </c>
      <c r="S423" s="406" t="s">
        <v>1242</v>
      </c>
      <c r="T423" s="406">
        <v>210702</v>
      </c>
      <c r="U423" s="406" t="s">
        <v>92</v>
      </c>
    </row>
    <row r="424" spans="1:21">
      <c r="A424" s="406" t="s">
        <v>1242</v>
      </c>
      <c r="B424" s="406">
        <v>210703</v>
      </c>
      <c r="C424" s="406">
        <f>+'3.CT2A'!A199</f>
        <v>210703</v>
      </c>
      <c r="D424" s="406">
        <f si="10" t="shared"/>
        <v>0</v>
      </c>
      <c r="E424" s="406" t="str">
        <f>+'3.CT2A'!B199</f>
        <v xml:space="preserve">          Зочин төлөөлөгч хүлээн авах</v>
      </c>
      <c r="S424" s="406" t="s">
        <v>1242</v>
      </c>
      <c r="T424" s="406">
        <v>210703</v>
      </c>
      <c r="U424" s="406" t="s">
        <v>92</v>
      </c>
    </row>
    <row r="425" spans="1:21">
      <c r="A425" s="406" t="s">
        <v>1242</v>
      </c>
      <c r="B425" s="406">
        <v>2108</v>
      </c>
      <c r="C425" s="406">
        <f>+'3.CT2A'!A200</f>
        <v>2108</v>
      </c>
      <c r="D425" s="406">
        <f si="10" t="shared"/>
        <v>0</v>
      </c>
      <c r="E425" s="406" t="str">
        <f>+'3.CT2A'!B200</f>
        <v xml:space="preserve">     Бусдаар гүйцэтгүүлсэн ажил, үйлчилгээний төлбөр, хураамж</v>
      </c>
      <c r="S425" s="406" t="s">
        <v>1242</v>
      </c>
      <c r="T425" s="406">
        <v>2108</v>
      </c>
      <c r="U425" s="406" t="s">
        <v>92</v>
      </c>
    </row>
    <row r="426" spans="1:21">
      <c r="A426" s="406" t="s">
        <v>1242</v>
      </c>
      <c r="B426" s="406">
        <v>210801</v>
      </c>
      <c r="C426" s="406">
        <f>+'3.CT2A'!A201</f>
        <v>210801</v>
      </c>
      <c r="D426" s="406">
        <f si="10" t="shared"/>
        <v>0</v>
      </c>
      <c r="E426" s="406" t="str">
        <f>+'3.CT2A'!B201</f>
        <v xml:space="preserve">         Бусдаар гүйцэтгүүлсэн бусад нийтлэг ажил үйлчилгээний төлбөр хураамж</v>
      </c>
      <c r="S426" s="406" t="s">
        <v>1242</v>
      </c>
      <c r="T426" s="406">
        <v>210801</v>
      </c>
      <c r="U426" s="406" t="s">
        <v>92</v>
      </c>
    </row>
    <row r="427" spans="1:21">
      <c r="A427" s="406" t="s">
        <v>1242</v>
      </c>
      <c r="B427" s="406">
        <v>210802</v>
      </c>
      <c r="C427" s="406">
        <f>+'3.CT2A'!A202</f>
        <v>210802</v>
      </c>
      <c r="D427" s="406">
        <f si="10" t="shared"/>
        <v>0</v>
      </c>
      <c r="E427" s="406" t="str">
        <f>+'3.CT2A'!B202</f>
        <v xml:space="preserve">         Аудит, баталгаажуулалт, зэрэглэл тогтоох</v>
      </c>
      <c r="S427" s="406" t="s">
        <v>1242</v>
      </c>
      <c r="T427" s="406">
        <v>210802</v>
      </c>
      <c r="U427" s="406" t="s">
        <v>92</v>
      </c>
    </row>
    <row r="428" spans="1:21">
      <c r="A428" s="406" t="s">
        <v>1242</v>
      </c>
      <c r="B428" s="406">
        <v>210803</v>
      </c>
      <c r="C428" s="406">
        <f>+'3.CT2A'!A203</f>
        <v>210803</v>
      </c>
      <c r="D428" s="406">
        <f si="10" t="shared"/>
        <v>0</v>
      </c>
      <c r="E428" s="406" t="str">
        <f>+'3.CT2A'!B203</f>
        <v xml:space="preserve">         Даатгалын үйлчилгээ</v>
      </c>
      <c r="S428" s="406" t="s">
        <v>1242</v>
      </c>
      <c r="T428" s="406">
        <v>210803</v>
      </c>
      <c r="U428" s="406" t="s">
        <v>92</v>
      </c>
    </row>
    <row r="429" spans="1:21">
      <c r="A429" s="406" t="s">
        <v>1242</v>
      </c>
      <c r="B429" s="406">
        <v>210804</v>
      </c>
      <c r="C429" s="406">
        <f>+'3.CT2A'!A204</f>
        <v>210804</v>
      </c>
      <c r="D429" s="406">
        <f si="10" t="shared"/>
        <v>0</v>
      </c>
      <c r="E429" s="406" t="str">
        <f>+'3.CT2A'!B204</f>
        <v xml:space="preserve">         Тээврийн хэрэгслийн татвар</v>
      </c>
      <c r="S429" s="406" t="s">
        <v>1242</v>
      </c>
      <c r="T429" s="406">
        <v>210804</v>
      </c>
      <c r="U429" s="406" t="s">
        <v>92</v>
      </c>
    </row>
    <row r="430" spans="1:21">
      <c r="A430" s="406" t="s">
        <v>1242</v>
      </c>
      <c r="B430" s="406">
        <v>210805</v>
      </c>
      <c r="C430" s="406">
        <f>+'3.CT2A'!A205</f>
        <v>210805</v>
      </c>
      <c r="D430" s="406">
        <f si="10" t="shared"/>
        <v>0</v>
      </c>
      <c r="E430" s="406" t="str">
        <f>+'3.CT2A'!B205</f>
        <v xml:space="preserve">         Тээврийн хэрэгслийн оношлогоо</v>
      </c>
      <c r="S430" s="406" t="s">
        <v>1242</v>
      </c>
      <c r="T430" s="406">
        <v>210805</v>
      </c>
      <c r="U430" s="406" t="s">
        <v>92</v>
      </c>
    </row>
    <row r="431" spans="1:21">
      <c r="A431" s="406" t="s">
        <v>1242</v>
      </c>
      <c r="B431" s="406">
        <v>210806</v>
      </c>
      <c r="C431" s="406">
        <f>+'3.CT2A'!A206</f>
        <v>210806</v>
      </c>
      <c r="D431" s="406">
        <f si="10" t="shared"/>
        <v>0</v>
      </c>
      <c r="E431" s="406" t="str">
        <f>+'3.CT2A'!B206</f>
        <v xml:space="preserve">         Мэдээлэл, технологийн үйлчилгээ</v>
      </c>
      <c r="S431" s="406" t="s">
        <v>1242</v>
      </c>
      <c r="T431" s="406">
        <v>210806</v>
      </c>
      <c r="U431" s="406" t="s">
        <v>92</v>
      </c>
    </row>
    <row r="432" spans="1:21">
      <c r="A432" s="406" t="s">
        <v>1242</v>
      </c>
      <c r="B432" s="406">
        <v>210807</v>
      </c>
      <c r="C432" s="406">
        <f>+'3.CT2A'!A207</f>
        <v>210807</v>
      </c>
      <c r="D432" s="406">
        <f si="10" t="shared"/>
        <v>0</v>
      </c>
      <c r="E432" s="406" t="str">
        <f>+'3.CT2A'!B207</f>
        <v xml:space="preserve">         Газрын төлбөр</v>
      </c>
      <c r="S432" s="406" t="s">
        <v>1242</v>
      </c>
      <c r="T432" s="406">
        <v>210807</v>
      </c>
      <c r="U432" s="406" t="s">
        <v>92</v>
      </c>
    </row>
    <row r="433" spans="1:21">
      <c r="A433" s="406" t="s">
        <v>1242</v>
      </c>
      <c r="B433" s="406">
        <v>210808</v>
      </c>
      <c r="C433" s="406">
        <f>+'3.CT2A'!A208</f>
        <v>210808</v>
      </c>
      <c r="D433" s="406">
        <f si="10" t="shared"/>
        <v>0</v>
      </c>
      <c r="E433" s="406" t="str">
        <f>+'3.CT2A'!B208</f>
        <v xml:space="preserve">         Банк, санхүүгийн байгууллагын үйлчилгээний хураамж</v>
      </c>
      <c r="S433" s="406" t="s">
        <v>1242</v>
      </c>
      <c r="T433" s="406">
        <v>210808</v>
      </c>
      <c r="U433" s="406" t="s">
        <v>92</v>
      </c>
    </row>
    <row r="434" spans="1:21">
      <c r="A434" s="406" t="s">
        <v>1242</v>
      </c>
      <c r="B434" s="406">
        <v>210809</v>
      </c>
      <c r="C434" s="406">
        <f>+'3.CT2A'!A209</f>
        <v>210809</v>
      </c>
      <c r="D434" s="406">
        <f si="10" t="shared"/>
        <v>0</v>
      </c>
      <c r="E434" s="406" t="str">
        <f>+'3.CT2A'!B209</f>
        <v xml:space="preserve">         Улсын мэдээллийн маягт хэвлэх, бэлтгэх</v>
      </c>
      <c r="S434" s="406" t="s">
        <v>1242</v>
      </c>
      <c r="T434" s="406">
        <v>210809</v>
      </c>
      <c r="U434" s="406" t="s">
        <v>92</v>
      </c>
    </row>
    <row r="435" spans="1:21">
      <c r="A435" s="406" t="s">
        <v>1242</v>
      </c>
      <c r="B435" s="406">
        <v>210810</v>
      </c>
      <c r="C435" s="406">
        <f>+'3.CT2A'!A210</f>
        <v>210810</v>
      </c>
      <c r="D435" s="406">
        <f si="10" t="shared"/>
        <v>0</v>
      </c>
      <c r="E435" s="406" t="str">
        <f>+'3.CT2A'!B210</f>
        <v xml:space="preserve">         Борлуулалт, маркетингийн зардал   /ТӨҮГ/</v>
      </c>
      <c r="S435" s="406" t="s">
        <v>1242</v>
      </c>
      <c r="T435" s="406">
        <v>210810</v>
      </c>
      <c r="U435" s="406" t="s">
        <v>92</v>
      </c>
    </row>
    <row r="436" spans="1:21">
      <c r="A436" s="406" t="s">
        <v>1242</v>
      </c>
      <c r="B436" s="406">
        <v>210811</v>
      </c>
      <c r="C436" s="406">
        <f>+'3.CT2A'!A211</f>
        <v>210811</v>
      </c>
      <c r="D436" s="406">
        <f si="10" t="shared"/>
        <v>0</v>
      </c>
      <c r="E436" s="406" t="str">
        <f>+'3.CT2A'!B211</f>
        <v xml:space="preserve">         Ерөнхий ба удирдлагын зардал     /ТӨҮГ/</v>
      </c>
      <c r="S436" s="406" t="s">
        <v>1242</v>
      </c>
      <c r="T436" s="406">
        <v>210811</v>
      </c>
      <c r="U436" s="406" t="s">
        <v>92</v>
      </c>
    </row>
    <row r="437" spans="1:21">
      <c r="A437" s="406" t="s">
        <v>1242</v>
      </c>
      <c r="B437" s="406">
        <v>210812</v>
      </c>
      <c r="C437" s="406">
        <f>+'3.CT2A'!A212</f>
        <v>210812</v>
      </c>
      <c r="D437" s="406">
        <f si="10" t="shared"/>
        <v>0</v>
      </c>
      <c r="E437" s="406" t="str">
        <f>+'3.CT2A'!B212</f>
        <v xml:space="preserve">         Санхүүгийн зардал     /ТӨҮГ/</v>
      </c>
      <c r="S437" s="406" t="s">
        <v>1242</v>
      </c>
      <c r="T437" s="406">
        <v>210812</v>
      </c>
      <c r="U437" s="406" t="s">
        <v>92</v>
      </c>
    </row>
    <row r="438" spans="1:21">
      <c r="A438" s="406" t="s">
        <v>1242</v>
      </c>
      <c r="B438" s="406">
        <v>210813</v>
      </c>
      <c r="C438" s="406">
        <f>+'3.CT2A'!A213</f>
        <v>210813</v>
      </c>
      <c r="D438" s="406">
        <f si="10" t="shared"/>
        <v>0</v>
      </c>
      <c r="E438" s="406" t="str">
        <f>+'3.CT2A'!B213</f>
        <v xml:space="preserve">         Бусад зардал  /ТӨҮГ/</v>
      </c>
      <c r="S438" s="406" t="s">
        <v>1242</v>
      </c>
      <c r="T438" s="406">
        <v>210813</v>
      </c>
      <c r="U438" s="406" t="s">
        <v>92</v>
      </c>
    </row>
    <row r="439" spans="1:21">
      <c r="A439" s="406" t="s">
        <v>1242</v>
      </c>
      <c r="B439" s="406">
        <v>210814</v>
      </c>
      <c r="C439" s="406">
        <f>+'3.CT2A'!A214</f>
        <v>210814</v>
      </c>
      <c r="D439" s="406">
        <f si="10" t="shared"/>
        <v>0</v>
      </c>
      <c r="E439" s="406" t="str">
        <f>+'3.CT2A'!B214</f>
        <v xml:space="preserve">         Орлогын татварын зардал   /ТӨҮГ/</v>
      </c>
      <c r="S439" s="406" t="s">
        <v>1242</v>
      </c>
      <c r="T439" s="406">
        <v>210814</v>
      </c>
      <c r="U439" s="406" t="s">
        <v>92</v>
      </c>
    </row>
    <row r="440" spans="1:21">
      <c r="A440" s="406" t="s">
        <v>1242</v>
      </c>
      <c r="B440" s="406">
        <v>2109</v>
      </c>
      <c r="C440" s="406">
        <f>+'3.CT2A'!A215</f>
        <v>2109</v>
      </c>
      <c r="D440" s="406">
        <f si="10" t="shared"/>
        <v>0</v>
      </c>
      <c r="E440" s="406" t="str">
        <f>+'3.CT2A'!B215</f>
        <v xml:space="preserve">     Бараа үйлчилгээний бусад зардал</v>
      </c>
      <c r="S440" s="406" t="s">
        <v>1242</v>
      </c>
      <c r="T440" s="406">
        <v>2109</v>
      </c>
      <c r="U440" s="406" t="s">
        <v>92</v>
      </c>
    </row>
    <row r="441" spans="1:21">
      <c r="A441" s="406" t="s">
        <v>1242</v>
      </c>
      <c r="B441" s="406">
        <v>210901</v>
      </c>
      <c r="C441" s="406">
        <f>+'3.CT2A'!A216</f>
        <v>210901</v>
      </c>
      <c r="D441" s="406">
        <f si="10" t="shared"/>
        <v>0</v>
      </c>
      <c r="E441" s="406" t="str">
        <f>+'3.CT2A'!B216</f>
        <v xml:space="preserve">         Бараа үйлчилгээний бусад зардал</v>
      </c>
      <c r="S441" s="406" t="s">
        <v>1242</v>
      </c>
      <c r="T441" s="406">
        <v>210901</v>
      </c>
      <c r="U441" s="406" t="s">
        <v>92</v>
      </c>
    </row>
    <row r="442" spans="1:21">
      <c r="A442" s="406" t="s">
        <v>1242</v>
      </c>
      <c r="B442" s="406">
        <v>210902</v>
      </c>
      <c r="C442" s="406">
        <f>+'3.CT2A'!A217</f>
        <v>210902</v>
      </c>
      <c r="D442" s="406">
        <f si="10" t="shared"/>
        <v>0</v>
      </c>
      <c r="E442" s="406" t="str">
        <f>+'3.CT2A'!B217</f>
        <v xml:space="preserve">         Хичээл үйлдвэрлэлийн дадлага хийх</v>
      </c>
      <c r="S442" s="406" t="s">
        <v>1242</v>
      </c>
      <c r="T442" s="406">
        <v>210902</v>
      </c>
      <c r="U442" s="406" t="s">
        <v>92</v>
      </c>
    </row>
    <row r="443" spans="1:21">
      <c r="A443" s="406" t="s">
        <v>1242</v>
      </c>
      <c r="B443" s="406">
        <v>210903</v>
      </c>
      <c r="C443" s="406">
        <f>+'3.CT2A'!A218</f>
        <v>210903</v>
      </c>
      <c r="D443" s="406">
        <f si="10" t="shared"/>
        <v>0</v>
      </c>
      <c r="E443" s="406" t="str">
        <f>+'3.CT2A'!B218</f>
        <v xml:space="preserve">         Yндсэн хөрөнгийн элэгдэл, хорогдол</v>
      </c>
      <c r="S443" s="406" t="s">
        <v>1242</v>
      </c>
      <c r="T443" s="406">
        <v>210903</v>
      </c>
      <c r="U443" s="406" t="s">
        <v>92</v>
      </c>
    </row>
    <row r="444" spans="1:21">
      <c r="A444" s="406" t="s">
        <v>1242</v>
      </c>
      <c r="B444" s="406">
        <v>210904</v>
      </c>
      <c r="C444" s="406">
        <f>+'3.CT2A'!A219</f>
        <v>210904</v>
      </c>
      <c r="D444" s="406">
        <f si="10" t="shared"/>
        <v>0</v>
      </c>
      <c r="E444" s="406" t="str">
        <f>+'3.CT2A'!B219</f>
        <v xml:space="preserve">         Найдваргүй авлагын алдагдал</v>
      </c>
      <c r="S444" s="406" t="s">
        <v>1242</v>
      </c>
      <c r="T444" s="406">
        <v>210904</v>
      </c>
      <c r="U444" s="406" t="s">
        <v>92</v>
      </c>
    </row>
    <row r="445" spans="1:21">
      <c r="A445" s="406" t="s">
        <v>1242</v>
      </c>
      <c r="B445" s="406">
        <v>211</v>
      </c>
      <c r="C445" s="406">
        <f>+'3.CT2A'!A220</f>
        <v>211</v>
      </c>
      <c r="D445" s="406">
        <f si="10" t="shared"/>
        <v>0</v>
      </c>
      <c r="E445" s="406" t="str">
        <f>+'3.CT2A'!B220</f>
        <v xml:space="preserve">   ХҮҮ</v>
      </c>
      <c r="S445" s="406" t="s">
        <v>1242</v>
      </c>
      <c r="T445" s="406">
        <v>211</v>
      </c>
      <c r="U445" s="406" t="s">
        <v>92</v>
      </c>
    </row>
    <row r="446" spans="1:21">
      <c r="A446" s="406" t="s">
        <v>1242</v>
      </c>
      <c r="B446" s="406">
        <v>2111</v>
      </c>
      <c r="C446" s="406">
        <f>+'3.CT2A'!A221</f>
        <v>2111</v>
      </c>
      <c r="D446" s="406">
        <f si="10" t="shared"/>
        <v>0</v>
      </c>
      <c r="E446" s="406" t="str">
        <f>+'3.CT2A'!B221</f>
        <v xml:space="preserve">      Гадаад зээлийн үйлчилгээний төлбөр</v>
      </c>
      <c r="S446" s="406" t="s">
        <v>1242</v>
      </c>
      <c r="T446" s="406">
        <v>2111</v>
      </c>
      <c r="U446" s="406" t="s">
        <v>92</v>
      </c>
    </row>
    <row r="447" spans="1:21">
      <c r="A447" s="406" t="s">
        <v>1242</v>
      </c>
      <c r="B447" s="406">
        <v>211101</v>
      </c>
      <c r="C447" s="406">
        <f>+'3.CT2A'!A222</f>
        <v>211101</v>
      </c>
      <c r="D447" s="406">
        <f si="10" t="shared"/>
        <v>0</v>
      </c>
      <c r="E447" s="406" t="str">
        <f>+'3.CT2A'!B222</f>
        <v xml:space="preserve">          Гадаад зээлийн үйлчилгээний төлбөр</v>
      </c>
      <c r="S447" s="406" t="s">
        <v>1242</v>
      </c>
      <c r="T447" s="406">
        <v>211101</v>
      </c>
      <c r="U447" s="406" t="s">
        <v>92</v>
      </c>
    </row>
    <row r="448" spans="1:21">
      <c r="A448" s="406" t="s">
        <v>1242</v>
      </c>
      <c r="B448" s="406">
        <v>2112</v>
      </c>
      <c r="C448" s="406">
        <f>+'3.CT2A'!A223</f>
        <v>2112</v>
      </c>
      <c r="D448" s="406">
        <f si="10" t="shared"/>
        <v>0</v>
      </c>
      <c r="E448" s="406" t="str">
        <f>+'3.CT2A'!B223</f>
        <v xml:space="preserve">     Дотоод зээлийн үйлчилгээний төлбөр</v>
      </c>
      <c r="S448" s="406" t="s">
        <v>1242</v>
      </c>
      <c r="T448" s="406">
        <v>2112</v>
      </c>
      <c r="U448" s="406" t="s">
        <v>92</v>
      </c>
    </row>
    <row r="449" spans="1:21">
      <c r="A449" s="406" t="s">
        <v>1242</v>
      </c>
      <c r="B449" s="406">
        <v>211201</v>
      </c>
      <c r="C449" s="406">
        <f>+'3.CT2A'!A224</f>
        <v>211201</v>
      </c>
      <c r="D449" s="406">
        <f si="10" t="shared"/>
        <v>0</v>
      </c>
      <c r="E449" s="406" t="str">
        <f>+'3.CT2A'!B224</f>
        <v xml:space="preserve">          Дотоод зээлийн үйлчилгээний төлбөр</v>
      </c>
      <c r="S449" s="406" t="s">
        <v>1242</v>
      </c>
      <c r="T449" s="406">
        <v>211201</v>
      </c>
      <c r="U449" s="406" t="s">
        <v>92</v>
      </c>
    </row>
    <row r="450" spans="1:21">
      <c r="A450" s="406" t="s">
        <v>1242</v>
      </c>
      <c r="B450" s="406">
        <v>212</v>
      </c>
      <c r="C450" s="406">
        <f>+'3.CT2A'!A225</f>
        <v>212</v>
      </c>
      <c r="D450" s="406">
        <f si="10" t="shared"/>
        <v>0</v>
      </c>
      <c r="E450" s="406" t="str">
        <f>+'3.CT2A'!B225</f>
        <v xml:space="preserve">  ТАТААС</v>
      </c>
      <c r="S450" s="406" t="s">
        <v>1242</v>
      </c>
      <c r="T450" s="406">
        <v>212</v>
      </c>
      <c r="U450" s="406" t="s">
        <v>92</v>
      </c>
    </row>
    <row r="451" spans="1:21">
      <c r="A451" s="406" t="s">
        <v>1242</v>
      </c>
      <c r="B451" s="406">
        <v>2121</v>
      </c>
      <c r="C451" s="406">
        <f>+'3.CT2A'!A226</f>
        <v>2121</v>
      </c>
      <c r="D451" s="406">
        <f ref="D451:D514" si="11" t="shared">IF(B451=VALUE(C451),0,1)</f>
        <v>0</v>
      </c>
      <c r="E451" s="406" t="str">
        <f>+'3.CT2A'!B226</f>
        <v xml:space="preserve">     Төрийн өмчит байгууллагад олгох татаас</v>
      </c>
      <c r="S451" s="406" t="s">
        <v>1242</v>
      </c>
      <c r="T451" s="406">
        <v>2121</v>
      </c>
      <c r="U451" s="406" t="s">
        <v>92</v>
      </c>
    </row>
    <row r="452" spans="1:21">
      <c r="A452" s="406" t="s">
        <v>1242</v>
      </c>
      <c r="B452" s="406">
        <v>212101</v>
      </c>
      <c r="C452" s="406">
        <f>+'3.CT2A'!A227</f>
        <v>212101</v>
      </c>
      <c r="D452" s="406">
        <f si="11" t="shared"/>
        <v>0</v>
      </c>
      <c r="E452" s="406" t="str">
        <f>+'3.CT2A'!B227</f>
        <v xml:space="preserve">         Төрийн өмчит байгууллагад олгох татаас</v>
      </c>
      <c r="S452" s="406" t="s">
        <v>1242</v>
      </c>
      <c r="T452" s="406">
        <v>212101</v>
      </c>
      <c r="U452" s="406" t="s">
        <v>92</v>
      </c>
    </row>
    <row r="453" spans="1:21">
      <c r="A453" s="406" t="s">
        <v>1242</v>
      </c>
      <c r="B453" s="406">
        <v>2122</v>
      </c>
      <c r="C453" s="406">
        <f>+'3.CT2A'!A228</f>
        <v>2122</v>
      </c>
      <c r="D453" s="406">
        <f si="11" t="shared"/>
        <v>0</v>
      </c>
      <c r="E453" s="406" t="str">
        <f>+'3.CT2A'!B228</f>
        <v xml:space="preserve">     Хувийн хэвшлийн байгууллагад олгох татаас</v>
      </c>
      <c r="S453" s="406" t="s">
        <v>1242</v>
      </c>
      <c r="T453" s="406">
        <v>2122</v>
      </c>
      <c r="U453" s="406" t="s">
        <v>92</v>
      </c>
    </row>
    <row r="454" spans="1:21">
      <c r="A454" s="406" t="s">
        <v>1242</v>
      </c>
      <c r="B454" s="406">
        <v>212201</v>
      </c>
      <c r="C454" s="406">
        <f>+'3.CT2A'!A229</f>
        <v>212201</v>
      </c>
      <c r="D454" s="406">
        <f si="11" t="shared"/>
        <v>0</v>
      </c>
      <c r="E454" s="406" t="str">
        <f>+'3.CT2A'!B229</f>
        <v xml:space="preserve">         Хувийн хэвшлийн байгууллагад олгох татаас</v>
      </c>
      <c r="S454" s="406" t="s">
        <v>1242</v>
      </c>
      <c r="T454" s="406">
        <v>212201</v>
      </c>
      <c r="U454" s="406" t="s">
        <v>92</v>
      </c>
    </row>
    <row r="455" spans="1:21">
      <c r="A455" s="406" t="s">
        <v>1242</v>
      </c>
      <c r="B455" s="406">
        <v>213</v>
      </c>
      <c r="C455" s="406">
        <f>+'3.CT2A'!A230</f>
        <v>213</v>
      </c>
      <c r="D455" s="406">
        <f si="11" t="shared"/>
        <v>0</v>
      </c>
      <c r="E455" s="406" t="str">
        <f>+'3.CT2A'!B230</f>
        <v xml:space="preserve">  УРСГАЛ ШИЛЖҮҮЛЭГ</v>
      </c>
      <c r="S455" s="406" t="s">
        <v>1242</v>
      </c>
      <c r="T455" s="406">
        <v>213</v>
      </c>
      <c r="U455" s="406" t="s">
        <v>92</v>
      </c>
    </row>
    <row r="456" spans="1:21">
      <c r="A456" s="406" t="s">
        <v>1242</v>
      </c>
      <c r="B456" s="406">
        <v>2131</v>
      </c>
      <c r="C456" s="406">
        <f>+'3.CT2A'!A231</f>
        <v>2131</v>
      </c>
      <c r="D456" s="406">
        <f si="11" t="shared"/>
        <v>0</v>
      </c>
      <c r="E456" s="406" t="str">
        <f>+'3.CT2A'!B231</f>
        <v xml:space="preserve">     Засгийн газрын урсгал шилжүүлэг</v>
      </c>
      <c r="S456" s="406" t="s">
        <v>1242</v>
      </c>
      <c r="T456" s="406">
        <v>2131</v>
      </c>
      <c r="U456" s="406" t="s">
        <v>92</v>
      </c>
    </row>
    <row r="457" spans="1:21">
      <c r="A457" s="406" t="s">
        <v>1242</v>
      </c>
      <c r="B457" s="406">
        <v>213101</v>
      </c>
      <c r="C457" s="406">
        <f>+'3.CT2A'!A232</f>
        <v>213101</v>
      </c>
      <c r="D457" s="406">
        <f si="11" t="shared"/>
        <v>0</v>
      </c>
      <c r="E457" s="406" t="str">
        <f>+'3.CT2A'!B232</f>
        <v xml:space="preserve">       Засгийн газрын дотоод шилжүүлэг</v>
      </c>
      <c r="S457" s="406" t="s">
        <v>1242</v>
      </c>
      <c r="T457" s="406">
        <v>213101</v>
      </c>
      <c r="U457" s="406" t="s">
        <v>92</v>
      </c>
    </row>
    <row r="458" spans="1:21">
      <c r="A458" s="406" t="s">
        <v>1242</v>
      </c>
      <c r="B458" s="406">
        <v>213102</v>
      </c>
      <c r="C458" s="406">
        <f>+'3.CT2A'!A233</f>
        <v>213102</v>
      </c>
      <c r="D458" s="406">
        <f si="11" t="shared"/>
        <v>0</v>
      </c>
      <c r="E458" s="406" t="str">
        <f>+'3.CT2A'!B233</f>
        <v xml:space="preserve">       Засгийн газрын гадаад шилжүүлэг</v>
      </c>
      <c r="S458" s="406" t="s">
        <v>1242</v>
      </c>
      <c r="T458" s="406">
        <v>213102</v>
      </c>
      <c r="U458" s="406" t="s">
        <v>92</v>
      </c>
    </row>
    <row r="459" spans="1:21">
      <c r="A459" s="406" t="s">
        <v>1242</v>
      </c>
      <c r="B459" s="406">
        <v>2132</v>
      </c>
      <c r="C459" s="406">
        <f>+'3.CT2A'!A234</f>
        <v>2132</v>
      </c>
      <c r="D459" s="406">
        <f si="11" t="shared"/>
        <v>0</v>
      </c>
      <c r="E459" s="406" t="str">
        <f>+'3.CT2A'!B234</f>
        <v xml:space="preserve">     Бусад урсгал шилжүүлэг</v>
      </c>
      <c r="S459" s="406" t="s">
        <v>1242</v>
      </c>
      <c r="T459" s="406">
        <v>2132</v>
      </c>
      <c r="U459" s="406" t="s">
        <v>92</v>
      </c>
    </row>
    <row r="460" spans="1:21">
      <c r="A460" s="406" t="s">
        <v>1242</v>
      </c>
      <c r="B460" s="406">
        <v>213202</v>
      </c>
      <c r="C460" s="406">
        <f>+'3.CT2A'!A235</f>
        <v>213202</v>
      </c>
      <c r="D460" s="406">
        <f si="11" t="shared"/>
        <v>0</v>
      </c>
      <c r="E460" s="406" t="str">
        <f>+'3.CT2A'!B235</f>
        <v xml:space="preserve">       Нийгмийн даатгалын тэтгэвэр, тэтгэмж</v>
      </c>
      <c r="S460" s="406" t="s">
        <v>1242</v>
      </c>
      <c r="T460" s="406">
        <v>213202</v>
      </c>
      <c r="U460" s="406" t="s">
        <v>92</v>
      </c>
    </row>
    <row r="461" spans="1:21">
      <c r="A461" s="406" t="s">
        <v>1242</v>
      </c>
      <c r="B461" s="406">
        <v>213203</v>
      </c>
      <c r="C461" s="406">
        <f>+'3.CT2A'!A236</f>
        <v>213203</v>
      </c>
      <c r="D461" s="406">
        <f si="11" t="shared"/>
        <v>0</v>
      </c>
      <c r="E461" s="406" t="str">
        <f>+'3.CT2A'!B236</f>
        <v xml:space="preserve">       Нийгмийн халамжийн тэтгэвэр, тэтгэмж</v>
      </c>
      <c r="S461" s="406" t="s">
        <v>1242</v>
      </c>
      <c r="T461" s="406">
        <v>213203</v>
      </c>
      <c r="U461" s="406" t="s">
        <v>92</v>
      </c>
    </row>
    <row r="462" spans="1:21">
      <c r="A462" s="406" t="s">
        <v>1242</v>
      </c>
      <c r="B462" s="406">
        <v>213204</v>
      </c>
      <c r="C462" s="406">
        <f>+'3.CT2A'!A237</f>
        <v>213204</v>
      </c>
      <c r="D462" s="406">
        <f si="11" t="shared"/>
        <v>0</v>
      </c>
      <c r="E462" s="406" t="str">
        <f>+'3.CT2A'!B237</f>
        <v xml:space="preserve">       Ажил олгогчоос олгох бусад тэтгэмж, урамшуулал</v>
      </c>
      <c r="S462" s="406" t="s">
        <v>1242</v>
      </c>
      <c r="T462" s="406">
        <v>213204</v>
      </c>
      <c r="U462" s="406" t="s">
        <v>92</v>
      </c>
    </row>
    <row r="463" spans="1:21">
      <c r="A463" s="406" t="s">
        <v>1242</v>
      </c>
      <c r="B463" s="406">
        <v>213205</v>
      </c>
      <c r="C463" s="406">
        <f>+'3.CT2A'!A238</f>
        <v>213205</v>
      </c>
      <c r="D463" s="406">
        <f si="11" t="shared"/>
        <v>0</v>
      </c>
      <c r="E463" s="406" t="str">
        <f>+'3.CT2A'!B238</f>
        <v xml:space="preserve">       Төрөөс иргэдэд олгох тэтгэмж, урамшуулал</v>
      </c>
      <c r="S463" s="406" t="s">
        <v>1242</v>
      </c>
      <c r="T463" s="406">
        <v>213205</v>
      </c>
      <c r="U463" s="406" t="s">
        <v>92</v>
      </c>
    </row>
    <row r="464" spans="1:21">
      <c r="A464" s="406" t="s">
        <v>1242</v>
      </c>
      <c r="B464" s="406">
        <v>213206</v>
      </c>
      <c r="C464" s="406">
        <f>+'3.CT2A'!A239</f>
        <v>213206</v>
      </c>
      <c r="D464" s="406">
        <f si="11" t="shared"/>
        <v>0</v>
      </c>
      <c r="E464" s="406" t="str">
        <f>+'3.CT2A'!B239</f>
        <v xml:space="preserve">       Ээлжийн амралтаар нутаг явах унааны хөнгөлөлт</v>
      </c>
      <c r="S464" s="406" t="s">
        <v>1242</v>
      </c>
      <c r="T464" s="406">
        <v>213206</v>
      </c>
      <c r="U464" s="406" t="s">
        <v>92</v>
      </c>
    </row>
    <row r="465" spans="1:21">
      <c r="A465" s="406" t="s">
        <v>1242</v>
      </c>
      <c r="B465" s="406">
        <v>213207</v>
      </c>
      <c r="C465" s="406">
        <f>+'3.CT2A'!A240</f>
        <v>213207</v>
      </c>
      <c r="D465" s="406">
        <f si="11" t="shared"/>
        <v>0</v>
      </c>
      <c r="E465" s="406" t="str">
        <f>+'3.CT2A'!B240</f>
        <v xml:space="preserve">       Тэтгэвэрт гарахад олгох нэг удаагийн мөнгөн тэтгэмж</v>
      </c>
      <c r="S465" s="406" t="s">
        <v>1242</v>
      </c>
      <c r="T465" s="406">
        <v>213207</v>
      </c>
      <c r="U465" s="406" t="s">
        <v>92</v>
      </c>
    </row>
    <row r="466" spans="1:21">
      <c r="A466" s="406" t="s">
        <v>1242</v>
      </c>
      <c r="B466" s="406">
        <v>213208</v>
      </c>
      <c r="C466" s="406">
        <f>+'3.CT2A'!A241</f>
        <v>213208</v>
      </c>
      <c r="D466" s="406">
        <f si="11" t="shared"/>
        <v>0</v>
      </c>
      <c r="E466" s="406" t="str">
        <f>+'3.CT2A'!B241</f>
        <v xml:space="preserve">       Хөдөө орон нутагт тогтвор суурьшилтай ажилласан албан хаагчдад төрөөс үзүүлэх дэмжлэг</v>
      </c>
      <c r="S466" s="406" t="s">
        <v>1242</v>
      </c>
      <c r="T466" s="406">
        <v>213208</v>
      </c>
      <c r="U466" s="406" t="s">
        <v>92</v>
      </c>
    </row>
    <row r="467" spans="1:21">
      <c r="A467" s="406" t="s">
        <v>1242</v>
      </c>
      <c r="B467" s="406">
        <v>213209</v>
      </c>
      <c r="C467" s="406">
        <f>+'3.CT2A'!A242</f>
        <v>213209</v>
      </c>
      <c r="D467" s="406">
        <f si="11" t="shared"/>
        <v>0</v>
      </c>
      <c r="E467" s="406" t="str">
        <f>+'3.CT2A'!B242</f>
        <v xml:space="preserve">       Нэг удаагийн тэтгэмж, шагнал урамшуулал</v>
      </c>
      <c r="S467" s="406" t="s">
        <v>1242</v>
      </c>
      <c r="T467" s="406">
        <v>213209</v>
      </c>
      <c r="U467" s="406" t="s">
        <v>92</v>
      </c>
    </row>
    <row r="468" spans="1:21">
      <c r="A468" s="406" t="s">
        <v>1242</v>
      </c>
      <c r="B468" s="406">
        <v>2133</v>
      </c>
      <c r="C468" s="406">
        <f>+'3.CT2A'!A243</f>
        <v>2133</v>
      </c>
      <c r="D468" s="406">
        <f si="11" t="shared"/>
        <v>0</v>
      </c>
      <c r="E468" s="406" t="str">
        <f>+'3.CT2A'!B243</f>
        <v xml:space="preserve">     Улсын төсвөөс олгосон санхүүжилт, шилжүүлэг</v>
      </c>
      <c r="S468" s="406" t="s">
        <v>1242</v>
      </c>
      <c r="T468" s="406">
        <v>2133</v>
      </c>
      <c r="U468" s="406" t="s">
        <v>92</v>
      </c>
    </row>
    <row r="469" spans="1:21">
      <c r="A469" s="406" t="s">
        <v>1242</v>
      </c>
      <c r="B469" s="406">
        <v>213301</v>
      </c>
      <c r="C469" s="406">
        <f>+'3.CT2A'!A244</f>
        <v>213301</v>
      </c>
      <c r="D469" s="406">
        <f si="11" t="shared"/>
        <v>0</v>
      </c>
      <c r="E469" s="406" t="str">
        <f>+'3.CT2A'!B244</f>
        <v xml:space="preserve">       Урсгал үйл ажиллагааны санхүүжилт</v>
      </c>
      <c r="S469" s="406" t="s">
        <v>1242</v>
      </c>
      <c r="T469" s="406">
        <v>213301</v>
      </c>
      <c r="U469" s="406" t="s">
        <v>92</v>
      </c>
    </row>
    <row r="470" spans="1:21">
      <c r="A470" s="406" t="s">
        <v>1242</v>
      </c>
      <c r="B470" s="406">
        <v>213302</v>
      </c>
      <c r="C470" s="406">
        <f>+'3.CT2A'!A245</f>
        <v>213302</v>
      </c>
      <c r="D470" s="406">
        <f si="11" t="shared"/>
        <v>0</v>
      </c>
      <c r="E470" s="406" t="str">
        <f>+'3.CT2A'!B245</f>
        <v xml:space="preserve">       Засгийн газрын, Засаг даргын нөөц хөрөнгө</v>
      </c>
      <c r="S470" s="406" t="s">
        <v>1242</v>
      </c>
      <c r="T470" s="406">
        <v>213302</v>
      </c>
      <c r="U470" s="406" t="s">
        <v>92</v>
      </c>
    </row>
    <row r="471" spans="1:21">
      <c r="A471" s="406" t="s">
        <v>1242</v>
      </c>
      <c r="B471" s="406">
        <v>213303</v>
      </c>
      <c r="C471" s="406">
        <f>+'3.CT2A'!A246</f>
        <v>213303</v>
      </c>
      <c r="D471" s="406">
        <f si="11" t="shared"/>
        <v>0</v>
      </c>
      <c r="E471" s="406" t="str">
        <f>+'3.CT2A'!B246</f>
        <v xml:space="preserve">       Төвлөрүүлэх шилжүүлэг</v>
      </c>
      <c r="S471" s="406" t="s">
        <v>1242</v>
      </c>
      <c r="T471" s="406">
        <v>213303</v>
      </c>
      <c r="U471" s="406" t="s">
        <v>92</v>
      </c>
    </row>
    <row r="472" spans="1:21">
      <c r="A472" s="406" t="s">
        <v>1242</v>
      </c>
      <c r="B472" s="406">
        <v>213304</v>
      </c>
      <c r="C472" s="406">
        <f>+'3.CT2A'!A247</f>
        <v>213304</v>
      </c>
      <c r="D472" s="406">
        <f si="11" t="shared"/>
        <v>0</v>
      </c>
      <c r="E472" s="406" t="str">
        <f>+'3.CT2A'!B247</f>
        <v xml:space="preserve">       Хөрөнгийн</v>
      </c>
      <c r="S472" s="406" t="s">
        <v>1242</v>
      </c>
      <c r="T472" s="406">
        <v>213304</v>
      </c>
      <c r="U472" s="406" t="s">
        <v>92</v>
      </c>
    </row>
    <row r="473" spans="1:21">
      <c r="A473" s="406" t="s">
        <v>1242</v>
      </c>
      <c r="B473" s="406">
        <v>2134</v>
      </c>
      <c r="C473" s="406">
        <f>+'3.CT2A'!A248</f>
        <v>2134</v>
      </c>
      <c r="D473" s="406">
        <f si="11" t="shared"/>
        <v>0</v>
      </c>
      <c r="E473" s="406" t="str">
        <f>+'3.CT2A'!B248</f>
        <v xml:space="preserve">    Орон нутгийн төсвийн ерөнхийлөн захирагчдад олгох татаас, санхүүжилт</v>
      </c>
      <c r="S473" s="406" t="s">
        <v>1242</v>
      </c>
      <c r="T473" s="406">
        <v>2134</v>
      </c>
      <c r="U473" s="406" t="s">
        <v>92</v>
      </c>
    </row>
    <row r="474" spans="1:21">
      <c r="A474" s="406" t="s">
        <v>1242</v>
      </c>
      <c r="B474" s="406">
        <v>213401</v>
      </c>
      <c r="C474" s="406">
        <f>+'3.CT2A'!A249</f>
        <v>213401</v>
      </c>
      <c r="D474" s="406">
        <f si="11" t="shared"/>
        <v>0</v>
      </c>
      <c r="E474" s="406" t="str">
        <f>+'3.CT2A'!B249</f>
        <v xml:space="preserve">       Урсгал үйл ажиллагааны санхүүжилт төсөвт байгууллага</v>
      </c>
      <c r="S474" s="406" t="s">
        <v>1242</v>
      </c>
      <c r="T474" s="406">
        <v>213401</v>
      </c>
      <c r="U474" s="406" t="s">
        <v>92</v>
      </c>
    </row>
    <row r="475" spans="1:21">
      <c r="A475" s="406" t="s">
        <v>1242</v>
      </c>
      <c r="B475" s="406">
        <v>213402</v>
      </c>
      <c r="C475" s="406">
        <f>+'3.CT2A'!A250</f>
        <v>213402</v>
      </c>
      <c r="D475" s="406">
        <f si="11" t="shared"/>
        <v>0</v>
      </c>
      <c r="E475" s="406" t="str">
        <f>+'3.CT2A'!B250</f>
        <v xml:space="preserve">       Урсгал үйл ажиллагааны санхүүжилт сумдад</v>
      </c>
      <c r="S475" s="406" t="s">
        <v>1242</v>
      </c>
      <c r="T475" s="406">
        <v>213402</v>
      </c>
      <c r="U475" s="406" t="s">
        <v>92</v>
      </c>
    </row>
    <row r="476" spans="1:21">
      <c r="A476" s="406" t="s">
        <v>1242</v>
      </c>
      <c r="B476" s="406">
        <v>213403</v>
      </c>
      <c r="C476" s="406">
        <f>+'3.CT2A'!A251</f>
        <v>213403</v>
      </c>
      <c r="D476" s="406">
        <f si="11" t="shared"/>
        <v>0</v>
      </c>
      <c r="E476" s="406" t="str">
        <f>+'3.CT2A'!B251</f>
        <v xml:space="preserve">       Төвлөрүүлэх шилжүүлэг</v>
      </c>
      <c r="S476" s="406" t="s">
        <v>1242</v>
      </c>
      <c r="T476" s="406">
        <v>213403</v>
      </c>
      <c r="U476" s="406" t="s">
        <v>92</v>
      </c>
    </row>
    <row r="477" spans="1:21">
      <c r="A477" s="406" t="s">
        <v>1242</v>
      </c>
      <c r="B477" s="406">
        <v>213404</v>
      </c>
      <c r="C477" s="406">
        <f>+'3.CT2A'!A252</f>
        <v>213404</v>
      </c>
      <c r="D477" s="406">
        <f si="11" t="shared"/>
        <v>0</v>
      </c>
      <c r="E477" s="406" t="str">
        <f>+'3.CT2A'!B252</f>
        <v xml:space="preserve">       Хөрөнгийн</v>
      </c>
      <c r="S477" s="406" t="s">
        <v>1242</v>
      </c>
      <c r="T477" s="406">
        <v>213404</v>
      </c>
      <c r="U477" s="406" t="s">
        <v>92</v>
      </c>
    </row>
    <row r="478" spans="1:21">
      <c r="A478" s="406" t="s">
        <v>1242</v>
      </c>
      <c r="B478" s="406">
        <v>2135</v>
      </c>
      <c r="C478" s="406">
        <f>+'3.CT2A'!A253</f>
        <v>2135</v>
      </c>
      <c r="D478" s="406">
        <f si="11" t="shared"/>
        <v>0</v>
      </c>
      <c r="E478" s="406" t="str">
        <f>+'3.CT2A'!B253</f>
        <v xml:space="preserve">    Төсвийн захирагчдаас олгосон санхүүжилт, шилжүүлэг</v>
      </c>
      <c r="S478" s="406" t="s">
        <v>1242</v>
      </c>
      <c r="T478" s="406">
        <v>2135</v>
      </c>
      <c r="U478" s="406" t="s">
        <v>92</v>
      </c>
    </row>
    <row r="479" spans="1:21">
      <c r="A479" s="406" t="s">
        <v>1242</v>
      </c>
      <c r="B479" s="406">
        <v>213501</v>
      </c>
      <c r="C479" s="406">
        <f>+'3.CT2A'!A254</f>
        <v>213501</v>
      </c>
      <c r="D479" s="406">
        <f si="11" t="shared"/>
        <v>0</v>
      </c>
      <c r="E479" s="406" t="str">
        <f>+'3.CT2A'!B254</f>
        <v xml:space="preserve">        Урсгал үйл ажиллагааны санхүүжилт</v>
      </c>
      <c r="S479" s="406" t="s">
        <v>1242</v>
      </c>
      <c r="T479" s="406">
        <v>213501</v>
      </c>
      <c r="U479" s="406" t="s">
        <v>92</v>
      </c>
    </row>
    <row r="480" spans="1:21">
      <c r="A480" s="406" t="s">
        <v>1242</v>
      </c>
      <c r="B480" s="406">
        <v>213502</v>
      </c>
      <c r="C480" s="406">
        <f>+'3.CT2A'!A255</f>
        <v>213502</v>
      </c>
      <c r="D480" s="406">
        <f si="11" t="shared"/>
        <v>0</v>
      </c>
      <c r="E480" s="406" t="str">
        <f>+'3.CT2A'!B255</f>
        <v xml:space="preserve">        Засгийн газрын, Засаг даргын нөөц хөрөнгө</v>
      </c>
      <c r="S480" s="406" t="s">
        <v>1242</v>
      </c>
      <c r="T480" s="406">
        <v>213502</v>
      </c>
      <c r="U480" s="406" t="s">
        <v>92</v>
      </c>
    </row>
    <row r="481" spans="1:21">
      <c r="A481" s="406" t="s">
        <v>1242</v>
      </c>
      <c r="B481" s="406">
        <v>213503</v>
      </c>
      <c r="C481" s="406">
        <f>+'3.CT2A'!A256</f>
        <v>213503</v>
      </c>
      <c r="D481" s="406">
        <f si="11" t="shared"/>
        <v>0</v>
      </c>
      <c r="E481" s="406" t="str">
        <f>+'3.CT2A'!B256</f>
        <v xml:space="preserve">         Төвлөрүүлэх шилжүүлэг</v>
      </c>
      <c r="S481" s="406" t="s">
        <v>1242</v>
      </c>
      <c r="T481" s="406">
        <v>213503</v>
      </c>
      <c r="U481" s="406" t="s">
        <v>92</v>
      </c>
    </row>
    <row r="482" spans="1:21">
      <c r="A482" s="406" t="s">
        <v>1242</v>
      </c>
      <c r="B482" s="406">
        <v>213504</v>
      </c>
      <c r="C482" s="406">
        <f>+'3.CT2A'!A257</f>
        <v>213504</v>
      </c>
      <c r="D482" s="406">
        <f si="11" t="shared"/>
        <v>0</v>
      </c>
      <c r="E482" s="406" t="str">
        <f>+'3.CT2A'!B257</f>
        <v xml:space="preserve">         Хөрөнгийн</v>
      </c>
      <c r="S482" s="406" t="s">
        <v>1242</v>
      </c>
      <c r="T482" s="406">
        <v>213504</v>
      </c>
      <c r="U482" s="406" t="s">
        <v>92</v>
      </c>
    </row>
    <row r="483" spans="1:21">
      <c r="A483" s="406" t="s">
        <v>1242</v>
      </c>
      <c r="B483" s="406">
        <v>213505</v>
      </c>
      <c r="C483" s="406">
        <f>+'3.CT2A'!A258</f>
        <v>213505</v>
      </c>
      <c r="D483" s="406">
        <f si="11" t="shared"/>
        <v>0</v>
      </c>
      <c r="E483" s="406" t="str">
        <f>+'3.CT2A'!B258</f>
        <v xml:space="preserve">        Төсвийн ерөнхийлөн захирагч хооронд хийсэн санхүүжилт</v>
      </c>
      <c r="S483" s="406" t="s">
        <v>1242</v>
      </c>
      <c r="T483" s="406">
        <v>213505</v>
      </c>
      <c r="U483" s="406" t="s">
        <v>92</v>
      </c>
    </row>
    <row r="484" spans="1:21">
      <c r="A484" s="406" t="s">
        <v>1242</v>
      </c>
      <c r="B484" s="406">
        <v>22</v>
      </c>
      <c r="C484" s="406">
        <f>+'3.CT2A'!A259</f>
        <v>22</v>
      </c>
      <c r="D484" s="406">
        <f si="11" t="shared"/>
        <v>0</v>
      </c>
      <c r="E484" s="406" t="str">
        <f>+'3.CT2A'!B259</f>
        <v xml:space="preserve">  ХӨРӨНГИЙН ЗАРДАЛ</v>
      </c>
      <c r="S484" s="406" t="s">
        <v>1242</v>
      </c>
      <c r="T484" s="406">
        <v>22</v>
      </c>
      <c r="U484" s="406" t="s">
        <v>92</v>
      </c>
    </row>
    <row r="485" spans="1:21">
      <c r="A485" s="406" t="s">
        <v>1242</v>
      </c>
      <c r="B485" s="406">
        <v>2200</v>
      </c>
      <c r="C485" s="406">
        <f>+'3.CT2A'!A260</f>
        <v>2200</v>
      </c>
      <c r="D485" s="406">
        <f si="11" t="shared"/>
        <v>0</v>
      </c>
      <c r="E485" s="406" t="str">
        <f>+'3.CT2A'!B260</f>
        <v xml:space="preserve">     Дотоод эх үүсвэрээр</v>
      </c>
      <c r="S485" s="406" t="s">
        <v>1242</v>
      </c>
      <c r="T485" s="406">
        <v>2200</v>
      </c>
      <c r="U485" s="406" t="s">
        <v>92</v>
      </c>
    </row>
    <row r="486" spans="1:21">
      <c r="A486" s="406" t="s">
        <v>1242</v>
      </c>
      <c r="B486" s="406">
        <v>220001</v>
      </c>
      <c r="C486" s="406">
        <f>+'3.CT2A'!A261</f>
        <v>220001</v>
      </c>
      <c r="D486" s="406">
        <f si="11" t="shared"/>
        <v>0</v>
      </c>
      <c r="E486" s="406" t="str">
        <f>+'3.CT2A'!B261</f>
        <v xml:space="preserve">        Барилга байгууламж</v>
      </c>
      <c r="S486" s="406" t="s">
        <v>1242</v>
      </c>
      <c r="T486" s="406">
        <v>220001</v>
      </c>
      <c r="U486" s="406" t="s">
        <v>92</v>
      </c>
    </row>
    <row r="487" spans="1:21">
      <c r="A487" s="406" t="s">
        <v>1242</v>
      </c>
      <c r="B487" s="406">
        <v>221001</v>
      </c>
      <c r="C487" s="406">
        <f>+'3.CT2A'!A262</f>
        <v>221001</v>
      </c>
      <c r="D487" s="406">
        <f si="11" t="shared"/>
        <v>0</v>
      </c>
      <c r="E487" s="406" t="str">
        <f>+'3.CT2A'!B262</f>
        <v xml:space="preserve">        Их засвар</v>
      </c>
      <c r="S487" s="406" t="s">
        <v>1242</v>
      </c>
      <c r="T487" s="406">
        <v>221001</v>
      </c>
      <c r="U487" s="406" t="s">
        <v>92</v>
      </c>
    </row>
    <row r="488" spans="1:21">
      <c r="A488" s="406" t="s">
        <v>1242</v>
      </c>
      <c r="B488" s="406">
        <v>222001</v>
      </c>
      <c r="C488" s="406">
        <f>+'3.CT2A'!A263</f>
        <v>222001</v>
      </c>
      <c r="D488" s="406">
        <f si="11" t="shared"/>
        <v>0</v>
      </c>
      <c r="E488" s="406" t="str">
        <f>+'3.CT2A'!B263</f>
        <v xml:space="preserve">        Тоног төхөөрөмж</v>
      </c>
      <c r="S488" s="406" t="s">
        <v>1242</v>
      </c>
      <c r="T488" s="406">
        <v>222001</v>
      </c>
      <c r="U488" s="406" t="s">
        <v>92</v>
      </c>
    </row>
    <row r="489" spans="1:21">
      <c r="A489" s="406" t="s">
        <v>1242</v>
      </c>
      <c r="B489" s="406">
        <v>223001</v>
      </c>
      <c r="C489" s="406">
        <f>+'3.CT2A'!A264</f>
        <v>223001</v>
      </c>
      <c r="D489" s="406">
        <f si="11" t="shared"/>
        <v>0</v>
      </c>
      <c r="E489" s="406" t="str">
        <f>+'3.CT2A'!B264</f>
        <v xml:space="preserve">        Бусад хөрөнгө</v>
      </c>
      <c r="S489" s="406" t="s">
        <v>1242</v>
      </c>
      <c r="T489" s="406">
        <v>223001</v>
      </c>
      <c r="U489" s="406" t="s">
        <v>92</v>
      </c>
    </row>
    <row r="490" spans="1:21">
      <c r="A490" s="406" t="s">
        <v>1242</v>
      </c>
      <c r="B490" s="406">
        <v>224001</v>
      </c>
      <c r="C490" s="406">
        <f>+'3.CT2A'!A265</f>
        <v>224001</v>
      </c>
      <c r="D490" s="406">
        <f si="11" t="shared"/>
        <v>0</v>
      </c>
      <c r="E490" s="406" t="str">
        <f>+'3.CT2A'!B265</f>
        <v xml:space="preserve">        Стратегийн нөөц хөрөнгө</v>
      </c>
      <c r="S490" s="406" t="s">
        <v>1242</v>
      </c>
      <c r="T490" s="406">
        <v>224001</v>
      </c>
      <c r="U490" s="406" t="s">
        <v>92</v>
      </c>
    </row>
    <row r="491" spans="1:21">
      <c r="A491" s="406" t="s">
        <v>1242</v>
      </c>
      <c r="B491" s="406">
        <v>225101</v>
      </c>
      <c r="C491" s="406">
        <f>+'3.CT2A'!A266</f>
        <v>225101</v>
      </c>
      <c r="D491" s="406">
        <f si="11" t="shared"/>
        <v>0</v>
      </c>
      <c r="E491" s="406" t="str">
        <f>+'3.CT2A'!B266</f>
        <v xml:space="preserve">        Үндсэн хөрөнгө данснаас хассаны олз (гарз) /ТӨҮГ/</v>
      </c>
      <c r="S491" s="406" t="s">
        <v>1242</v>
      </c>
      <c r="T491" s="406">
        <v>225101</v>
      </c>
      <c r="U491" s="406" t="s">
        <v>92</v>
      </c>
    </row>
    <row r="492" spans="1:21">
      <c r="A492" s="406" t="s">
        <v>1242</v>
      </c>
      <c r="B492" s="406">
        <v>225102</v>
      </c>
      <c r="C492" s="406">
        <f>+'3.CT2A'!A267</f>
        <v>225102</v>
      </c>
      <c r="D492" s="406">
        <f si="11" t="shared"/>
        <v>0</v>
      </c>
      <c r="E492" s="406" t="str">
        <f>+'3.CT2A'!B267</f>
        <v xml:space="preserve">         Биет бус хөрөнгө данснаас хассаны олз (гарз) /ТӨҮГ/</v>
      </c>
      <c r="S492" s="406" t="s">
        <v>1242</v>
      </c>
      <c r="T492" s="406">
        <v>225102</v>
      </c>
      <c r="U492" s="406" t="s">
        <v>92</v>
      </c>
    </row>
    <row r="493" spans="1:21">
      <c r="A493" s="406" t="s">
        <v>1242</v>
      </c>
      <c r="B493" s="406">
        <v>225103</v>
      </c>
      <c r="C493" s="406">
        <f>+'3.CT2A'!A268</f>
        <v>225103</v>
      </c>
      <c r="D493" s="406">
        <f si="11" t="shared"/>
        <v>0</v>
      </c>
      <c r="E493" s="406" t="str">
        <f>+'3.CT2A'!B268</f>
        <v xml:space="preserve">         Хөрөнгө оруулалт борлуулснаас үүссэн олз (гарз) /ТӨҮГ/</v>
      </c>
      <c r="S493" s="406" t="s">
        <v>1242</v>
      </c>
      <c r="T493" s="406">
        <v>225103</v>
      </c>
      <c r="U493" s="406" t="s">
        <v>92</v>
      </c>
    </row>
    <row r="494" spans="1:21">
      <c r="A494" s="406" t="s">
        <v>1242</v>
      </c>
      <c r="B494" s="406">
        <v>225104</v>
      </c>
      <c r="C494" s="406">
        <f>+'3.CT2A'!A269</f>
        <v>225104</v>
      </c>
      <c r="D494" s="406">
        <f si="11" t="shared"/>
        <v>0</v>
      </c>
      <c r="E494" s="406" t="str">
        <f>+'3.CT2A'!B269</f>
        <v xml:space="preserve">         Бусад урт хугацаат хөрөнгө борлуулсанаас үүссэн олз (гарз) /ТӨҮГ/</v>
      </c>
      <c r="S494" s="406" t="s">
        <v>1242</v>
      </c>
      <c r="T494" s="406">
        <v>225104</v>
      </c>
      <c r="U494" s="406" t="s">
        <v>92</v>
      </c>
    </row>
    <row r="495" spans="1:21">
      <c r="A495" s="406" t="s">
        <v>1242</v>
      </c>
      <c r="B495" s="406">
        <v>225105</v>
      </c>
      <c r="C495" s="406">
        <f>+'3.CT2A'!A270</f>
        <v>225105</v>
      </c>
      <c r="D495" s="406">
        <f si="11" t="shared"/>
        <v>0</v>
      </c>
      <c r="E495" s="406" t="str">
        <f>+'3.CT2A'!B270</f>
        <v xml:space="preserve">         Бусад ашиг (алдагдал)   /ТӨҮГ/</v>
      </c>
      <c r="S495" s="406" t="s">
        <v>1242</v>
      </c>
      <c r="T495" s="406">
        <v>225105</v>
      </c>
      <c r="U495" s="406" t="s">
        <v>92</v>
      </c>
    </row>
    <row r="496" spans="1:21">
      <c r="A496" s="406" t="s">
        <v>1242</v>
      </c>
      <c r="B496" s="406">
        <v>225106</v>
      </c>
      <c r="C496" s="406">
        <f>+'3.CT2A'!A271</f>
        <v>225106</v>
      </c>
      <c r="D496" s="406">
        <f si="11" t="shared"/>
        <v>0</v>
      </c>
      <c r="E496" s="406" t="str">
        <f>+'3.CT2A'!B271</f>
        <v xml:space="preserve">         Биет ба биет бус хөрөнгө худалдан авсан зардал</v>
      </c>
      <c r="S496" s="406" t="s">
        <v>1242</v>
      </c>
      <c r="T496" s="406">
        <v>225106</v>
      </c>
      <c r="U496" s="406" t="s">
        <v>92</v>
      </c>
    </row>
    <row r="497" spans="1:21">
      <c r="A497" s="406" t="s">
        <v>1242</v>
      </c>
      <c r="B497" s="406">
        <v>2260</v>
      </c>
      <c r="C497" s="406">
        <f>+'3.CT2A'!A272</f>
        <v>2260</v>
      </c>
      <c r="D497" s="406">
        <f si="11" t="shared"/>
        <v>0</v>
      </c>
      <c r="E497" s="406" t="str">
        <f>+'3.CT2A'!B272</f>
        <v xml:space="preserve">     Гадаад эх үүсвэрээр</v>
      </c>
      <c r="S497" s="406" t="s">
        <v>1242</v>
      </c>
      <c r="T497" s="406">
        <v>2260</v>
      </c>
      <c r="U497" s="406" t="s">
        <v>92</v>
      </c>
    </row>
    <row r="498" spans="1:21">
      <c r="A498" s="406" t="s">
        <v>1242</v>
      </c>
      <c r="B498" s="406">
        <v>226001</v>
      </c>
      <c r="C498" s="406">
        <f>+'3.CT2A'!A273</f>
        <v>226001</v>
      </c>
      <c r="D498" s="406">
        <f si="11" t="shared"/>
        <v>0</v>
      </c>
      <c r="E498" s="406" t="str">
        <f>+'3.CT2A'!B273</f>
        <v xml:space="preserve">        Гадаад эх үүсвэрээр</v>
      </c>
      <c r="S498" s="406" t="s">
        <v>1242</v>
      </c>
      <c r="T498" s="406">
        <v>226001</v>
      </c>
      <c r="U498" s="406" t="s">
        <v>92</v>
      </c>
    </row>
    <row r="499" spans="1:21">
      <c r="A499" s="406" t="s">
        <v>1242</v>
      </c>
      <c r="B499" s="406">
        <v>3</v>
      </c>
      <c r="C499" s="406">
        <f>+'3.CT2A'!A274</f>
        <v>3</v>
      </c>
      <c r="D499" s="406">
        <f si="11" t="shared"/>
        <v>0</v>
      </c>
      <c r="E499" s="406" t="str">
        <f>+'3.CT2A'!B274</f>
        <v>YЙЛ АЖИЛЛАГААНЫ YР ДYН (3)=(1)-(2)</v>
      </c>
      <c r="S499" s="406" t="s">
        <v>1242</v>
      </c>
      <c r="T499" s="406">
        <v>3</v>
      </c>
      <c r="U499" s="406" t="s">
        <v>1083</v>
      </c>
    </row>
    <row r="500" spans="1:21">
      <c r="A500" s="406" t="s">
        <v>1242</v>
      </c>
      <c r="B500" s="406">
        <v>145</v>
      </c>
      <c r="C500" s="406">
        <f>+'3.CT2A'!A275</f>
        <v>145</v>
      </c>
      <c r="D500" s="406">
        <f si="11" t="shared"/>
        <v>0</v>
      </c>
      <c r="E500" s="406" t="str">
        <f>+'3.CT2A'!B275</f>
        <v>YЙЛ АЖИЛЛАГААНЫ БУС ОРЛОГЫН ДYН</v>
      </c>
      <c r="S500" s="406" t="s">
        <v>1242</v>
      </c>
      <c r="T500" s="406">
        <v>145</v>
      </c>
      <c r="U500" s="406" t="s">
        <v>32</v>
      </c>
    </row>
    <row r="501" spans="1:21">
      <c r="A501" s="406" t="s">
        <v>1242</v>
      </c>
      <c r="B501" s="406">
        <v>145001</v>
      </c>
      <c r="C501" s="406">
        <f>+'3.CT2A'!A276</f>
        <v>145001</v>
      </c>
      <c r="D501" s="406">
        <f si="11" t="shared"/>
        <v>0</v>
      </c>
      <c r="E501" s="406" t="str">
        <f>+'3.CT2A'!B276</f>
        <v xml:space="preserve">     Гадаад валютын ханшийн зөрүүний олз</v>
      </c>
      <c r="S501" s="406" t="s">
        <v>1242</v>
      </c>
      <c r="T501" s="406">
        <v>145001</v>
      </c>
      <c r="U501" s="406" t="s">
        <v>32</v>
      </c>
    </row>
    <row r="502" spans="1:21">
      <c r="A502" s="406" t="s">
        <v>1242</v>
      </c>
      <c r="B502" s="406">
        <v>145002</v>
      </c>
      <c r="C502" s="406">
        <f>+'3.CT2A'!A277</f>
        <v>145002</v>
      </c>
      <c r="D502" s="406">
        <f si="11" t="shared"/>
        <v>0</v>
      </c>
      <c r="E502" s="406" t="str">
        <f>+'3.CT2A'!B277</f>
        <v xml:space="preserve">     Yндсэн хөрөнгө, бараа материал худалдсаны олз</v>
      </c>
      <c r="S502" s="406" t="s">
        <v>1242</v>
      </c>
      <c r="T502" s="406">
        <v>145002</v>
      </c>
      <c r="U502" s="406" t="s">
        <v>32</v>
      </c>
    </row>
    <row r="503" spans="1:21">
      <c r="A503" s="406" t="s">
        <v>1242</v>
      </c>
      <c r="B503" s="406">
        <v>145003</v>
      </c>
      <c r="C503" s="406">
        <f>+'3.CT2A'!A278</f>
        <v>145003</v>
      </c>
      <c r="D503" s="406">
        <f si="11" t="shared"/>
        <v>0</v>
      </c>
      <c r="E503" s="406" t="str">
        <f>+'3.CT2A'!B278</f>
        <v xml:space="preserve">     Хөрөнгө оруулалтын олз</v>
      </c>
      <c r="S503" s="406" t="s">
        <v>1242</v>
      </c>
      <c r="T503" s="406">
        <v>145003</v>
      </c>
      <c r="U503" s="406" t="s">
        <v>32</v>
      </c>
    </row>
    <row r="504" spans="1:21">
      <c r="A504" s="406" t="s">
        <v>1242</v>
      </c>
      <c r="B504" s="406">
        <v>145004</v>
      </c>
      <c r="C504" s="406">
        <f>+'3.CT2A'!A279</f>
        <v>145004</v>
      </c>
      <c r="D504" s="406">
        <f si="11" t="shared"/>
        <v>0</v>
      </c>
      <c r="E504" s="406" t="str">
        <f>+'3.CT2A'!B279</f>
        <v xml:space="preserve">     Дотоод эх үүсвэрээс олгосон зээлээс эргэж төлөгдөх</v>
      </c>
      <c r="S504" s="406" t="s">
        <v>1242</v>
      </c>
      <c r="T504" s="406">
        <v>145004</v>
      </c>
      <c r="U504" s="406" t="s">
        <v>32</v>
      </c>
    </row>
    <row r="505" spans="1:21">
      <c r="A505" s="406" t="s">
        <v>1242</v>
      </c>
      <c r="B505" s="406">
        <v>145005</v>
      </c>
      <c r="C505" s="406">
        <f>+'3.CT2A'!A280</f>
        <v>145005</v>
      </c>
      <c r="D505" s="406">
        <f si="11" t="shared"/>
        <v>0</v>
      </c>
      <c r="E505" s="406" t="str">
        <f>+'3.CT2A'!B280</f>
        <v xml:space="preserve">     Дамжуулан зээлдүүлэх зээлээс эргэж төлөгдөх</v>
      </c>
      <c r="S505" s="406" t="s">
        <v>1242</v>
      </c>
      <c r="T505" s="406">
        <v>145005</v>
      </c>
      <c r="U505" s="406" t="s">
        <v>32</v>
      </c>
    </row>
    <row r="506" spans="1:21">
      <c r="A506" s="406" t="s">
        <v>1242</v>
      </c>
      <c r="B506" s="406">
        <v>145006</v>
      </c>
      <c r="C506" s="406">
        <f>+'3.CT2A'!A281</f>
        <v>145006</v>
      </c>
      <c r="D506" s="406">
        <f si="11" t="shared"/>
        <v>0</v>
      </c>
      <c r="E506" s="406" t="str">
        <f>+'3.CT2A'!B281</f>
        <v xml:space="preserve">     Гадаадын санхүүгийн зах зээлээс санхүүжих</v>
      </c>
      <c r="S506" s="406" t="s">
        <v>1242</v>
      </c>
      <c r="T506" s="406">
        <v>145006</v>
      </c>
      <c r="U506" s="406" t="s">
        <v>32</v>
      </c>
    </row>
    <row r="507" spans="1:21">
      <c r="A507" s="406" t="s">
        <v>1242</v>
      </c>
      <c r="B507" s="406">
        <v>225</v>
      </c>
      <c r="C507" s="406">
        <f>+'3.CT2A'!A282</f>
        <v>225</v>
      </c>
      <c r="D507" s="406">
        <f si="11" t="shared"/>
        <v>0</v>
      </c>
      <c r="E507" s="406" t="str">
        <f>+'3.CT2A'!B282</f>
        <v>YЙЛ АЖИЛЛАГААНЫ БУС ЗАРДЛЫН ДYН</v>
      </c>
      <c r="S507" s="406" t="s">
        <v>1242</v>
      </c>
      <c r="T507" s="406">
        <v>225</v>
      </c>
      <c r="U507" s="406" t="s">
        <v>92</v>
      </c>
    </row>
    <row r="508" spans="1:21">
      <c r="A508" s="406" t="s">
        <v>1242</v>
      </c>
      <c r="B508" s="406">
        <v>225001</v>
      </c>
      <c r="C508" s="406">
        <f>+'3.CT2A'!A283</f>
        <v>225001</v>
      </c>
      <c r="D508" s="406">
        <f si="11" t="shared"/>
        <v>0</v>
      </c>
      <c r="E508" s="406" t="str">
        <f>+'3.CT2A'!B283</f>
        <v xml:space="preserve">      Yндсэн хөрөнгө худалдсаны гарз</v>
      </c>
      <c r="S508" s="406" t="s">
        <v>1242</v>
      </c>
      <c r="T508" s="406">
        <v>225001</v>
      </c>
      <c r="U508" s="406" t="s">
        <v>92</v>
      </c>
    </row>
    <row r="509" spans="1:21">
      <c r="A509" s="406" t="s">
        <v>1242</v>
      </c>
      <c r="B509" s="406">
        <v>225002</v>
      </c>
      <c r="C509" s="406">
        <f>+'3.CT2A'!A284</f>
        <v>225002</v>
      </c>
      <c r="D509" s="406">
        <f si="11" t="shared"/>
        <v>0</v>
      </c>
      <c r="E509" s="406" t="str">
        <f>+'3.CT2A'!B284</f>
        <v xml:space="preserve">       Найдваргүй авлагын алдагдал</v>
      </c>
      <c r="S509" s="406" t="s">
        <v>1242</v>
      </c>
      <c r="T509" s="406">
        <v>225002</v>
      </c>
      <c r="U509" s="406" t="s">
        <v>92</v>
      </c>
    </row>
    <row r="510" spans="1:21">
      <c r="A510" s="406" t="s">
        <v>1242</v>
      </c>
      <c r="B510" s="406">
        <v>225003</v>
      </c>
      <c r="C510" s="406">
        <f>+'3.CT2A'!A285</f>
        <v>225003</v>
      </c>
      <c r="D510" s="406">
        <f si="11" t="shared"/>
        <v>0</v>
      </c>
      <c r="E510" s="406" t="str">
        <f>+'3.CT2A'!B285</f>
        <v xml:space="preserve">       Хөрөнгө оруулалтын гарз</v>
      </c>
      <c r="S510" s="406" t="s">
        <v>1242</v>
      </c>
      <c r="T510" s="406">
        <v>225003</v>
      </c>
      <c r="U510" s="406" t="s">
        <v>92</v>
      </c>
    </row>
    <row r="511" spans="1:21">
      <c r="A511" s="406" t="s">
        <v>1242</v>
      </c>
      <c r="B511" s="406">
        <v>225004</v>
      </c>
      <c r="C511" s="406">
        <f>+'3.CT2A'!A286</f>
        <v>225004</v>
      </c>
      <c r="D511" s="406">
        <f si="11" t="shared"/>
        <v>0</v>
      </c>
      <c r="E511" s="406" t="str">
        <f>+'3.CT2A'!B286</f>
        <v xml:space="preserve">        Гадаад валютын ханшийн зөрүүний гарз</v>
      </c>
      <c r="S511" s="406" t="s">
        <v>1242</v>
      </c>
      <c r="T511" s="406">
        <v>225004</v>
      </c>
      <c r="U511" s="406" t="s">
        <v>92</v>
      </c>
    </row>
    <row r="512" spans="1:21">
      <c r="A512" s="406" t="s">
        <v>1242</v>
      </c>
      <c r="B512" s="406">
        <v>225005</v>
      </c>
      <c r="C512" s="406">
        <f>+'3.CT2A'!A287</f>
        <v>225005</v>
      </c>
      <c r="D512" s="406">
        <f si="11" t="shared"/>
        <v>0</v>
      </c>
      <c r="E512" s="406" t="str">
        <f>+'3.CT2A'!B287</f>
        <v xml:space="preserve">        Yнэ төлбөргүй гарсан зардал</v>
      </c>
      <c r="S512" s="406" t="s">
        <v>1242</v>
      </c>
      <c r="T512" s="406">
        <v>225005</v>
      </c>
      <c r="U512" s="406" t="s">
        <v>92</v>
      </c>
    </row>
    <row r="513" spans="1:21">
      <c r="A513" s="406" t="s">
        <v>1242</v>
      </c>
      <c r="B513" s="406">
        <v>225006</v>
      </c>
      <c r="C513" s="406">
        <f>+'3.CT2A'!A288</f>
        <v>225006</v>
      </c>
      <c r="D513" s="406">
        <f si="11" t="shared"/>
        <v>0</v>
      </c>
      <c r="E513" s="406" t="str">
        <f>+'3.CT2A'!B288</f>
        <v xml:space="preserve">        Гадаадын төслийн зээлээс санхүүжих дамжуулан зээлдүүлэх</v>
      </c>
      <c r="S513" s="406" t="s">
        <v>1242</v>
      </c>
      <c r="T513" s="406">
        <v>225006</v>
      </c>
      <c r="U513" s="406" t="s">
        <v>92</v>
      </c>
    </row>
    <row r="514" spans="1:21">
      <c r="A514" s="406" t="s">
        <v>1242</v>
      </c>
      <c r="B514" s="406">
        <v>225007</v>
      </c>
      <c r="C514" s="406">
        <f>+'3.CT2A'!A289</f>
        <v>225007</v>
      </c>
      <c r="D514" s="406">
        <f si="11" t="shared"/>
        <v>0</v>
      </c>
      <c r="E514" s="406" t="str">
        <f>+'3.CT2A'!B289</f>
        <v xml:space="preserve">        Хөрөнгийн дахин үнэлгээний зардал</v>
      </c>
      <c r="S514" s="406" t="s">
        <v>1242</v>
      </c>
      <c r="T514" s="406">
        <v>225007</v>
      </c>
      <c r="U514" s="406" t="s">
        <v>92</v>
      </c>
    </row>
    <row r="515" spans="1:21">
      <c r="A515" s="406" t="s">
        <v>1242</v>
      </c>
      <c r="B515" s="406">
        <v>225008</v>
      </c>
      <c r="C515" s="406">
        <f>+'3.CT2A'!A290</f>
        <v>225008</v>
      </c>
      <c r="D515" s="406">
        <f ref="D515:D578" si="12" t="shared">IF(B515=VALUE(C515),0,1)</f>
        <v>0</v>
      </c>
      <c r="E515" s="406" t="str">
        <f>+'3.CT2A'!B290</f>
        <v xml:space="preserve">        Дотоод эх үүсвэрээс олгосон зээл</v>
      </c>
      <c r="S515" s="406" t="s">
        <v>1242</v>
      </c>
      <c r="T515" s="406">
        <v>225008</v>
      </c>
      <c r="U515" s="406" t="s">
        <v>92</v>
      </c>
    </row>
    <row r="516" spans="1:21">
      <c r="A516" s="406" t="s">
        <v>1242</v>
      </c>
      <c r="B516" s="406">
        <v>225009</v>
      </c>
      <c r="C516" s="406">
        <f>+'3.CT2A'!A291</f>
        <v>225009</v>
      </c>
      <c r="D516" s="406">
        <f si="12" t="shared"/>
        <v>0</v>
      </c>
      <c r="E516" s="406" t="str">
        <f>+'3.CT2A'!B291</f>
        <v xml:space="preserve">        Дамжуулан зээлдүүлэх зээл</v>
      </c>
      <c r="S516" s="406" t="s">
        <v>1242</v>
      </c>
      <c r="T516" s="406">
        <v>225009</v>
      </c>
      <c r="U516" s="406" t="s">
        <v>92</v>
      </c>
    </row>
    <row r="517" spans="1:21">
      <c r="A517" s="406" t="s">
        <v>1242</v>
      </c>
      <c r="B517" s="406">
        <v>230001</v>
      </c>
      <c r="C517" s="406">
        <f>+'3.CT2A'!A292</f>
        <v>230001</v>
      </c>
      <c r="D517" s="406">
        <f si="12" t="shared"/>
        <v>0</v>
      </c>
      <c r="E517" s="406" t="str">
        <f>+'3.CT2A'!B292</f>
        <v xml:space="preserve">        Эргэж төлөгдөх зээл</v>
      </c>
      <c r="S517" s="406" t="s">
        <v>1242</v>
      </c>
      <c r="T517" s="406">
        <v>230001</v>
      </c>
      <c r="U517" s="406" t="s">
        <v>92</v>
      </c>
    </row>
    <row r="518" spans="1:21">
      <c r="A518" s="406" t="s">
        <v>1242</v>
      </c>
      <c r="B518" s="406">
        <v>4</v>
      </c>
      <c r="C518" s="406">
        <f>+'3.CT2A'!A293</f>
        <v>4</v>
      </c>
      <c r="D518" s="406">
        <f si="12" t="shared"/>
        <v>0</v>
      </c>
      <c r="E518" s="406" t="str">
        <f>+'3.CT2A'!B293</f>
        <v>YЙЛ АЖИЛЛАГААНЫ БУС YР ДYН (4)=(145-225)</v>
      </c>
      <c r="S518" s="406" t="s">
        <v>1242</v>
      </c>
      <c r="T518" s="406">
        <v>4</v>
      </c>
      <c r="U518" s="406" t="s">
        <v>2037</v>
      </c>
    </row>
    <row r="519" spans="1:21">
      <c r="A519" s="406" t="s">
        <v>1242</v>
      </c>
      <c r="B519" s="406">
        <v>5</v>
      </c>
      <c r="C519" s="406">
        <f>+'3.CT2A'!A294</f>
        <v>5</v>
      </c>
      <c r="D519" s="406">
        <f si="12" t="shared"/>
        <v>0</v>
      </c>
      <c r="E519" s="406" t="str">
        <f>+'3.CT2A'!B294</f>
        <v>НИЙТ YР ДYН (5)=(3)+(4)</v>
      </c>
      <c r="S519" s="406" t="s">
        <v>1242</v>
      </c>
      <c r="T519" s="406">
        <v>5</v>
      </c>
      <c r="U519" s="406" t="s">
        <v>1084</v>
      </c>
    </row>
    <row r="520" spans="1:21">
      <c r="A520" s="406" t="s">
        <v>1243</v>
      </c>
      <c r="B520" s="406">
        <v>1</v>
      </c>
      <c r="C520" s="406">
        <f>+'4.CT3A'!A9</f>
        <v>1</v>
      </c>
      <c r="D520" s="406">
        <f si="12" t="shared"/>
        <v>0</v>
      </c>
      <c r="E520" s="406" t="str">
        <f>+'4.CT3A'!B9</f>
        <v>YЙЛ АЖИЛЛАГААНЫ МӨНГӨН ОРЛОГЫН ДYН (1)</v>
      </c>
      <c r="S520" s="406" t="s">
        <v>1243</v>
      </c>
      <c r="T520" s="406">
        <v>1</v>
      </c>
      <c r="U520" s="406" t="s">
        <v>32</v>
      </c>
    </row>
    <row r="521" spans="1:21">
      <c r="A521" s="406" t="s">
        <v>1243</v>
      </c>
      <c r="B521" s="406">
        <v>11</v>
      </c>
      <c r="C521" s="406">
        <f>+'4.CT3A'!A10</f>
        <v>11</v>
      </c>
      <c r="D521" s="406">
        <f si="12" t="shared"/>
        <v>0</v>
      </c>
      <c r="E521" s="406" t="str">
        <f>+'4.CT3A'!B10</f>
        <v xml:space="preserve">   ТАТВАРЫН ОРЛОГО</v>
      </c>
      <c r="S521" s="406" t="s">
        <v>1243</v>
      </c>
      <c r="T521" s="406">
        <v>11</v>
      </c>
      <c r="U521" s="406" t="s">
        <v>32</v>
      </c>
    </row>
    <row r="522" spans="1:21">
      <c r="A522" s="406" t="s">
        <v>1243</v>
      </c>
      <c r="B522" s="406">
        <v>110</v>
      </c>
      <c r="C522" s="406">
        <f>+'4.CT3A'!A11</f>
        <v>110</v>
      </c>
      <c r="D522" s="406">
        <f si="12" t="shared"/>
        <v>0</v>
      </c>
      <c r="E522" s="406" t="str">
        <f>+'4.CT3A'!B11</f>
        <v xml:space="preserve">      Орлогын албан татвар</v>
      </c>
      <c r="S522" s="406" t="s">
        <v>1243</v>
      </c>
      <c r="T522" s="406">
        <v>110</v>
      </c>
      <c r="U522" s="406" t="s">
        <v>32</v>
      </c>
    </row>
    <row r="523" spans="1:21">
      <c r="A523" s="406" t="s">
        <v>1243</v>
      </c>
      <c r="B523" s="406">
        <v>1100</v>
      </c>
      <c r="C523" s="406">
        <f>+'4.CT3A'!A12</f>
        <v>1100</v>
      </c>
      <c r="D523" s="406">
        <f si="12" t="shared"/>
        <v>0</v>
      </c>
      <c r="E523" s="406" t="str">
        <f>+'4.CT3A'!B12</f>
        <v xml:space="preserve">         Хувь хүний орлогын албан татвар</v>
      </c>
      <c r="S523" s="406" t="s">
        <v>1243</v>
      </c>
      <c r="T523" s="406">
        <v>1100</v>
      </c>
      <c r="U523" s="406" t="s">
        <v>32</v>
      </c>
    </row>
    <row r="524" spans="1:21">
      <c r="A524" s="406" t="s">
        <v>1243</v>
      </c>
      <c r="B524" s="406">
        <v>110001</v>
      </c>
      <c r="C524" s="406">
        <f>+'4.CT3A'!A13</f>
        <v>110001</v>
      </c>
      <c r="D524" s="406">
        <f si="12" t="shared"/>
        <v>0</v>
      </c>
      <c r="E524" s="406" t="str">
        <f>+'4.CT3A'!B13</f>
        <v xml:space="preserve">               Цалин, хөдөлмөрийн хөлс, шагнал, урамшуулал болон тэдгээртэй адилтгах хөдөлмөр эрх</v>
      </c>
      <c r="S524" s="406" t="s">
        <v>1243</v>
      </c>
      <c r="T524" s="406">
        <v>110001</v>
      </c>
      <c r="U524" s="406" t="s">
        <v>32</v>
      </c>
    </row>
    <row r="525" spans="1:21">
      <c r="A525" s="406" t="s">
        <v>1243</v>
      </c>
      <c r="B525" s="406">
        <v>110002</v>
      </c>
      <c r="C525" s="406">
        <f>+'4.CT3A'!A14</f>
        <v>110002</v>
      </c>
      <c r="D525" s="406">
        <f si="12" t="shared"/>
        <v>0</v>
      </c>
      <c r="E525" s="406" t="str">
        <f>+'4.CT3A'!B14</f>
        <v xml:space="preserve">               Үйл ажиллагааны орлого</v>
      </c>
      <c r="S525" s="406" t="s">
        <v>1243</v>
      </c>
      <c r="T525" s="406">
        <v>110002</v>
      </c>
      <c r="U525" s="406" t="s">
        <v>32</v>
      </c>
    </row>
    <row r="526" spans="1:21">
      <c r="A526" s="406" t="s">
        <v>1243</v>
      </c>
      <c r="B526" s="406">
        <v>110003</v>
      </c>
      <c r="C526" s="406">
        <f>+'4.CT3A'!A15</f>
        <v>110003</v>
      </c>
      <c r="D526" s="406">
        <f si="12" t="shared"/>
        <v>0</v>
      </c>
      <c r="E526" s="406" t="str">
        <f>+'4.CT3A'!B15</f>
        <v xml:space="preserve">               Хөрөнгийн орлого</v>
      </c>
      <c r="S526" s="406" t="s">
        <v>1243</v>
      </c>
      <c r="T526" s="406">
        <v>110003</v>
      </c>
      <c r="U526" s="406" t="s">
        <v>32</v>
      </c>
    </row>
    <row r="527" spans="1:21">
      <c r="A527" s="406" t="s">
        <v>1243</v>
      </c>
      <c r="B527" s="406">
        <v>110004</v>
      </c>
      <c r="C527" s="406">
        <f>+'4.CT3A'!A16</f>
        <v>110004</v>
      </c>
      <c r="D527" s="406">
        <f si="12" t="shared"/>
        <v>0</v>
      </c>
      <c r="E527" s="406" t="str">
        <f>+'4.CT3A'!B16</f>
        <v xml:space="preserve">               Хөрөнгө борлуулсны орлого</v>
      </c>
      <c r="S527" s="406" t="s">
        <v>1243</v>
      </c>
      <c r="T527" s="406">
        <v>110004</v>
      </c>
      <c r="U527" s="406" t="s">
        <v>32</v>
      </c>
    </row>
    <row r="528" spans="1:21">
      <c r="A528" s="406" t="s">
        <v>1243</v>
      </c>
      <c r="B528" s="406">
        <v>110005</v>
      </c>
      <c r="C528" s="406">
        <f>+'4.CT3A'!A17</f>
        <v>110005</v>
      </c>
      <c r="D528" s="406">
        <f si="12" t="shared"/>
        <v>0</v>
      </c>
      <c r="E528" s="406" t="str">
        <f>+'4.CT3A'!B17</f>
        <v xml:space="preserve">               Шинжлэх ухаан, утга зохиол, шинэ бүтээлийн ашигтай загвар, спортын тэмцээн, урлагийн тоглолт тэдгээртэй адилтгах бусад орлого</v>
      </c>
      <c r="S528" s="406" t="s">
        <v>1243</v>
      </c>
      <c r="T528" s="406">
        <v>110005</v>
      </c>
      <c r="U528" s="406" t="s">
        <v>32</v>
      </c>
    </row>
    <row r="529" spans="1:21">
      <c r="A529" s="406" t="s">
        <v>1243</v>
      </c>
      <c r="B529" s="406">
        <v>110006</v>
      </c>
      <c r="C529" s="406">
        <f>+'4.CT3A'!A18</f>
        <v>110006</v>
      </c>
      <c r="D529" s="406">
        <f si="12" t="shared"/>
        <v>0</v>
      </c>
      <c r="E529" s="406" t="str">
        <f>+'4.CT3A'!B18</f>
        <v xml:space="preserve">               Урлагийн тоглолт, спортын тэмцээний шагнал, наадмын бай шагнал</v>
      </c>
      <c r="S529" s="406" t="s">
        <v>1243</v>
      </c>
      <c r="T529" s="406">
        <v>110006</v>
      </c>
      <c r="U529" s="406" t="s">
        <v>32</v>
      </c>
    </row>
    <row r="530" spans="1:21">
      <c r="A530" s="406" t="s">
        <v>1243</v>
      </c>
      <c r="B530" s="406">
        <v>110007</v>
      </c>
      <c r="C530" s="406">
        <f>+'4.CT3A'!A19</f>
        <v>110007</v>
      </c>
      <c r="D530" s="406">
        <f si="12" t="shared"/>
        <v>0</v>
      </c>
      <c r="E530" s="406" t="str">
        <f>+'4.CT3A'!B19</f>
        <v xml:space="preserve">               Төлбөрт таавар, бооцоот тоглоом, эд мөнгөний хонжворт сугалааны орлого</v>
      </c>
      <c r="S530" s="406" t="s">
        <v>1243</v>
      </c>
      <c r="T530" s="406">
        <v>110007</v>
      </c>
      <c r="U530" s="406" t="s">
        <v>32</v>
      </c>
    </row>
    <row r="531" spans="1:21">
      <c r="A531" s="406" t="s">
        <v>1243</v>
      </c>
      <c r="B531" s="406">
        <v>110008</v>
      </c>
      <c r="C531" s="406">
        <f>+'4.CT3A'!A20</f>
        <v>110008</v>
      </c>
      <c r="D531" s="406">
        <f si="12" t="shared"/>
        <v>0</v>
      </c>
      <c r="E531" s="406" t="str">
        <f>+'4.CT3A'!B20</f>
        <v xml:space="preserve">               Шууд бус орлого</v>
      </c>
      <c r="S531" s="406" t="s">
        <v>1243</v>
      </c>
      <c r="T531" s="406">
        <v>110008</v>
      </c>
      <c r="U531" s="406" t="s">
        <v>32</v>
      </c>
    </row>
    <row r="532" spans="1:21">
      <c r="A532" s="406" t="s">
        <v>1243</v>
      </c>
      <c r="B532" s="406">
        <v>1101</v>
      </c>
      <c r="C532" s="406">
        <f>+'4.CT3A'!A21</f>
        <v>1101</v>
      </c>
      <c r="D532" s="406">
        <f si="12" t="shared"/>
        <v>0</v>
      </c>
      <c r="E532" s="406" t="str">
        <f>+'4.CT3A'!B21</f>
        <v xml:space="preserve">         Хувь хүний орлогын албан татварын буцаан олголт</v>
      </c>
      <c r="S532" s="406" t="s">
        <v>1243</v>
      </c>
      <c r="T532" s="406">
        <v>1101</v>
      </c>
      <c r="U532" s="406" t="s">
        <v>32</v>
      </c>
    </row>
    <row r="533" spans="1:21">
      <c r="A533" s="406" t="s">
        <v>1243</v>
      </c>
      <c r="B533" s="406">
        <v>110101</v>
      </c>
      <c r="C533" s="406">
        <f>+'4.CT3A'!A22</f>
        <v>110101</v>
      </c>
      <c r="D533" s="406">
        <f si="12" t="shared"/>
        <v>0</v>
      </c>
      <c r="E533" s="406" t="str">
        <f>+'4.CT3A'!B22</f>
        <v xml:space="preserve">               Хувь хүний орлогын албан татварын буцаан олголт</v>
      </c>
      <c r="S533" s="406" t="s">
        <v>1243</v>
      </c>
      <c r="T533" s="406">
        <v>110101</v>
      </c>
      <c r="U533" s="406" t="s">
        <v>32</v>
      </c>
    </row>
    <row r="534" spans="1:21">
      <c r="A534" s="406" t="s">
        <v>1243</v>
      </c>
      <c r="B534" s="406">
        <v>1102</v>
      </c>
      <c r="C534" s="406">
        <f>+'4.CT3A'!A23</f>
        <v>1102</v>
      </c>
      <c r="D534" s="406">
        <f si="12" t="shared"/>
        <v>0</v>
      </c>
      <c r="E534" s="406" t="str">
        <f>+'4.CT3A'!B23</f>
        <v xml:space="preserve">         Орлогыг нь тухай бүр тодорхойлох боломжгүй ажил, үйлчилгээ хувиараа эрхлэгч</v>
      </c>
      <c r="S534" s="406" t="s">
        <v>1243</v>
      </c>
      <c r="T534" s="406">
        <v>1102</v>
      </c>
      <c r="U534" s="406" t="s">
        <v>32</v>
      </c>
    </row>
    <row r="535" spans="1:21">
      <c r="A535" s="406" t="s">
        <v>1243</v>
      </c>
      <c r="B535" s="406">
        <v>110201</v>
      </c>
      <c r="C535" s="406">
        <f>+'4.CT3A'!A24</f>
        <v>110201</v>
      </c>
      <c r="D535" s="406">
        <f si="12" t="shared"/>
        <v>0</v>
      </c>
      <c r="E535" s="406" t="str">
        <f>+'4.CT3A'!B24</f>
        <v xml:space="preserve">               Орлогыг нь тухай бүр тодорхойлох боломжгүй ажил, үйлчилгээ хувиараа эрхлэгч иргэний орлогын албан татвар</v>
      </c>
      <c r="S535" s="406" t="s">
        <v>1243</v>
      </c>
      <c r="T535" s="406">
        <v>110201</v>
      </c>
      <c r="U535" s="406" t="s">
        <v>32</v>
      </c>
    </row>
    <row r="536" spans="1:21">
      <c r="A536" s="406" t="s">
        <v>1243</v>
      </c>
      <c r="B536" s="406">
        <v>1103</v>
      </c>
      <c r="C536" s="406">
        <f>+'4.CT3A'!A25</f>
        <v>1103</v>
      </c>
      <c r="D536" s="406">
        <f si="12" t="shared"/>
        <v>0</v>
      </c>
      <c r="E536" s="406" t="str">
        <f>+'4.CT3A'!B25</f>
        <v xml:space="preserve">         ААН-ын орлогын албан татвар</v>
      </c>
      <c r="S536" s="406" t="s">
        <v>1243</v>
      </c>
      <c r="T536" s="406">
        <v>1103</v>
      </c>
      <c r="U536" s="406" t="s">
        <v>32</v>
      </c>
    </row>
    <row r="537" spans="1:21">
      <c r="A537" s="406" t="s">
        <v>1243</v>
      </c>
      <c r="B537" s="406">
        <v>110301</v>
      </c>
      <c r="C537" s="406">
        <f>+'4.CT3A'!A26</f>
        <v>110301</v>
      </c>
      <c r="D537" s="406">
        <f si="12" t="shared"/>
        <v>0</v>
      </c>
      <c r="E537" s="406" t="str">
        <f>+'4.CT3A'!B26</f>
        <v xml:space="preserve">               ААН-ын орлогын албан татвар</v>
      </c>
      <c r="S537" s="406" t="s">
        <v>1243</v>
      </c>
      <c r="T537" s="406">
        <v>110301</v>
      </c>
      <c r="U537" s="406" t="s">
        <v>32</v>
      </c>
    </row>
    <row r="538" spans="1:21">
      <c r="A538" s="406" t="s">
        <v>1243</v>
      </c>
      <c r="B538" s="406">
        <v>1104</v>
      </c>
      <c r="C538" s="406">
        <f>+'4.CT3A'!A27</f>
        <v>1104</v>
      </c>
      <c r="D538" s="406">
        <f si="12" t="shared"/>
        <v>0</v>
      </c>
      <c r="E538" s="406" t="str">
        <f>+'4.CT3A'!B27</f>
        <v xml:space="preserve">         Зарим бүтээгдэхүүний үнийн өсөлтийн албан татвар</v>
      </c>
      <c r="S538" s="406" t="s">
        <v>1243</v>
      </c>
      <c r="T538" s="406">
        <v>1104</v>
      </c>
      <c r="U538" s="406" t="s">
        <v>32</v>
      </c>
    </row>
    <row r="539" spans="1:21">
      <c r="A539" s="406" t="s">
        <v>1243</v>
      </c>
      <c r="B539" s="406">
        <v>110401</v>
      </c>
      <c r="C539" s="406">
        <f>+'4.CT3A'!A28</f>
        <v>110401</v>
      </c>
      <c r="D539" s="406">
        <f si="12" t="shared"/>
        <v>0</v>
      </c>
      <c r="E539" s="406" t="str">
        <f>+'4.CT3A'!B28</f>
        <v xml:space="preserve">               Зарим бүтээгдэхүүний үнийн өсөлтийн албан татвар</v>
      </c>
      <c r="S539" s="406" t="s">
        <v>1243</v>
      </c>
      <c r="T539" s="406">
        <v>110401</v>
      </c>
      <c r="U539" s="406" t="s">
        <v>32</v>
      </c>
    </row>
    <row r="540" spans="1:21">
      <c r="A540" s="406" t="s">
        <v>1243</v>
      </c>
      <c r="B540" s="406">
        <v>112</v>
      </c>
      <c r="C540" s="406">
        <f>+'4.CT3A'!A29</f>
        <v>112</v>
      </c>
      <c r="D540" s="406">
        <f si="12" t="shared"/>
        <v>0</v>
      </c>
      <c r="E540" s="406" t="str">
        <f>+'4.CT3A'!B29</f>
        <v xml:space="preserve">      Нийгмийн даатгалын шимтгэлийн орлого</v>
      </c>
      <c r="S540" s="406" t="s">
        <v>1243</v>
      </c>
      <c r="T540" s="406">
        <v>112</v>
      </c>
      <c r="U540" s="406" t="s">
        <v>32</v>
      </c>
    </row>
    <row r="541" spans="1:21">
      <c r="A541" s="406" t="s">
        <v>1243</v>
      </c>
      <c r="B541" s="406">
        <v>112001</v>
      </c>
      <c r="C541" s="406">
        <f>+'4.CT3A'!A30</f>
        <v>112001</v>
      </c>
      <c r="D541" s="406">
        <f si="12" t="shared"/>
        <v>0</v>
      </c>
      <c r="E541" s="406" t="str">
        <f>+'4.CT3A'!B30</f>
        <v xml:space="preserve">               Тэтгэврийн даатгалын шимтгэл</v>
      </c>
      <c r="S541" s="406" t="s">
        <v>1243</v>
      </c>
      <c r="T541" s="406">
        <v>112001</v>
      </c>
      <c r="U541" s="406" t="s">
        <v>32</v>
      </c>
    </row>
    <row r="542" spans="1:21">
      <c r="A542" s="406" t="s">
        <v>1243</v>
      </c>
      <c r="B542" s="406">
        <v>112002</v>
      </c>
      <c r="C542" s="406">
        <f>+'4.CT3A'!A31</f>
        <v>112002</v>
      </c>
      <c r="D542" s="406">
        <f si="12" t="shared"/>
        <v>0</v>
      </c>
      <c r="E542" s="406" t="str">
        <f>+'4.CT3A'!B31</f>
        <v xml:space="preserve">               Тэтгэмжийн даатгалын шимтгэл</v>
      </c>
      <c r="S542" s="406" t="s">
        <v>1243</v>
      </c>
      <c r="T542" s="406">
        <v>112002</v>
      </c>
      <c r="U542" s="406" t="s">
        <v>32</v>
      </c>
    </row>
    <row r="543" spans="1:21">
      <c r="A543" s="406" t="s">
        <v>1243</v>
      </c>
      <c r="B543" s="406">
        <v>112003</v>
      </c>
      <c r="C543" s="406">
        <f>+'4.CT3A'!A32</f>
        <v>112003</v>
      </c>
      <c r="D543" s="406">
        <f si="12" t="shared"/>
        <v>0</v>
      </c>
      <c r="E543" s="406" t="str">
        <f>+'4.CT3A'!B32</f>
        <v xml:space="preserve">               ҮОМШ өвчний даатгалын шимтгэл</v>
      </c>
      <c r="S543" s="406" t="s">
        <v>1243</v>
      </c>
      <c r="T543" s="406">
        <v>112003</v>
      </c>
      <c r="U543" s="406" t="s">
        <v>32</v>
      </c>
    </row>
    <row r="544" spans="1:21">
      <c r="A544" s="406" t="s">
        <v>1243</v>
      </c>
      <c r="B544" s="406">
        <v>112004</v>
      </c>
      <c r="C544" s="406">
        <f>+'4.CT3A'!A33</f>
        <v>112004</v>
      </c>
      <c r="D544" s="406">
        <f si="12" t="shared"/>
        <v>0</v>
      </c>
      <c r="E544" s="406" t="str">
        <f>+'4.CT3A'!B33</f>
        <v xml:space="preserve">               Ажилгүйдлийн даатгалын шимтгэл</v>
      </c>
      <c r="S544" s="406" t="s">
        <v>1243</v>
      </c>
      <c r="T544" s="406">
        <v>112004</v>
      </c>
      <c r="U544" s="406" t="s">
        <v>32</v>
      </c>
    </row>
    <row r="545" spans="1:21">
      <c r="A545" s="406" t="s">
        <v>1243</v>
      </c>
      <c r="B545" s="406">
        <v>112005</v>
      </c>
      <c r="C545" s="406">
        <f>+'4.CT3A'!A34</f>
        <v>112005</v>
      </c>
      <c r="D545" s="406">
        <f si="12" t="shared"/>
        <v>0</v>
      </c>
      <c r="E545" s="406" t="str">
        <f>+'4.CT3A'!B34</f>
        <v xml:space="preserve">               Эрүүл мэндийн даатгалын шимтгэл</v>
      </c>
      <c r="S545" s="406" t="s">
        <v>1243</v>
      </c>
      <c r="T545" s="406">
        <v>112005</v>
      </c>
      <c r="U545" s="406" t="s">
        <v>32</v>
      </c>
    </row>
    <row r="546" spans="1:21">
      <c r="A546" s="406" t="s">
        <v>1243</v>
      </c>
      <c r="B546" s="406">
        <v>113</v>
      </c>
      <c r="C546" s="406">
        <f>+'4.CT3A'!A35</f>
        <v>113</v>
      </c>
      <c r="D546" s="406">
        <f si="12" t="shared"/>
        <v>0</v>
      </c>
      <c r="E546" s="406" t="str">
        <f>+'4.CT3A'!B35</f>
        <v xml:space="preserve">      Хөрөнгийн албан татвар</v>
      </c>
      <c r="S546" s="406" t="s">
        <v>1243</v>
      </c>
      <c r="T546" s="406">
        <v>113</v>
      </c>
      <c r="U546" s="406" t="s">
        <v>32</v>
      </c>
    </row>
    <row r="547" spans="1:21">
      <c r="A547" s="406" t="s">
        <v>1243</v>
      </c>
      <c r="B547" s="406">
        <v>113001</v>
      </c>
      <c r="C547" s="406">
        <f>+'4.CT3A'!A36</f>
        <v>113001</v>
      </c>
      <c r="D547" s="406">
        <f si="12" t="shared"/>
        <v>0</v>
      </c>
      <c r="E547" s="406" t="str">
        <f>+'4.CT3A'!B36</f>
        <v xml:space="preserve">               Үл хөдлөх эд хөрөнгийн албан татвар</v>
      </c>
      <c r="S547" s="406" t="s">
        <v>1243</v>
      </c>
      <c r="T547" s="406">
        <v>113001</v>
      </c>
      <c r="U547" s="406" t="s">
        <v>32</v>
      </c>
    </row>
    <row r="548" spans="1:21">
      <c r="A548" s="406" t="s">
        <v>1243</v>
      </c>
      <c r="B548" s="406">
        <v>113002</v>
      </c>
      <c r="C548" s="406">
        <f>+'4.CT3A'!A37</f>
        <v>113002</v>
      </c>
      <c r="D548" s="406">
        <f si="12" t="shared"/>
        <v>0</v>
      </c>
      <c r="E548" s="406" t="str">
        <f>+'4.CT3A'!B37</f>
        <v xml:space="preserve">               Бууны албан татвар</v>
      </c>
      <c r="S548" s="406" t="s">
        <v>1243</v>
      </c>
      <c r="T548" s="406">
        <v>113002</v>
      </c>
      <c r="U548" s="406" t="s">
        <v>32</v>
      </c>
    </row>
    <row r="549" spans="1:21">
      <c r="A549" s="406" t="s">
        <v>1243</v>
      </c>
      <c r="B549" s="406">
        <v>113003</v>
      </c>
      <c r="C549" s="406">
        <f>+'4.CT3A'!A38</f>
        <v>113003</v>
      </c>
      <c r="D549" s="406">
        <f si="12" t="shared"/>
        <v>0</v>
      </c>
      <c r="E549" s="406" t="str">
        <f>+'4.CT3A'!B38</f>
        <v xml:space="preserve">               Автотээврийн болон өөрөө явагч хэрэгслийн албан татвар</v>
      </c>
      <c r="S549" s="406" t="s">
        <v>1243</v>
      </c>
      <c r="T549" s="406">
        <v>113003</v>
      </c>
      <c r="U549" s="406" t="s">
        <v>32</v>
      </c>
    </row>
    <row r="550" spans="1:21">
      <c r="A550" s="406" t="s">
        <v>1243</v>
      </c>
      <c r="B550" s="406">
        <v>113004</v>
      </c>
      <c r="C550" s="406">
        <f>+'4.CT3A'!A39</f>
        <v>113004</v>
      </c>
      <c r="D550" s="406">
        <f si="12" t="shared"/>
        <v>0</v>
      </c>
      <c r="E550" s="406" t="str">
        <f>+'4.CT3A'!B39</f>
        <v xml:space="preserve">               Малд ногдуулах албан татвар</v>
      </c>
      <c r="S550" s="406" t="s">
        <v>1243</v>
      </c>
      <c r="T550" s="406">
        <v>113004</v>
      </c>
      <c r="U550" s="406" t="s">
        <v>32</v>
      </c>
    </row>
    <row r="551" spans="1:21">
      <c r="A551" s="406" t="s">
        <v>1243</v>
      </c>
      <c r="B551" s="406">
        <v>114</v>
      </c>
      <c r="C551" s="406">
        <f>+'4.CT3A'!A40</f>
        <v>114</v>
      </c>
      <c r="D551" s="406">
        <f si="12" t="shared"/>
        <v>0</v>
      </c>
      <c r="E551" s="406" t="str">
        <f>+'4.CT3A'!B40</f>
        <v xml:space="preserve">      Нэмэгдсэн өртгийн албан татвар</v>
      </c>
      <c r="S551" s="406" t="s">
        <v>1243</v>
      </c>
      <c r="T551" s="406">
        <v>114</v>
      </c>
      <c r="U551" s="406" t="s">
        <v>32</v>
      </c>
    </row>
    <row r="552" spans="1:21">
      <c r="A552" s="406" t="s">
        <v>1243</v>
      </c>
      <c r="B552" s="406">
        <v>114001</v>
      </c>
      <c r="C552" s="406">
        <f>+'4.CT3A'!A41</f>
        <v>114001</v>
      </c>
      <c r="D552" s="406">
        <f si="12" t="shared"/>
        <v>0</v>
      </c>
      <c r="E552" s="406" t="str">
        <f>+'4.CT3A'!B41</f>
        <v xml:space="preserve">               Дотоодын барааны НӨАТ</v>
      </c>
      <c r="S552" s="406" t="s">
        <v>1243</v>
      </c>
      <c r="T552" s="406">
        <v>114001</v>
      </c>
      <c r="U552" s="406" t="s">
        <v>32</v>
      </c>
    </row>
    <row r="553" spans="1:21">
      <c r="A553" s="406" t="s">
        <v>1243</v>
      </c>
      <c r="B553" s="406">
        <v>114002</v>
      </c>
      <c r="C553" s="406">
        <f>+'4.CT3A'!A42</f>
        <v>114002</v>
      </c>
      <c r="D553" s="406">
        <f si="12" t="shared"/>
        <v>0</v>
      </c>
      <c r="E553" s="406" t="str">
        <f>+'4.CT3A'!B42</f>
        <v xml:space="preserve">               Импортын барааны НӨАТ</v>
      </c>
      <c r="S553" s="406" t="s">
        <v>1243</v>
      </c>
      <c r="T553" s="406">
        <v>114002</v>
      </c>
      <c r="U553" s="406" t="s">
        <v>32</v>
      </c>
    </row>
    <row r="554" spans="1:21">
      <c r="A554" s="406" t="s">
        <v>1243</v>
      </c>
      <c r="B554" s="406">
        <v>114003</v>
      </c>
      <c r="C554" s="406">
        <f>+'4.CT3A'!A43</f>
        <v>114003</v>
      </c>
      <c r="D554" s="406">
        <f si="12" t="shared"/>
        <v>0</v>
      </c>
      <c r="E554" s="406" t="str">
        <f>+'4.CT3A'!B43</f>
        <v xml:space="preserve">               НӨАТ-ын буцаан олголт</v>
      </c>
      <c r="S554" s="406" t="s">
        <v>1243</v>
      </c>
      <c r="T554" s="406">
        <v>114003</v>
      </c>
      <c r="U554" s="406" t="s">
        <v>32</v>
      </c>
    </row>
    <row r="555" spans="1:21">
      <c r="A555" s="406" t="s">
        <v>1243</v>
      </c>
      <c r="B555" s="406">
        <v>115</v>
      </c>
      <c r="C555" s="406">
        <f>+'4.CT3A'!A44</f>
        <v>115</v>
      </c>
      <c r="D555" s="406">
        <f si="12" t="shared"/>
        <v>0</v>
      </c>
      <c r="E555" s="406" t="str">
        <f>+'4.CT3A'!B44</f>
        <v xml:space="preserve">      Онцгой албан татвар</v>
      </c>
      <c r="S555" s="406" t="s">
        <v>1243</v>
      </c>
      <c r="T555" s="406">
        <v>115</v>
      </c>
      <c r="U555" s="406" t="s">
        <v>32</v>
      </c>
    </row>
    <row r="556" spans="1:21">
      <c r="A556" s="406" t="s">
        <v>1243</v>
      </c>
      <c r="B556" s="406">
        <v>115001</v>
      </c>
      <c r="C556" s="406">
        <f>+'4.CT3A'!A45</f>
        <v>115001</v>
      </c>
      <c r="D556" s="406">
        <f si="12" t="shared"/>
        <v>0</v>
      </c>
      <c r="E556" s="406" t="str">
        <f>+'4.CT3A'!B45</f>
        <v xml:space="preserve">               Дотоодын архи, дарсны онцгой албан татвар</v>
      </c>
      <c r="S556" s="406" t="s">
        <v>1243</v>
      </c>
      <c r="T556" s="406">
        <v>115001</v>
      </c>
      <c r="U556" s="406" t="s">
        <v>32</v>
      </c>
    </row>
    <row r="557" spans="1:21">
      <c r="A557" s="406" t="s">
        <v>1243</v>
      </c>
      <c r="B557" s="406">
        <v>115002</v>
      </c>
      <c r="C557" s="406">
        <f>+'4.CT3A'!A46</f>
        <v>115002</v>
      </c>
      <c r="D557" s="406">
        <f si="12" t="shared"/>
        <v>0</v>
      </c>
      <c r="E557" s="406" t="str">
        <f>+'4.CT3A'!B46</f>
        <v xml:space="preserve">               Дотоодын тамхины онцгой албан татвар</v>
      </c>
      <c r="S557" s="406" t="s">
        <v>1243</v>
      </c>
      <c r="T557" s="406">
        <v>115002</v>
      </c>
      <c r="U557" s="406" t="s">
        <v>32</v>
      </c>
    </row>
    <row r="558" spans="1:21">
      <c r="A558" s="406" t="s">
        <v>1243</v>
      </c>
      <c r="B558" s="406">
        <v>115003</v>
      </c>
      <c r="C558" s="406">
        <f>+'4.CT3A'!A47</f>
        <v>115003</v>
      </c>
      <c r="D558" s="406">
        <f si="12" t="shared"/>
        <v>0</v>
      </c>
      <c r="E558" s="406" t="str">
        <f>+'4.CT3A'!B47</f>
        <v xml:space="preserve">               Дотоодын пивоны онцгой албан татвар</v>
      </c>
      <c r="S558" s="406" t="s">
        <v>1243</v>
      </c>
      <c r="T558" s="406">
        <v>115003</v>
      </c>
      <c r="U558" s="406" t="s">
        <v>32</v>
      </c>
    </row>
    <row r="559" spans="1:21">
      <c r="A559" s="406" t="s">
        <v>1243</v>
      </c>
      <c r="B559" s="406">
        <v>115004</v>
      </c>
      <c r="C559" s="406">
        <f>+'4.CT3A'!A48</f>
        <v>115004</v>
      </c>
      <c r="D559" s="406">
        <f si="12" t="shared"/>
        <v>0</v>
      </c>
      <c r="E559" s="406" t="str">
        <f>+'4.CT3A'!B48</f>
        <v xml:space="preserve">               Имтортын архи, дарсны онцгой албан татвар</v>
      </c>
      <c r="S559" s="406" t="s">
        <v>1243</v>
      </c>
      <c r="T559" s="406">
        <v>115004</v>
      </c>
      <c r="U559" s="406" t="s">
        <v>32</v>
      </c>
    </row>
    <row r="560" spans="1:21">
      <c r="A560" s="406" t="s">
        <v>1243</v>
      </c>
      <c r="B560" s="406">
        <v>115005</v>
      </c>
      <c r="C560" s="406">
        <f>+'4.CT3A'!A49</f>
        <v>115005</v>
      </c>
      <c r="D560" s="406">
        <f si="12" t="shared"/>
        <v>0</v>
      </c>
      <c r="E560" s="406" t="str">
        <f>+'4.CT3A'!B49</f>
        <v xml:space="preserve">               Имтортын тамхины онцгой албан татвар</v>
      </c>
      <c r="S560" s="406" t="s">
        <v>1243</v>
      </c>
      <c r="T560" s="406">
        <v>115005</v>
      </c>
      <c r="U560" s="406" t="s">
        <v>32</v>
      </c>
    </row>
    <row r="561" spans="1:21">
      <c r="A561" s="406" t="s">
        <v>1243</v>
      </c>
      <c r="B561" s="406">
        <v>115006</v>
      </c>
      <c r="C561" s="406">
        <f>+'4.CT3A'!A50</f>
        <v>115006</v>
      </c>
      <c r="D561" s="406">
        <f si="12" t="shared"/>
        <v>0</v>
      </c>
      <c r="E561" s="406" t="str">
        <f>+'4.CT3A'!B50</f>
        <v xml:space="preserve">               Имтортын пивоны онцгой албан татвар</v>
      </c>
      <c r="S561" s="406" t="s">
        <v>1243</v>
      </c>
      <c r="T561" s="406">
        <v>115006</v>
      </c>
      <c r="U561" s="406" t="s">
        <v>32</v>
      </c>
    </row>
    <row r="562" spans="1:21">
      <c r="A562" s="406" t="s">
        <v>1243</v>
      </c>
      <c r="B562" s="406">
        <v>115007</v>
      </c>
      <c r="C562" s="406">
        <f>+'4.CT3A'!A51</f>
        <v>115007</v>
      </c>
      <c r="D562" s="406">
        <f si="12" t="shared"/>
        <v>0</v>
      </c>
      <c r="E562" s="406" t="str">
        <f>+'4.CT3A'!B51</f>
        <v xml:space="preserve">               Суудлын автомашины онцгой албан татвар</v>
      </c>
      <c r="S562" s="406" t="s">
        <v>1243</v>
      </c>
      <c r="T562" s="406">
        <v>115007</v>
      </c>
      <c r="U562" s="406" t="s">
        <v>32</v>
      </c>
    </row>
    <row r="563" spans="1:21">
      <c r="A563" s="406" t="s">
        <v>1243</v>
      </c>
      <c r="B563" s="406">
        <v>115008</v>
      </c>
      <c r="C563" s="406">
        <f>+'4.CT3A'!A52</f>
        <v>115008</v>
      </c>
      <c r="D563" s="406">
        <f si="12" t="shared"/>
        <v>0</v>
      </c>
      <c r="E563" s="406" t="str">
        <f>+'4.CT3A'!B52</f>
        <v xml:space="preserve">               Автобензин, дизелийн түлшний онцгой албан татвар</v>
      </c>
      <c r="S563" s="406" t="s">
        <v>1243</v>
      </c>
      <c r="T563" s="406">
        <v>115008</v>
      </c>
      <c r="U563" s="406" t="s">
        <v>32</v>
      </c>
    </row>
    <row r="564" spans="1:21">
      <c r="A564" s="406" t="s">
        <v>1243</v>
      </c>
      <c r="B564" s="406">
        <v>116</v>
      </c>
      <c r="C564" s="406">
        <f>+'4.CT3A'!A53</f>
        <v>116</v>
      </c>
      <c r="D564" s="406">
        <f si="12" t="shared"/>
        <v>0</v>
      </c>
      <c r="E564" s="406" t="str">
        <f>+'4.CT3A'!B53</f>
        <v xml:space="preserve">      Тусгай зориулалтын орлого</v>
      </c>
      <c r="S564" s="406" t="s">
        <v>1243</v>
      </c>
      <c r="T564" s="406">
        <v>116</v>
      </c>
      <c r="U564" s="406" t="s">
        <v>32</v>
      </c>
    </row>
    <row r="565" spans="1:21">
      <c r="A565" s="406" t="s">
        <v>1243</v>
      </c>
      <c r="B565" s="406">
        <v>116001</v>
      </c>
      <c r="C565" s="406">
        <f>+'4.CT3A'!A54</f>
        <v>116001</v>
      </c>
      <c r="D565" s="406">
        <f si="12" t="shared"/>
        <v>0</v>
      </c>
      <c r="E565" s="406" t="str">
        <f>+'4.CT3A'!B54</f>
        <v xml:space="preserve">               Автобензин, дизелийн түлшний албан татвар</v>
      </c>
      <c r="S565" s="406" t="s">
        <v>1243</v>
      </c>
      <c r="T565" s="406">
        <v>116001</v>
      </c>
      <c r="U565" s="406" t="s">
        <v>32</v>
      </c>
    </row>
    <row r="566" spans="1:21">
      <c r="A566" s="406" t="s">
        <v>1243</v>
      </c>
      <c r="B566" s="406">
        <v>117</v>
      </c>
      <c r="C566" s="406">
        <f>+'4.CT3A'!A55</f>
        <v>117</v>
      </c>
      <c r="D566" s="406">
        <f si="12" t="shared"/>
        <v>0</v>
      </c>
      <c r="E566" s="406" t="str">
        <f>+'4.CT3A'!B55</f>
        <v xml:space="preserve">      Гадаад үйл ажиллагааны орлого</v>
      </c>
      <c r="S566" s="406" t="s">
        <v>1243</v>
      </c>
      <c r="T566" s="406">
        <v>117</v>
      </c>
      <c r="U566" s="406" t="s">
        <v>32</v>
      </c>
    </row>
    <row r="567" spans="1:21">
      <c r="A567" s="406" t="s">
        <v>1243</v>
      </c>
      <c r="B567" s="406">
        <v>117001</v>
      </c>
      <c r="C567" s="406">
        <f>+'4.CT3A'!A56</f>
        <v>117001</v>
      </c>
      <c r="D567" s="406">
        <f si="12" t="shared"/>
        <v>0</v>
      </c>
      <c r="E567" s="406" t="str">
        <f>+'4.CT3A'!B56</f>
        <v xml:space="preserve">               Импортын гаалийн албан татвар</v>
      </c>
      <c r="S567" s="406" t="s">
        <v>1243</v>
      </c>
      <c r="T567" s="406">
        <v>117001</v>
      </c>
      <c r="U567" s="406" t="s">
        <v>32</v>
      </c>
    </row>
    <row r="568" spans="1:21">
      <c r="A568" s="406" t="s">
        <v>1243</v>
      </c>
      <c r="B568" s="406">
        <v>117002</v>
      </c>
      <c r="C568" s="406">
        <f>+'4.CT3A'!A57</f>
        <v>117002</v>
      </c>
      <c r="D568" s="406">
        <f si="12" t="shared"/>
        <v>0</v>
      </c>
      <c r="E568" s="406" t="str">
        <f>+'4.CT3A'!B57</f>
        <v xml:space="preserve">               Экспортын гаалийн албан татвар</v>
      </c>
      <c r="S568" s="406" t="s">
        <v>1243</v>
      </c>
      <c r="T568" s="406">
        <v>117002</v>
      </c>
      <c r="U568" s="406" t="s">
        <v>32</v>
      </c>
    </row>
    <row r="569" spans="1:21">
      <c r="A569" s="406" t="s">
        <v>1243</v>
      </c>
      <c r="B569" s="406">
        <v>118</v>
      </c>
      <c r="C569" s="406">
        <f>+'4.CT3A'!A58</f>
        <v>118</v>
      </c>
      <c r="D569" s="406">
        <f si="12" t="shared"/>
        <v>0</v>
      </c>
      <c r="E569" s="406" t="str">
        <f>+'4.CT3A'!B58</f>
        <v xml:space="preserve">      Бусад татвар, төлбөр, хураамж</v>
      </c>
      <c r="S569" s="406" t="s">
        <v>1243</v>
      </c>
      <c r="T569" s="406">
        <v>118</v>
      </c>
      <c r="U569" s="406" t="s">
        <v>32</v>
      </c>
    </row>
    <row r="570" spans="1:21">
      <c r="A570" s="406" t="s">
        <v>1243</v>
      </c>
      <c r="B570" s="406">
        <v>1180</v>
      </c>
      <c r="C570" s="406">
        <f>+'4.CT3A'!A59</f>
        <v>1180</v>
      </c>
      <c r="D570" s="406">
        <f si="12" t="shared"/>
        <v>0</v>
      </c>
      <c r="E570" s="406" t="str">
        <f>+'4.CT3A'!B59</f>
        <v xml:space="preserve">       Бусад нийтлэг төлбөр, хураамж</v>
      </c>
      <c r="S570" s="406" t="s">
        <v>1243</v>
      </c>
      <c r="T570" s="406">
        <v>1180</v>
      </c>
      <c r="U570" s="406" t="s">
        <v>32</v>
      </c>
    </row>
    <row r="571" spans="1:21">
      <c r="A571" s="406" t="s">
        <v>1243</v>
      </c>
      <c r="B571" s="406">
        <v>118001</v>
      </c>
      <c r="C571" s="406">
        <f>+'4.CT3A'!A60</f>
        <v>118001</v>
      </c>
      <c r="D571" s="406">
        <f si="12" t="shared"/>
        <v>0</v>
      </c>
      <c r="E571" s="406" t="str">
        <f>+'4.CT3A'!B60</f>
        <v xml:space="preserve">         Улсын тэмдэгтийн хураамж</v>
      </c>
      <c r="S571" s="406" t="s">
        <v>1243</v>
      </c>
      <c r="T571" s="406">
        <v>118001</v>
      </c>
      <c r="U571" s="406" t="s">
        <v>32</v>
      </c>
    </row>
    <row r="572" spans="1:21">
      <c r="A572" s="406" t="s">
        <v>1243</v>
      </c>
      <c r="B572" s="406">
        <v>118002</v>
      </c>
      <c r="C572" s="406">
        <f>+'4.CT3A'!A61</f>
        <v>118002</v>
      </c>
      <c r="D572" s="406">
        <f si="12" t="shared"/>
        <v>0</v>
      </c>
      <c r="E572" s="406" t="str">
        <f>+'4.CT3A'!B61</f>
        <v xml:space="preserve">         Ашигт малтмалын хайгуулын болон ашиглалтын тусгай зөвшөөрлийн төлбөр</v>
      </c>
      <c r="S572" s="406" t="s">
        <v>1243</v>
      </c>
      <c r="T572" s="406">
        <v>118002</v>
      </c>
      <c r="U572" s="406" t="s">
        <v>32</v>
      </c>
    </row>
    <row r="573" spans="1:21">
      <c r="A573" s="406" t="s">
        <v>1243</v>
      </c>
      <c r="B573" s="406">
        <v>118003</v>
      </c>
      <c r="C573" s="406">
        <f>+'4.CT3A'!A62</f>
        <v>118003</v>
      </c>
      <c r="D573" s="406">
        <f si="12" t="shared"/>
        <v>0</v>
      </c>
      <c r="E573" s="406" t="str">
        <f>+'4.CT3A'!B62</f>
        <v xml:space="preserve">         Улсын төсвийн хөрөнгөөр хайгуул хийсэн ордын нөхөн төлбөр</v>
      </c>
      <c r="S573" s="406" t="s">
        <v>1243</v>
      </c>
      <c r="T573" s="406">
        <v>118003</v>
      </c>
      <c r="U573" s="406" t="s">
        <v>32</v>
      </c>
    </row>
    <row r="574" spans="1:21">
      <c r="A574" s="406" t="s">
        <v>1243</v>
      </c>
      <c r="B574" s="406">
        <v>118004</v>
      </c>
      <c r="C574" s="406">
        <f>+'4.CT3A'!A63</f>
        <v>118004</v>
      </c>
      <c r="D574" s="406">
        <f si="12" t="shared"/>
        <v>0</v>
      </c>
      <c r="E574" s="406" t="str">
        <f>+'4.CT3A'!B63</f>
        <v xml:space="preserve">         Ашигт малтмалын нөөц ашигласны төлбөр</v>
      </c>
      <c r="S574" s="406" t="s">
        <v>1243</v>
      </c>
      <c r="T574" s="406">
        <v>118004</v>
      </c>
      <c r="U574" s="406" t="s">
        <v>32</v>
      </c>
    </row>
    <row r="575" spans="1:21">
      <c r="A575" s="406" t="s">
        <v>1243</v>
      </c>
      <c r="B575" s="406">
        <v>118005</v>
      </c>
      <c r="C575" s="406">
        <f>+'4.CT3A'!A64</f>
        <v>118005</v>
      </c>
      <c r="D575" s="406">
        <f si="12" t="shared"/>
        <v>0</v>
      </c>
      <c r="E575" s="406" t="str">
        <f>+'4.CT3A'!B64</f>
        <v xml:space="preserve">         Агаарын бохирдлын төлбөр</v>
      </c>
      <c r="S575" s="406" t="s">
        <v>1243</v>
      </c>
      <c r="T575" s="406">
        <v>118005</v>
      </c>
      <c r="U575" s="406" t="s">
        <v>32</v>
      </c>
    </row>
    <row r="576" spans="1:21">
      <c r="A576" s="406" t="s">
        <v>1243</v>
      </c>
      <c r="B576" s="406">
        <v>118006</v>
      </c>
      <c r="C576" s="406">
        <f>+'4.CT3A'!A65</f>
        <v>118006</v>
      </c>
      <c r="D576" s="406">
        <f si="12" t="shared"/>
        <v>0</v>
      </c>
      <c r="E576" s="406" t="str">
        <f>+'4.CT3A'!B65</f>
        <v xml:space="preserve">         Түгээмэл тархацтай ашигт малтмал ашигласны төлбөр</v>
      </c>
      <c r="S576" s="406" t="s">
        <v>1243</v>
      </c>
      <c r="T576" s="406">
        <v>118006</v>
      </c>
      <c r="U576" s="406" t="s">
        <v>32</v>
      </c>
    </row>
    <row r="577" spans="1:21">
      <c r="A577" s="406" t="s">
        <v>1243</v>
      </c>
      <c r="B577" s="406">
        <v>118007</v>
      </c>
      <c r="C577" s="406">
        <f>+'4.CT3A'!A66</f>
        <v>118007</v>
      </c>
      <c r="D577" s="406">
        <f si="12" t="shared"/>
        <v>0</v>
      </c>
      <c r="E577" s="406" t="str">
        <f>+'4.CT3A'!B66</f>
        <v xml:space="preserve">         Ус бохирдлын төлбөр</v>
      </c>
      <c r="S577" s="406" t="s">
        <v>1243</v>
      </c>
      <c r="T577" s="406">
        <v>118007</v>
      </c>
      <c r="U577" s="406" t="s">
        <v>32</v>
      </c>
    </row>
    <row r="578" spans="1:21">
      <c r="A578" s="406" t="s">
        <v>1243</v>
      </c>
      <c r="B578" s="406">
        <v>118008</v>
      </c>
      <c r="C578" s="406">
        <f>+'4.CT3A'!A67</f>
        <v>118008</v>
      </c>
      <c r="D578" s="406">
        <f si="12" t="shared"/>
        <v>0</v>
      </c>
      <c r="E578" s="406" t="str">
        <f>+'4.CT3A'!B67</f>
        <v xml:space="preserve">         Улсын төсвийн хөрөнгөөр тогтоосон усны нөөцийн зардлын нөхөн төлбөр</v>
      </c>
      <c r="S578" s="406" t="s">
        <v>1243</v>
      </c>
      <c r="T578" s="406">
        <v>118008</v>
      </c>
      <c r="U578" s="406" t="s">
        <v>32</v>
      </c>
    </row>
    <row r="579" spans="1:21">
      <c r="A579" s="406" t="s">
        <v>1243</v>
      </c>
      <c r="B579" s="406">
        <v>118009</v>
      </c>
      <c r="C579" s="406">
        <f>+'4.CT3A'!A68</f>
        <v>118009</v>
      </c>
      <c r="D579" s="406">
        <f ref="D579:D642" si="13" t="shared">IF(B579=VALUE(C579),0,1)</f>
        <v>0</v>
      </c>
      <c r="E579" s="406" t="str">
        <f>+'4.CT3A'!B68</f>
        <v xml:space="preserve">          Хог хаягдлын үйлчилгээний хураамж</v>
      </c>
      <c r="S579" s="406" t="s">
        <v>1243</v>
      </c>
      <c r="T579" s="406">
        <v>118009</v>
      </c>
      <c r="U579" s="406" t="s">
        <v>32</v>
      </c>
    </row>
    <row r="580" spans="1:21">
      <c r="A580" s="406" t="s">
        <v>1243</v>
      </c>
      <c r="B580" s="406">
        <v>118010</v>
      </c>
      <c r="C580" s="406">
        <f>+'4.CT3A'!A69</f>
        <v>118010</v>
      </c>
      <c r="D580" s="406">
        <f si="13" t="shared"/>
        <v>0</v>
      </c>
      <c r="E580" s="406" t="str">
        <f>+'4.CT3A'!B69</f>
        <v xml:space="preserve">         Ашигт малтмалаас бусад байгалийн баялаг ашиглахад олгох эрхийн зөвшөөрлийн хураамж</v>
      </c>
      <c r="S580" s="406" t="s">
        <v>1243</v>
      </c>
      <c r="T580" s="406">
        <v>118010</v>
      </c>
      <c r="U580" s="406" t="s">
        <v>32</v>
      </c>
    </row>
    <row r="581" spans="1:21">
      <c r="A581" s="406" t="s">
        <v>1243</v>
      </c>
      <c r="B581" s="406">
        <v>118011</v>
      </c>
      <c r="C581" s="406">
        <f>+'4.CT3A'!A70</f>
        <v>118011</v>
      </c>
      <c r="D581" s="406">
        <f si="13" t="shared"/>
        <v>0</v>
      </c>
      <c r="E581" s="406" t="str">
        <f>+'4.CT3A'!B70</f>
        <v xml:space="preserve">         Бусад татвар (төлбөр, хураамж)</v>
      </c>
      <c r="S581" s="406" t="s">
        <v>1243</v>
      </c>
      <c r="T581" s="406">
        <v>118011</v>
      </c>
      <c r="U581" s="406" t="s">
        <v>32</v>
      </c>
    </row>
    <row r="582" spans="1:21">
      <c r="A582" s="406" t="s">
        <v>1243</v>
      </c>
      <c r="B582" s="406">
        <v>1181</v>
      </c>
      <c r="C582" s="406">
        <f>+'4.CT3A'!A71</f>
        <v>1181</v>
      </c>
      <c r="D582" s="406">
        <f si="13" t="shared"/>
        <v>0</v>
      </c>
      <c r="E582" s="406" t="str">
        <f>+'4.CT3A'!B71</f>
        <v xml:space="preserve">      Газрын төлбөр</v>
      </c>
      <c r="S582" s="406" t="s">
        <v>1243</v>
      </c>
      <c r="T582" s="406">
        <v>1181</v>
      </c>
      <c r="U582" s="406" t="s">
        <v>32</v>
      </c>
    </row>
    <row r="583" spans="1:21">
      <c r="A583" s="406" t="s">
        <v>1243</v>
      </c>
      <c r="B583" s="406">
        <v>118101</v>
      </c>
      <c r="C583" s="406">
        <f>+'4.CT3A'!A72</f>
        <v>118101</v>
      </c>
      <c r="D583" s="406">
        <f si="13" t="shared"/>
        <v>0</v>
      </c>
      <c r="E583" s="406" t="str">
        <f>+'4.CT3A'!B72</f>
        <v xml:space="preserve">           Газрын төлбөр</v>
      </c>
      <c r="S583" s="406" t="s">
        <v>1243</v>
      </c>
      <c r="T583" s="406">
        <v>118101</v>
      </c>
      <c r="U583" s="406" t="s">
        <v>32</v>
      </c>
    </row>
    <row r="584" spans="1:21">
      <c r="A584" s="406" t="s">
        <v>1243</v>
      </c>
      <c r="B584" s="406">
        <v>118102</v>
      </c>
      <c r="C584" s="406">
        <f>+'4.CT3A'!A73</f>
        <v>118102</v>
      </c>
      <c r="D584" s="406">
        <f si="13" t="shared"/>
        <v>0</v>
      </c>
      <c r="E584" s="406" t="str">
        <f>+'4.CT3A'!B73</f>
        <v xml:space="preserve">           Дуудлага худалдаа</v>
      </c>
      <c r="S584" s="406" t="s">
        <v>1243</v>
      </c>
      <c r="T584" s="406">
        <v>118102</v>
      </c>
      <c r="U584" s="406" t="s">
        <v>32</v>
      </c>
    </row>
    <row r="585" spans="1:21">
      <c r="A585" s="406" t="s">
        <v>1243</v>
      </c>
      <c r="B585" s="406">
        <v>1182</v>
      </c>
      <c r="C585" s="406">
        <f>+'4.CT3A'!A74</f>
        <v>1182</v>
      </c>
      <c r="D585" s="406">
        <f si="13" t="shared"/>
        <v>0</v>
      </c>
      <c r="E585" s="406" t="str">
        <f>+'4.CT3A'!B74</f>
        <v xml:space="preserve">     Байгалийн нөөц ашигласны төлбөр</v>
      </c>
      <c r="S585" s="406" t="s">
        <v>1243</v>
      </c>
      <c r="T585" s="406">
        <v>1182</v>
      </c>
      <c r="U585" s="406" t="s">
        <v>32</v>
      </c>
    </row>
    <row r="586" spans="1:21">
      <c r="A586" s="406" t="s">
        <v>1243</v>
      </c>
      <c r="B586" s="406">
        <v>118201</v>
      </c>
      <c r="C586" s="406">
        <f>+'4.CT3A'!A75</f>
        <v>118201</v>
      </c>
      <c r="D586" s="406">
        <f si="13" t="shared"/>
        <v>0</v>
      </c>
      <c r="E586" s="406" t="str">
        <f>+'4.CT3A'!B75</f>
        <v xml:space="preserve">          Ойн нөөц ашигласны төлбөр</v>
      </c>
      <c r="S586" s="406" t="s">
        <v>1243</v>
      </c>
      <c r="T586" s="406">
        <v>118201</v>
      </c>
      <c r="U586" s="406" t="s">
        <v>32</v>
      </c>
    </row>
    <row r="587" spans="1:21">
      <c r="A587" s="406" t="s">
        <v>1243</v>
      </c>
      <c r="B587" s="406">
        <v>118202</v>
      </c>
      <c r="C587" s="406">
        <f>+'4.CT3A'!A76</f>
        <v>118202</v>
      </c>
      <c r="D587" s="406">
        <f si="13" t="shared"/>
        <v>0</v>
      </c>
      <c r="E587" s="406" t="str">
        <f>+'4.CT3A'!B76</f>
        <v xml:space="preserve">          Ан амьтны нөөц ашигласны төлбөр</v>
      </c>
      <c r="S587" s="406" t="s">
        <v>1243</v>
      </c>
      <c r="T587" s="406">
        <v>118202</v>
      </c>
      <c r="U587" s="406" t="s">
        <v>32</v>
      </c>
    </row>
    <row r="588" spans="1:21">
      <c r="A588" s="406" t="s">
        <v>1243</v>
      </c>
      <c r="B588" s="406">
        <v>118203</v>
      </c>
      <c r="C588" s="406">
        <f>+'4.CT3A'!A77</f>
        <v>118203</v>
      </c>
      <c r="D588" s="406">
        <f si="13" t="shared"/>
        <v>0</v>
      </c>
      <c r="E588" s="406" t="str">
        <f>+'4.CT3A'!B77</f>
        <v xml:space="preserve">          Ус, рашааны нөөц ашигласны төлбөр</v>
      </c>
      <c r="S588" s="406" t="s">
        <v>1243</v>
      </c>
      <c r="T588" s="406">
        <v>118203</v>
      </c>
      <c r="U588" s="406" t="s">
        <v>32</v>
      </c>
    </row>
    <row r="589" spans="1:21">
      <c r="A589" s="406" t="s">
        <v>1243</v>
      </c>
      <c r="B589" s="406">
        <v>118204</v>
      </c>
      <c r="C589" s="406">
        <f>+'4.CT3A'!A78</f>
        <v>118204</v>
      </c>
      <c r="D589" s="406">
        <f si="13" t="shared"/>
        <v>0</v>
      </c>
      <c r="E589" s="406" t="str">
        <f>+'4.CT3A'!B78</f>
        <v xml:space="preserve">          Байгалийн ургамлын нөөц ашигласны төлбөр</v>
      </c>
      <c r="S589" s="406" t="s">
        <v>1243</v>
      </c>
      <c r="T589" s="406">
        <v>118204</v>
      </c>
      <c r="U589" s="406" t="s">
        <v>32</v>
      </c>
    </row>
    <row r="590" spans="1:21">
      <c r="A590" s="406" t="s">
        <v>1243</v>
      </c>
      <c r="B590" s="406">
        <v>1183</v>
      </c>
      <c r="C590" s="406">
        <f>+'4.CT3A'!A79</f>
        <v>1183</v>
      </c>
      <c r="D590" s="406">
        <f si="13" t="shared"/>
        <v>0</v>
      </c>
      <c r="E590" s="406" t="str">
        <f>+'4.CT3A'!B79</f>
        <v xml:space="preserve">    Бусад татвар</v>
      </c>
      <c r="S590" s="406" t="s">
        <v>1243</v>
      </c>
      <c r="T590" s="406">
        <v>1183</v>
      </c>
      <c r="U590" s="406" t="s">
        <v>32</v>
      </c>
    </row>
    <row r="591" spans="1:21">
      <c r="A591" s="406" t="s">
        <v>1243</v>
      </c>
      <c r="B591" s="406">
        <v>118301</v>
      </c>
      <c r="C591" s="406">
        <f>+'4.CT3A'!A80</f>
        <v>118301</v>
      </c>
      <c r="D591" s="406">
        <f si="13" t="shared"/>
        <v>0</v>
      </c>
      <c r="E591" s="406" t="str">
        <f>+'4.CT3A'!B80</f>
        <v xml:space="preserve">               Бусад татвар</v>
      </c>
      <c r="S591" s="406" t="s">
        <v>1243</v>
      </c>
      <c r="T591" s="406">
        <v>118301</v>
      </c>
      <c r="U591" s="406" t="s">
        <v>32</v>
      </c>
    </row>
    <row r="592" spans="1:21">
      <c r="A592" s="406" t="s">
        <v>1243</v>
      </c>
      <c r="B592" s="406">
        <v>118302</v>
      </c>
      <c r="C592" s="406">
        <f>+'4.CT3A'!A81</f>
        <v>118302</v>
      </c>
      <c r="D592" s="406">
        <f si="13" t="shared"/>
        <v>0</v>
      </c>
      <c r="E592" s="406" t="str">
        <f>+'4.CT3A'!B81</f>
        <v xml:space="preserve">               Нийслэл хотын албан татвар</v>
      </c>
      <c r="S592" s="406" t="s">
        <v>1243</v>
      </c>
      <c r="T592" s="406">
        <v>118302</v>
      </c>
      <c r="U592" s="406" t="s">
        <v>32</v>
      </c>
    </row>
    <row r="593" spans="1:21">
      <c r="A593" s="406" t="s">
        <v>1243</v>
      </c>
      <c r="B593" s="406">
        <v>118303</v>
      </c>
      <c r="C593" s="406">
        <f>+'4.CT3A'!A82</f>
        <v>118303</v>
      </c>
      <c r="D593" s="406">
        <f si="13" t="shared"/>
        <v>0</v>
      </c>
      <c r="E593" s="406" t="str">
        <f>+'4.CT3A'!B82</f>
        <v xml:space="preserve">               Өв, залгамжлал, бэлэглэлийн албан татвар</v>
      </c>
      <c r="S593" s="406" t="s">
        <v>1243</v>
      </c>
      <c r="T593" s="406">
        <v>118303</v>
      </c>
      <c r="U593" s="406" t="s">
        <v>32</v>
      </c>
    </row>
    <row r="594" spans="1:21">
      <c r="A594" s="406" t="s">
        <v>1243</v>
      </c>
      <c r="B594" s="406">
        <v>118304</v>
      </c>
      <c r="C594" s="406">
        <f>+'4.CT3A'!A83</f>
        <v>118304</v>
      </c>
      <c r="D594" s="406">
        <f si="13" t="shared"/>
        <v>0</v>
      </c>
      <c r="E594" s="406" t="str">
        <f>+'4.CT3A'!B83</f>
        <v xml:space="preserve">               Нохойны албан татвар</v>
      </c>
      <c r="S594" s="406" t="s">
        <v>1243</v>
      </c>
      <c r="T594" s="406">
        <v>118304</v>
      </c>
      <c r="U594" s="406" t="s">
        <v>32</v>
      </c>
    </row>
    <row r="595" spans="1:21">
      <c r="A595" s="406" t="s">
        <v>1243</v>
      </c>
      <c r="B595" s="406">
        <v>12</v>
      </c>
      <c r="C595" s="406">
        <f>+'4.CT3A'!A84</f>
        <v>12</v>
      </c>
      <c r="D595" s="406">
        <f si="13" t="shared"/>
        <v>0</v>
      </c>
      <c r="E595" s="406" t="str">
        <f>+'4.CT3A'!B84</f>
        <v xml:space="preserve">   ТАТВАРЫН БУС ОРЛОГО</v>
      </c>
      <c r="S595" s="406" t="s">
        <v>1243</v>
      </c>
      <c r="T595" s="406">
        <v>12</v>
      </c>
      <c r="U595" s="406" t="s">
        <v>32</v>
      </c>
    </row>
    <row r="596" spans="1:21">
      <c r="A596" s="406" t="s">
        <v>1243</v>
      </c>
      <c r="B596" s="406">
        <v>120</v>
      </c>
      <c r="C596" s="406">
        <f>+'4.CT3A'!A85</f>
        <v>120</v>
      </c>
      <c r="D596" s="406">
        <f si="13" t="shared"/>
        <v>0</v>
      </c>
      <c r="E596" s="406" t="str">
        <f>+'4.CT3A'!B85</f>
        <v xml:space="preserve">      Нийтлэг татварын бус орлого</v>
      </c>
      <c r="S596" s="406" t="s">
        <v>1243</v>
      </c>
      <c r="T596" s="406">
        <v>120</v>
      </c>
      <c r="U596" s="406" t="s">
        <v>32</v>
      </c>
    </row>
    <row r="597" spans="1:21">
      <c r="A597" s="406" t="s">
        <v>1243</v>
      </c>
      <c r="B597" s="406">
        <v>120001</v>
      </c>
      <c r="C597" s="406">
        <f>+'4.CT3A'!A86</f>
        <v>120001</v>
      </c>
      <c r="D597" s="406">
        <f si="13" t="shared"/>
        <v>0</v>
      </c>
      <c r="E597" s="406" t="str">
        <f>+'4.CT3A'!B86</f>
        <v xml:space="preserve">         Хувьцааны ногдол ашиг</v>
      </c>
      <c r="S597" s="406" t="s">
        <v>1243</v>
      </c>
      <c r="T597" s="406">
        <v>120001</v>
      </c>
      <c r="U597" s="406" t="s">
        <v>32</v>
      </c>
    </row>
    <row r="598" spans="1:21">
      <c r="A598" s="406" t="s">
        <v>1243</v>
      </c>
      <c r="B598" s="406">
        <v>120002</v>
      </c>
      <c r="C598" s="406">
        <f>+'4.CT3A'!A87</f>
        <v>120002</v>
      </c>
      <c r="D598" s="406">
        <f si="13" t="shared"/>
        <v>0</v>
      </c>
      <c r="E598" s="406" t="str">
        <f>+'4.CT3A'!B87</f>
        <v xml:space="preserve">         Хүүгийн орлого</v>
      </c>
      <c r="S598" s="406" t="s">
        <v>1243</v>
      </c>
      <c r="T598" s="406">
        <v>120002</v>
      </c>
      <c r="U598" s="406" t="s">
        <v>32</v>
      </c>
    </row>
    <row r="599" spans="1:21">
      <c r="A599" s="406" t="s">
        <v>1243</v>
      </c>
      <c r="B599" s="406">
        <v>120003</v>
      </c>
      <c r="C599" s="406">
        <f>+'4.CT3A'!A88</f>
        <v>120003</v>
      </c>
      <c r="D599" s="406">
        <f si="13" t="shared"/>
        <v>0</v>
      </c>
      <c r="E599" s="406" t="str">
        <f>+'4.CT3A'!B88</f>
        <v xml:space="preserve">        Торгуулийн орлого</v>
      </c>
      <c r="S599" s="406" t="s">
        <v>1243</v>
      </c>
      <c r="T599" s="406">
        <v>120003</v>
      </c>
      <c r="U599" s="406" t="s">
        <v>32</v>
      </c>
    </row>
    <row r="600" spans="1:21">
      <c r="A600" s="406" t="s">
        <v>1243</v>
      </c>
      <c r="B600" s="406">
        <v>120004</v>
      </c>
      <c r="C600" s="406">
        <f>+'4.CT3A'!A89</f>
        <v>120004</v>
      </c>
      <c r="D600" s="406">
        <f si="13" t="shared"/>
        <v>0</v>
      </c>
      <c r="E600" s="406" t="str">
        <f>+'4.CT3A'!B89</f>
        <v xml:space="preserve">        Төсөв байгууллагын өөрийн орлого</v>
      </c>
      <c r="S600" s="406" t="s">
        <v>1243</v>
      </c>
      <c r="T600" s="406">
        <v>120004</v>
      </c>
      <c r="U600" s="406" t="s">
        <v>32</v>
      </c>
    </row>
    <row r="601" spans="1:21">
      <c r="A601" s="406" t="s">
        <v>1243</v>
      </c>
      <c r="B601" s="406">
        <v>1200041</v>
      </c>
      <c r="C601" s="406">
        <f>+'4.CT3A'!A90</f>
        <v>1200041</v>
      </c>
      <c r="D601" s="406">
        <f si="13" t="shared"/>
        <v>0</v>
      </c>
      <c r="E601" s="406" t="str">
        <f>+'4.CT3A'!B90</f>
        <v xml:space="preserve">             Үндсэн үйл ажиллагааны орлогоос санхүүжих</v>
      </c>
      <c r="S601" s="406" t="s">
        <v>1243</v>
      </c>
      <c r="T601" s="406">
        <v>1200041</v>
      </c>
      <c r="U601" s="406" t="s">
        <v>32</v>
      </c>
    </row>
    <row r="602" spans="1:21">
      <c r="A602" s="406" t="s">
        <v>1243</v>
      </c>
      <c r="B602" s="406">
        <v>1200042</v>
      </c>
      <c r="C602" s="406">
        <f>+'4.CT3A'!A91</f>
        <v>1200042</v>
      </c>
      <c r="D602" s="406">
        <f si="13" t="shared"/>
        <v>0</v>
      </c>
      <c r="E602" s="406" t="str">
        <f>+'4.CT3A'!B91</f>
        <v xml:space="preserve">             Туслах үйл ажиллагааны орлогоос санхүүжих</v>
      </c>
      <c r="S602" s="406" t="s">
        <v>1243</v>
      </c>
      <c r="T602" s="406">
        <v>1200042</v>
      </c>
      <c r="U602" s="406" t="s">
        <v>32</v>
      </c>
    </row>
    <row r="603" spans="1:21">
      <c r="A603" s="406" t="s">
        <v>1243</v>
      </c>
      <c r="B603" s="406">
        <v>1200043</v>
      </c>
      <c r="C603" s="406">
        <f>+'4.CT3A'!A92</f>
        <v>1200043</v>
      </c>
      <c r="D603" s="406">
        <f si="13" t="shared"/>
        <v>0</v>
      </c>
      <c r="E603" s="406" t="str">
        <f>+'4.CT3A'!B92</f>
        <v xml:space="preserve">             Урьд оны үлдэгдэлээс санхүүжих</v>
      </c>
      <c r="S603" s="406" t="s">
        <v>1243</v>
      </c>
      <c r="T603" s="406">
        <v>1200043</v>
      </c>
      <c r="U603" s="406" t="s">
        <v>32</v>
      </c>
    </row>
    <row r="604" spans="1:21">
      <c r="A604" s="406" t="s">
        <v>1243</v>
      </c>
      <c r="B604" s="406">
        <v>1200044</v>
      </c>
      <c r="C604" s="406">
        <f>+'4.CT3A'!A93</f>
        <v>1200044</v>
      </c>
      <c r="D604" s="406">
        <f si="13" t="shared"/>
        <v>0</v>
      </c>
      <c r="E604" s="406" t="str">
        <f>+'4.CT3A'!B93</f>
        <v xml:space="preserve">             Гадаадын эх үүсвэрээс санхүүжих</v>
      </c>
      <c r="S604" s="406" t="s">
        <v>1243</v>
      </c>
      <c r="T604" s="406">
        <v>1200044</v>
      </c>
      <c r="U604" s="406" t="s">
        <v>32</v>
      </c>
    </row>
    <row r="605" spans="1:21">
      <c r="A605" s="406" t="s">
        <v>1243</v>
      </c>
      <c r="B605" s="406">
        <v>120005</v>
      </c>
      <c r="C605" s="406">
        <f>+'4.CT3A'!A94</f>
        <v>120005</v>
      </c>
      <c r="D605" s="406">
        <f si="13" t="shared"/>
        <v>0</v>
      </c>
      <c r="E605" s="406" t="str">
        <f>+'4.CT3A'!B94</f>
        <v xml:space="preserve">       Түрээсийн орлого</v>
      </c>
      <c r="S605" s="406" t="s">
        <v>1243</v>
      </c>
      <c r="T605" s="406">
        <v>120005</v>
      </c>
      <c r="U605" s="406" t="s">
        <v>32</v>
      </c>
    </row>
    <row r="606" spans="1:21">
      <c r="A606" s="406" t="s">
        <v>1243</v>
      </c>
      <c r="B606" s="406">
        <v>120006</v>
      </c>
      <c r="C606" s="406">
        <f>+'4.CT3A'!A95</f>
        <v>120006</v>
      </c>
      <c r="D606" s="406">
        <f si="13" t="shared"/>
        <v>0</v>
      </c>
      <c r="E606" s="406" t="str">
        <f>+'4.CT3A'!B95</f>
        <v xml:space="preserve">       Газрын тосны орлого</v>
      </c>
      <c r="S606" s="406" t="s">
        <v>1243</v>
      </c>
      <c r="T606" s="406">
        <v>120006</v>
      </c>
      <c r="U606" s="406" t="s">
        <v>32</v>
      </c>
    </row>
    <row r="607" spans="1:21">
      <c r="A607" s="406" t="s">
        <v>1243</v>
      </c>
      <c r="B607" s="406">
        <v>120007</v>
      </c>
      <c r="C607" s="406">
        <f>+'4.CT3A'!A96</f>
        <v>120007</v>
      </c>
      <c r="D607" s="406">
        <f si="13" t="shared"/>
        <v>0</v>
      </c>
      <c r="E607" s="406" t="str">
        <f>+'4.CT3A'!B96</f>
        <v xml:space="preserve">       Навигацийн орлого</v>
      </c>
      <c r="S607" s="406" t="s">
        <v>1243</v>
      </c>
      <c r="T607" s="406">
        <v>120007</v>
      </c>
      <c r="U607" s="406" t="s">
        <v>32</v>
      </c>
    </row>
    <row r="608" spans="1:21">
      <c r="A608" s="406" t="s">
        <v>1243</v>
      </c>
      <c r="B608" s="406">
        <v>120008</v>
      </c>
      <c r="C608" s="406">
        <f>+'4.CT3A'!A97</f>
        <v>120008</v>
      </c>
      <c r="D608" s="406">
        <f si="13" t="shared"/>
        <v>0</v>
      </c>
      <c r="E608" s="406" t="str">
        <f>+'4.CT3A'!B97</f>
        <v xml:space="preserve">       Монгол банкны ашиг</v>
      </c>
      <c r="S608" s="406" t="s">
        <v>1243</v>
      </c>
      <c r="T608" s="406">
        <v>120008</v>
      </c>
      <c r="U608" s="406" t="s">
        <v>32</v>
      </c>
    </row>
    <row r="609" spans="1:21">
      <c r="A609" s="406" t="s">
        <v>1243</v>
      </c>
      <c r="B609" s="406">
        <v>120009</v>
      </c>
      <c r="C609" s="406">
        <f>+'4.CT3A'!A98</f>
        <v>120009</v>
      </c>
      <c r="D609" s="406">
        <f si="13" t="shared"/>
        <v>0</v>
      </c>
      <c r="E609" s="406" t="str">
        <f>+'4.CT3A'!B98</f>
        <v xml:space="preserve">       Бусад орлого</v>
      </c>
      <c r="S609" s="406" t="s">
        <v>1243</v>
      </c>
      <c r="T609" s="406">
        <v>120009</v>
      </c>
      <c r="U609" s="406" t="s">
        <v>32</v>
      </c>
    </row>
    <row r="610" spans="1:21">
      <c r="A610" s="406" t="s">
        <v>1243</v>
      </c>
      <c r="B610" s="406">
        <v>120013</v>
      </c>
      <c r="C610" s="406">
        <f>+'4.CT3A'!A99</f>
        <v>120013</v>
      </c>
      <c r="D610" s="406">
        <f si="13" t="shared"/>
        <v>0</v>
      </c>
      <c r="E610" s="406" t="str">
        <f>+'4.CT3A'!B99</f>
        <v xml:space="preserve">       Бараа борлуулсан, үйлчилгээ үзүүлсний орлого /ТӨҮГ/</v>
      </c>
      <c r="S610" s="406" t="s">
        <v>1243</v>
      </c>
      <c r="T610" s="406">
        <v>120013</v>
      </c>
      <c r="U610" s="406" t="s">
        <v>32</v>
      </c>
    </row>
    <row r="611" spans="1:21">
      <c r="A611" s="406" t="s">
        <v>1243</v>
      </c>
      <c r="B611" s="406">
        <v>120014</v>
      </c>
      <c r="C611" s="406">
        <f>+'4.CT3A'!A100</f>
        <v>120014</v>
      </c>
      <c r="D611" s="406">
        <f si="13" t="shared"/>
        <v>0</v>
      </c>
      <c r="E611" s="406" t="str">
        <f>+'4.CT3A'!B100</f>
        <v xml:space="preserve">       Эрхийн шимтгэл, хураамж, төлбөрийн орлого    /ТӨҮГ/</v>
      </c>
      <c r="S611" s="406" t="s">
        <v>1243</v>
      </c>
      <c r="T611" s="406">
        <v>120014</v>
      </c>
      <c r="U611" s="406" t="s">
        <v>32</v>
      </c>
    </row>
    <row r="612" spans="1:21">
      <c r="A612" s="406" t="s">
        <v>1243</v>
      </c>
      <c r="B612" s="406">
        <v>120015</v>
      </c>
      <c r="C612" s="406">
        <f>+'4.CT3A'!A101</f>
        <v>120015</v>
      </c>
      <c r="D612" s="406">
        <f si="13" t="shared"/>
        <v>0</v>
      </c>
      <c r="E612" s="406" t="str">
        <f>+'4.CT3A'!B101</f>
        <v xml:space="preserve">       Даатгалын нөхвөрөөс хүлээн авсан мөнгө   /ТӨҮГ/</v>
      </c>
      <c r="S612" s="406" t="s">
        <v>1243</v>
      </c>
      <c r="T612" s="406">
        <v>120015</v>
      </c>
      <c r="U612" s="406" t="s">
        <v>32</v>
      </c>
    </row>
    <row r="613" spans="1:21">
      <c r="A613" s="406" t="s">
        <v>1243</v>
      </c>
      <c r="B613" s="406">
        <v>120016</v>
      </c>
      <c r="C613" s="406">
        <f>+'4.CT3A'!A102</f>
        <v>120016</v>
      </c>
      <c r="D613" s="406">
        <f si="13" t="shared"/>
        <v>0</v>
      </c>
      <c r="E613" s="406" t="str">
        <f>+'4.CT3A'!B102</f>
        <v xml:space="preserve">       Буцаан авсан албан татвар    /ТӨҮГ/</v>
      </c>
      <c r="S613" s="406" t="s">
        <v>1243</v>
      </c>
      <c r="T613" s="406">
        <v>120016</v>
      </c>
      <c r="U613" s="406" t="s">
        <v>32</v>
      </c>
    </row>
    <row r="614" spans="1:21">
      <c r="A614" s="406" t="s">
        <v>1243</v>
      </c>
      <c r="B614" s="406">
        <v>121</v>
      </c>
      <c r="C614" s="406">
        <f>+'4.CT3A'!A103</f>
        <v>121</v>
      </c>
      <c r="D614" s="406">
        <f si="13" t="shared"/>
        <v>0</v>
      </c>
      <c r="E614" s="406" t="str">
        <f>+'4.CT3A'!B103</f>
        <v xml:space="preserve">    Хөрөнгийн орлого</v>
      </c>
      <c r="S614" s="406" t="s">
        <v>1243</v>
      </c>
      <c r="T614" s="406">
        <v>121</v>
      </c>
      <c r="U614" s="406" t="s">
        <v>32</v>
      </c>
    </row>
    <row r="615" spans="1:21">
      <c r="A615" s="406" t="s">
        <v>1243</v>
      </c>
      <c r="B615" s="406">
        <v>121001</v>
      </c>
      <c r="C615" s="406">
        <f>+'4.CT3A'!A104</f>
        <v>121001</v>
      </c>
      <c r="D615" s="406">
        <f si="13" t="shared"/>
        <v>0</v>
      </c>
      <c r="E615" s="406" t="str">
        <f>+'4.CT3A'!B104</f>
        <v xml:space="preserve">       Төрийн болон орон нутгийн өмчид бүртгэлтэй хөрөнгө борлуулсны орлого</v>
      </c>
      <c r="S615" s="406" t="s">
        <v>1243</v>
      </c>
      <c r="T615" s="406">
        <v>121001</v>
      </c>
      <c r="U615" s="406" t="s">
        <v>32</v>
      </c>
    </row>
    <row r="616" spans="1:21">
      <c r="A616" s="406" t="s">
        <v>1243</v>
      </c>
      <c r="B616" s="406">
        <v>121002</v>
      </c>
      <c r="C616" s="406">
        <f>+'4.CT3A'!A105</f>
        <v>121002</v>
      </c>
      <c r="D616" s="406">
        <f si="13" t="shared"/>
        <v>0</v>
      </c>
      <c r="E616" s="406" t="str">
        <f>+'4.CT3A'!B105</f>
        <v xml:space="preserve">        Өмч хувьчлалын орлого</v>
      </c>
      <c r="S616" s="406" t="s">
        <v>1243</v>
      </c>
      <c r="T616" s="406">
        <v>121002</v>
      </c>
      <c r="U616" s="406" t="s">
        <v>32</v>
      </c>
    </row>
    <row r="617" spans="1:21">
      <c r="A617" s="406" t="s">
        <v>1243</v>
      </c>
      <c r="B617" s="406">
        <v>122</v>
      </c>
      <c r="C617" s="406">
        <f>+'4.CT3A'!A106</f>
        <v>122</v>
      </c>
      <c r="D617" s="406">
        <f si="13" t="shared"/>
        <v>0</v>
      </c>
      <c r="E617" s="406" t="str">
        <f>+'4.CT3A'!B106</f>
        <v xml:space="preserve">   Тусламжийн орлого</v>
      </c>
      <c r="S617" s="406" t="s">
        <v>1243</v>
      </c>
      <c r="T617" s="406">
        <v>122</v>
      </c>
      <c r="U617" s="406" t="s">
        <v>32</v>
      </c>
    </row>
    <row r="618" spans="1:21">
      <c r="A618" s="406" t="s">
        <v>1243</v>
      </c>
      <c r="B618" s="406">
        <v>122001</v>
      </c>
      <c r="C618" s="406">
        <f>+'4.CT3A'!A107</f>
        <v>122001</v>
      </c>
      <c r="D618" s="406">
        <f si="13" t="shared"/>
        <v>0</v>
      </c>
      <c r="E618" s="406" t="str">
        <f>+'4.CT3A'!B107</f>
        <v xml:space="preserve">          Хандив тусламж /дотоод/</v>
      </c>
      <c r="S618" s="406" t="s">
        <v>1243</v>
      </c>
      <c r="T618" s="406">
        <v>122001</v>
      </c>
      <c r="U618" s="406" t="s">
        <v>32</v>
      </c>
    </row>
    <row r="619" spans="1:21">
      <c r="A619" s="406" t="s">
        <v>1243</v>
      </c>
      <c r="B619" s="406">
        <v>122002</v>
      </c>
      <c r="C619" s="406">
        <f>+'4.CT3A'!A108</f>
        <v>122002</v>
      </c>
      <c r="D619" s="406">
        <f si="13" t="shared"/>
        <v>0</v>
      </c>
      <c r="E619" s="406" t="str">
        <f>+'4.CT3A'!B108</f>
        <v xml:space="preserve">          Хандив тусламж /гадаад/</v>
      </c>
      <c r="S619" s="406" t="s">
        <v>1243</v>
      </c>
      <c r="T619" s="406">
        <v>122002</v>
      </c>
      <c r="U619" s="406" t="s">
        <v>32</v>
      </c>
    </row>
    <row r="620" spans="1:21">
      <c r="A620" s="406" t="s">
        <v>1243</v>
      </c>
      <c r="B620" s="406">
        <v>123</v>
      </c>
      <c r="C620" s="406">
        <f>+'4.CT3A'!A109</f>
        <v>123</v>
      </c>
      <c r="D620" s="406">
        <f si="13" t="shared"/>
        <v>0</v>
      </c>
      <c r="E620" s="406" t="str">
        <f>+'4.CT3A'!B109</f>
        <v xml:space="preserve">    Улсын төсөв орон нутгийн төсөв хоорондын шилжүүлэг</v>
      </c>
      <c r="S620" s="406" t="s">
        <v>1243</v>
      </c>
      <c r="T620" s="406">
        <v>123</v>
      </c>
      <c r="U620" s="406" t="s">
        <v>32</v>
      </c>
    </row>
    <row r="621" spans="1:21">
      <c r="A621" s="406" t="s">
        <v>1243</v>
      </c>
      <c r="B621" s="406">
        <v>123001</v>
      </c>
      <c r="C621" s="406">
        <f>+'4.CT3A'!A110</f>
        <v>123001</v>
      </c>
      <c r="D621" s="406">
        <f si="13" t="shared"/>
        <v>0</v>
      </c>
      <c r="E621" s="406" t="str">
        <f>+'4.CT3A'!B110</f>
        <v xml:space="preserve">          Тусгай зориулалтын шилжүүлгийн орлого</v>
      </c>
      <c r="S621" s="406" t="s">
        <v>1243</v>
      </c>
      <c r="T621" s="406">
        <v>123001</v>
      </c>
      <c r="U621" s="406" t="s">
        <v>32</v>
      </c>
    </row>
    <row r="622" spans="1:21">
      <c r="A622" s="406" t="s">
        <v>1243</v>
      </c>
      <c r="B622" s="406">
        <v>123002</v>
      </c>
      <c r="C622" s="406">
        <f>+'4.CT3A'!A111</f>
        <v>123002</v>
      </c>
      <c r="D622" s="406">
        <f si="13" t="shared"/>
        <v>0</v>
      </c>
      <c r="E622" s="406" t="str">
        <f>+'4.CT3A'!B111</f>
        <v xml:space="preserve">          Орон нутгийн хөгжлийн нэгдсэн сангаас шилжүүлсэн орлого</v>
      </c>
      <c r="S622" s="406" t="s">
        <v>1243</v>
      </c>
      <c r="T622" s="406">
        <v>123002</v>
      </c>
      <c r="U622" s="406" t="s">
        <v>32</v>
      </c>
    </row>
    <row r="623" spans="1:21">
      <c r="A623" s="406" t="s">
        <v>1243</v>
      </c>
      <c r="B623" s="406">
        <v>123003</v>
      </c>
      <c r="C623" s="406">
        <f>+'4.CT3A'!A112</f>
        <v>123003</v>
      </c>
      <c r="D623" s="406">
        <f si="13" t="shared"/>
        <v>0</v>
      </c>
      <c r="E623" s="406" t="str">
        <f>+'4.CT3A'!B112</f>
        <v xml:space="preserve">          Улсын төсвөөс орон нутгийн төсөвт олгох санхүүгийн дэмжлэг </v>
      </c>
      <c r="S623" s="406" t="s">
        <v>1243</v>
      </c>
      <c r="T623" s="406">
        <v>123003</v>
      </c>
      <c r="U623" s="406" t="s">
        <v>32</v>
      </c>
    </row>
    <row r="624" spans="1:21">
      <c r="A624" s="406" t="s">
        <v>1243</v>
      </c>
      <c r="B624" s="406">
        <v>123004</v>
      </c>
      <c r="C624" s="406">
        <f>+'4.CT3A'!A113</f>
        <v>123004</v>
      </c>
      <c r="D624" s="406">
        <f si="13" t="shared"/>
        <v>0</v>
      </c>
      <c r="E624" s="406" t="str">
        <f>+'4.CT3A'!B113</f>
        <v xml:space="preserve">          Улсын төсвөөс орон нутгийн төсвөөс төвлөрүүлэх шилжүүлэг</v>
      </c>
      <c r="S624" s="406" t="s">
        <v>1243</v>
      </c>
      <c r="T624" s="406">
        <v>123004</v>
      </c>
      <c r="U624" s="406" t="s">
        <v>32</v>
      </c>
    </row>
    <row r="625" spans="1:21">
      <c r="A625" s="406" t="s">
        <v>1243</v>
      </c>
      <c r="B625" s="406">
        <v>124</v>
      </c>
      <c r="C625" s="406">
        <f>+'4.CT3A'!A114</f>
        <v>124</v>
      </c>
      <c r="D625" s="406">
        <f si="13" t="shared"/>
        <v>0</v>
      </c>
      <c r="E625" s="406" t="str">
        <f>+'4.CT3A'!B114</f>
        <v xml:space="preserve">   Зээлийн орлого</v>
      </c>
      <c r="S625" s="406" t="s">
        <v>1243</v>
      </c>
      <c r="T625" s="406">
        <v>124</v>
      </c>
      <c r="U625" s="406" t="s">
        <v>32</v>
      </c>
    </row>
    <row r="626" spans="1:21">
      <c r="A626" s="406" t="s">
        <v>1243</v>
      </c>
      <c r="B626" s="406">
        <v>141001</v>
      </c>
      <c r="C626" s="406">
        <f>+'4.CT3A'!A115</f>
        <v>141001</v>
      </c>
      <c r="D626" s="406">
        <f si="13" t="shared"/>
        <v>0</v>
      </c>
      <c r="E626" s="406" t="str">
        <f>+'4.CT3A'!B115</f>
        <v xml:space="preserve">          Гадаадын санхүүгийн зээлийн эх үүсвэр</v>
      </c>
      <c r="S626" s="406" t="s">
        <v>1243</v>
      </c>
      <c r="T626" s="406">
        <v>141001</v>
      </c>
      <c r="U626" s="406" t="s">
        <v>32</v>
      </c>
    </row>
    <row r="627" spans="1:21">
      <c r="A627" s="406" t="s">
        <v>1243</v>
      </c>
      <c r="B627" s="406">
        <v>13</v>
      </c>
      <c r="C627" s="406">
        <f>+'4.CT3A'!A116</f>
        <v>13</v>
      </c>
      <c r="D627" s="406">
        <f si="13" t="shared"/>
        <v>0</v>
      </c>
      <c r="E627" s="406" t="str">
        <f>+'4.CT3A'!B116</f>
        <v xml:space="preserve"> ТУСЛАМЖ, САНХҮҮЖИЛТИЙН ОРЛОГО</v>
      </c>
      <c r="S627" s="406" t="s">
        <v>1243</v>
      </c>
      <c r="T627" s="406">
        <v>13</v>
      </c>
      <c r="U627" s="406" t="s">
        <v>32</v>
      </c>
    </row>
    <row r="628" spans="1:21">
      <c r="A628" s="406" t="s">
        <v>1243</v>
      </c>
      <c r="B628" s="406">
        <v>1310</v>
      </c>
      <c r="C628" s="406">
        <f>+'4.CT3A'!A117</f>
        <v>1310</v>
      </c>
      <c r="D628" s="406">
        <f si="13" t="shared"/>
        <v>0</v>
      </c>
      <c r="E628" s="406" t="str">
        <f>+'4.CT3A'!B117</f>
        <v xml:space="preserve">      Улсын төвлөрсөн төсвөөс</v>
      </c>
      <c r="S628" s="406" t="s">
        <v>1243</v>
      </c>
      <c r="T628" s="406">
        <v>1310</v>
      </c>
      <c r="U628" s="406" t="s">
        <v>32</v>
      </c>
    </row>
    <row r="629" spans="1:21">
      <c r="A629" s="406" t="s">
        <v>1243</v>
      </c>
      <c r="B629" s="406">
        <v>131001</v>
      </c>
      <c r="C629" s="406">
        <f>+'4.CT3A'!A118</f>
        <v>131001</v>
      </c>
      <c r="D629" s="406">
        <f si="13" t="shared"/>
        <v>0</v>
      </c>
      <c r="E629" s="406" t="str">
        <f>+'4.CT3A'!B118</f>
        <v xml:space="preserve">          Урсгал үйл ажиллагааны санхүүжилт</v>
      </c>
      <c r="S629" s="406" t="s">
        <v>1243</v>
      </c>
      <c r="T629" s="406">
        <v>131001</v>
      </c>
      <c r="U629" s="406" t="s">
        <v>32</v>
      </c>
    </row>
    <row r="630" spans="1:21">
      <c r="A630" s="406" t="s">
        <v>1243</v>
      </c>
      <c r="B630" s="406">
        <v>131002</v>
      </c>
      <c r="C630" s="406">
        <f>+'4.CT3A'!A119</f>
        <v>131002</v>
      </c>
      <c r="D630" s="406">
        <f si="13" t="shared"/>
        <v>0</v>
      </c>
      <c r="E630" s="406" t="str">
        <f>+'4.CT3A'!B119</f>
        <v xml:space="preserve">          Засгийн газрын, Засаг даргын нөөц хөрөнгийн санхүүжилт</v>
      </c>
      <c r="S630" s="406" t="s">
        <v>1243</v>
      </c>
      <c r="T630" s="406">
        <v>131002</v>
      </c>
      <c r="U630" s="406" t="s">
        <v>32</v>
      </c>
    </row>
    <row r="631" spans="1:21">
      <c r="A631" s="406" t="s">
        <v>1243</v>
      </c>
      <c r="B631" s="406">
        <v>131003</v>
      </c>
      <c r="C631" s="406">
        <f>+'4.CT3A'!A120</f>
        <v>131003</v>
      </c>
      <c r="D631" s="406">
        <f si="13" t="shared"/>
        <v>0</v>
      </c>
      <c r="E631" s="406" t="str">
        <f>+'4.CT3A'!B120</f>
        <v xml:space="preserve">          Төвлөрүүлэх шилжүүлэг</v>
      </c>
      <c r="S631" s="406" t="s">
        <v>1243</v>
      </c>
      <c r="T631" s="406">
        <v>131003</v>
      </c>
      <c r="U631" s="406" t="s">
        <v>32</v>
      </c>
    </row>
    <row r="632" spans="1:21">
      <c r="A632" s="406" t="s">
        <v>1243</v>
      </c>
      <c r="B632" s="406">
        <v>131004</v>
      </c>
      <c r="C632" s="406">
        <f>+'4.CT3A'!A121</f>
        <v>131004</v>
      </c>
      <c r="D632" s="406">
        <f si="13" t="shared"/>
        <v>0</v>
      </c>
      <c r="E632" s="406" t="str">
        <f>+'4.CT3A'!B121</f>
        <v xml:space="preserve">          Төсөв болон дамжуулан зээлдүүлсэн зээлээс эргэж төлөгдөх	</v>
      </c>
      <c r="S632" s="406" t="s">
        <v>1243</v>
      </c>
      <c r="T632" s="406">
        <v>131004</v>
      </c>
      <c r="U632" s="406" t="s">
        <v>32</v>
      </c>
    </row>
    <row r="633" spans="1:21">
      <c r="A633" s="406" t="s">
        <v>1243</v>
      </c>
      <c r="B633" s="406">
        <v>131005</v>
      </c>
      <c r="C633" s="406">
        <f>+'4.CT3A'!A122</f>
        <v>131005</v>
      </c>
      <c r="D633" s="406">
        <f si="13" t="shared"/>
        <v>0</v>
      </c>
      <c r="E633" s="406" t="str">
        <f>+'4.CT3A'!B122</f>
        <v xml:space="preserve">          Хөрөнгийн санхүүжилт</v>
      </c>
      <c r="S633" s="406" t="s">
        <v>1243</v>
      </c>
      <c r="T633" s="406">
        <v>131005</v>
      </c>
      <c r="U633" s="406" t="s">
        <v>32</v>
      </c>
    </row>
    <row r="634" spans="1:21">
      <c r="A634" s="406" t="s">
        <v>1243</v>
      </c>
      <c r="B634" s="406">
        <v>131006</v>
      </c>
      <c r="C634" s="406">
        <f>+'4.CT3A'!A123</f>
        <v>131006</v>
      </c>
      <c r="D634" s="406">
        <f si="13" t="shared"/>
        <v>0</v>
      </c>
      <c r="E634" s="406" t="str">
        <f>+'4.CT3A'!B123</f>
        <v xml:space="preserve">          Засгийн газрын тусгай сангаас санхүүжих</v>
      </c>
      <c r="S634" s="406" t="s">
        <v>1243</v>
      </c>
      <c r="T634" s="406">
        <v>131006</v>
      </c>
      <c r="U634" s="406" t="s">
        <v>32</v>
      </c>
    </row>
    <row r="635" spans="1:21">
      <c r="A635" s="406" t="s">
        <v>1243</v>
      </c>
      <c r="B635" s="406">
        <v>131007</v>
      </c>
      <c r="C635" s="406">
        <f>+'4.CT3A'!A124</f>
        <v>131007</v>
      </c>
      <c r="D635" s="406">
        <f si="13" t="shared"/>
        <v>0</v>
      </c>
      <c r="E635" s="406" t="str">
        <f>+'4.CT3A'!B124</f>
        <v xml:space="preserve">          Тусгай зориулалтын шилжүүлгээс санхүүжих</v>
      </c>
      <c r="S635" s="406" t="s">
        <v>1243</v>
      </c>
      <c r="T635" s="406">
        <v>131007</v>
      </c>
      <c r="U635" s="406" t="s">
        <v>32</v>
      </c>
    </row>
    <row r="636" spans="1:21">
      <c r="A636" s="406" t="s">
        <v>1243</v>
      </c>
      <c r="B636" s="406">
        <v>131008</v>
      </c>
      <c r="C636" s="406">
        <f>+'4.CT3A'!A125</f>
        <v>131008</v>
      </c>
      <c r="D636" s="406">
        <f si="13" t="shared"/>
        <v>0</v>
      </c>
      <c r="E636" s="406" t="str">
        <f>+'4.CT3A'!B125</f>
        <v xml:space="preserve">          Орон нутгийн хөгжлийн нэгдсэн сангаас санхүүжих</v>
      </c>
      <c r="S636" s="406" t="s">
        <v>1243</v>
      </c>
      <c r="T636" s="406">
        <v>131008</v>
      </c>
      <c r="U636" s="406" t="s">
        <v>32</v>
      </c>
    </row>
    <row r="637" spans="1:21">
      <c r="A637" s="406" t="s">
        <v>1243</v>
      </c>
      <c r="B637" s="406">
        <v>131009</v>
      </c>
      <c r="C637" s="406">
        <f>+'4.CT3A'!A126</f>
        <v>131009</v>
      </c>
      <c r="D637" s="406">
        <f si="13" t="shared"/>
        <v>0</v>
      </c>
      <c r="E637" s="406" t="str">
        <f>+'4.CT3A'!B126</f>
        <v xml:space="preserve">          Оны эхний үлдэгдлээс санхүүжих</v>
      </c>
      <c r="S637" s="406" t="s">
        <v>1243</v>
      </c>
      <c r="T637" s="406">
        <v>131009</v>
      </c>
      <c r="U637" s="406" t="s">
        <v>32</v>
      </c>
    </row>
    <row r="638" spans="1:21">
      <c r="A638" s="406" t="s">
        <v>1243</v>
      </c>
      <c r="B638" s="406">
        <v>1311</v>
      </c>
      <c r="C638" s="406">
        <f>+'4.CT3A'!A127</f>
        <v>1311</v>
      </c>
      <c r="D638" s="406">
        <f si="13" t="shared"/>
        <v>0</v>
      </c>
      <c r="E638" s="406" t="str">
        <f>+'4.CT3A'!B127</f>
        <v xml:space="preserve">      Нэмэлт санхүүжилтийн орлого</v>
      </c>
      <c r="S638" s="406" t="s">
        <v>1243</v>
      </c>
      <c r="T638" s="406">
        <v>1311</v>
      </c>
      <c r="U638" s="406" t="s">
        <v>32</v>
      </c>
    </row>
    <row r="639" spans="1:21">
      <c r="A639" s="406" t="s">
        <v>1243</v>
      </c>
      <c r="B639" s="406">
        <v>131101</v>
      </c>
      <c r="C639" s="406">
        <f>+'4.CT3A'!A128</f>
        <v>131101</v>
      </c>
      <c r="D639" s="406">
        <f si="13" t="shared"/>
        <v>0</v>
      </c>
      <c r="E639" s="406" t="str">
        <f>+'4.CT3A'!B128</f>
        <v xml:space="preserve">        Төрийн болон орон нутгийн өмчит бус этгээдээс авсан хандив, тусламж</v>
      </c>
      <c r="S639" s="406" t="s">
        <v>1243</v>
      </c>
      <c r="T639" s="406">
        <v>131101</v>
      </c>
      <c r="U639" s="406" t="s">
        <v>32</v>
      </c>
    </row>
    <row r="640" spans="1:21">
      <c r="A640" s="406" t="s">
        <v>1243</v>
      </c>
      <c r="B640" s="406">
        <v>131102</v>
      </c>
      <c r="C640" s="406">
        <f>+'4.CT3A'!A129</f>
        <v>131102</v>
      </c>
      <c r="D640" s="406">
        <f si="13" t="shared"/>
        <v>0</v>
      </c>
      <c r="E640" s="406" t="str">
        <f>+'4.CT3A'!B129</f>
        <v xml:space="preserve">        Төсвийн жилийн явцад УИХ-аас соёрхон баталсан, ЗГ хоорондын гэрээ болон ОУ байгууллагаас авах хөнгөлөлттэй зээл</v>
      </c>
      <c r="S640" s="406" t="s">
        <v>1243</v>
      </c>
      <c r="T640" s="406">
        <v>131102</v>
      </c>
      <c r="U640" s="406" t="s">
        <v>32</v>
      </c>
    </row>
    <row r="641" spans="1:21">
      <c r="A641" s="406" t="s">
        <v>1243</v>
      </c>
      <c r="B641" s="406">
        <v>131103</v>
      </c>
      <c r="C641" s="406">
        <f>+'4.CT3A'!A130</f>
        <v>131103</v>
      </c>
      <c r="D641" s="406">
        <f si="13" t="shared"/>
        <v>0</v>
      </c>
      <c r="E641" s="406" t="str">
        <f>+'4.CT3A'!B130</f>
        <v xml:space="preserve">         ЗГНХ,ЗДНХөрөнгө,түүнтэй адилтгах ангилагдаагүй нөөц хөрөнгөөс тухайн төсвийн захирагчид хуваарилсан хөрөнгө </v>
      </c>
      <c r="S641" s="406" t="s">
        <v>1243</v>
      </c>
      <c r="T641" s="406">
        <v>131103</v>
      </c>
      <c r="U641" s="406" t="s">
        <v>32</v>
      </c>
    </row>
    <row r="642" spans="1:21">
      <c r="A642" s="406" t="s">
        <v>1243</v>
      </c>
      <c r="B642" s="406">
        <v>131104</v>
      </c>
      <c r="C642" s="406">
        <f>+'4.CT3A'!A131</f>
        <v>131104</v>
      </c>
      <c r="D642" s="406">
        <f si="13" t="shared"/>
        <v>0</v>
      </c>
      <c r="E642" s="406" t="str">
        <f>+'4.CT3A'!B131</f>
        <v xml:space="preserve">         Дээд шатны төсвийн захирагчийн төсөвт тусгагдсан төсвөөс доод шатны төсвийн захирагчид хуваарилсан хөрөнгө</v>
      </c>
      <c r="S642" s="406" t="s">
        <v>1243</v>
      </c>
      <c r="T642" s="406">
        <v>131104</v>
      </c>
      <c r="U642" s="406" t="s">
        <v>32</v>
      </c>
    </row>
    <row r="643" spans="1:21">
      <c r="A643" s="406" t="s">
        <v>1243</v>
      </c>
      <c r="B643" s="406">
        <v>131105</v>
      </c>
      <c r="C643" s="406">
        <f>+'4.CT3A'!A132</f>
        <v>131105</v>
      </c>
      <c r="D643" s="406">
        <f ref="D643:D706" si="14" t="shared">IF(B643=VALUE(C643),0,1)</f>
        <v>0</v>
      </c>
      <c r="E643" s="406" t="str">
        <f>+'4.CT3A'!B132</f>
        <v xml:space="preserve">         Төсвийн байгууллагын үндсэн үйл ажиллагааны хүрээнд бий болсон нэмэлт орлого</v>
      </c>
      <c r="S643" s="406" t="s">
        <v>1243</v>
      </c>
      <c r="T643" s="406">
        <v>131105</v>
      </c>
      <c r="U643" s="406" t="s">
        <v>32</v>
      </c>
    </row>
    <row r="644" spans="1:21">
      <c r="A644" s="406" t="s">
        <v>1243</v>
      </c>
      <c r="B644" s="406">
        <v>131106</v>
      </c>
      <c r="C644" s="406">
        <f>+'4.CT3A'!A133</f>
        <v>131106</v>
      </c>
      <c r="D644" s="406">
        <f si="14" t="shared"/>
        <v>0</v>
      </c>
      <c r="E644" s="406" t="str">
        <f>+'4.CT3A'!B133</f>
        <v xml:space="preserve">        Төсвийн урамшуулал</v>
      </c>
      <c r="S644" s="406" t="s">
        <v>1243</v>
      </c>
      <c r="T644" s="406">
        <v>131106</v>
      </c>
      <c r="U644" s="406" t="s">
        <v>32</v>
      </c>
    </row>
    <row r="645" spans="1:21">
      <c r="A645" s="406" t="s">
        <v>1243</v>
      </c>
      <c r="B645" s="406">
        <v>1320</v>
      </c>
      <c r="C645" s="406">
        <f>+'4.CT3A'!A134</f>
        <v>1320</v>
      </c>
      <c r="D645" s="406">
        <f si="14" t="shared"/>
        <v>0</v>
      </c>
      <c r="E645" s="406" t="str">
        <f>+'4.CT3A'!B134</f>
        <v xml:space="preserve">      Орон нутгийн төсвөөс санхүүжих</v>
      </c>
      <c r="S645" s="406" t="s">
        <v>1243</v>
      </c>
      <c r="T645" s="406">
        <v>1320</v>
      </c>
      <c r="U645" s="406" t="s">
        <v>32</v>
      </c>
    </row>
    <row r="646" spans="1:21">
      <c r="A646" s="406" t="s">
        <v>1243</v>
      </c>
      <c r="B646" s="406">
        <v>132001</v>
      </c>
      <c r="C646" s="406">
        <f>+'4.CT3A'!A135</f>
        <v>132001</v>
      </c>
      <c r="D646" s="406">
        <f si="14" t="shared"/>
        <v>0</v>
      </c>
      <c r="E646" s="406" t="str">
        <f>+'4.CT3A'!B135</f>
        <v xml:space="preserve">          Урсгал үйл ажиллагааны санхүүжилт /орон нутгийн төсөвт байгууллага/</v>
      </c>
      <c r="S646" s="406" t="s">
        <v>1243</v>
      </c>
      <c r="T646" s="406">
        <v>132001</v>
      </c>
      <c r="U646" s="406" t="s">
        <v>32</v>
      </c>
    </row>
    <row r="647" spans="1:21">
      <c r="A647" s="406" t="s">
        <v>1243</v>
      </c>
      <c r="B647" s="406">
        <v>132002</v>
      </c>
      <c r="C647" s="406">
        <f>+'4.CT3A'!A136</f>
        <v>132002</v>
      </c>
      <c r="D647" s="406">
        <f si="14" t="shared"/>
        <v>0</v>
      </c>
      <c r="E647" s="406" t="str">
        <f>+'4.CT3A'!B136</f>
        <v xml:space="preserve">          Засгийн газрын, Засаг даргын нөөц хөрөнгийн санхүүжилт</v>
      </c>
      <c r="S647" s="406" t="s">
        <v>1243</v>
      </c>
      <c r="T647" s="406">
        <v>132002</v>
      </c>
      <c r="U647" s="406" t="s">
        <v>32</v>
      </c>
    </row>
    <row r="648" spans="1:21">
      <c r="A648" s="406" t="s">
        <v>1243</v>
      </c>
      <c r="B648" s="406">
        <v>132003</v>
      </c>
      <c r="C648" s="406">
        <f>+'4.CT3A'!A137</f>
        <v>132003</v>
      </c>
      <c r="D648" s="406">
        <f si="14" t="shared"/>
        <v>0</v>
      </c>
      <c r="E648" s="406" t="str">
        <f>+'4.CT3A'!B137</f>
        <v xml:space="preserve">          Төвлөрүүлэх шилжүүлэг /орон нутгийн төсөвт байгууллага улсад төвлөрүүлэх орлого/</v>
      </c>
      <c r="S648" s="406" t="s">
        <v>1243</v>
      </c>
      <c r="T648" s="406">
        <v>132003</v>
      </c>
      <c r="U648" s="406" t="s">
        <v>32</v>
      </c>
    </row>
    <row r="649" spans="1:21">
      <c r="A649" s="406" t="s">
        <v>1243</v>
      </c>
      <c r="B649" s="406">
        <v>132004</v>
      </c>
      <c r="C649" s="406">
        <f>+'4.CT3A'!A138</f>
        <v>132004</v>
      </c>
      <c r="D649" s="406">
        <f si="14" t="shared"/>
        <v>0</v>
      </c>
      <c r="E649" s="406" t="str">
        <f>+'4.CT3A'!B138</f>
        <v xml:space="preserve">          Оны эхний үлдэгдлээс санхүүжих / орон нутгийн төсөв/</v>
      </c>
      <c r="S649" s="406" t="s">
        <v>1243</v>
      </c>
      <c r="T649" s="406">
        <v>132004</v>
      </c>
      <c r="U649" s="406" t="s">
        <v>32</v>
      </c>
    </row>
    <row r="650" spans="1:21">
      <c r="A650" s="406" t="s">
        <v>1243</v>
      </c>
      <c r="B650" s="406">
        <v>132005</v>
      </c>
      <c r="C650" s="406">
        <f>+'4.CT3A'!A139</f>
        <v>132005</v>
      </c>
      <c r="D650" s="406">
        <f si="14" t="shared"/>
        <v>0</v>
      </c>
      <c r="E650" s="406" t="str">
        <f>+'4.CT3A'!B139</f>
        <v xml:space="preserve">          Хөрөнгийн санхүүжилт / орон нутгийн төсөвт байгууллага/</v>
      </c>
      <c r="S650" s="406" t="s">
        <v>1243</v>
      </c>
      <c r="T650" s="406">
        <v>132005</v>
      </c>
      <c r="U650" s="406" t="s">
        <v>32</v>
      </c>
    </row>
    <row r="651" spans="1:21">
      <c r="A651" s="406" t="s">
        <v>1243</v>
      </c>
      <c r="B651" s="406">
        <v>132006</v>
      </c>
      <c r="C651" s="406">
        <f>+'4.CT3A'!A140</f>
        <v>132006</v>
      </c>
      <c r="D651" s="406">
        <f si="14" t="shared"/>
        <v>0</v>
      </c>
      <c r="E651" s="406" t="str">
        <f>+'4.CT3A'!B140</f>
        <v xml:space="preserve">          Урсгал үйл ажиллагааны санхүүжилт / аймгаас авсан санхүүгийн дэмжлэг/</v>
      </c>
      <c r="S651" s="406" t="s">
        <v>1243</v>
      </c>
      <c r="T651" s="406">
        <v>132006</v>
      </c>
      <c r="U651" s="406" t="s">
        <v>32</v>
      </c>
    </row>
    <row r="652" spans="1:21">
      <c r="A652" s="406" t="s">
        <v>1243</v>
      </c>
      <c r="B652" s="406">
        <v>132007</v>
      </c>
      <c r="C652" s="406">
        <f>+'4.CT3A'!A141</f>
        <v>132007</v>
      </c>
      <c r="D652" s="406">
        <f si="14" t="shared"/>
        <v>0</v>
      </c>
      <c r="E652" s="406" t="str">
        <f>+'4.CT3A'!B141</f>
        <v xml:space="preserve">          Орон нутгийн хөгжлийн сангаас санхүүжих</v>
      </c>
      <c r="S652" s="406" t="s">
        <v>1243</v>
      </c>
      <c r="T652" s="406">
        <v>132007</v>
      </c>
      <c r="U652" s="406" t="s">
        <v>32</v>
      </c>
    </row>
    <row r="653" spans="1:21">
      <c r="A653" s="406" t="s">
        <v>1243</v>
      </c>
      <c r="B653" s="406">
        <v>1330</v>
      </c>
      <c r="C653" s="406">
        <f>+'4.CT3A'!A142</f>
        <v>1330</v>
      </c>
      <c r="D653" s="406">
        <f si="14" t="shared"/>
        <v>0</v>
      </c>
      <c r="E653" s="406" t="str">
        <f>+'4.CT3A'!B142</f>
        <v xml:space="preserve">     Төсвийн захирагчдаас </v>
      </c>
      <c r="S653" s="406" t="s">
        <v>1243</v>
      </c>
      <c r="T653" s="406">
        <v>1330</v>
      </c>
      <c r="U653" s="406" t="s">
        <v>32</v>
      </c>
    </row>
    <row r="654" spans="1:21">
      <c r="A654" s="406" t="s">
        <v>1243</v>
      </c>
      <c r="B654" s="406">
        <v>133001</v>
      </c>
      <c r="C654" s="406">
        <f>+'4.CT3A'!A143</f>
        <v>133001</v>
      </c>
      <c r="D654" s="406">
        <f si="14" t="shared"/>
        <v>0</v>
      </c>
      <c r="E654" s="406" t="str">
        <f>+'4.CT3A'!B143</f>
        <v xml:space="preserve">          Урсгал үйл ажиллагааны санхүүжилт</v>
      </c>
      <c r="S654" s="406" t="s">
        <v>1243</v>
      </c>
      <c r="T654" s="406">
        <v>133001</v>
      </c>
      <c r="U654" s="406" t="s">
        <v>32</v>
      </c>
    </row>
    <row r="655" spans="1:21">
      <c r="A655" s="406" t="s">
        <v>1243</v>
      </c>
      <c r="B655" s="406">
        <v>133002</v>
      </c>
      <c r="C655" s="406">
        <f>+'4.CT3A'!A144</f>
        <v>133002</v>
      </c>
      <c r="D655" s="406">
        <f si="14" t="shared"/>
        <v>0</v>
      </c>
      <c r="E655" s="406" t="str">
        <f>+'4.CT3A'!B144</f>
        <v xml:space="preserve">          Төвлөрүүлэх шилжүүлэг</v>
      </c>
      <c r="S655" s="406" t="s">
        <v>1243</v>
      </c>
      <c r="T655" s="406">
        <v>133002</v>
      </c>
      <c r="U655" s="406" t="s">
        <v>32</v>
      </c>
    </row>
    <row r="656" spans="1:21">
      <c r="A656" s="406" t="s">
        <v>1243</v>
      </c>
      <c r="B656" s="406">
        <v>133003</v>
      </c>
      <c r="C656" s="406">
        <f>+'4.CT3A'!A145</f>
        <v>133003</v>
      </c>
      <c r="D656" s="406">
        <f si="14" t="shared"/>
        <v>0</v>
      </c>
      <c r="E656" s="406" t="str">
        <f>+'4.CT3A'!B145</f>
        <v xml:space="preserve">          Хөрөнгийн</v>
      </c>
      <c r="S656" s="406" t="s">
        <v>1243</v>
      </c>
      <c r="T656" s="406">
        <v>133003</v>
      </c>
      <c r="U656" s="406" t="s">
        <v>32</v>
      </c>
    </row>
    <row r="657" spans="1:21">
      <c r="A657" s="406" t="s">
        <v>1243</v>
      </c>
      <c r="B657" s="406">
        <v>133004</v>
      </c>
      <c r="C657" s="406">
        <f>+'4.CT3A'!A146</f>
        <v>133004</v>
      </c>
      <c r="D657" s="406">
        <f si="14" t="shared"/>
        <v>0</v>
      </c>
      <c r="E657" s="406" t="str">
        <f>+'4.CT3A'!B146</f>
        <v xml:space="preserve">          Төсвийн ерөнхийлөн захирагчаас олгосон санхүүжилт</v>
      </c>
      <c r="S657" s="406" t="s">
        <v>1243</v>
      </c>
      <c r="T657" s="406">
        <v>133004</v>
      </c>
      <c r="U657" s="406" t="s">
        <v>32</v>
      </c>
    </row>
    <row r="658" spans="1:21">
      <c r="A658" s="406" t="s">
        <v>1243</v>
      </c>
      <c r="B658" s="406">
        <v>133005</v>
      </c>
      <c r="C658" s="406">
        <f>+'4.CT3A'!A147</f>
        <v>133005</v>
      </c>
      <c r="D658" s="406">
        <f si="14" t="shared"/>
        <v>0</v>
      </c>
      <c r="E658" s="406" t="str">
        <f>+'4.CT3A'!B147</f>
        <v xml:space="preserve">          Төсвийн ерөнхийлөн захирагч хооронд хийсэн санхүүжилт</v>
      </c>
      <c r="S658" s="406" t="s">
        <v>1243</v>
      </c>
      <c r="T658" s="406">
        <v>133005</v>
      </c>
      <c r="U658" s="406" t="s">
        <v>32</v>
      </c>
    </row>
    <row r="659" spans="1:21">
      <c r="A659" s="406" t="s">
        <v>1243</v>
      </c>
      <c r="B659" s="406">
        <v>1340</v>
      </c>
      <c r="C659" s="406">
        <f>+'4.CT3A'!A148</f>
        <v>1340</v>
      </c>
      <c r="D659" s="406">
        <f si="14" t="shared"/>
        <v>0</v>
      </c>
      <c r="E659" s="406" t="str">
        <f>+'4.CT3A'!B148</f>
        <v xml:space="preserve">    Нийгмийн даатгалын сангийн төсвөөс санхүүжих</v>
      </c>
      <c r="S659" s="406" t="s">
        <v>1243</v>
      </c>
      <c r="T659" s="406">
        <v>1340</v>
      </c>
      <c r="U659" s="406" t="s">
        <v>32</v>
      </c>
    </row>
    <row r="660" spans="1:21">
      <c r="A660" s="406" t="s">
        <v>1243</v>
      </c>
      <c r="B660" s="406">
        <v>134001</v>
      </c>
      <c r="C660" s="406">
        <f>+'4.CT3A'!A149</f>
        <v>134001</v>
      </c>
      <c r="D660" s="406">
        <f si="14" t="shared"/>
        <v>0</v>
      </c>
      <c r="E660" s="406" t="str">
        <f>+'4.CT3A'!B149</f>
        <v xml:space="preserve">          Нийгмийн даатгалын сангаас санхүүжих</v>
      </c>
      <c r="S660" s="406" t="s">
        <v>1243</v>
      </c>
      <c r="T660" s="406">
        <v>134001</v>
      </c>
      <c r="U660" s="406" t="s">
        <v>32</v>
      </c>
    </row>
    <row r="661" spans="1:21">
      <c r="A661" s="406" t="s">
        <v>1243</v>
      </c>
      <c r="B661" s="406">
        <v>134002</v>
      </c>
      <c r="C661" s="406">
        <f>+'4.CT3A'!A150</f>
        <v>134002</v>
      </c>
      <c r="D661" s="406">
        <f si="14" t="shared"/>
        <v>0</v>
      </c>
      <c r="E661" s="406" t="str">
        <f>+'4.CT3A'!B150</f>
        <v xml:space="preserve">          Эрүүл мэндийн даатгалын сангаас санхүүжих</v>
      </c>
      <c r="S661" s="406" t="s">
        <v>1243</v>
      </c>
      <c r="T661" s="406">
        <v>134002</v>
      </c>
      <c r="U661" s="406" t="s">
        <v>32</v>
      </c>
    </row>
    <row r="662" spans="1:21">
      <c r="A662" s="406" t="s">
        <v>1243</v>
      </c>
      <c r="B662" s="406">
        <v>134003</v>
      </c>
      <c r="C662" s="406">
        <f>+'4.CT3A'!A151</f>
        <v>134003</v>
      </c>
      <c r="D662" s="406">
        <f si="14" t="shared"/>
        <v>0</v>
      </c>
      <c r="E662" s="406" t="str">
        <f>+'4.CT3A'!B151</f>
        <v xml:space="preserve">          Нийгмийн даатгалын сангаас эмнэлгүүдэд олгох санхүүжилт</v>
      </c>
      <c r="S662" s="406" t="s">
        <v>1243</v>
      </c>
      <c r="T662" s="406">
        <v>134003</v>
      </c>
      <c r="U662" s="406" t="s">
        <v>32</v>
      </c>
    </row>
    <row r="663" spans="1:21">
      <c r="A663" s="406" t="s">
        <v>1243</v>
      </c>
      <c r="B663" s="406">
        <v>2</v>
      </c>
      <c r="C663" s="406">
        <f>+'4.CT3A'!A152</f>
        <v>2</v>
      </c>
      <c r="D663" s="406">
        <f si="14" t="shared"/>
        <v>0</v>
      </c>
      <c r="E663" s="406" t="str">
        <f>+'4.CT3A'!B152</f>
        <v>НИЙТ ЗАРЛАГА ба ЦЭВЭР ЗЭЭЛИЙН ДҮН (2)</v>
      </c>
      <c r="S663" s="406" t="s">
        <v>1243</v>
      </c>
      <c r="T663" s="406">
        <v>2</v>
      </c>
      <c r="U663" s="406" t="s">
        <v>92</v>
      </c>
    </row>
    <row r="664" spans="1:21">
      <c r="A664" s="406" t="s">
        <v>1243</v>
      </c>
      <c r="B664" s="406">
        <v>21</v>
      </c>
      <c r="C664" s="406">
        <f>+'4.CT3A'!A153</f>
        <v>21</v>
      </c>
      <c r="D664" s="406">
        <f si="14" t="shared"/>
        <v>0</v>
      </c>
      <c r="E664" s="406" t="str">
        <f>+'4.CT3A'!B153</f>
        <v xml:space="preserve">   УРСГАЛ ЗАРДАЛ </v>
      </c>
      <c r="S664" s="406" t="s">
        <v>1243</v>
      </c>
      <c r="T664" s="406">
        <v>21</v>
      </c>
      <c r="U664" s="406" t="s">
        <v>92</v>
      </c>
    </row>
    <row r="665" spans="1:21">
      <c r="A665" s="406" t="s">
        <v>1243</v>
      </c>
      <c r="B665" s="406">
        <v>210</v>
      </c>
      <c r="C665" s="406">
        <f>+'4.CT3A'!A154</f>
        <v>210</v>
      </c>
      <c r="D665" s="406">
        <f si="14" t="shared"/>
        <v>0</v>
      </c>
      <c r="E665" s="406" t="str">
        <f>+'4.CT3A'!B154</f>
        <v xml:space="preserve">      БАРАА, АЖИЛ ҮЙЛЧИЛГЭЭНИЙ ЗАРДАЛ</v>
      </c>
      <c r="S665" s="406" t="s">
        <v>1243</v>
      </c>
      <c r="T665" s="406">
        <v>210</v>
      </c>
      <c r="U665" s="406" t="s">
        <v>92</v>
      </c>
    </row>
    <row r="666" spans="1:21">
      <c r="A666" s="406" t="s">
        <v>1243</v>
      </c>
      <c r="B666" s="406">
        <v>2101</v>
      </c>
      <c r="C666" s="406">
        <f>+'4.CT3A'!A155</f>
        <v>2101</v>
      </c>
      <c r="D666" s="406">
        <f si="14" t="shared"/>
        <v>0</v>
      </c>
      <c r="E666" s="406" t="str">
        <f>+'4.CT3A'!B155</f>
        <v xml:space="preserve">      Цалин хөлс болон нэмэгдэл урамшил</v>
      </c>
      <c r="S666" s="406" t="s">
        <v>1243</v>
      </c>
      <c r="T666" s="406">
        <v>2101</v>
      </c>
      <c r="U666" s="406" t="s">
        <v>92</v>
      </c>
    </row>
    <row r="667" spans="1:21">
      <c r="A667" s="406" t="s">
        <v>1243</v>
      </c>
      <c r="B667" s="406">
        <v>210101</v>
      </c>
      <c r="C667" s="406">
        <f>+'4.CT3A'!A156</f>
        <v>210101</v>
      </c>
      <c r="D667" s="406">
        <f si="14" t="shared"/>
        <v>0</v>
      </c>
      <c r="E667" s="406" t="str">
        <f>+'4.CT3A'!B156</f>
        <v xml:space="preserve">           Үндсэн цалин </v>
      </c>
      <c r="S667" s="406" t="s">
        <v>1243</v>
      </c>
      <c r="T667" s="406">
        <v>210101</v>
      </c>
      <c r="U667" s="406" t="s">
        <v>92</v>
      </c>
    </row>
    <row r="668" spans="1:21">
      <c r="A668" s="406" t="s">
        <v>1243</v>
      </c>
      <c r="B668" s="406">
        <v>210102</v>
      </c>
      <c r="C668" s="406">
        <f>+'4.CT3A'!A157</f>
        <v>210102</v>
      </c>
      <c r="D668" s="406">
        <f si="14" t="shared"/>
        <v>0</v>
      </c>
      <c r="E668" s="406" t="str">
        <f>+'4.CT3A'!B157</f>
        <v xml:space="preserve">           Нэмэгдэл</v>
      </c>
      <c r="S668" s="406" t="s">
        <v>1243</v>
      </c>
      <c r="T668" s="406">
        <v>210102</v>
      </c>
      <c r="U668" s="406" t="s">
        <v>92</v>
      </c>
    </row>
    <row r="669" spans="1:21">
      <c r="A669" s="406" t="s">
        <v>1243</v>
      </c>
      <c r="B669" s="406">
        <v>210103</v>
      </c>
      <c r="C669" s="406">
        <f>+'4.CT3A'!A158</f>
        <v>210103</v>
      </c>
      <c r="D669" s="406">
        <f si="14" t="shared"/>
        <v>0</v>
      </c>
      <c r="E669" s="406" t="str">
        <f>+'4.CT3A'!B158</f>
        <v xml:space="preserve">           Унаа хоолны хөнгөлөлт </v>
      </c>
      <c r="S669" s="406" t="s">
        <v>1243</v>
      </c>
      <c r="T669" s="406">
        <v>210103</v>
      </c>
      <c r="U669" s="406" t="s">
        <v>92</v>
      </c>
    </row>
    <row r="670" spans="1:21">
      <c r="A670" s="406" t="s">
        <v>1243</v>
      </c>
      <c r="B670" s="406">
        <v>210104</v>
      </c>
      <c r="C670" s="406">
        <f>+'4.CT3A'!A159</f>
        <v>210104</v>
      </c>
      <c r="D670" s="406">
        <f si="14" t="shared"/>
        <v>0</v>
      </c>
      <c r="E670" s="406" t="str">
        <f>+'4.CT3A'!B159</f>
        <v xml:space="preserve">           Урамшуулал </v>
      </c>
      <c r="S670" s="406" t="s">
        <v>1243</v>
      </c>
      <c r="T670" s="406">
        <v>210104</v>
      </c>
      <c r="U670" s="406" t="s">
        <v>92</v>
      </c>
    </row>
    <row r="671" spans="1:21">
      <c r="A671" s="406" t="s">
        <v>1243</v>
      </c>
      <c r="B671" s="406">
        <v>210105</v>
      </c>
      <c r="C671" s="406">
        <f>+'4.CT3A'!A160</f>
        <v>210105</v>
      </c>
      <c r="D671" s="406">
        <f si="14" t="shared"/>
        <v>0</v>
      </c>
      <c r="E671" s="406" t="str">
        <f>+'4.CT3A'!B160</f>
        <v xml:space="preserve">           Гэрээт ажлын хөлс</v>
      </c>
      <c r="S671" s="406" t="s">
        <v>1243</v>
      </c>
      <c r="T671" s="406">
        <v>210105</v>
      </c>
      <c r="U671" s="406" t="s">
        <v>92</v>
      </c>
    </row>
    <row r="672" spans="1:21">
      <c r="A672" s="406" t="s">
        <v>1243</v>
      </c>
      <c r="B672" s="406">
        <v>210106</v>
      </c>
      <c r="C672" s="406">
        <f>+'4.CT3A'!A161</f>
        <v>210106</v>
      </c>
      <c r="D672" s="406">
        <f si="14" t="shared"/>
        <v>0</v>
      </c>
      <c r="E672" s="406" t="str">
        <f>+'4.CT3A'!B161</f>
        <v xml:space="preserve">           Ажиллагчдад төлсөн   /ТӨҮГ/</v>
      </c>
      <c r="S672" s="406" t="s">
        <v>1243</v>
      </c>
      <c r="T672" s="406">
        <v>210106</v>
      </c>
      <c r="U672" s="406" t="s">
        <v>92</v>
      </c>
    </row>
    <row r="673" spans="1:21">
      <c r="A673" s="406" t="s">
        <v>1243</v>
      </c>
      <c r="B673" s="406">
        <v>2102</v>
      </c>
      <c r="C673" s="406">
        <f>+'4.CT3A'!A162</f>
        <v>2102</v>
      </c>
      <c r="D673" s="406">
        <f si="14" t="shared"/>
        <v>0</v>
      </c>
      <c r="E673" s="406" t="str">
        <f>+'4.CT3A'!B162</f>
        <v xml:space="preserve">     Ажил олгогчоос нийгмийн даатгалд төлөх шимтгэл</v>
      </c>
      <c r="S673" s="406" t="s">
        <v>1243</v>
      </c>
      <c r="T673" s="406">
        <v>2102</v>
      </c>
      <c r="U673" s="406" t="s">
        <v>92</v>
      </c>
    </row>
    <row r="674" spans="1:21">
      <c r="A674" s="406" t="s">
        <v>1243</v>
      </c>
      <c r="B674" s="406">
        <v>210201</v>
      </c>
      <c r="C674" s="406">
        <f>+'4.CT3A'!A163</f>
        <v>210201</v>
      </c>
      <c r="D674" s="406">
        <f si="14" t="shared"/>
        <v>0</v>
      </c>
      <c r="E674" s="406" t="str">
        <f>+'4.CT3A'!B163</f>
        <v xml:space="preserve">          Тэтгэврийн даатгал</v>
      </c>
      <c r="S674" s="406" t="s">
        <v>1243</v>
      </c>
      <c r="T674" s="406">
        <v>210201</v>
      </c>
      <c r="U674" s="406" t="s">
        <v>92</v>
      </c>
    </row>
    <row r="675" spans="1:21">
      <c r="A675" s="406" t="s">
        <v>1243</v>
      </c>
      <c r="B675" s="406">
        <v>210202</v>
      </c>
      <c r="C675" s="406">
        <f>+'4.CT3A'!A164</f>
        <v>210202</v>
      </c>
      <c r="D675" s="406">
        <f si="14" t="shared"/>
        <v>0</v>
      </c>
      <c r="E675" s="406" t="str">
        <f>+'4.CT3A'!B164</f>
        <v xml:space="preserve">          Тэтгэмжийн даатгал</v>
      </c>
      <c r="S675" s="406" t="s">
        <v>1243</v>
      </c>
      <c r="T675" s="406">
        <v>210202</v>
      </c>
      <c r="U675" s="406" t="s">
        <v>92</v>
      </c>
    </row>
    <row r="676" spans="1:21">
      <c r="A676" s="406" t="s">
        <v>1243</v>
      </c>
      <c r="B676" s="406">
        <v>210203</v>
      </c>
      <c r="C676" s="406">
        <f>+'4.CT3A'!A165</f>
        <v>210203</v>
      </c>
      <c r="D676" s="406">
        <f si="14" t="shared"/>
        <v>0</v>
      </c>
      <c r="E676" s="406" t="str">
        <f>+'4.CT3A'!B165</f>
        <v xml:space="preserve">          ҮОМШӨ-ний даатгал</v>
      </c>
      <c r="S676" s="406" t="s">
        <v>1243</v>
      </c>
      <c r="T676" s="406">
        <v>210203</v>
      </c>
      <c r="U676" s="406" t="s">
        <v>92</v>
      </c>
    </row>
    <row r="677" spans="1:21">
      <c r="A677" s="406" t="s">
        <v>1243</v>
      </c>
      <c r="B677" s="406">
        <v>210204</v>
      </c>
      <c r="C677" s="406">
        <f>+'4.CT3A'!A166</f>
        <v>210204</v>
      </c>
      <c r="D677" s="406">
        <f si="14" t="shared"/>
        <v>0</v>
      </c>
      <c r="E677" s="406" t="str">
        <f>+'4.CT3A'!B166</f>
        <v xml:space="preserve">          Ажилгүйдлийн даатгал</v>
      </c>
      <c r="S677" s="406" t="s">
        <v>1243</v>
      </c>
      <c r="T677" s="406">
        <v>210204</v>
      </c>
      <c r="U677" s="406" t="s">
        <v>92</v>
      </c>
    </row>
    <row r="678" spans="1:21">
      <c r="A678" s="406" t="s">
        <v>1243</v>
      </c>
      <c r="B678" s="406">
        <v>210205</v>
      </c>
      <c r="C678" s="406">
        <f>+'4.CT3A'!A167</f>
        <v>210205</v>
      </c>
      <c r="D678" s="406">
        <f si="14" t="shared"/>
        <v>0</v>
      </c>
      <c r="E678" s="406" t="str">
        <f>+'4.CT3A'!B167</f>
        <v xml:space="preserve">          Эрүүл мэндийн даатгал</v>
      </c>
      <c r="S678" s="406" t="s">
        <v>1243</v>
      </c>
      <c r="T678" s="406">
        <v>210205</v>
      </c>
      <c r="U678" s="406" t="s">
        <v>92</v>
      </c>
    </row>
    <row r="679" spans="1:21">
      <c r="A679" s="406" t="s">
        <v>1243</v>
      </c>
      <c r="B679" s="406">
        <v>210206</v>
      </c>
      <c r="C679" s="406">
        <f>+'4.CT3A'!A168</f>
        <v>210206</v>
      </c>
      <c r="D679" s="406">
        <f si="14" t="shared"/>
        <v>0</v>
      </c>
      <c r="E679" s="406" t="str">
        <f>+'4.CT3A'!B168</f>
        <v xml:space="preserve">          Нийгмийн даатгалын байгууллагад төлсөн   /ТӨҮГ/</v>
      </c>
      <c r="S679" s="406" t="s">
        <v>1243</v>
      </c>
      <c r="T679" s="406">
        <v>210206</v>
      </c>
      <c r="U679" s="406" t="s">
        <v>92</v>
      </c>
    </row>
    <row r="680" spans="1:21">
      <c r="A680" s="406" t="s">
        <v>1243</v>
      </c>
      <c r="B680" s="406">
        <v>2103</v>
      </c>
      <c r="C680" s="406">
        <f>+'4.CT3A'!A169</f>
        <v>2103</v>
      </c>
      <c r="D680" s="406">
        <f si="14" t="shared"/>
        <v>0</v>
      </c>
      <c r="E680" s="406" t="str">
        <f>+'4.CT3A'!B169</f>
        <v xml:space="preserve">      Байр ашиглалттай холбоотой тогтмол зардал</v>
      </c>
      <c r="S680" s="406" t="s">
        <v>1243</v>
      </c>
      <c r="T680" s="406">
        <v>2103</v>
      </c>
      <c r="U680" s="406" t="s">
        <v>92</v>
      </c>
    </row>
    <row r="681" spans="1:21">
      <c r="A681" s="406" t="s">
        <v>1243</v>
      </c>
      <c r="B681" s="406">
        <v>210301</v>
      </c>
      <c r="C681" s="406">
        <f>+'4.CT3A'!A170</f>
        <v>210301</v>
      </c>
      <c r="D681" s="406">
        <f si="14" t="shared"/>
        <v>0</v>
      </c>
      <c r="E681" s="406" t="str">
        <f>+'4.CT3A'!B170</f>
        <v xml:space="preserve">         Гэрэл, цахилгаан</v>
      </c>
      <c r="S681" s="406" t="s">
        <v>1243</v>
      </c>
      <c r="T681" s="406">
        <v>210301</v>
      </c>
      <c r="U681" s="406" t="s">
        <v>92</v>
      </c>
    </row>
    <row r="682" spans="1:21">
      <c r="A682" s="406" t="s">
        <v>1243</v>
      </c>
      <c r="B682" s="406">
        <v>210302</v>
      </c>
      <c r="C682" s="406">
        <f>+'4.CT3A'!A171</f>
        <v>210302</v>
      </c>
      <c r="D682" s="406">
        <f si="14" t="shared"/>
        <v>0</v>
      </c>
      <c r="E682" s="406" t="str">
        <f>+'4.CT3A'!B171</f>
        <v xml:space="preserve">         Түлш, халаалт</v>
      </c>
      <c r="S682" s="406" t="s">
        <v>1243</v>
      </c>
      <c r="T682" s="406">
        <v>210302</v>
      </c>
      <c r="U682" s="406" t="s">
        <v>92</v>
      </c>
    </row>
    <row r="683" spans="1:21">
      <c r="A683" s="406" t="s">
        <v>1243</v>
      </c>
      <c r="B683" s="406">
        <v>210303</v>
      </c>
      <c r="C683" s="406">
        <f>+'4.CT3A'!A172</f>
        <v>210303</v>
      </c>
      <c r="D683" s="406">
        <f si="14" t="shared"/>
        <v>0</v>
      </c>
      <c r="E683" s="406" t="str">
        <f>+'4.CT3A'!B172</f>
        <v xml:space="preserve">         Цэвэр, бохир ус</v>
      </c>
      <c r="S683" s="406" t="s">
        <v>1243</v>
      </c>
      <c r="T683" s="406">
        <v>210303</v>
      </c>
      <c r="U683" s="406" t="s">
        <v>92</v>
      </c>
    </row>
    <row r="684" spans="1:21">
      <c r="A684" s="406" t="s">
        <v>1243</v>
      </c>
      <c r="B684" s="406">
        <v>210304</v>
      </c>
      <c r="C684" s="406">
        <f>+'4.CT3A'!A173</f>
        <v>210304</v>
      </c>
      <c r="D684" s="406">
        <f si="14" t="shared"/>
        <v>0</v>
      </c>
      <c r="E684" s="406" t="str">
        <f>+'4.CT3A'!B173</f>
        <v xml:space="preserve">         Байрны түрээс</v>
      </c>
      <c r="S684" s="406" t="s">
        <v>1243</v>
      </c>
      <c r="T684" s="406">
        <v>210304</v>
      </c>
      <c r="U684" s="406" t="s">
        <v>92</v>
      </c>
    </row>
    <row r="685" spans="1:21">
      <c r="A685" s="406" t="s">
        <v>1243</v>
      </c>
      <c r="B685" s="406">
        <v>210305</v>
      </c>
      <c r="C685" s="406">
        <f>+'4.CT3A'!A174</f>
        <v>210305</v>
      </c>
      <c r="D685" s="406">
        <f si="14" t="shared"/>
        <v>0</v>
      </c>
      <c r="E685" s="406" t="str">
        <f>+'4.CT3A'!B174</f>
        <v xml:space="preserve">         Ашиглалтын зардалд төлсөн   /ТӨҮГ/</v>
      </c>
      <c r="S685" s="406" t="s">
        <v>1243</v>
      </c>
      <c r="T685" s="406">
        <v>210305</v>
      </c>
      <c r="U685" s="406" t="s">
        <v>92</v>
      </c>
    </row>
    <row r="686" spans="1:21">
      <c r="A686" s="406" t="s">
        <v>1243</v>
      </c>
      <c r="B686" s="406">
        <v>2104</v>
      </c>
      <c r="C686" s="406">
        <f>+'4.CT3A'!A175</f>
        <v>2104</v>
      </c>
      <c r="D686" s="406">
        <f si="14" t="shared"/>
        <v>0</v>
      </c>
      <c r="E686" s="406" t="str">
        <f>+'4.CT3A'!B175</f>
        <v xml:space="preserve">      Хангамж, бараа материалын зардал</v>
      </c>
      <c r="S686" s="406" t="s">
        <v>1243</v>
      </c>
      <c r="T686" s="406">
        <v>2104</v>
      </c>
      <c r="U686" s="406" t="s">
        <v>92</v>
      </c>
    </row>
    <row r="687" spans="1:21">
      <c r="A687" s="406" t="s">
        <v>1243</v>
      </c>
      <c r="B687" s="406">
        <v>210401</v>
      </c>
      <c r="C687" s="406">
        <f>+'4.CT3A'!A176</f>
        <v>210401</v>
      </c>
      <c r="D687" s="406">
        <f si="14" t="shared"/>
        <v>0</v>
      </c>
      <c r="E687" s="406" t="str">
        <f>+'4.CT3A'!B176</f>
        <v xml:space="preserve">          Бичиг хэрэг</v>
      </c>
      <c r="S687" s="406" t="s">
        <v>1243</v>
      </c>
      <c r="T687" s="406">
        <v>210401</v>
      </c>
      <c r="U687" s="406" t="s">
        <v>92</v>
      </c>
    </row>
    <row r="688" spans="1:21">
      <c r="A688" s="406" t="s">
        <v>1243</v>
      </c>
      <c r="B688" s="406">
        <v>210402</v>
      </c>
      <c r="C688" s="406">
        <f>+'4.CT3A'!A177</f>
        <v>210402</v>
      </c>
      <c r="D688" s="406">
        <f si="14" t="shared"/>
        <v>0</v>
      </c>
      <c r="E688" s="406" t="str">
        <f>+'4.CT3A'!B177</f>
        <v xml:space="preserve">          Тээвэр, шатахуун</v>
      </c>
      <c r="S688" s="406" t="s">
        <v>1243</v>
      </c>
      <c r="T688" s="406">
        <v>210402</v>
      </c>
      <c r="U688" s="406" t="s">
        <v>92</v>
      </c>
    </row>
    <row r="689" spans="1:21">
      <c r="A689" s="406" t="s">
        <v>1243</v>
      </c>
      <c r="B689" s="406">
        <v>210403</v>
      </c>
      <c r="C689" s="406">
        <f>+'4.CT3A'!A178</f>
        <v>210403</v>
      </c>
      <c r="D689" s="406">
        <f si="14" t="shared"/>
        <v>0</v>
      </c>
      <c r="E689" s="406" t="str">
        <f>+'4.CT3A'!B178</f>
        <v xml:space="preserve">          Шуудан, холбоо, интернэтийн төлбөр</v>
      </c>
      <c r="S689" s="406" t="s">
        <v>1243</v>
      </c>
      <c r="T689" s="406">
        <v>210403</v>
      </c>
      <c r="U689" s="406" t="s">
        <v>92</v>
      </c>
    </row>
    <row r="690" spans="1:21">
      <c r="A690" s="406" t="s">
        <v>1243</v>
      </c>
      <c r="B690" s="406">
        <v>210404</v>
      </c>
      <c r="C690" s="406">
        <f>+'4.CT3A'!A179</f>
        <v>210404</v>
      </c>
      <c r="D690" s="406">
        <f si="14" t="shared"/>
        <v>0</v>
      </c>
      <c r="E690" s="406" t="str">
        <f>+'4.CT3A'!B179</f>
        <v xml:space="preserve">          Ном, хэвлэл</v>
      </c>
      <c r="S690" s="406" t="s">
        <v>1243</v>
      </c>
      <c r="T690" s="406">
        <v>210404</v>
      </c>
      <c r="U690" s="406" t="s">
        <v>92</v>
      </c>
    </row>
    <row r="691" spans="1:21">
      <c r="A691" s="406" t="s">
        <v>1243</v>
      </c>
      <c r="B691" s="406">
        <v>210405</v>
      </c>
      <c r="C691" s="406">
        <f>+'4.CT3A'!A180</f>
        <v>210405</v>
      </c>
      <c r="D691" s="406">
        <f si="14" t="shared"/>
        <v>0</v>
      </c>
      <c r="E691" s="406" t="str">
        <f>+'4.CT3A'!B180</f>
        <v xml:space="preserve">          Хог хаягдал зайлуулах, хортон мэрэгчдийн устгал, ариутгал</v>
      </c>
      <c r="S691" s="406" t="s">
        <v>1243</v>
      </c>
      <c r="T691" s="406">
        <v>210405</v>
      </c>
      <c r="U691" s="406" t="s">
        <v>92</v>
      </c>
    </row>
    <row r="692" spans="1:21">
      <c r="A692" s="406" t="s">
        <v>1243</v>
      </c>
      <c r="B692" s="406">
        <v>210406</v>
      </c>
      <c r="C692" s="406">
        <f>+'4.CT3A'!A181</f>
        <v>210406</v>
      </c>
      <c r="D692" s="406">
        <f si="14" t="shared"/>
        <v>0</v>
      </c>
      <c r="E692" s="406" t="str">
        <f>+'4.CT3A'!B181</f>
        <v xml:space="preserve">          Бага үнэтэй, түргэн элэгдэх, ахуйн эд зүйлс</v>
      </c>
      <c r="S692" s="406" t="s">
        <v>1243</v>
      </c>
      <c r="T692" s="406">
        <v>210406</v>
      </c>
      <c r="U692" s="406" t="s">
        <v>92</v>
      </c>
    </row>
    <row r="693" spans="1:21">
      <c r="A693" s="406" t="s">
        <v>1243</v>
      </c>
      <c r="B693" s="406">
        <v>210407</v>
      </c>
      <c r="C693" s="406">
        <f>+'4.CT3A'!A182</f>
        <v>210407</v>
      </c>
      <c r="D693" s="406">
        <f si="14" t="shared"/>
        <v>0</v>
      </c>
      <c r="E693" s="406" t="str">
        <f>+'4.CT3A'!B182</f>
        <v xml:space="preserve">          Аж ахуйн материал худалдан авах зардал</v>
      </c>
      <c r="S693" s="406" t="s">
        <v>1243</v>
      </c>
      <c r="T693" s="406">
        <v>210407</v>
      </c>
      <c r="U693" s="406" t="s">
        <v>92</v>
      </c>
    </row>
    <row r="694" spans="1:21">
      <c r="A694" s="406" t="s">
        <v>1243</v>
      </c>
      <c r="B694" s="406">
        <v>210408</v>
      </c>
      <c r="C694" s="406">
        <f>+'4.CT3A'!A183</f>
        <v>210408</v>
      </c>
      <c r="D694" s="406">
        <f si="14" t="shared"/>
        <v>0</v>
      </c>
      <c r="E694" s="406" t="str">
        <f>+'4.CT3A'!B183</f>
        <v xml:space="preserve">         Бараа материал акталсны зардал</v>
      </c>
      <c r="S694" s="406" t="s">
        <v>1243</v>
      </c>
      <c r="T694" s="406">
        <v>210408</v>
      </c>
      <c r="U694" s="406" t="s">
        <v>92</v>
      </c>
    </row>
    <row r="695" spans="1:21">
      <c r="A695" s="406" t="s">
        <v>1243</v>
      </c>
      <c r="B695" s="406">
        <v>210409</v>
      </c>
      <c r="C695" s="406">
        <f>+'4.CT3A'!A184</f>
        <v>210409</v>
      </c>
      <c r="D695" s="406">
        <f si="14" t="shared"/>
        <v>0</v>
      </c>
      <c r="E695" s="406" t="str">
        <f>+'4.CT3A'!B184</f>
        <v xml:space="preserve">         Түлш шатахуун, тээврийн хөлс, сэлбэг хэрэгсэлд төлсөн  /ТӨҮГ/</v>
      </c>
      <c r="S695" s="406" t="s">
        <v>1243</v>
      </c>
      <c r="T695" s="406">
        <v>210409</v>
      </c>
      <c r="U695" s="406" t="s">
        <v>92</v>
      </c>
    </row>
    <row r="696" spans="1:21">
      <c r="A696" s="406" t="s">
        <v>1243</v>
      </c>
      <c r="B696" s="406">
        <v>210410</v>
      </c>
      <c r="C696" s="406">
        <f>+'4.CT3A'!A185</f>
        <v>210410</v>
      </c>
      <c r="D696" s="406">
        <f si="14" t="shared"/>
        <v>0</v>
      </c>
      <c r="E696" s="406" t="str">
        <f>+'4.CT3A'!B185</f>
        <v xml:space="preserve">               Бараа материал худалдан авахад төлсөн    /ТӨҮГ/</v>
      </c>
      <c r="S696" s="406" t="s">
        <v>1243</v>
      </c>
      <c r="T696" s="406">
        <v>210410</v>
      </c>
      <c r="U696" s="406" t="s">
        <v>92</v>
      </c>
    </row>
    <row r="697" spans="1:21">
      <c r="A697" s="406" t="s">
        <v>1243</v>
      </c>
      <c r="B697" s="406">
        <v>2105</v>
      </c>
      <c r="C697" s="406">
        <f>+'4.CT3A'!A186</f>
        <v>2105</v>
      </c>
      <c r="D697" s="406">
        <f si="14" t="shared"/>
        <v>0</v>
      </c>
      <c r="E697" s="406" t="str">
        <f>+'4.CT3A'!B186</f>
        <v xml:space="preserve">         Нормативт зардал</v>
      </c>
      <c r="S697" s="406" t="s">
        <v>1243</v>
      </c>
      <c r="T697" s="406">
        <v>2105</v>
      </c>
      <c r="U697" s="406" t="s">
        <v>92</v>
      </c>
    </row>
    <row r="698" spans="1:21">
      <c r="A698" s="406" t="s">
        <v>1243</v>
      </c>
      <c r="B698" s="406">
        <v>210501</v>
      </c>
      <c r="C698" s="406">
        <f>+'4.CT3A'!A187</f>
        <v>210501</v>
      </c>
      <c r="D698" s="406">
        <f si="14" t="shared"/>
        <v>0</v>
      </c>
      <c r="E698" s="406" t="str">
        <f>+'4.CT3A'!B187</f>
        <v xml:space="preserve">               Эм, бэлдмэл, эмнэлгийн хэрэгсэл</v>
      </c>
      <c r="S698" s="406" t="s">
        <v>1243</v>
      </c>
      <c r="T698" s="406">
        <v>210501</v>
      </c>
      <c r="U698" s="406" t="s">
        <v>92</v>
      </c>
    </row>
    <row r="699" spans="1:21">
      <c r="A699" s="406" t="s">
        <v>1243</v>
      </c>
      <c r="B699" s="406">
        <v>210502</v>
      </c>
      <c r="C699" s="406">
        <f>+'4.CT3A'!A188</f>
        <v>210502</v>
      </c>
      <c r="D699" s="406">
        <f si="14" t="shared"/>
        <v>0</v>
      </c>
      <c r="E699" s="406" t="str">
        <f>+'4.CT3A'!B188</f>
        <v xml:space="preserve">               Хоол, хүнс</v>
      </c>
      <c r="S699" s="406" t="s">
        <v>1243</v>
      </c>
      <c r="T699" s="406">
        <v>210502</v>
      </c>
      <c r="U699" s="406" t="s">
        <v>92</v>
      </c>
    </row>
    <row r="700" spans="1:21">
      <c r="A700" s="406" t="s">
        <v>1243</v>
      </c>
      <c r="B700" s="406">
        <v>210503</v>
      </c>
      <c r="C700" s="406">
        <f>+'4.CT3A'!A189</f>
        <v>210503</v>
      </c>
      <c r="D700" s="406">
        <f si="14" t="shared"/>
        <v>0</v>
      </c>
      <c r="E700" s="406" t="str">
        <f>+'4.CT3A'!B189</f>
        <v xml:space="preserve">               Нормын хувцас, зөөлөн эдлэл</v>
      </c>
      <c r="S700" s="406" t="s">
        <v>1243</v>
      </c>
      <c r="T700" s="406">
        <v>210503</v>
      </c>
      <c r="U700" s="406" t="s">
        <v>92</v>
      </c>
    </row>
    <row r="701" spans="1:21">
      <c r="A701" s="406" t="s">
        <v>1243</v>
      </c>
      <c r="B701" s="406">
        <v>2106</v>
      </c>
      <c r="C701" s="406">
        <f>+'4.CT3A'!A190</f>
        <v>2106</v>
      </c>
      <c r="D701" s="406">
        <f si="14" t="shared"/>
        <v>0</v>
      </c>
      <c r="E701" s="406" t="str">
        <f>+'4.CT3A'!B190</f>
        <v xml:space="preserve">         Эд хогшил, урсгал засварын зардал</v>
      </c>
      <c r="S701" s="406" t="s">
        <v>1243</v>
      </c>
      <c r="T701" s="406">
        <v>2106</v>
      </c>
      <c r="U701" s="406" t="s">
        <v>92</v>
      </c>
    </row>
    <row r="702" spans="1:21">
      <c r="A702" s="406" t="s">
        <v>1243</v>
      </c>
      <c r="B702" s="406">
        <v>210601</v>
      </c>
      <c r="C702" s="406">
        <f>+'4.CT3A'!A191</f>
        <v>210601</v>
      </c>
      <c r="D702" s="406">
        <f si="14" t="shared"/>
        <v>0</v>
      </c>
      <c r="E702" s="406" t="str">
        <f>+'4.CT3A'!B191</f>
        <v xml:space="preserve">               Багаж, техник, хэрэгсэл</v>
      </c>
      <c r="S702" s="406" t="s">
        <v>1243</v>
      </c>
      <c r="T702" s="406">
        <v>210601</v>
      </c>
      <c r="U702" s="406" t="s">
        <v>92</v>
      </c>
    </row>
    <row r="703" spans="1:21">
      <c r="A703" s="406" t="s">
        <v>1243</v>
      </c>
      <c r="B703" s="406">
        <v>210602</v>
      </c>
      <c r="C703" s="406">
        <f>+'4.CT3A'!A192</f>
        <v>210602</v>
      </c>
      <c r="D703" s="406">
        <f si="14" t="shared"/>
        <v>0</v>
      </c>
      <c r="E703" s="406" t="str">
        <f>+'4.CT3A'!B192</f>
        <v xml:space="preserve">               Тавилга</v>
      </c>
      <c r="S703" s="406" t="s">
        <v>1243</v>
      </c>
      <c r="T703" s="406">
        <v>210602</v>
      </c>
      <c r="U703" s="406" t="s">
        <v>92</v>
      </c>
    </row>
    <row r="704" spans="1:21">
      <c r="A704" s="406" t="s">
        <v>1243</v>
      </c>
      <c r="B704" s="406">
        <v>210603</v>
      </c>
      <c r="C704" s="406">
        <f>+'4.CT3A'!A193</f>
        <v>210603</v>
      </c>
      <c r="D704" s="406">
        <f si="14" t="shared"/>
        <v>0</v>
      </c>
      <c r="E704" s="406" t="str">
        <f>+'4.CT3A'!B193</f>
        <v xml:space="preserve">               Хөдөлмөр хамгааллын хэрэглэл</v>
      </c>
      <c r="S704" s="406" t="s">
        <v>1243</v>
      </c>
      <c r="T704" s="406">
        <v>210603</v>
      </c>
      <c r="U704" s="406" t="s">
        <v>92</v>
      </c>
    </row>
    <row r="705" spans="1:21">
      <c r="A705" s="406" t="s">
        <v>1243</v>
      </c>
      <c r="B705" s="406">
        <v>210604</v>
      </c>
      <c r="C705" s="406">
        <f>+'4.CT3A'!A194</f>
        <v>210604</v>
      </c>
      <c r="D705" s="406">
        <f si="14" t="shared"/>
        <v>0</v>
      </c>
      <c r="E705" s="406" t="str">
        <f>+'4.CT3A'!B194</f>
        <v xml:space="preserve">               Урсгал засвар</v>
      </c>
      <c r="S705" s="406" t="s">
        <v>1243</v>
      </c>
      <c r="T705" s="406">
        <v>210604</v>
      </c>
      <c r="U705" s="406" t="s">
        <v>92</v>
      </c>
    </row>
    <row r="706" spans="1:21">
      <c r="A706" s="406" t="s">
        <v>1243</v>
      </c>
      <c r="B706" s="406">
        <v>2107</v>
      </c>
      <c r="C706" s="406">
        <f>+'4.CT3A'!A195</f>
        <v>2107</v>
      </c>
      <c r="D706" s="406">
        <f si="14" t="shared"/>
        <v>0</v>
      </c>
      <c r="E706" s="406" t="str">
        <f>+'4.CT3A'!B195</f>
        <v xml:space="preserve">         Томилолт, зочны зардал</v>
      </c>
      <c r="S706" s="406" t="s">
        <v>1243</v>
      </c>
      <c r="T706" s="406">
        <v>2107</v>
      </c>
      <c r="U706" s="406" t="s">
        <v>92</v>
      </c>
    </row>
    <row r="707" spans="1:21">
      <c r="A707" s="406" t="s">
        <v>1243</v>
      </c>
      <c r="B707" s="406">
        <v>210701</v>
      </c>
      <c r="C707" s="406">
        <f>+'4.CT3A'!A196</f>
        <v>210701</v>
      </c>
      <c r="D707" s="406">
        <f ref="D707:D770" si="15" t="shared">IF(B707=VALUE(C707),0,1)</f>
        <v>0</v>
      </c>
      <c r="E707" s="406" t="str">
        <f>+'4.CT3A'!B196</f>
        <v xml:space="preserve">               Гадаад албан томилолт</v>
      </c>
      <c r="S707" s="406" t="s">
        <v>1243</v>
      </c>
      <c r="T707" s="406">
        <v>210701</v>
      </c>
      <c r="U707" s="406" t="s">
        <v>92</v>
      </c>
    </row>
    <row r="708" spans="1:21">
      <c r="A708" s="406" t="s">
        <v>1243</v>
      </c>
      <c r="B708" s="406">
        <v>210702</v>
      </c>
      <c r="C708" s="406">
        <f>+'4.CT3A'!A197</f>
        <v>210702</v>
      </c>
      <c r="D708" s="406">
        <f si="15" t="shared"/>
        <v>0</v>
      </c>
      <c r="E708" s="406" t="str">
        <f>+'4.CT3A'!B197</f>
        <v xml:space="preserve">               Дотоод албан томилолт</v>
      </c>
      <c r="S708" s="406" t="s">
        <v>1243</v>
      </c>
      <c r="T708" s="406">
        <v>210702</v>
      </c>
      <c r="U708" s="406" t="s">
        <v>92</v>
      </c>
    </row>
    <row r="709" spans="1:21">
      <c r="A709" s="406" t="s">
        <v>1243</v>
      </c>
      <c r="B709" s="406">
        <v>210703</v>
      </c>
      <c r="C709" s="406">
        <f>+'4.CT3A'!A198</f>
        <v>210703</v>
      </c>
      <c r="D709" s="406">
        <f si="15" t="shared"/>
        <v>0</v>
      </c>
      <c r="E709" s="406" t="str">
        <f>+'4.CT3A'!B198</f>
        <v xml:space="preserve">               Зочин төлөөлөгч хүлээн авах</v>
      </c>
      <c r="S709" s="406" t="s">
        <v>1243</v>
      </c>
      <c r="T709" s="406">
        <v>210703</v>
      </c>
      <c r="U709" s="406" t="s">
        <v>92</v>
      </c>
    </row>
    <row r="710" spans="1:21">
      <c r="A710" s="406" t="s">
        <v>1243</v>
      </c>
      <c r="B710" s="406">
        <v>2108</v>
      </c>
      <c r="C710" s="406">
        <f>+'4.CT3A'!A199</f>
        <v>2108</v>
      </c>
      <c r="D710" s="406">
        <f si="15" t="shared"/>
        <v>0</v>
      </c>
      <c r="E710" s="406" t="str">
        <f>+'4.CT3A'!B199</f>
        <v xml:space="preserve">         Бусдаар гүйцэтгүүлсэн ажил, үйлчилгээний төлбөр, хураамж</v>
      </c>
      <c r="S710" s="406" t="s">
        <v>1243</v>
      </c>
      <c r="T710" s="406">
        <v>2108</v>
      </c>
      <c r="U710" s="406" t="s">
        <v>92</v>
      </c>
    </row>
    <row r="711" spans="1:21">
      <c r="A711" s="406" t="s">
        <v>1243</v>
      </c>
      <c r="B711" s="406">
        <v>210801</v>
      </c>
      <c r="C711" s="406">
        <f>+'4.CT3A'!A200</f>
        <v>210801</v>
      </c>
      <c r="D711" s="406">
        <f si="15" t="shared"/>
        <v>0</v>
      </c>
      <c r="E711" s="406" t="str">
        <f>+'4.CT3A'!B200</f>
        <v xml:space="preserve">               Бусдаар гүйцэтгүүлсэн бусад нийтлэг ажил үйлчилгээний төлбөр хураамж</v>
      </c>
      <c r="S711" s="406" t="s">
        <v>1243</v>
      </c>
      <c r="T711" s="406">
        <v>210801</v>
      </c>
      <c r="U711" s="406" t="s">
        <v>92</v>
      </c>
    </row>
    <row r="712" spans="1:21">
      <c r="A712" s="406" t="s">
        <v>1243</v>
      </c>
      <c r="B712" s="406">
        <v>210802</v>
      </c>
      <c r="C712" s="406">
        <f>+'4.CT3A'!A201</f>
        <v>210802</v>
      </c>
      <c r="D712" s="406">
        <f si="15" t="shared"/>
        <v>0</v>
      </c>
      <c r="E712" s="406" t="str">
        <f>+'4.CT3A'!B201</f>
        <v xml:space="preserve">               Аудит, баталгаажуулалт, зэрэглэл тогтоох </v>
      </c>
      <c r="S712" s="406" t="s">
        <v>1243</v>
      </c>
      <c r="T712" s="406">
        <v>210802</v>
      </c>
      <c r="U712" s="406" t="s">
        <v>92</v>
      </c>
    </row>
    <row r="713" spans="1:21">
      <c r="A713" s="406" t="s">
        <v>1243</v>
      </c>
      <c r="B713" s="406">
        <v>210803</v>
      </c>
      <c r="C713" s="406">
        <f>+'4.CT3A'!A202</f>
        <v>210803</v>
      </c>
      <c r="D713" s="406">
        <f si="15" t="shared"/>
        <v>0</v>
      </c>
      <c r="E713" s="406" t="str">
        <f>+'4.CT3A'!B202</f>
        <v xml:space="preserve">               Даатгалын үйлчилгээ</v>
      </c>
      <c r="S713" s="406" t="s">
        <v>1243</v>
      </c>
      <c r="T713" s="406">
        <v>210803</v>
      </c>
      <c r="U713" s="406" t="s">
        <v>92</v>
      </c>
    </row>
    <row r="714" spans="1:21">
      <c r="A714" s="406" t="s">
        <v>1243</v>
      </c>
      <c r="B714" s="406">
        <v>210804</v>
      </c>
      <c r="C714" s="406">
        <f>+'4.CT3A'!A203</f>
        <v>210804</v>
      </c>
      <c r="D714" s="406">
        <f si="15" t="shared"/>
        <v>0</v>
      </c>
      <c r="E714" s="406" t="str">
        <f>+'4.CT3A'!B203</f>
        <v xml:space="preserve">               Тээврийн хэрэгслийн татвар</v>
      </c>
      <c r="S714" s="406" t="s">
        <v>1243</v>
      </c>
      <c r="T714" s="406">
        <v>210804</v>
      </c>
      <c r="U714" s="406" t="s">
        <v>92</v>
      </c>
    </row>
    <row r="715" spans="1:21">
      <c r="A715" s="406" t="s">
        <v>1243</v>
      </c>
      <c r="B715" s="406">
        <v>210805</v>
      </c>
      <c r="C715" s="406">
        <f>+'4.CT3A'!A204</f>
        <v>210805</v>
      </c>
      <c r="D715" s="406">
        <f si="15" t="shared"/>
        <v>0</v>
      </c>
      <c r="E715" s="406" t="str">
        <f>+'4.CT3A'!B204</f>
        <v xml:space="preserve">               Тээврийн хэрэгслийн оношлогоо</v>
      </c>
      <c r="S715" s="406" t="s">
        <v>1243</v>
      </c>
      <c r="T715" s="406">
        <v>210805</v>
      </c>
      <c r="U715" s="406" t="s">
        <v>92</v>
      </c>
    </row>
    <row r="716" spans="1:21">
      <c r="A716" s="406" t="s">
        <v>1243</v>
      </c>
      <c r="B716" s="406">
        <v>210806</v>
      </c>
      <c r="C716" s="406">
        <f>+'4.CT3A'!A205</f>
        <v>210806</v>
      </c>
      <c r="D716" s="406">
        <f si="15" t="shared"/>
        <v>0</v>
      </c>
      <c r="E716" s="406" t="str">
        <f>+'4.CT3A'!B205</f>
        <v xml:space="preserve">               Мэдээлэл, технологийн үйлчилгээ</v>
      </c>
      <c r="S716" s="406" t="s">
        <v>1243</v>
      </c>
      <c r="T716" s="406">
        <v>210806</v>
      </c>
      <c r="U716" s="406" t="s">
        <v>92</v>
      </c>
    </row>
    <row r="717" spans="1:21">
      <c r="A717" s="406" t="s">
        <v>1243</v>
      </c>
      <c r="B717" s="406">
        <v>210807</v>
      </c>
      <c r="C717" s="406">
        <f>+'4.CT3A'!A206</f>
        <v>210807</v>
      </c>
      <c r="D717" s="406">
        <f si="15" t="shared"/>
        <v>0</v>
      </c>
      <c r="E717" s="406" t="str">
        <f>+'4.CT3A'!B206</f>
        <v xml:space="preserve">               Газрын төлбөр </v>
      </c>
      <c r="S717" s="406" t="s">
        <v>1243</v>
      </c>
      <c r="T717" s="406">
        <v>210807</v>
      </c>
      <c r="U717" s="406" t="s">
        <v>92</v>
      </c>
    </row>
    <row r="718" spans="1:21">
      <c r="A718" s="406" t="s">
        <v>1243</v>
      </c>
      <c r="B718" s="406">
        <v>210808</v>
      </c>
      <c r="C718" s="406">
        <f>+'4.CT3A'!A207</f>
        <v>210808</v>
      </c>
      <c r="D718" s="406">
        <f si="15" t="shared"/>
        <v>0</v>
      </c>
      <c r="E718" s="406" t="str">
        <f>+'4.CT3A'!B207</f>
        <v xml:space="preserve">               Банк, санхүүгийн байгууллагын үйлчилгээний хураамж</v>
      </c>
      <c r="S718" s="406" t="s">
        <v>1243</v>
      </c>
      <c r="T718" s="406">
        <v>210808</v>
      </c>
      <c r="U718" s="406" t="s">
        <v>92</v>
      </c>
    </row>
    <row r="719" spans="1:21">
      <c r="A719" s="406" t="s">
        <v>1243</v>
      </c>
      <c r="B719" s="406">
        <v>210809</v>
      </c>
      <c r="C719" s="406">
        <f>+'4.CT3A'!A208</f>
        <v>210809</v>
      </c>
      <c r="D719" s="406">
        <f si="15" t="shared"/>
        <v>0</v>
      </c>
      <c r="E719" s="406" t="str">
        <f>+'4.CT3A'!B208</f>
        <v xml:space="preserve">               Улсын мэдээллийн маягт хэвлэх, бэлтгэх</v>
      </c>
      <c r="S719" s="406" t="s">
        <v>1243</v>
      </c>
      <c r="T719" s="406">
        <v>210809</v>
      </c>
      <c r="U719" s="406" t="s">
        <v>92</v>
      </c>
    </row>
    <row r="720" spans="1:21">
      <c r="A720" s="406" t="s">
        <v>1243</v>
      </c>
      <c r="B720" s="406">
        <v>210815</v>
      </c>
      <c r="C720" s="406">
        <f>+'4.CT3A'!A209</f>
        <v>210815</v>
      </c>
      <c r="D720" s="406">
        <f si="15" t="shared"/>
        <v>0</v>
      </c>
      <c r="E720" s="406" t="str">
        <f>+'4.CT3A'!B209</f>
        <v xml:space="preserve">               Хүүний төлбөрт төлсөн    /ТӨҮГ/</v>
      </c>
      <c r="S720" s="406" t="s">
        <v>1243</v>
      </c>
      <c r="T720" s="406">
        <v>210815</v>
      </c>
      <c r="U720" s="406" t="s">
        <v>92</v>
      </c>
    </row>
    <row r="721" spans="1:21">
      <c r="A721" s="406" t="s">
        <v>1243</v>
      </c>
      <c r="B721" s="406">
        <v>210816</v>
      </c>
      <c r="C721" s="406">
        <f>+'4.CT3A'!A210</f>
        <v>210816</v>
      </c>
      <c r="D721" s="406">
        <f si="15" t="shared"/>
        <v>0</v>
      </c>
      <c r="E721" s="406" t="str">
        <f>+'4.CT3A'!B210</f>
        <v xml:space="preserve">               Татварын байгууллагад төлсөн  /ТӨҮГ/</v>
      </c>
      <c r="S721" s="406" t="s">
        <v>1243</v>
      </c>
      <c r="T721" s="406">
        <v>210816</v>
      </c>
      <c r="U721" s="406" t="s">
        <v>92</v>
      </c>
    </row>
    <row r="722" spans="1:21">
      <c r="A722" s="406" t="s">
        <v>1243</v>
      </c>
      <c r="B722" s="406">
        <v>210817</v>
      </c>
      <c r="C722" s="406">
        <f>+'4.CT3A'!A211</f>
        <v>210817</v>
      </c>
      <c r="D722" s="406">
        <f si="15" t="shared"/>
        <v>0</v>
      </c>
      <c r="E722" s="406" t="str">
        <f>+'4.CT3A'!B211</f>
        <v xml:space="preserve">               Даатгалын төлбөрт төлсөн   /ТӨҮГ/</v>
      </c>
      <c r="S722" s="406" t="s">
        <v>1243</v>
      </c>
      <c r="T722" s="406">
        <v>210817</v>
      </c>
      <c r="U722" s="406" t="s">
        <v>92</v>
      </c>
    </row>
    <row r="723" spans="1:21">
      <c r="A723" s="406" t="s">
        <v>1243</v>
      </c>
      <c r="B723" s="406">
        <v>210818</v>
      </c>
      <c r="C723" s="406">
        <f>+'4.CT3A'!A212</f>
        <v>210818</v>
      </c>
      <c r="D723" s="406">
        <f si="15" t="shared"/>
        <v>0</v>
      </c>
      <c r="E723" s="406" t="str">
        <f>+'4.CT3A'!B212</f>
        <v xml:space="preserve">               Бусад мөнгөн зарлага   /ТӨҮГ/</v>
      </c>
      <c r="S723" s="406" t="s">
        <v>1243</v>
      </c>
      <c r="T723" s="406">
        <v>210818</v>
      </c>
      <c r="U723" s="406" t="s">
        <v>92</v>
      </c>
    </row>
    <row r="724" spans="1:21">
      <c r="A724" s="406" t="s">
        <v>1243</v>
      </c>
      <c r="B724" s="406">
        <v>2109</v>
      </c>
      <c r="C724" s="406">
        <f>+'4.CT3A'!A213</f>
        <v>2109</v>
      </c>
      <c r="D724" s="406">
        <f si="15" t="shared"/>
        <v>0</v>
      </c>
      <c r="E724" s="406" t="str">
        <f>+'4.CT3A'!B213</f>
        <v xml:space="preserve">         Бараа үйлчилгээний бусад зардал</v>
      </c>
      <c r="S724" s="406" t="s">
        <v>1243</v>
      </c>
      <c r="T724" s="406">
        <v>2109</v>
      </c>
      <c r="U724" s="406" t="s">
        <v>92</v>
      </c>
    </row>
    <row r="725" spans="1:21">
      <c r="A725" s="406" t="s">
        <v>1243</v>
      </c>
      <c r="B725" s="406">
        <v>210901</v>
      </c>
      <c r="C725" s="406">
        <f>+'4.CT3A'!A214</f>
        <v>210901</v>
      </c>
      <c r="D725" s="406">
        <f si="15" t="shared"/>
        <v>0</v>
      </c>
      <c r="E725" s="406" t="str">
        <f>+'4.CT3A'!B214</f>
        <v xml:space="preserve">               Бараа үйлчилгээний бусад зардал</v>
      </c>
      <c r="S725" s="406" t="s">
        <v>1243</v>
      </c>
      <c r="T725" s="406">
        <v>210901</v>
      </c>
      <c r="U725" s="406" t="s">
        <v>92</v>
      </c>
    </row>
    <row r="726" spans="1:21">
      <c r="A726" s="406" t="s">
        <v>1243</v>
      </c>
      <c r="B726" s="406">
        <v>210902</v>
      </c>
      <c r="C726" s="406">
        <f>+'4.CT3A'!A215</f>
        <v>210902</v>
      </c>
      <c r="D726" s="406">
        <f si="15" t="shared"/>
        <v>0</v>
      </c>
      <c r="E726" s="406" t="str">
        <f>+'4.CT3A'!B215</f>
        <v xml:space="preserve">               Хичээл үйлдвэрлэлийн дадлага хийх </v>
      </c>
      <c r="S726" s="406" t="s">
        <v>1243</v>
      </c>
      <c r="T726" s="406">
        <v>210902</v>
      </c>
      <c r="U726" s="406" t="s">
        <v>92</v>
      </c>
    </row>
    <row r="727" spans="1:21">
      <c r="A727" s="406" t="s">
        <v>1243</v>
      </c>
      <c r="B727" s="406">
        <v>211</v>
      </c>
      <c r="C727" s="406">
        <f>+'4.CT3A'!A216</f>
        <v>211</v>
      </c>
      <c r="D727" s="406">
        <f si="15" t="shared"/>
        <v>0</v>
      </c>
      <c r="E727" s="406" t="str">
        <f>+'4.CT3A'!B216</f>
        <v xml:space="preserve">      ХҮҮ</v>
      </c>
      <c r="S727" s="406" t="s">
        <v>1243</v>
      </c>
      <c r="T727" s="406">
        <v>211</v>
      </c>
      <c r="U727" s="406" t="s">
        <v>92</v>
      </c>
    </row>
    <row r="728" spans="1:21">
      <c r="A728" s="406" t="s">
        <v>1243</v>
      </c>
      <c r="B728" s="406">
        <v>2111</v>
      </c>
      <c r="C728" s="406">
        <f>+'4.CT3A'!A217</f>
        <v>2111</v>
      </c>
      <c r="D728" s="406">
        <f si="15" t="shared"/>
        <v>0</v>
      </c>
      <c r="E728" s="406" t="str">
        <f>+'4.CT3A'!B217</f>
        <v xml:space="preserve">         Гадаад зээлийн үйлчилгээний төлбөр</v>
      </c>
      <c r="S728" s="406" t="s">
        <v>1243</v>
      </c>
      <c r="T728" s="406">
        <v>2111</v>
      </c>
      <c r="U728" s="406" t="s">
        <v>92</v>
      </c>
    </row>
    <row r="729" spans="1:21">
      <c r="A729" s="406" t="s">
        <v>1243</v>
      </c>
      <c r="B729" s="406">
        <v>211101</v>
      </c>
      <c r="C729" s="406">
        <f>+'4.CT3A'!A218</f>
        <v>211101</v>
      </c>
      <c r="D729" s="406">
        <f si="15" t="shared"/>
        <v>0</v>
      </c>
      <c r="E729" s="406" t="str">
        <f>+'4.CT3A'!B218</f>
        <v xml:space="preserve">               Гадаад зээлийн үйлчилгээний төлбөр</v>
      </c>
      <c r="S729" s="406" t="s">
        <v>1243</v>
      </c>
      <c r="T729" s="406">
        <v>211101</v>
      </c>
      <c r="U729" s="406" t="s">
        <v>92</v>
      </c>
    </row>
    <row r="730" spans="1:21">
      <c r="A730" s="406" t="s">
        <v>1243</v>
      </c>
      <c r="B730" s="406">
        <v>2112</v>
      </c>
      <c r="C730" s="406">
        <f>+'4.CT3A'!A219</f>
        <v>2112</v>
      </c>
      <c r="D730" s="406">
        <f si="15" t="shared"/>
        <v>0</v>
      </c>
      <c r="E730" s="406" t="str">
        <f>+'4.CT3A'!B219</f>
        <v xml:space="preserve">         Дотоод зээлийн үйлчилгээний төлбөр</v>
      </c>
      <c r="S730" s="406" t="s">
        <v>1243</v>
      </c>
      <c r="T730" s="406">
        <v>2112</v>
      </c>
      <c r="U730" s="406" t="s">
        <v>92</v>
      </c>
    </row>
    <row r="731" spans="1:21">
      <c r="A731" s="406" t="s">
        <v>1243</v>
      </c>
      <c r="B731" s="406">
        <v>211201</v>
      </c>
      <c r="C731" s="406">
        <f>+'4.CT3A'!A220</f>
        <v>211201</v>
      </c>
      <c r="D731" s="406">
        <f si="15" t="shared"/>
        <v>0</v>
      </c>
      <c r="E731" s="406" t="str">
        <f>+'4.CT3A'!B220</f>
        <v xml:space="preserve">               Дотоод зээлийн үйлчилгээний төлбөр</v>
      </c>
      <c r="S731" s="406" t="s">
        <v>1243</v>
      </c>
      <c r="T731" s="406">
        <v>211201</v>
      </c>
      <c r="U731" s="406" t="s">
        <v>92</v>
      </c>
    </row>
    <row r="732" spans="1:21">
      <c r="A732" s="406" t="s">
        <v>1243</v>
      </c>
      <c r="B732" s="406">
        <v>212</v>
      </c>
      <c r="C732" s="406">
        <f>+'4.CT3A'!A221</f>
        <v>212</v>
      </c>
      <c r="D732" s="406">
        <f si="15" t="shared"/>
        <v>0</v>
      </c>
      <c r="E732" s="406" t="str">
        <f>+'4.CT3A'!B221</f>
        <v xml:space="preserve">      ТАТААС</v>
      </c>
      <c r="S732" s="406" t="s">
        <v>1243</v>
      </c>
      <c r="T732" s="406">
        <v>212</v>
      </c>
      <c r="U732" s="406" t="s">
        <v>92</v>
      </c>
    </row>
    <row r="733" spans="1:21">
      <c r="A733" s="406" t="s">
        <v>1243</v>
      </c>
      <c r="B733" s="406">
        <v>2121</v>
      </c>
      <c r="C733" s="406">
        <f>+'4.CT3A'!A222</f>
        <v>2121</v>
      </c>
      <c r="D733" s="406">
        <f si="15" t="shared"/>
        <v>0</v>
      </c>
      <c r="E733" s="406" t="str">
        <f>+'4.CT3A'!B222</f>
        <v xml:space="preserve">         Төрийн өмчит байгууллагад олгох татаас</v>
      </c>
      <c r="S733" s="406" t="s">
        <v>1243</v>
      </c>
      <c r="T733" s="406">
        <v>2121</v>
      </c>
      <c r="U733" s="406" t="s">
        <v>92</v>
      </c>
    </row>
    <row r="734" spans="1:21">
      <c r="A734" s="406" t="s">
        <v>1243</v>
      </c>
      <c r="B734" s="406">
        <v>212101</v>
      </c>
      <c r="C734" s="406">
        <f>+'4.CT3A'!A223</f>
        <v>212101</v>
      </c>
      <c r="D734" s="406">
        <f si="15" t="shared"/>
        <v>0</v>
      </c>
      <c r="E734" s="406" t="str">
        <f>+'4.CT3A'!B223</f>
        <v xml:space="preserve">               Төрийн өмчит байгууллагад олгох татаас</v>
      </c>
      <c r="S734" s="406" t="s">
        <v>1243</v>
      </c>
      <c r="T734" s="406">
        <v>212101</v>
      </c>
      <c r="U734" s="406" t="s">
        <v>92</v>
      </c>
    </row>
    <row r="735" spans="1:21">
      <c r="A735" s="406" t="s">
        <v>1243</v>
      </c>
      <c r="B735" s="406">
        <v>2122</v>
      </c>
      <c r="C735" s="406">
        <f>+'4.CT3A'!A224</f>
        <v>2122</v>
      </c>
      <c r="D735" s="406">
        <f si="15" t="shared"/>
        <v>0</v>
      </c>
      <c r="E735" s="406" t="str">
        <f>+'4.CT3A'!B224</f>
        <v xml:space="preserve">         Хувийн хэвшлийн байгууллагад олгох татаас</v>
      </c>
      <c r="S735" s="406" t="s">
        <v>1243</v>
      </c>
      <c r="T735" s="406">
        <v>2122</v>
      </c>
      <c r="U735" s="406" t="s">
        <v>92</v>
      </c>
    </row>
    <row r="736" spans="1:21">
      <c r="A736" s="406" t="s">
        <v>1243</v>
      </c>
      <c r="B736" s="406">
        <v>212201</v>
      </c>
      <c r="C736" s="406">
        <f>+'4.CT3A'!A225</f>
        <v>212201</v>
      </c>
      <c r="D736" s="406">
        <f si="15" t="shared"/>
        <v>0</v>
      </c>
      <c r="E736" s="406" t="str">
        <f>+'4.CT3A'!B225</f>
        <v xml:space="preserve">               Хувийн хэвшлийн байгууллагад олгох татаас</v>
      </c>
      <c r="S736" s="406" t="s">
        <v>1243</v>
      </c>
      <c r="T736" s="406">
        <v>212201</v>
      </c>
      <c r="U736" s="406" t="s">
        <v>92</v>
      </c>
    </row>
    <row r="737" spans="1:21">
      <c r="A737" s="406" t="s">
        <v>1243</v>
      </c>
      <c r="B737" s="406">
        <v>213</v>
      </c>
      <c r="C737" s="406">
        <f>+'4.CT3A'!A226</f>
        <v>213</v>
      </c>
      <c r="D737" s="406">
        <f si="15" t="shared"/>
        <v>0</v>
      </c>
      <c r="E737" s="406" t="str">
        <f>+'4.CT3A'!B226</f>
        <v xml:space="preserve">      УРСГАЛ ШИЛЖҮҮЛЭГ</v>
      </c>
      <c r="S737" s="406" t="s">
        <v>1243</v>
      </c>
      <c r="T737" s="406">
        <v>213</v>
      </c>
      <c r="U737" s="406" t="s">
        <v>92</v>
      </c>
    </row>
    <row r="738" spans="1:21">
      <c r="A738" s="406" t="s">
        <v>1243</v>
      </c>
      <c r="B738" s="406">
        <v>2131</v>
      </c>
      <c r="C738" s="406">
        <f>+'4.CT3A'!A227</f>
        <v>2131</v>
      </c>
      <c r="D738" s="406">
        <f si="15" t="shared"/>
        <v>0</v>
      </c>
      <c r="E738" s="406" t="str">
        <f>+'4.CT3A'!B227</f>
        <v xml:space="preserve">         Засгийн газрын урсгал шилжүүлэг</v>
      </c>
      <c r="S738" s="406" t="s">
        <v>1243</v>
      </c>
      <c r="T738" s="406">
        <v>2131</v>
      </c>
      <c r="U738" s="406" t="s">
        <v>92</v>
      </c>
    </row>
    <row r="739" spans="1:21">
      <c r="A739" s="406" t="s">
        <v>1243</v>
      </c>
      <c r="B739" s="406">
        <v>213101</v>
      </c>
      <c r="C739" s="406">
        <f>+'4.CT3A'!A228</f>
        <v>213101</v>
      </c>
      <c r="D739" s="406">
        <f si="15" t="shared"/>
        <v>0</v>
      </c>
      <c r="E739" s="406" t="str">
        <f>+'4.CT3A'!B228</f>
        <v xml:space="preserve">               Засгийн газрын дотоод шилжүүлэг</v>
      </c>
      <c r="S739" s="406" t="s">
        <v>1243</v>
      </c>
      <c r="T739" s="406">
        <v>213101</v>
      </c>
      <c r="U739" s="406" t="s">
        <v>92</v>
      </c>
    </row>
    <row r="740" spans="1:21">
      <c r="A740" s="406" t="s">
        <v>1243</v>
      </c>
      <c r="B740" s="406">
        <v>213102</v>
      </c>
      <c r="C740" s="406">
        <f>+'4.CT3A'!A229</f>
        <v>213102</v>
      </c>
      <c r="D740" s="406">
        <f si="15" t="shared"/>
        <v>0</v>
      </c>
      <c r="E740" s="406" t="str">
        <f>+'4.CT3A'!B229</f>
        <v xml:space="preserve">               Засгийн газрын гадаад шилжүүлэг</v>
      </c>
      <c r="S740" s="406" t="s">
        <v>1243</v>
      </c>
      <c r="T740" s="406">
        <v>213102</v>
      </c>
      <c r="U740" s="406" t="s">
        <v>92</v>
      </c>
    </row>
    <row r="741" spans="1:21">
      <c r="A741" s="406" t="s">
        <v>1243</v>
      </c>
      <c r="B741" s="406">
        <v>2132</v>
      </c>
      <c r="C741" s="406">
        <f>+'4.CT3A'!A230</f>
        <v>2132</v>
      </c>
      <c r="D741" s="406">
        <f si="15" t="shared"/>
        <v>0</v>
      </c>
      <c r="E741" s="406" t="str">
        <f>+'4.CT3A'!B230</f>
        <v xml:space="preserve">         Бусад урсгал шилжүүлэг</v>
      </c>
      <c r="S741" s="406" t="s">
        <v>1243</v>
      </c>
      <c r="T741" s="406">
        <v>2132</v>
      </c>
      <c r="U741" s="406" t="s">
        <v>92</v>
      </c>
    </row>
    <row r="742" spans="1:21">
      <c r="A742" s="406" t="s">
        <v>1243</v>
      </c>
      <c r="B742" s="406">
        <v>213202</v>
      </c>
      <c r="C742" s="406">
        <f>+'4.CT3A'!A231</f>
        <v>213202</v>
      </c>
      <c r="D742" s="406">
        <f si="15" t="shared"/>
        <v>0</v>
      </c>
      <c r="E742" s="406" t="str">
        <f>+'4.CT3A'!B231</f>
        <v xml:space="preserve">               Нийгмийн даатгалын тэтгэвэр, тэтгэмж</v>
      </c>
      <c r="S742" s="406" t="s">
        <v>1243</v>
      </c>
      <c r="T742" s="406">
        <v>213202</v>
      </c>
      <c r="U742" s="406" t="s">
        <v>92</v>
      </c>
    </row>
    <row r="743" spans="1:21">
      <c r="A743" s="406" t="s">
        <v>1243</v>
      </c>
      <c r="B743" s="406">
        <v>213203</v>
      </c>
      <c r="C743" s="406">
        <f>+'4.CT3A'!A232</f>
        <v>213203</v>
      </c>
      <c r="D743" s="406">
        <f si="15" t="shared"/>
        <v>0</v>
      </c>
      <c r="E743" s="406" t="str">
        <f>+'4.CT3A'!B232</f>
        <v xml:space="preserve">               Нийгмийн халамжийн тэтгэвэр, тэтгэмж</v>
      </c>
      <c r="S743" s="406" t="s">
        <v>1243</v>
      </c>
      <c r="T743" s="406">
        <v>213203</v>
      </c>
      <c r="U743" s="406" t="s">
        <v>92</v>
      </c>
    </row>
    <row r="744" spans="1:21">
      <c r="A744" s="406" t="s">
        <v>1243</v>
      </c>
      <c r="B744" s="406">
        <v>213204</v>
      </c>
      <c r="C744" s="406">
        <f>+'4.CT3A'!A233</f>
        <v>213204</v>
      </c>
      <c r="D744" s="406">
        <f si="15" t="shared"/>
        <v>0</v>
      </c>
      <c r="E744" s="406" t="str">
        <f>+'4.CT3A'!B233</f>
        <v xml:space="preserve">               Ажил олгогчоос олгох  бусад тэтгэмж, урамшуулал</v>
      </c>
      <c r="S744" s="406" t="s">
        <v>1243</v>
      </c>
      <c r="T744" s="406">
        <v>213204</v>
      </c>
      <c r="U744" s="406" t="s">
        <v>92</v>
      </c>
    </row>
    <row r="745" spans="1:21">
      <c r="A745" s="406" t="s">
        <v>1243</v>
      </c>
      <c r="B745" s="406">
        <v>213205</v>
      </c>
      <c r="C745" s="406">
        <f>+'4.CT3A'!A234</f>
        <v>213205</v>
      </c>
      <c r="D745" s="406">
        <f si="15" t="shared"/>
        <v>0</v>
      </c>
      <c r="E745" s="406" t="str">
        <f>+'4.CT3A'!B234</f>
        <v xml:space="preserve">               Төрөөс иргэдэд олгох тэтгэмж, урамшуулал</v>
      </c>
      <c r="S745" s="406" t="s">
        <v>1243</v>
      </c>
      <c r="T745" s="406">
        <v>213205</v>
      </c>
      <c r="U745" s="406" t="s">
        <v>92</v>
      </c>
    </row>
    <row r="746" spans="1:21">
      <c r="A746" s="406" t="s">
        <v>1243</v>
      </c>
      <c r="B746" s="406">
        <v>213206</v>
      </c>
      <c r="C746" s="406">
        <f>+'4.CT3A'!A235</f>
        <v>213206</v>
      </c>
      <c r="D746" s="406">
        <f si="15" t="shared"/>
        <v>0</v>
      </c>
      <c r="E746" s="406" t="str">
        <f>+'4.CT3A'!B235</f>
        <v xml:space="preserve">               Ээлжийн амралтаар нутаг явах унааны хөнгөлөлт</v>
      </c>
      <c r="S746" s="406" t="s">
        <v>1243</v>
      </c>
      <c r="T746" s="406">
        <v>213206</v>
      </c>
      <c r="U746" s="406" t="s">
        <v>92</v>
      </c>
    </row>
    <row r="747" spans="1:21">
      <c r="A747" s="406" t="s">
        <v>1243</v>
      </c>
      <c r="B747" s="406">
        <v>213207</v>
      </c>
      <c r="C747" s="406">
        <f>+'4.CT3A'!A236</f>
        <v>213207</v>
      </c>
      <c r="D747" s="406">
        <f si="15" t="shared"/>
        <v>0</v>
      </c>
      <c r="E747" s="406" t="str">
        <f>+'4.CT3A'!B236</f>
        <v xml:space="preserve">               Тэтгэвэрт гарахад олгох нэг удаагийн мөнгөн тэтгэмж</v>
      </c>
      <c r="S747" s="406" t="s">
        <v>1243</v>
      </c>
      <c r="T747" s="406">
        <v>213207</v>
      </c>
      <c r="U747" s="406" t="s">
        <v>92</v>
      </c>
    </row>
    <row r="748" spans="1:21">
      <c r="A748" s="406" t="s">
        <v>1243</v>
      </c>
      <c r="B748" s="406">
        <v>213208</v>
      </c>
      <c r="C748" s="406">
        <f>+'4.CT3A'!A237</f>
        <v>213208</v>
      </c>
      <c r="D748" s="406">
        <f si="15" t="shared"/>
        <v>0</v>
      </c>
      <c r="E748" s="406" t="str">
        <f>+'4.CT3A'!B237</f>
        <v xml:space="preserve">               Хөдөө орон нутагт тогтвор суурьшилтай ажилласан албан хаагчдад төрөөс үзүүлэх дэмжлэг </v>
      </c>
      <c r="S748" s="406" t="s">
        <v>1243</v>
      </c>
      <c r="T748" s="406">
        <v>213208</v>
      </c>
      <c r="U748" s="406" t="s">
        <v>92</v>
      </c>
    </row>
    <row r="749" spans="1:21">
      <c r="A749" s="406" t="s">
        <v>1243</v>
      </c>
      <c r="B749" s="406">
        <v>213209</v>
      </c>
      <c r="C749" s="406">
        <f>+'4.CT3A'!A238</f>
        <v>213209</v>
      </c>
      <c r="D749" s="406">
        <f si="15" t="shared"/>
        <v>0</v>
      </c>
      <c r="E749" s="406" t="str">
        <f>+'4.CT3A'!B238</f>
        <v xml:space="preserve">               Нэг удаагийн тэтгэмж, шагнал урамшуулал </v>
      </c>
      <c r="S749" s="406" t="s">
        <v>1243</v>
      </c>
      <c r="T749" s="406">
        <v>213209</v>
      </c>
      <c r="U749" s="406" t="s">
        <v>92</v>
      </c>
    </row>
    <row r="750" spans="1:21">
      <c r="A750" s="406" t="s">
        <v>1243</v>
      </c>
      <c r="B750" s="406">
        <v>2133</v>
      </c>
      <c r="C750" s="406">
        <f>+'4.CT3A'!A239</f>
        <v>2133</v>
      </c>
      <c r="D750" s="406">
        <f si="15" t="shared"/>
        <v>0</v>
      </c>
      <c r="E750" s="406" t="str">
        <f>+'4.CT3A'!B239</f>
        <v xml:space="preserve">         Улсын төсвөөс олгосон санхүүжилт, шилжүүлэг</v>
      </c>
      <c r="S750" s="406" t="s">
        <v>1243</v>
      </c>
      <c r="T750" s="406">
        <v>2133</v>
      </c>
      <c r="U750" s="406" t="s">
        <v>92</v>
      </c>
    </row>
    <row r="751" spans="1:21">
      <c r="A751" s="406" t="s">
        <v>1243</v>
      </c>
      <c r="B751" s="406">
        <v>213301</v>
      </c>
      <c r="C751" s="406">
        <f>+'4.CT3A'!A240</f>
        <v>213301</v>
      </c>
      <c r="D751" s="406">
        <f si="15" t="shared"/>
        <v>0</v>
      </c>
      <c r="E751" s="406" t="str">
        <f>+'4.CT3A'!B240</f>
        <v xml:space="preserve">               Урсгал үйл ажиллагааны санхүүжилт</v>
      </c>
      <c r="S751" s="406" t="s">
        <v>1243</v>
      </c>
      <c r="T751" s="406">
        <v>213301</v>
      </c>
      <c r="U751" s="406" t="s">
        <v>92</v>
      </c>
    </row>
    <row r="752" spans="1:21">
      <c r="A752" s="406" t="s">
        <v>1243</v>
      </c>
      <c r="B752" s="406">
        <v>213302</v>
      </c>
      <c r="C752" s="406">
        <f>+'4.CT3A'!A241</f>
        <v>213302</v>
      </c>
      <c r="D752" s="406">
        <f si="15" t="shared"/>
        <v>0</v>
      </c>
      <c r="E752" s="406" t="str">
        <f>+'4.CT3A'!B241</f>
        <v xml:space="preserve">               Засгийн газрын, Засаг даргын нөөц хөрөнгө</v>
      </c>
      <c r="S752" s="406" t="s">
        <v>1243</v>
      </c>
      <c r="T752" s="406">
        <v>213302</v>
      </c>
      <c r="U752" s="406" t="s">
        <v>92</v>
      </c>
    </row>
    <row r="753" spans="1:21">
      <c r="A753" s="406" t="s">
        <v>1243</v>
      </c>
      <c r="B753" s="406">
        <v>213303</v>
      </c>
      <c r="C753" s="406">
        <f>+'4.CT3A'!A242</f>
        <v>213303</v>
      </c>
      <c r="D753" s="406">
        <f si="15" t="shared"/>
        <v>0</v>
      </c>
      <c r="E753" s="406" t="str">
        <f>+'4.CT3A'!B242</f>
        <v xml:space="preserve">               Төвлөрүүлэх шилжүүлэг</v>
      </c>
      <c r="S753" s="406" t="s">
        <v>1243</v>
      </c>
      <c r="T753" s="406">
        <v>213303</v>
      </c>
      <c r="U753" s="406" t="s">
        <v>92</v>
      </c>
    </row>
    <row r="754" spans="1:21">
      <c r="A754" s="406" t="s">
        <v>1243</v>
      </c>
      <c r="B754" s="406">
        <v>213304</v>
      </c>
      <c r="C754" s="406">
        <f>+'4.CT3A'!A243</f>
        <v>213304</v>
      </c>
      <c r="D754" s="406">
        <f si="15" t="shared"/>
        <v>0</v>
      </c>
      <c r="E754" s="406" t="str">
        <f>+'4.CT3A'!B243</f>
        <v xml:space="preserve">               Хөрөнгийн</v>
      </c>
      <c r="S754" s="406" t="s">
        <v>1243</v>
      </c>
      <c r="T754" s="406">
        <v>213304</v>
      </c>
      <c r="U754" s="406" t="s">
        <v>92</v>
      </c>
    </row>
    <row r="755" spans="1:21">
      <c r="A755" s="406" t="s">
        <v>1243</v>
      </c>
      <c r="B755" s="406">
        <v>2134</v>
      </c>
      <c r="C755" s="406">
        <f>+'4.CT3A'!A244</f>
        <v>2134</v>
      </c>
      <c r="D755" s="406">
        <f si="15" t="shared"/>
        <v>0</v>
      </c>
      <c r="E755" s="406" t="str">
        <f>+'4.CT3A'!B244</f>
        <v xml:space="preserve">         Орон нутгийн төсвийн ерөнхийлөн захирагчдад олгох татаас, санхүүжилт</v>
      </c>
      <c r="S755" s="406" t="s">
        <v>1243</v>
      </c>
      <c r="T755" s="406">
        <v>2134</v>
      </c>
      <c r="U755" s="406" t="s">
        <v>92</v>
      </c>
    </row>
    <row r="756" spans="1:21">
      <c r="A756" s="406" t="s">
        <v>1243</v>
      </c>
      <c r="B756" s="406">
        <v>213401</v>
      </c>
      <c r="C756" s="406">
        <f>+'4.CT3A'!A245</f>
        <v>213401</v>
      </c>
      <c r="D756" s="406">
        <f si="15" t="shared"/>
        <v>0</v>
      </c>
      <c r="E756" s="406" t="str">
        <f>+'4.CT3A'!B245</f>
        <v xml:space="preserve">               Урсгал үйл ажиллагааны санхүүжилт төсөвт байгууллага</v>
      </c>
      <c r="S756" s="406" t="s">
        <v>1243</v>
      </c>
      <c r="T756" s="406">
        <v>213401</v>
      </c>
      <c r="U756" s="406" t="s">
        <v>92</v>
      </c>
    </row>
    <row r="757" spans="1:21">
      <c r="A757" s="406" t="s">
        <v>1243</v>
      </c>
      <c r="B757" s="406">
        <v>213402</v>
      </c>
      <c r="C757" s="406">
        <f>+'4.CT3A'!A246</f>
        <v>213402</v>
      </c>
      <c r="D757" s="406">
        <f si="15" t="shared"/>
        <v>0</v>
      </c>
      <c r="E757" s="406" t="str">
        <f>+'4.CT3A'!B246</f>
        <v xml:space="preserve">               Урсгал үйл ажиллагааны санхүүжилт сумдад</v>
      </c>
      <c r="S757" s="406" t="s">
        <v>1243</v>
      </c>
      <c r="T757" s="406">
        <v>213402</v>
      </c>
      <c r="U757" s="406" t="s">
        <v>92</v>
      </c>
    </row>
    <row r="758" spans="1:21">
      <c r="A758" s="406" t="s">
        <v>1243</v>
      </c>
      <c r="B758" s="406">
        <v>213403</v>
      </c>
      <c r="C758" s="406">
        <f>+'4.CT3A'!A247</f>
        <v>213403</v>
      </c>
      <c r="D758" s="406">
        <f si="15" t="shared"/>
        <v>0</v>
      </c>
      <c r="E758" s="406" t="str">
        <f>+'4.CT3A'!B247</f>
        <v xml:space="preserve">               Төвлөрүүлэх шилжүүлэг</v>
      </c>
      <c r="S758" s="406" t="s">
        <v>1243</v>
      </c>
      <c r="T758" s="406">
        <v>213403</v>
      </c>
      <c r="U758" s="406" t="s">
        <v>92</v>
      </c>
    </row>
    <row r="759" spans="1:21">
      <c r="A759" s="406" t="s">
        <v>1243</v>
      </c>
      <c r="B759" s="406">
        <v>213404</v>
      </c>
      <c r="C759" s="406">
        <f>+'4.CT3A'!A248</f>
        <v>213404</v>
      </c>
      <c r="D759" s="406">
        <f si="15" t="shared"/>
        <v>0</v>
      </c>
      <c r="E759" s="406" t="str">
        <f>+'4.CT3A'!B248</f>
        <v xml:space="preserve">               Хөрөнгийн</v>
      </c>
      <c r="S759" s="406" t="s">
        <v>1243</v>
      </c>
      <c r="T759" s="406">
        <v>213404</v>
      </c>
      <c r="U759" s="406" t="s">
        <v>92</v>
      </c>
    </row>
    <row r="760" spans="1:21">
      <c r="A760" s="406" t="s">
        <v>1243</v>
      </c>
      <c r="B760" s="406">
        <v>2135</v>
      </c>
      <c r="C760" s="406">
        <f>+'4.CT3A'!A249</f>
        <v>2135</v>
      </c>
      <c r="D760" s="406">
        <f si="15" t="shared"/>
        <v>0</v>
      </c>
      <c r="E760" s="406" t="str">
        <f>+'4.CT3A'!B249</f>
        <v xml:space="preserve">         Төсвийн захирагчдаас олгосон санхүүжилт, шилжүүлэг</v>
      </c>
      <c r="S760" s="406" t="s">
        <v>1243</v>
      </c>
      <c r="T760" s="406">
        <v>2135</v>
      </c>
      <c r="U760" s="406" t="s">
        <v>92</v>
      </c>
    </row>
    <row r="761" spans="1:21">
      <c r="A761" s="406" t="s">
        <v>1243</v>
      </c>
      <c r="B761" s="406">
        <v>213501</v>
      </c>
      <c r="C761" s="406">
        <f>+'4.CT3A'!A250</f>
        <v>213501</v>
      </c>
      <c r="D761" s="406">
        <f si="15" t="shared"/>
        <v>0</v>
      </c>
      <c r="E761" s="406" t="str">
        <f>+'4.CT3A'!B250</f>
        <v xml:space="preserve">               Урсгал үйл ажиллагааны санхүүжилт</v>
      </c>
      <c r="S761" s="406" t="s">
        <v>1243</v>
      </c>
      <c r="T761" s="406">
        <v>213501</v>
      </c>
      <c r="U761" s="406" t="s">
        <v>92</v>
      </c>
    </row>
    <row r="762" spans="1:21">
      <c r="A762" s="406" t="s">
        <v>1243</v>
      </c>
      <c r="B762" s="406">
        <v>213502</v>
      </c>
      <c r="C762" s="406">
        <f>+'4.CT3A'!A251</f>
        <v>213502</v>
      </c>
      <c r="D762" s="406">
        <f si="15" t="shared"/>
        <v>0</v>
      </c>
      <c r="E762" s="406" t="str">
        <f>+'4.CT3A'!B251</f>
        <v xml:space="preserve">               Засгийн газрын, Засаг даргын нөөц хөрөнгө</v>
      </c>
      <c r="S762" s="406" t="s">
        <v>1243</v>
      </c>
      <c r="T762" s="406">
        <v>213502</v>
      </c>
      <c r="U762" s="406" t="s">
        <v>92</v>
      </c>
    </row>
    <row r="763" spans="1:21">
      <c r="A763" s="406" t="s">
        <v>1243</v>
      </c>
      <c r="B763" s="406">
        <v>213503</v>
      </c>
      <c r="C763" s="406">
        <f>+'4.CT3A'!A252</f>
        <v>213503</v>
      </c>
      <c r="D763" s="406">
        <f si="15" t="shared"/>
        <v>0</v>
      </c>
      <c r="E763" s="406" t="str">
        <f>+'4.CT3A'!B252</f>
        <v xml:space="preserve">               Төвлөрүүлэх шилжүүлэг</v>
      </c>
      <c r="S763" s="406" t="s">
        <v>1243</v>
      </c>
      <c r="T763" s="406">
        <v>213503</v>
      </c>
      <c r="U763" s="406" t="s">
        <v>92</v>
      </c>
    </row>
    <row r="764" spans="1:21">
      <c r="A764" s="406" t="s">
        <v>1243</v>
      </c>
      <c r="B764" s="406">
        <v>213504</v>
      </c>
      <c r="C764" s="406">
        <f>+'4.CT3A'!A253</f>
        <v>213504</v>
      </c>
      <c r="D764" s="406">
        <f si="15" t="shared"/>
        <v>0</v>
      </c>
      <c r="E764" s="406" t="str">
        <f>+'4.CT3A'!B253</f>
        <v xml:space="preserve">               Хөрөнгийн</v>
      </c>
      <c r="S764" s="406" t="s">
        <v>1243</v>
      </c>
      <c r="T764" s="406">
        <v>213504</v>
      </c>
      <c r="U764" s="406" t="s">
        <v>92</v>
      </c>
    </row>
    <row r="765" spans="1:21">
      <c r="A765" s="406" t="s">
        <v>1243</v>
      </c>
      <c r="B765" s="406">
        <v>213505</v>
      </c>
      <c r="C765" s="406">
        <f>+'4.CT3A'!A254</f>
        <v>213505</v>
      </c>
      <c r="D765" s="406">
        <f si="15" t="shared"/>
        <v>0</v>
      </c>
      <c r="E765" s="406" t="str">
        <f>+'4.CT3A'!B254</f>
        <v xml:space="preserve">               Төсвийн ерөнхийлөн захирагч хооронд хийсэн санхүүжилт</v>
      </c>
      <c r="S765" s="406" t="s">
        <v>1243</v>
      </c>
      <c r="T765" s="406">
        <v>213505</v>
      </c>
      <c r="U765" s="406" t="s">
        <v>92</v>
      </c>
    </row>
    <row r="766" spans="1:21">
      <c r="A766" s="406" t="s">
        <v>1243</v>
      </c>
      <c r="B766" s="406">
        <v>3</v>
      </c>
      <c r="C766" s="406">
        <f>+'4.CT3A'!A255</f>
        <v>3</v>
      </c>
      <c r="D766" s="406">
        <f si="15" t="shared"/>
        <v>0</v>
      </c>
      <c r="E766" s="406" t="str">
        <f>+'4.CT3A'!B255</f>
        <v>YЙЛ АЖИЛЛАГААНЫ ЦЭВЭР МӨНГӨН ГYЙЛГЭЭ (3)=(1)-(2)</v>
      </c>
      <c r="S766" s="406" t="s">
        <v>1243</v>
      </c>
      <c r="T766" s="406">
        <v>3</v>
      </c>
      <c r="U766" s="406" t="s">
        <v>2292</v>
      </c>
    </row>
    <row r="767" spans="1:21">
      <c r="A767" s="406" t="s">
        <v>1243</v>
      </c>
      <c r="B767" s="406">
        <f>'4.CT3A'!A256</f>
        <v>0</v>
      </c>
      <c r="C767" s="406">
        <f>+'4.CT3A'!A256</f>
        <v>0</v>
      </c>
      <c r="D767" s="406">
        <f si="15" t="shared"/>
        <v>0</v>
      </c>
      <c r="E767" s="406" t="str">
        <f>+'4.CT3A'!B256</f>
        <v>ХӨРӨНГӨ ОРУУЛАЛТЫН ҮЙЛ АЖИЛЛАГААНЫ МӨНГӨН ГYЙЛГЭЭ</v>
      </c>
      <c r="S767" s="406" t="s">
        <v>1243</v>
      </c>
      <c r="T767" s="406">
        <f>'4.CT3A'!S256</f>
        <v>0</v>
      </c>
      <c r="U767" s="406" t="s">
        <v>633</v>
      </c>
    </row>
    <row r="768" spans="1:21">
      <c r="A768" s="406" t="s">
        <v>1243</v>
      </c>
      <c r="B768" s="406">
        <v>4</v>
      </c>
      <c r="C768" s="406">
        <f>+'4.CT3A'!A257</f>
        <v>4</v>
      </c>
      <c r="D768" s="406">
        <f si="15" t="shared"/>
        <v>0</v>
      </c>
      <c r="E768" s="406" t="str">
        <f>+'4.CT3A'!B257</f>
        <v>ХӨРӨНГӨ ОРУУЛАЛТЫН МӨНГӨН ОРЛОГЫН ДYН (4)</v>
      </c>
      <c r="S768" s="406" t="s">
        <v>1243</v>
      </c>
      <c r="T768" s="406">
        <v>4</v>
      </c>
      <c r="U768" s="406" t="s">
        <v>1085</v>
      </c>
    </row>
    <row r="769" spans="1:21">
      <c r="A769" s="406" t="s">
        <v>1243</v>
      </c>
      <c r="B769" s="406">
        <v>140001</v>
      </c>
      <c r="C769" s="406">
        <f>+'4.CT3A'!A258</f>
        <v>140001</v>
      </c>
      <c r="D769" s="406">
        <f si="15" t="shared"/>
        <v>0</v>
      </c>
      <c r="E769" s="406" t="str">
        <f>+'4.CT3A'!B258</f>
        <v xml:space="preserve">               Үндсэн хөрөнгө борлуулсны орлого</v>
      </c>
      <c r="S769" s="406" t="s">
        <v>1243</v>
      </c>
      <c r="T769" s="406">
        <v>140001</v>
      </c>
      <c r="U769" s="406" t="s">
        <v>32</v>
      </c>
    </row>
    <row r="770" spans="1:21">
      <c r="A770" s="406" t="s">
        <v>1243</v>
      </c>
      <c r="B770" s="406">
        <v>140002</v>
      </c>
      <c r="C770" s="406">
        <f>+'4.CT3A'!A259</f>
        <v>140002</v>
      </c>
      <c r="D770" s="406">
        <f si="15" t="shared"/>
        <v>0</v>
      </c>
      <c r="E770" s="406" t="str">
        <f>+'4.CT3A'!B259</f>
        <v xml:space="preserve">               Улсын төсвөөс олгосон зээл</v>
      </c>
      <c r="S770" s="406" t="s">
        <v>1243</v>
      </c>
      <c r="T770" s="406">
        <v>140002</v>
      </c>
      <c r="U770" s="406" t="s">
        <v>32</v>
      </c>
    </row>
    <row r="771" spans="1:21">
      <c r="A771" s="406" t="s">
        <v>1243</v>
      </c>
      <c r="B771" s="406">
        <v>140003</v>
      </c>
      <c r="C771" s="406">
        <f>+'4.CT3A'!A260</f>
        <v>140003</v>
      </c>
      <c r="D771" s="406">
        <f ref="D771:D819" si="16" t="shared">IF(B771=VALUE(C771),0,1)</f>
        <v>0</v>
      </c>
      <c r="E771" s="406" t="str">
        <f>+'4.CT3A'!B260</f>
        <v xml:space="preserve">               Бусдад олгосон зээл болон урьдчилгааны эргэн төлөлт</v>
      </c>
      <c r="S771" s="406" t="s">
        <v>1243</v>
      </c>
      <c r="T771" s="406">
        <v>140003</v>
      </c>
      <c r="U771" s="406" t="s">
        <v>32</v>
      </c>
    </row>
    <row r="772" spans="1:21">
      <c r="A772" s="406" t="s">
        <v>1243</v>
      </c>
      <c r="B772" s="406">
        <v>140004</v>
      </c>
      <c r="C772" s="406">
        <f>+'4.CT3A'!A261</f>
        <v>140004</v>
      </c>
      <c r="D772" s="406">
        <f si="16" t="shared"/>
        <v>0</v>
      </c>
      <c r="E772" s="406" t="str">
        <f>+'4.CT3A'!B261</f>
        <v xml:space="preserve">               Хөрөнгө оруулалтын олз</v>
      </c>
      <c r="S772" s="406" t="s">
        <v>1243</v>
      </c>
      <c r="T772" s="406">
        <v>140004</v>
      </c>
      <c r="U772" s="406" t="s">
        <v>32</v>
      </c>
    </row>
    <row r="773" spans="1:21">
      <c r="A773" s="406" t="s">
        <v>1243</v>
      </c>
      <c r="B773" s="406">
        <v>140005</v>
      </c>
      <c r="C773" s="406">
        <f>+'4.CT3A'!A262</f>
        <v>140005</v>
      </c>
      <c r="D773" s="406">
        <f si="16" t="shared"/>
        <v>0</v>
      </c>
      <c r="E773" s="406" t="str">
        <f>+'4.CT3A'!B262</f>
        <v xml:space="preserve">               Биет бус хөрөнгө борлуулсны орлого</v>
      </c>
      <c r="S773" s="406" t="s">
        <v>1243</v>
      </c>
      <c r="T773" s="406">
        <v>140005</v>
      </c>
      <c r="U773" s="406" t="s">
        <v>32</v>
      </c>
    </row>
    <row r="774" spans="1:21">
      <c r="A774" s="406" t="s">
        <v>1243</v>
      </c>
      <c r="B774" s="406">
        <v>140006</v>
      </c>
      <c r="C774" s="406">
        <f>+'4.CT3A'!A263</f>
        <v>140006</v>
      </c>
      <c r="D774" s="406">
        <f si="16" t="shared"/>
        <v>0</v>
      </c>
      <c r="E774" s="406" t="str">
        <f>+'4.CT3A'!B263</f>
        <v xml:space="preserve">               Бусад урт хугацаат хөрөнгө борлуулсны орлого</v>
      </c>
      <c r="S774" s="406" t="s">
        <v>1243</v>
      </c>
      <c r="T774" s="406">
        <v>140006</v>
      </c>
      <c r="U774" s="406" t="s">
        <v>32</v>
      </c>
    </row>
    <row r="775" spans="1:21">
      <c r="A775" s="406" t="s">
        <v>1243</v>
      </c>
      <c r="B775" s="406">
        <v>140007</v>
      </c>
      <c r="C775" s="406">
        <f>+'4.CT3A'!A264</f>
        <v>140007</v>
      </c>
      <c r="D775" s="406">
        <f si="16" t="shared"/>
        <v>0</v>
      </c>
      <c r="E775" s="406" t="str">
        <f>+'4.CT3A'!B264</f>
        <v xml:space="preserve">               Хүлээн авсан хүүний орлого</v>
      </c>
      <c r="S775" s="406" t="s">
        <v>1243</v>
      </c>
      <c r="T775" s="406">
        <v>140007</v>
      </c>
      <c r="U775" s="406" t="s">
        <v>32</v>
      </c>
    </row>
    <row r="776" spans="1:21">
      <c r="A776" s="406" t="s">
        <v>1243</v>
      </c>
      <c r="B776" s="406">
        <v>140008</v>
      </c>
      <c r="C776" s="406">
        <f>+'4.CT3A'!A265</f>
        <v>140008</v>
      </c>
      <c r="D776" s="406">
        <f si="16" t="shared"/>
        <v>0</v>
      </c>
      <c r="E776" s="406" t="str">
        <f>+'4.CT3A'!B265</f>
        <v xml:space="preserve">               Хүлээн авсан ногдол ашиг</v>
      </c>
      <c r="S776" s="406" t="s">
        <v>1243</v>
      </c>
      <c r="T776" s="406">
        <v>140008</v>
      </c>
      <c r="U776" s="406" t="s">
        <v>32</v>
      </c>
    </row>
    <row r="777" spans="1:21">
      <c r="A777" s="406" t="s">
        <v>1243</v>
      </c>
      <c r="B777" s="406">
        <v>5</v>
      </c>
      <c r="C777" s="406">
        <f>+'4.CT3A'!A266</f>
        <v>5</v>
      </c>
      <c r="D777" s="406">
        <f si="16" t="shared"/>
        <v>0</v>
      </c>
      <c r="E777" s="406" t="str">
        <f>+'4.CT3A'!B266</f>
        <v>ХӨРӨНГӨ ОРУУЛАЛТЫН МӨНГӨН ЗАРДЛЫН ДYН (5)</v>
      </c>
      <c r="S777" s="406" t="s">
        <v>1243</v>
      </c>
      <c r="T777" s="406">
        <v>5</v>
      </c>
      <c r="U777" s="406" t="s">
        <v>2293</v>
      </c>
    </row>
    <row r="778" spans="1:21">
      <c r="A778" s="406" t="s">
        <v>1243</v>
      </c>
      <c r="B778" s="406">
        <v>22</v>
      </c>
      <c r="C778" s="406">
        <f>+'4.CT3A'!A267</f>
        <v>22</v>
      </c>
      <c r="D778" s="406">
        <f si="16" t="shared"/>
        <v>0</v>
      </c>
      <c r="E778" s="406" t="str">
        <f>+'4.CT3A'!B267</f>
        <v xml:space="preserve">   ХӨРӨНГИЙН ЗАРДАЛ</v>
      </c>
      <c r="S778" s="406" t="s">
        <v>1243</v>
      </c>
      <c r="T778" s="406">
        <v>22</v>
      </c>
      <c r="U778" s="406" t="s">
        <v>92</v>
      </c>
    </row>
    <row r="779" spans="1:21">
      <c r="A779" s="406" t="s">
        <v>1243</v>
      </c>
      <c r="B779" s="406">
        <v>2200</v>
      </c>
      <c r="C779" s="406">
        <f>+'4.CT3A'!A268</f>
        <v>2200</v>
      </c>
      <c r="D779" s="406">
        <f si="16" t="shared"/>
        <v>0</v>
      </c>
      <c r="E779" s="406" t="str">
        <f>+'4.CT3A'!B268</f>
        <v xml:space="preserve">      Дотоод эх үүсвэрээр</v>
      </c>
      <c r="S779" s="406" t="s">
        <v>1243</v>
      </c>
      <c r="T779" s="406">
        <v>2200</v>
      </c>
      <c r="U779" s="406" t="s">
        <v>92</v>
      </c>
    </row>
    <row r="780" spans="1:21">
      <c r="A780" s="406" t="s">
        <v>1243</v>
      </c>
      <c r="B780" s="406">
        <v>220001</v>
      </c>
      <c r="C780" s="406">
        <f>+'4.CT3A'!A269</f>
        <v>220001</v>
      </c>
      <c r="D780" s="406">
        <f si="16" t="shared"/>
        <v>0</v>
      </c>
      <c r="E780" s="406" t="str">
        <f>+'4.CT3A'!B269</f>
        <v xml:space="preserve">         Барилга байгууламж</v>
      </c>
      <c r="S780" s="406" t="s">
        <v>1243</v>
      </c>
      <c r="T780" s="406">
        <v>220001</v>
      </c>
      <c r="U780" s="406" t="s">
        <v>92</v>
      </c>
    </row>
    <row r="781" spans="1:21">
      <c r="A781" s="406" t="s">
        <v>1243</v>
      </c>
      <c r="B781" s="406">
        <v>221001</v>
      </c>
      <c r="C781" s="406">
        <f>+'4.CT3A'!A270</f>
        <v>221001</v>
      </c>
      <c r="D781" s="406">
        <f si="16" t="shared"/>
        <v>0</v>
      </c>
      <c r="E781" s="406" t="str">
        <f>+'4.CT3A'!B270</f>
        <v xml:space="preserve">         Их засвар</v>
      </c>
      <c r="S781" s="406" t="s">
        <v>1243</v>
      </c>
      <c r="T781" s="406">
        <v>221001</v>
      </c>
      <c r="U781" s="406" t="s">
        <v>92</v>
      </c>
    </row>
    <row r="782" spans="1:21">
      <c r="A782" s="406" t="s">
        <v>1243</v>
      </c>
      <c r="B782" s="406">
        <v>222001</v>
      </c>
      <c r="C782" s="406">
        <f>+'4.CT3A'!A271</f>
        <v>222001</v>
      </c>
      <c r="D782" s="406">
        <f si="16" t="shared"/>
        <v>0</v>
      </c>
      <c r="E782" s="406" t="str">
        <f>+'4.CT3A'!B271</f>
        <v xml:space="preserve">         Тоног төхөөрөмж</v>
      </c>
      <c r="S782" s="406" t="s">
        <v>1243</v>
      </c>
      <c r="T782" s="406">
        <v>222001</v>
      </c>
      <c r="U782" s="406" t="s">
        <v>92</v>
      </c>
    </row>
    <row r="783" spans="1:21">
      <c r="A783" s="406" t="s">
        <v>1243</v>
      </c>
      <c r="B783" s="406">
        <v>223001</v>
      </c>
      <c r="C783" s="406">
        <f>+'4.CT3A'!A272</f>
        <v>223001</v>
      </c>
      <c r="D783" s="406">
        <f si="16" t="shared"/>
        <v>0</v>
      </c>
      <c r="E783" s="406" t="str">
        <f>+'4.CT3A'!B272</f>
        <v xml:space="preserve">         Бусад хөрөнгө</v>
      </c>
      <c r="S783" s="406" t="s">
        <v>1243</v>
      </c>
      <c r="T783" s="406">
        <v>223001</v>
      </c>
      <c r="U783" s="406" t="s">
        <v>92</v>
      </c>
    </row>
    <row r="784" spans="1:21">
      <c r="A784" s="406" t="s">
        <v>1243</v>
      </c>
      <c r="B784" s="406">
        <v>224001</v>
      </c>
      <c r="C784" s="406">
        <f>+'4.CT3A'!A273</f>
        <v>224001</v>
      </c>
      <c r="D784" s="406">
        <f si="16" t="shared"/>
        <v>0</v>
      </c>
      <c r="E784" s="406" t="str">
        <f>+'4.CT3A'!B273</f>
        <v xml:space="preserve">         Стратегийн нөөц хөрөнгө</v>
      </c>
      <c r="S784" s="406" t="s">
        <v>1243</v>
      </c>
      <c r="T784" s="406">
        <v>224001</v>
      </c>
      <c r="U784" s="406" t="s">
        <v>92</v>
      </c>
    </row>
    <row r="785" spans="1:21">
      <c r="A785" s="406" t="s">
        <v>1243</v>
      </c>
      <c r="B785" s="406">
        <v>225101</v>
      </c>
      <c r="C785" s="406">
        <f>+'4.CT3A'!A274</f>
        <v>225101</v>
      </c>
      <c r="D785" s="406">
        <f si="16" t="shared"/>
        <v>0</v>
      </c>
      <c r="E785" s="406" t="str">
        <f>+'4.CT3A'!B274</f>
        <v xml:space="preserve">         Үндсэн хөрөнгө олж эзэмшихэд төлсөн   /ТӨҮГ/</v>
      </c>
      <c r="S785" s="406" t="s">
        <v>1243</v>
      </c>
      <c r="T785" s="406">
        <v>225101</v>
      </c>
      <c r="U785" s="406" t="s">
        <v>92</v>
      </c>
    </row>
    <row r="786" spans="1:21">
      <c r="A786" s="406" t="s">
        <v>1243</v>
      </c>
      <c r="B786" s="406">
        <v>225102</v>
      </c>
      <c r="C786" s="406">
        <f>+'4.CT3A'!A275</f>
        <v>225102</v>
      </c>
      <c r="D786" s="406">
        <f si="16" t="shared"/>
        <v>0</v>
      </c>
      <c r="E786" s="406" t="str">
        <f>+'4.CT3A'!B275</f>
        <v xml:space="preserve">          Биет бус хөрөнгө олж эзэмшихэд төлсөн  /ТӨҮГ/</v>
      </c>
      <c r="S786" s="406" t="s">
        <v>1243</v>
      </c>
      <c r="T786" s="406">
        <v>225102</v>
      </c>
      <c r="U786" s="406" t="s">
        <v>92</v>
      </c>
    </row>
    <row r="787" spans="1:21">
      <c r="A787" s="406" t="s">
        <v>1243</v>
      </c>
      <c r="B787" s="406">
        <v>225103</v>
      </c>
      <c r="C787" s="406">
        <f>+'4.CT3A'!A276</f>
        <v>225103</v>
      </c>
      <c r="D787" s="406">
        <f si="16" t="shared"/>
        <v>0</v>
      </c>
      <c r="E787" s="406" t="str">
        <f>+'4.CT3A'!B276</f>
        <v xml:space="preserve">          Хөрөнгө оруулалт олж эзэмшихэд төлсөн  /ТӨҮГ/</v>
      </c>
      <c r="S787" s="406" t="s">
        <v>1243</v>
      </c>
      <c r="T787" s="406">
        <v>225103</v>
      </c>
      <c r="U787" s="406" t="s">
        <v>92</v>
      </c>
    </row>
    <row r="788" spans="1:21">
      <c r="A788" s="406" t="s">
        <v>1243</v>
      </c>
      <c r="B788" s="406">
        <v>225104</v>
      </c>
      <c r="C788" s="406">
        <f>+'4.CT3A'!A277</f>
        <v>225104</v>
      </c>
      <c r="D788" s="406">
        <f si="16" t="shared"/>
        <v>0</v>
      </c>
      <c r="E788" s="406" t="str">
        <f>+'4.CT3A'!B277</f>
        <v xml:space="preserve">          Бусад урт хугацаат хөрөнгө олж эзэмшихэд төлсөн  /ТӨҮГ/</v>
      </c>
      <c r="S788" s="406" t="s">
        <v>1243</v>
      </c>
      <c r="T788" s="406">
        <v>225104</v>
      </c>
      <c r="U788" s="406" t="s">
        <v>92</v>
      </c>
    </row>
    <row r="789" spans="1:21">
      <c r="A789" s="406" t="s">
        <v>1243</v>
      </c>
      <c r="B789" s="406">
        <v>225105</v>
      </c>
      <c r="C789" s="406">
        <f>+'4.CT3A'!A278</f>
        <v>225105</v>
      </c>
      <c r="D789" s="406">
        <f si="16" t="shared"/>
        <v>0</v>
      </c>
      <c r="E789" s="406" t="str">
        <f>+'4.CT3A'!B278</f>
        <v xml:space="preserve">          Бусдад олгосон зээл болон урьдчилгаа   /ТӨҮГ/</v>
      </c>
      <c r="S789" s="406" t="s">
        <v>1243</v>
      </c>
      <c r="T789" s="406">
        <v>225105</v>
      </c>
      <c r="U789" s="406" t="s">
        <v>92</v>
      </c>
    </row>
    <row r="790" spans="1:21">
      <c r="A790" s="406" t="s">
        <v>1243</v>
      </c>
      <c r="B790" s="406">
        <v>225106</v>
      </c>
      <c r="C790" s="406">
        <f>+'4.CT3A'!A279</f>
        <v>225106</v>
      </c>
      <c r="D790" s="406">
        <f si="16" t="shared"/>
        <v>0</v>
      </c>
      <c r="E790" s="406" t="str">
        <f>+'4.CT3A'!B279</f>
        <v xml:space="preserve">         Биет ба биет бус хөрөнгө худалдан авсан зардал</v>
      </c>
      <c r="S790" s="406" t="s">
        <v>1243</v>
      </c>
      <c r="T790" s="406">
        <v>225106</v>
      </c>
      <c r="U790" s="406" t="s">
        <v>92</v>
      </c>
    </row>
    <row r="791" spans="1:21">
      <c r="A791" s="406" t="s">
        <v>1243</v>
      </c>
      <c r="B791" s="406">
        <v>2260</v>
      </c>
      <c r="C791" s="406">
        <f>+'4.CT3A'!A280</f>
        <v>2260</v>
      </c>
      <c r="D791" s="406">
        <f si="16" t="shared"/>
        <v>0</v>
      </c>
      <c r="E791" s="406" t="str">
        <f>+'4.CT3A'!B280</f>
        <v xml:space="preserve">     Гадаад эх үүсвэрээр</v>
      </c>
      <c r="S791" s="406" t="s">
        <v>1243</v>
      </c>
      <c r="T791" s="406">
        <v>2260</v>
      </c>
      <c r="U791" s="406" t="s">
        <v>92</v>
      </c>
    </row>
    <row r="792" spans="1:21">
      <c r="A792" s="406" t="s">
        <v>1243</v>
      </c>
      <c r="B792" s="406">
        <v>226001</v>
      </c>
      <c r="C792" s="406">
        <f>+'4.CT3A'!A281</f>
        <v>226001</v>
      </c>
      <c r="D792" s="406">
        <f si="16" t="shared"/>
        <v>0</v>
      </c>
      <c r="E792" s="406" t="str">
        <f>+'4.CT3A'!B281</f>
        <v xml:space="preserve">          Гадаад эх үүсвэрээр</v>
      </c>
      <c r="S792" s="406" t="s">
        <v>1243</v>
      </c>
      <c r="T792" s="406">
        <v>226001</v>
      </c>
      <c r="U792" s="406" t="s">
        <v>92</v>
      </c>
    </row>
    <row r="793" spans="1:21">
      <c r="A793" s="406" t="s">
        <v>1243</v>
      </c>
      <c r="B793" s="406">
        <v>6</v>
      </c>
      <c r="C793" s="406">
        <f>+'4.CT3A'!A282</f>
        <v>6</v>
      </c>
      <c r="D793" s="406">
        <f si="16" t="shared"/>
        <v>0</v>
      </c>
      <c r="E793" s="406" t="str">
        <f>+'4.CT3A'!B282</f>
        <v>ХӨРӨНГӨ ОРУУЛАЛТЫН ҮЙЛ АЖИЛЛАГААНЫ ЦЭВЭР МӨНГӨН ГYЙЛГЭЭ (6)=(4)-(5)</v>
      </c>
      <c r="S793" s="406" t="s">
        <v>1243</v>
      </c>
      <c r="T793" s="406">
        <v>6</v>
      </c>
      <c r="U793" s="406" t="s">
        <v>2294</v>
      </c>
    </row>
    <row r="794" spans="1:21">
      <c r="A794" s="406" t="s">
        <v>1243</v>
      </c>
      <c r="B794" s="406">
        <f>+'4.CT3A'!A283</f>
        <v>0</v>
      </c>
      <c r="C794" s="406">
        <f>+'4.CT3A'!A283</f>
        <v>0</v>
      </c>
      <c r="D794" s="406">
        <f si="16" t="shared"/>
        <v>0</v>
      </c>
      <c r="E794" s="406" t="str">
        <f>+'4.CT3A'!B283</f>
        <v>САНХYYГИЙН YЙЛ АЖИЛЛАГААНЫ МӨНГӨН ГYЙЛГЭЭ</v>
      </c>
      <c r="S794" s="406" t="s">
        <v>1243</v>
      </c>
      <c r="T794" s="406">
        <f>+'4.CT3A'!S283</f>
        <v>0</v>
      </c>
      <c r="U794" s="406" t="s">
        <v>1051</v>
      </c>
    </row>
    <row r="795" spans="1:21">
      <c r="A795" s="406" t="s">
        <v>1243</v>
      </c>
      <c r="B795" s="406">
        <v>14</v>
      </c>
      <c r="C795" s="406">
        <f>+'4.CT3A'!A284</f>
        <v>14</v>
      </c>
      <c r="D795" s="406">
        <f si="16" t="shared"/>
        <v>0</v>
      </c>
      <c r="E795" s="406" t="str">
        <f>+'4.CT3A'!B284</f>
        <v xml:space="preserve">    Бусад эх үүсвэр</v>
      </c>
      <c r="S795" s="406" t="s">
        <v>1243</v>
      </c>
      <c r="T795" s="406">
        <v>14</v>
      </c>
      <c r="U795" s="406" t="s">
        <v>32</v>
      </c>
    </row>
    <row r="796" spans="1:21">
      <c r="A796" s="406" t="s">
        <v>1243</v>
      </c>
      <c r="B796" s="406">
        <v>145004</v>
      </c>
      <c r="C796" s="406">
        <f>+'4.CT3A'!A285</f>
        <v>145004</v>
      </c>
      <c r="D796" s="406">
        <f si="16" t="shared"/>
        <v>0</v>
      </c>
      <c r="E796" s="406" t="str">
        <f>+'4.CT3A'!B285</f>
        <v xml:space="preserve">      Дотоод эх үүсвэрээс олгосон зээлээс эргэж төлөгдөх</v>
      </c>
      <c r="S796" s="406" t="s">
        <v>1243</v>
      </c>
      <c r="T796" s="406">
        <v>145004</v>
      </c>
      <c r="U796" s="406" t="s">
        <v>32</v>
      </c>
    </row>
    <row r="797" spans="1:21">
      <c r="A797" s="406" t="s">
        <v>1243</v>
      </c>
      <c r="B797" s="406">
        <v>145005</v>
      </c>
      <c r="C797" s="406">
        <f>+'4.CT3A'!A286</f>
        <v>145005</v>
      </c>
      <c r="D797" s="406">
        <f si="16" t="shared"/>
        <v>0</v>
      </c>
      <c r="E797" s="406" t="str">
        <f>+'4.CT3A'!B286</f>
        <v xml:space="preserve">      Дамжуулан зээлдүүлэх зээлээс эргэж төлөгдөх</v>
      </c>
      <c r="S797" s="406" t="s">
        <v>1243</v>
      </c>
      <c r="T797" s="406">
        <v>145005</v>
      </c>
      <c r="U797" s="406" t="s">
        <v>32</v>
      </c>
    </row>
    <row r="798" spans="1:21">
      <c r="A798" s="406" t="s">
        <v>1243</v>
      </c>
      <c r="B798" s="406">
        <v>145006</v>
      </c>
      <c r="C798" s="406">
        <f>+'4.CT3A'!A287</f>
        <v>145006</v>
      </c>
      <c r="D798" s="406">
        <f si="16" t="shared"/>
        <v>0</v>
      </c>
      <c r="E798" s="406" t="str">
        <f>+'4.CT3A'!B287</f>
        <v xml:space="preserve">      Гадаадын санхүүгийн зах зээлээс санхүүжих</v>
      </c>
      <c r="S798" s="406" t="s">
        <v>1243</v>
      </c>
      <c r="T798" s="406">
        <v>145006</v>
      </c>
      <c r="U798" s="406" t="s">
        <v>32</v>
      </c>
    </row>
    <row r="799" spans="1:21">
      <c r="A799" s="406" t="s">
        <v>1243</v>
      </c>
      <c r="B799" s="406">
        <v>145007</v>
      </c>
      <c r="C799" s="406">
        <f>+'4.CT3A'!A288</f>
        <v>145007</v>
      </c>
      <c r="D799" s="406">
        <f si="16" t="shared"/>
        <v>0</v>
      </c>
      <c r="E799" s="406" t="str">
        <f>+'4.CT3A'!B288</f>
        <v xml:space="preserve">      Зээл авсан, өрийн үнэт цаас гаргаснаас хүлээн авсан</v>
      </c>
      <c r="S799" s="406" t="s">
        <v>1243</v>
      </c>
      <c r="T799" s="406">
        <v>145007</v>
      </c>
      <c r="U799" s="406" t="s">
        <v>32</v>
      </c>
    </row>
    <row r="800" spans="1:21">
      <c r="A800" s="406" t="s">
        <v>1243</v>
      </c>
      <c r="B800" s="406">
        <v>145008</v>
      </c>
      <c r="C800" s="406">
        <f>+'4.CT3A'!A289</f>
        <v>145008</v>
      </c>
      <c r="D800" s="406">
        <f si="16" t="shared"/>
        <v>0</v>
      </c>
      <c r="E800" s="406" t="str">
        <f>+'4.CT3A'!B289</f>
        <v xml:space="preserve">      Хувьцаа болон өмчийн бусад үнэт цаас гаргаснаас хүлээн авсан</v>
      </c>
      <c r="S800" s="406" t="s">
        <v>1243</v>
      </c>
      <c r="T800" s="406">
        <v>145008</v>
      </c>
      <c r="U800" s="406" t="s">
        <v>32</v>
      </c>
    </row>
    <row r="801" spans="1:21">
      <c r="A801" s="406" t="s">
        <v>1243</v>
      </c>
      <c r="B801" s="406">
        <v>145009</v>
      </c>
      <c r="C801" s="406">
        <f>+'4.CT3A'!A290</f>
        <v>145009</v>
      </c>
      <c r="D801" s="406">
        <f si="16" t="shared"/>
        <v>0</v>
      </c>
      <c r="E801" s="406" t="str">
        <f>+'4.CT3A'!B290</f>
        <v xml:space="preserve">      Төрөл бүрийн хандив</v>
      </c>
      <c r="S801" s="406" t="s">
        <v>1243</v>
      </c>
      <c r="T801" s="406">
        <v>145009</v>
      </c>
      <c r="U801" s="406" t="s">
        <v>32</v>
      </c>
    </row>
    <row r="802" spans="1:21">
      <c r="A802" s="406" t="s">
        <v>1243</v>
      </c>
      <c r="B802" s="406">
        <v>23</v>
      </c>
      <c r="C802" s="406">
        <f>+'4.CT3A'!A291</f>
        <v>23</v>
      </c>
      <c r="D802" s="406">
        <f si="16" t="shared"/>
        <v>0</v>
      </c>
      <c r="E802" s="406" t="str">
        <f>+'4.CT3A'!B291</f>
        <v xml:space="preserve">   ЭPГЭЖ ТӨЛӨГДӨХ ТӨЛБӨРИЙГ ХАССАН ЦЭВЭР ЗЭЭЛ</v>
      </c>
      <c r="S802" s="406" t="s">
        <v>1243</v>
      </c>
      <c r="T802" s="406">
        <v>23</v>
      </c>
      <c r="U802" s="406" t="s">
        <v>92</v>
      </c>
    </row>
    <row r="803" spans="1:21">
      <c r="A803" s="406" t="s">
        <v>1243</v>
      </c>
      <c r="B803" s="406">
        <v>230001</v>
      </c>
      <c r="C803" s="406">
        <f>+'4.CT3A'!A292</f>
        <v>230001</v>
      </c>
      <c r="D803" s="406">
        <f si="16" t="shared"/>
        <v>0</v>
      </c>
      <c r="E803" s="406" t="str">
        <f>+'4.CT3A'!B292</f>
        <v xml:space="preserve">               Эргэж төлөгдөх зээл</v>
      </c>
      <c r="S803" s="406" t="s">
        <v>1243</v>
      </c>
      <c r="T803" s="406">
        <v>230001</v>
      </c>
      <c r="U803" s="406" t="s">
        <v>92</v>
      </c>
    </row>
    <row r="804" spans="1:21">
      <c r="A804" s="406" t="s">
        <v>1243</v>
      </c>
      <c r="B804" s="406">
        <v>231001</v>
      </c>
      <c r="C804" s="406">
        <f>+'4.CT3A'!A293</f>
        <v>231001</v>
      </c>
      <c r="D804" s="406">
        <f si="16" t="shared"/>
        <v>0</v>
      </c>
      <c r="E804" s="406" t="str">
        <f>+'4.CT3A'!B293</f>
        <v xml:space="preserve">               Гадаадын санхүүгийн зах зээлээс санхүүжих зээл</v>
      </c>
      <c r="S804" s="406" t="s">
        <v>1243</v>
      </c>
      <c r="T804" s="406">
        <v>231001</v>
      </c>
      <c r="U804" s="406" t="s">
        <v>92</v>
      </c>
    </row>
    <row r="805" spans="1:21">
      <c r="A805" s="406" t="s">
        <v>1243</v>
      </c>
      <c r="B805" s="406">
        <v>232001</v>
      </c>
      <c r="C805" s="406">
        <f>+'4.CT3A'!A294</f>
        <v>232001</v>
      </c>
      <c r="D805" s="406">
        <f si="16" t="shared"/>
        <v>0</v>
      </c>
      <c r="E805" s="406" t="str">
        <f>+'4.CT3A'!B294</f>
        <v xml:space="preserve">               Гадаадын төслийн зээлээс санхүүжих зээл</v>
      </c>
      <c r="S805" s="406" t="s">
        <v>1243</v>
      </c>
      <c r="T805" s="406">
        <v>232001</v>
      </c>
      <c r="U805" s="406" t="s">
        <v>92</v>
      </c>
    </row>
    <row r="806" spans="1:21">
      <c r="A806" s="406" t="s">
        <v>1243</v>
      </c>
      <c r="B806" s="406">
        <v>24</v>
      </c>
      <c r="C806" s="406">
        <f>+'4.CT3A'!A295</f>
        <v>24</v>
      </c>
      <c r="D806" s="406">
        <f si="16" t="shared"/>
        <v>0</v>
      </c>
      <c r="E806" s="406" t="str">
        <f>+'4.CT3A'!B295</f>
        <v xml:space="preserve">   ГАДААД ЗЭЭЛИЙН ҮНДСЭН ТӨЛБӨР</v>
      </c>
      <c r="S806" s="406" t="s">
        <v>1243</v>
      </c>
      <c r="T806" s="406">
        <v>24</v>
      </c>
      <c r="U806" s="406" t="s">
        <v>92</v>
      </c>
    </row>
    <row r="807" spans="1:21">
      <c r="A807" s="406" t="s">
        <v>1243</v>
      </c>
      <c r="B807" s="406">
        <v>240001</v>
      </c>
      <c r="C807" s="406">
        <f>+'4.CT3A'!A296</f>
        <v>240001</v>
      </c>
      <c r="D807" s="406">
        <f si="16" t="shared"/>
        <v>0</v>
      </c>
      <c r="E807" s="406" t="str">
        <f>+'4.CT3A'!B296</f>
        <v xml:space="preserve">               Гадаад зээлийн үндсэн төлбөр</v>
      </c>
      <c r="S807" s="406" t="s">
        <v>1243</v>
      </c>
      <c r="T807" s="406">
        <v>240001</v>
      </c>
      <c r="U807" s="406" t="s">
        <v>92</v>
      </c>
    </row>
    <row r="808" spans="1:21">
      <c r="A808" s="406" t="s">
        <v>1243</v>
      </c>
      <c r="B808" s="406">
        <v>241001</v>
      </c>
      <c r="C808" s="406">
        <f>+'4.CT3A'!A297</f>
        <v>241001</v>
      </c>
      <c r="D808" s="406">
        <f si="16" t="shared"/>
        <v>0</v>
      </c>
      <c r="E808" s="406" t="str">
        <f>+'4.CT3A'!B297</f>
        <v xml:space="preserve">               Засгийн газрын бондын үндсэн төлбөр</v>
      </c>
      <c r="S808" s="406" t="s">
        <v>1243</v>
      </c>
      <c r="T808" s="406">
        <v>241001</v>
      </c>
      <c r="U808" s="406" t="s">
        <v>92</v>
      </c>
    </row>
    <row r="809" spans="1:21">
      <c r="A809" s="406" t="s">
        <v>1243</v>
      </c>
      <c r="B809" s="406">
        <v>242001</v>
      </c>
      <c r="C809" s="406">
        <f>+'4.CT3A'!A298</f>
        <v>242001</v>
      </c>
      <c r="D809" s="406">
        <f si="16" t="shared"/>
        <v>0</v>
      </c>
      <c r="E809" s="406" t="str">
        <f>+'4.CT3A'!B298</f>
        <v xml:space="preserve">               Засгийн газрын үнэт цаасны үндсэн төлбөр</v>
      </c>
      <c r="S809" s="406" t="s">
        <v>1243</v>
      </c>
      <c r="T809" s="406">
        <v>242001</v>
      </c>
      <c r="U809" s="406" t="s">
        <v>92</v>
      </c>
    </row>
    <row r="810" spans="1:21">
      <c r="A810" s="406" t="s">
        <v>1243</v>
      </c>
      <c r="B810" s="406">
        <v>25</v>
      </c>
      <c r="C810" s="406">
        <f>+'4.CT3A'!A299</f>
        <v>25</v>
      </c>
      <c r="D810" s="406">
        <f si="16" t="shared"/>
        <v>0</v>
      </c>
      <c r="E810" s="406" t="str">
        <f>+'4.CT3A'!B299</f>
        <v xml:space="preserve">   Санхүүгийн үйл ажиллагааны зардал</v>
      </c>
      <c r="S810" s="406" t="s">
        <v>1243</v>
      </c>
      <c r="T810" s="406">
        <v>25</v>
      </c>
      <c r="U810" s="406" t="s">
        <v>92</v>
      </c>
    </row>
    <row r="811" spans="1:21">
      <c r="A811" s="406" t="s">
        <v>1243</v>
      </c>
      <c r="B811" s="406">
        <v>250001</v>
      </c>
      <c r="C811" s="406">
        <f>+'4.CT3A'!A300</f>
        <v>250001</v>
      </c>
      <c r="D811" s="406">
        <f si="16" t="shared"/>
        <v>0</v>
      </c>
      <c r="E811" s="406" t="str">
        <f>+'4.CT3A'!B300</f>
        <v xml:space="preserve">               Гадаад валютын ханшийн зөрүү</v>
      </c>
      <c r="S811" s="406" t="s">
        <v>1243</v>
      </c>
      <c r="T811" s="406">
        <v>250001</v>
      </c>
      <c r="U811" s="406" t="s">
        <v>92</v>
      </c>
    </row>
    <row r="812" spans="1:21">
      <c r="A812" s="406" t="s">
        <v>1243</v>
      </c>
      <c r="B812" s="406">
        <v>250002</v>
      </c>
      <c r="C812" s="406">
        <f>+'4.CT3A'!A301</f>
        <v>250002</v>
      </c>
      <c r="D812" s="406">
        <f si="16" t="shared"/>
        <v>0</v>
      </c>
      <c r="E812" s="406" t="str">
        <f>+'4.CT3A'!B301</f>
        <v xml:space="preserve">               Зээл, өрийн үнэт цаасны төлбөрт төлсөн мөнгө</v>
      </c>
      <c r="S812" s="406" t="s">
        <v>1243</v>
      </c>
      <c r="T812" s="406">
        <v>250002</v>
      </c>
      <c r="U812" s="406" t="s">
        <v>92</v>
      </c>
    </row>
    <row r="813" spans="1:21">
      <c r="A813" s="406" t="s">
        <v>1243</v>
      </c>
      <c r="B813" s="406">
        <v>250003</v>
      </c>
      <c r="C813" s="406">
        <f>+'4.CT3A'!A302</f>
        <v>250003</v>
      </c>
      <c r="D813" s="406">
        <f si="16" t="shared"/>
        <v>0</v>
      </c>
      <c r="E813" s="406" t="str">
        <f>+'4.CT3A'!B302</f>
        <v xml:space="preserve">               Санхүүгийн түрээсийн өглөгт төлсөн</v>
      </c>
      <c r="S813" s="406" t="s">
        <v>1243</v>
      </c>
      <c r="T813" s="406">
        <v>250003</v>
      </c>
      <c r="U813" s="406" t="s">
        <v>92</v>
      </c>
    </row>
    <row r="814" spans="1:21">
      <c r="A814" s="406" t="s">
        <v>1243</v>
      </c>
      <c r="B814" s="406">
        <v>250004</v>
      </c>
      <c r="C814" s="406">
        <f>+'4.CT3A'!A303</f>
        <v>250004</v>
      </c>
      <c r="D814" s="406">
        <f si="16" t="shared"/>
        <v>0</v>
      </c>
      <c r="E814" s="406" t="str">
        <f>+'4.CT3A'!B303</f>
        <v xml:space="preserve">               Хувьцаа буцаан худалдаж авахад төлсөн</v>
      </c>
      <c r="S814" s="406" t="s">
        <v>1243</v>
      </c>
      <c r="T814" s="406">
        <v>250004</v>
      </c>
      <c r="U814" s="406" t="s">
        <v>92</v>
      </c>
    </row>
    <row r="815" spans="1:21">
      <c r="A815" s="406" t="s">
        <v>1243</v>
      </c>
      <c r="B815" s="406">
        <v>250005</v>
      </c>
      <c r="C815" s="406">
        <f>+'4.CT3A'!A304</f>
        <v>250005</v>
      </c>
      <c r="D815" s="406">
        <f si="16" t="shared"/>
        <v>0</v>
      </c>
      <c r="E815" s="406" t="str">
        <f>+'4.CT3A'!B304</f>
        <v xml:space="preserve">               Төлсөн ногдол ашиг</v>
      </c>
      <c r="S815" s="406" t="s">
        <v>1243</v>
      </c>
      <c r="T815" s="406">
        <v>250005</v>
      </c>
      <c r="U815" s="406" t="s">
        <v>92</v>
      </c>
    </row>
    <row r="816" spans="1:21">
      <c r="A816" s="406" t="s">
        <v>1243</v>
      </c>
      <c r="B816" s="406">
        <v>7</v>
      </c>
      <c r="C816" s="406">
        <f>+'4.CT3A'!A305</f>
        <v>7</v>
      </c>
      <c r="D816" s="406">
        <f si="16" t="shared"/>
        <v>0</v>
      </c>
      <c r="E816" s="406" t="str">
        <f>+'4.CT3A'!B305</f>
        <v>САНХYYГИЙН YЙЛ АЖИЛЛАГААНЫ ЦЭВЭР МӨНГӨН ГYЙЛГЭЭ</v>
      </c>
      <c r="S816" s="406" t="s">
        <v>1243</v>
      </c>
      <c r="T816" s="406">
        <v>7</v>
      </c>
      <c r="U816" s="406" t="s">
        <v>2295</v>
      </c>
    </row>
    <row r="817" spans="1:21">
      <c r="A817" s="406" t="s">
        <v>1243</v>
      </c>
      <c r="B817" s="406">
        <v>8</v>
      </c>
      <c r="C817" s="894">
        <f>+'4.CT3A'!A306</f>
        <v>8</v>
      </c>
      <c r="D817" s="406">
        <f si="16" t="shared"/>
        <v>0</v>
      </c>
      <c r="E817" s="892" t="str">
        <f>+'4.CT3A'!B306</f>
        <v>НИЙТ ЦЭВЭР МӨНГӨН ГYЙЛГЭЭ (8)=(3)+(6)+(7)</v>
      </c>
      <c r="S817" s="406" t="s">
        <v>1243</v>
      </c>
      <c r="T817" s="406">
        <v>8</v>
      </c>
      <c r="U817" s="406" t="s">
        <v>2296</v>
      </c>
    </row>
    <row r="818" spans="1:21">
      <c r="A818" s="406" t="s">
        <v>1243</v>
      </c>
      <c r="B818" s="406">
        <v>9</v>
      </c>
      <c r="C818" s="894">
        <f>+'4.CT3A'!A307</f>
        <v>9</v>
      </c>
      <c r="D818" s="406">
        <f si="16" t="shared"/>
        <v>0</v>
      </c>
      <c r="E818" s="892" t="str">
        <f>+'4.CT3A'!B307</f>
        <v>Мөнгө, түүнтэй адилтгах хөрөнгийн эхний үлдэгдэл</v>
      </c>
      <c r="S818" s="406" t="s">
        <v>1243</v>
      </c>
      <c r="T818" s="406">
        <v>9</v>
      </c>
      <c r="U818" s="406" t="s">
        <v>478</v>
      </c>
    </row>
    <row r="819" spans="1:21">
      <c r="A819" s="406" t="s">
        <v>1243</v>
      </c>
      <c r="B819" s="406">
        <v>10</v>
      </c>
      <c r="C819" s="894">
        <f>+'4.CT3A'!A308</f>
        <v>10</v>
      </c>
      <c r="D819" s="406">
        <f si="16" t="shared"/>
        <v>0</v>
      </c>
      <c r="E819" s="892" t="str">
        <f>+'4.CT3A'!B308</f>
        <v>Мөнгө, түүнтэй адилтгах хөрөнгийн эцсийн үлдэгдэл</v>
      </c>
      <c r="S819" s="406" t="s">
        <v>1243</v>
      </c>
      <c r="T819" s="406">
        <v>10</v>
      </c>
      <c r="U819" s="406" t="s">
        <v>479</v>
      </c>
    </row>
    <row r="820" spans="1:21">
      <c r="A820" s="406" t="s">
        <v>1244</v>
      </c>
      <c r="B820" s="406" t="s">
        <v>1216</v>
      </c>
      <c r="C820" s="406" t="str">
        <f>+'5.CT4A'!A8</f>
        <v>C01</v>
      </c>
      <c r="D820" s="406">
        <f>IF(B820=C820,0,1)</f>
        <v>0</v>
      </c>
      <c r="E820" s="406" t="str">
        <f>+'5.CT4A'!B8</f>
        <v>2016 оны 1-р сарын 1-нээрх үлдэгдэл</v>
      </c>
      <c r="S820" s="406" t="s">
        <v>1244</v>
      </c>
      <c r="T820" s="406" t="s">
        <v>1216</v>
      </c>
      <c r="U820" s="406" t="s">
        <v>3009</v>
      </c>
    </row>
    <row r="821" spans="1:21">
      <c r="A821" s="406" t="s">
        <v>1244</v>
      </c>
      <c r="B821" s="406" t="s">
        <v>1217</v>
      </c>
      <c r="C821" s="406" t="str">
        <f>+'5.CT4A'!A9</f>
        <v>C02</v>
      </c>
      <c r="D821" s="406">
        <f>IF(B821=C821,0,1)</f>
        <v>0</v>
      </c>
      <c r="E821" s="406" t="str">
        <f>+'5.CT4A'!B9</f>
        <v>Нягтлан бодох бүртгэлийн бодлогын өөрчлөлт</v>
      </c>
      <c r="S821" s="406" t="s">
        <v>1244</v>
      </c>
      <c r="T821" s="406" t="s">
        <v>1217</v>
      </c>
      <c r="U821" s="406" t="s">
        <v>3009</v>
      </c>
    </row>
    <row r="822" spans="1:21">
      <c r="A822" s="406" t="s">
        <v>1244</v>
      </c>
      <c r="B822" s="406" t="s">
        <v>1218</v>
      </c>
      <c r="C822" s="406" t="str">
        <f>+'5.CT4A'!A10</f>
        <v>C03</v>
      </c>
      <c r="D822" s="406">
        <f>IF(B822=C822,0,1)</f>
        <v>0</v>
      </c>
      <c r="E822" s="406" t="str">
        <f>+'5.CT4A'!B10</f>
        <v>Дахин илэрхийлсэн үлдэгдэл</v>
      </c>
      <c r="S822" s="406" t="s">
        <v>1244</v>
      </c>
      <c r="T822" s="406" t="s">
        <v>1218</v>
      </c>
      <c r="U822" s="406" t="s">
        <v>3009</v>
      </c>
    </row>
    <row r="823" spans="1:21">
      <c r="A823" s="406" t="s">
        <v>1244</v>
      </c>
      <c r="B823" s="406" t="s">
        <v>1219</v>
      </c>
      <c r="C823" s="406" t="str">
        <f>+'5.CT4A'!A11</f>
        <v>C04</v>
      </c>
      <c r="D823" s="406">
        <f ref="D823:D836" si="17" t="shared">IF(B823=C823,0,1)</f>
        <v>0</v>
      </c>
      <c r="E823" s="406" t="str">
        <f>+'5.CT4A'!B11</f>
        <v>Үндсэн хөрөнгийн дахин үнэлгээний өсөлт</v>
      </c>
      <c r="S823" s="406" t="s">
        <v>1244</v>
      </c>
      <c r="T823" s="406" t="s">
        <v>1219</v>
      </c>
      <c r="U823" s="406" t="s">
        <v>3009</v>
      </c>
    </row>
    <row r="824" spans="1:21">
      <c r="A824" s="406" t="s">
        <v>1244</v>
      </c>
      <c r="B824" s="406" t="s">
        <v>1220</v>
      </c>
      <c r="C824" s="406" t="str">
        <f>+'5.CT4A'!A12</f>
        <v>C05</v>
      </c>
      <c r="D824" s="406">
        <f si="17" t="shared"/>
        <v>0</v>
      </c>
      <c r="E824" s="406" t="str">
        <f>+'5.CT4A'!B12</f>
        <v>Үндсэн хөрөнгийн дахин үнэлгээний  бууралт</v>
      </c>
      <c r="S824" s="406" t="s">
        <v>1244</v>
      </c>
      <c r="T824" s="406" t="s">
        <v>1220</v>
      </c>
      <c r="U824" s="406" t="s">
        <v>3009</v>
      </c>
    </row>
    <row r="825" spans="1:21">
      <c r="A825" s="406" t="s">
        <v>1244</v>
      </c>
      <c r="B825" s="406" t="s">
        <v>1221</v>
      </c>
      <c r="C825" s="406" t="str">
        <f>+'5.CT4A'!A13</f>
        <v>C06</v>
      </c>
      <c r="D825" s="406">
        <f si="17" t="shared"/>
        <v>0</v>
      </c>
      <c r="E825" s="406" t="str">
        <f>+'5.CT4A'!B13</f>
        <v>Орлогын тайланд хүлээн зөвшөөрөөгүй олз, гарз</v>
      </c>
      <c r="S825" s="406" t="s">
        <v>1244</v>
      </c>
      <c r="T825" s="406" t="s">
        <v>1221</v>
      </c>
      <c r="U825" s="406" t="s">
        <v>3009</v>
      </c>
    </row>
    <row r="826" spans="1:21">
      <c r="A826" s="406" t="s">
        <v>1244</v>
      </c>
      <c r="B826" s="406" t="s">
        <v>1222</v>
      </c>
      <c r="C826" s="406" t="str">
        <f>+'5.CT4A'!A14</f>
        <v>C07</v>
      </c>
      <c r="D826" s="406">
        <f si="17" t="shared"/>
        <v>0</v>
      </c>
      <c r="E826" s="406" t="str">
        <f>+'5.CT4A'!B14</f>
        <v>Тайлант үеийн үр дүн</v>
      </c>
      <c r="S826" s="406" t="s">
        <v>1244</v>
      </c>
      <c r="T826" s="406" t="s">
        <v>1222</v>
      </c>
      <c r="U826" s="406" t="s">
        <v>3009</v>
      </c>
    </row>
    <row r="827" spans="1:21">
      <c r="A827" s="406" t="s">
        <v>1244</v>
      </c>
      <c r="B827" s="406" t="s">
        <v>1223</v>
      </c>
      <c r="C827" s="406" t="str">
        <f>+'5.CT4A'!A15</f>
        <v>C08</v>
      </c>
      <c r="D827" s="406">
        <f si="17" t="shared"/>
        <v>0</v>
      </c>
      <c r="E827" s="406" t="str">
        <f>+'5.CT4A'!B15</f>
        <v>2016 оны 12-р сарын 31-нээрх үлдэгдэл</v>
      </c>
      <c r="S827" s="406" t="s">
        <v>1244</v>
      </c>
      <c r="T827" s="406" t="s">
        <v>1223</v>
      </c>
      <c r="U827" s="406" t="s">
        <v>3009</v>
      </c>
    </row>
    <row r="828" spans="1:21">
      <c r="A828" s="406" t="s">
        <v>1244</v>
      </c>
      <c r="B828" s="406" t="s">
        <v>1224</v>
      </c>
      <c r="C828" s="406" t="str">
        <f>+'5.CT4A'!A16</f>
        <v>D01</v>
      </c>
      <c r="D828" s="406">
        <f si="17" t="shared"/>
        <v>0</v>
      </c>
      <c r="E828" s="406" t="str">
        <f>+'5.CT4A'!B16</f>
        <v>2017 оны 1-р сарын 1-нээрх үлдэгдэл</v>
      </c>
      <c r="S828" s="406" t="s">
        <v>1244</v>
      </c>
      <c r="T828" s="406" t="s">
        <v>1224</v>
      </c>
      <c r="U828" s="406" t="s">
        <v>3009</v>
      </c>
    </row>
    <row r="829" spans="1:21">
      <c r="A829" s="406" t="s">
        <v>1244</v>
      </c>
      <c r="B829" s="406" t="s">
        <v>1225</v>
      </c>
      <c r="C829" s="406" t="str">
        <f>+'5.CT4A'!A17</f>
        <v>D02</v>
      </c>
      <c r="D829" s="406">
        <f si="17" t="shared"/>
        <v>0</v>
      </c>
      <c r="E829" s="406" t="str">
        <f>+'5.CT4A'!B17</f>
        <v>Нягтлан бодох бүртгэлийн бодлогын өөрчлөлт</v>
      </c>
      <c r="S829" s="406" t="s">
        <v>1244</v>
      </c>
      <c r="T829" s="406" t="s">
        <v>1225</v>
      </c>
      <c r="U829" s="406" t="s">
        <v>3009</v>
      </c>
    </row>
    <row r="830" spans="1:21">
      <c r="A830" s="406" t="s">
        <v>1244</v>
      </c>
      <c r="B830" s="406" t="s">
        <v>1226</v>
      </c>
      <c r="C830" s="406" t="str">
        <f>+'5.CT4A'!A18</f>
        <v>D03</v>
      </c>
      <c r="D830" s="406">
        <f si="17" t="shared"/>
        <v>0</v>
      </c>
      <c r="E830" s="406" t="str">
        <f>+'5.CT4A'!B18</f>
        <v>Дахин илэрхийлсэн үлдэгдэл</v>
      </c>
      <c r="S830" s="406" t="s">
        <v>1244</v>
      </c>
      <c r="T830" s="406" t="s">
        <v>1226</v>
      </c>
      <c r="U830" s="406" t="s">
        <v>3009</v>
      </c>
    </row>
    <row r="831" spans="1:21">
      <c r="A831" s="406" t="s">
        <v>1244</v>
      </c>
      <c r="B831" s="406" t="s">
        <v>1227</v>
      </c>
      <c r="C831" s="406" t="str">
        <f>+'5.CT4A'!A19</f>
        <v>D04</v>
      </c>
      <c r="D831" s="406">
        <f si="17" t="shared"/>
        <v>0</v>
      </c>
      <c r="E831" s="406" t="str">
        <f>+'5.CT4A'!B19</f>
        <v>Үндсэн хөрөнгийн дахин үнэлгээний өсөлт,  бууралт</v>
      </c>
      <c r="S831" s="406" t="s">
        <v>1244</v>
      </c>
      <c r="T831" s="406" t="s">
        <v>1227</v>
      </c>
      <c r="U831" s="406" t="s">
        <v>3009</v>
      </c>
    </row>
    <row r="832" spans="1:21">
      <c r="A832" s="406" t="s">
        <v>1244</v>
      </c>
      <c r="B832" s="406" t="s">
        <v>1228</v>
      </c>
      <c r="C832" s="406" t="str">
        <f>+'5.CT4A'!A20</f>
        <v>D05</v>
      </c>
      <c r="D832" s="406">
        <f si="17" t="shared"/>
        <v>0</v>
      </c>
      <c r="E832" s="406" t="str">
        <f>+'5.CT4A'!B20</f>
        <v>Үндсэн хөрөнгийн өсөлт, бууралт</v>
      </c>
      <c r="S832" s="406" t="s">
        <v>1244</v>
      </c>
      <c r="T832" s="406" t="s">
        <v>1228</v>
      </c>
      <c r="U832" s="406" t="s">
        <v>3009</v>
      </c>
    </row>
    <row r="833" spans="1:21">
      <c r="A833" s="406" t="s">
        <v>1244</v>
      </c>
      <c r="B833" s="406" t="s">
        <v>1229</v>
      </c>
      <c r="C833" s="406" t="str">
        <f>+'5.CT4A'!A21</f>
        <v>D06</v>
      </c>
      <c r="D833" s="406">
        <f si="17" t="shared"/>
        <v>0</v>
      </c>
      <c r="E833" s="406" t="str">
        <f>+'5.CT4A'!B21</f>
        <v>Орлогын тайланд хүлээн зөвшөөрөөгүй олз, гарз</v>
      </c>
      <c r="S833" s="406" t="s">
        <v>1244</v>
      </c>
      <c r="T833" s="406" t="s">
        <v>1229</v>
      </c>
      <c r="U833" s="406" t="s">
        <v>3009</v>
      </c>
    </row>
    <row r="834" spans="1:21">
      <c r="A834" s="406" t="s">
        <v>1244</v>
      </c>
      <c r="B834" s="406" t="s">
        <v>1230</v>
      </c>
      <c r="C834" s="406" t="str">
        <f>+'5.CT4A'!A22</f>
        <v>D07</v>
      </c>
      <c r="D834" s="406">
        <f si="17" t="shared"/>
        <v>0</v>
      </c>
      <c r="E834" s="406" t="str">
        <f>+'5.CT4A'!B22</f>
        <v>Гадаад валютын хөрвүүлэлтийн зөрүү</v>
      </c>
      <c r="S834" s="406" t="s">
        <v>1244</v>
      </c>
      <c r="T834" s="406" t="s">
        <v>1230</v>
      </c>
      <c r="U834" s="406" t="s">
        <v>3009</v>
      </c>
    </row>
    <row r="835" spans="1:21">
      <c r="A835" s="406" t="s">
        <v>1244</v>
      </c>
      <c r="B835" s="406" t="s">
        <v>1231</v>
      </c>
      <c r="C835" s="406" t="str">
        <f>+'5.CT4A'!A23</f>
        <v>D08</v>
      </c>
      <c r="D835" s="406">
        <f si="17" t="shared"/>
        <v>0</v>
      </c>
      <c r="E835" s="406" t="str">
        <f>+'5.CT4A'!B23</f>
        <v>Тайлант үеийн үр дүн</v>
      </c>
      <c r="S835" s="406" t="s">
        <v>1244</v>
      </c>
      <c r="T835" s="406" t="s">
        <v>1231</v>
      </c>
      <c r="U835" s="406" t="s">
        <v>3009</v>
      </c>
    </row>
    <row r="836" spans="1:21">
      <c r="A836" s="406" t="s">
        <v>1244</v>
      </c>
      <c r="B836" s="406" t="s">
        <v>1232</v>
      </c>
      <c r="C836" s="406" t="str">
        <f>+'5.CT4A'!A24</f>
        <v>D09</v>
      </c>
      <c r="D836" s="406">
        <f si="17" t="shared"/>
        <v>0</v>
      </c>
      <c r="E836" s="406" t="str">
        <f>+'5.CT4A'!B24</f>
        <v>2017 оны 12-р сарын 31-нээрх үлдэгдэл</v>
      </c>
      <c r="S836" s="406" t="s">
        <v>1244</v>
      </c>
      <c r="T836" s="406" t="s">
        <v>1232</v>
      </c>
      <c r="U836" s="406" t="s">
        <v>3009</v>
      </c>
    </row>
    <row r="837" spans="1:21">
      <c r="A837" s="406" t="s">
        <v>1245</v>
      </c>
      <c r="B837" s="406">
        <v>31</v>
      </c>
      <c r="C837" s="406">
        <f>+'6.CTT1'!A8</f>
        <v>31</v>
      </c>
      <c r="D837" s="406">
        <f ref="D837:D898" si="18" t="shared">IF(B837=VALUE(C837),0,1)</f>
        <v>0</v>
      </c>
      <c r="S837" s="406" t="s">
        <v>1245</v>
      </c>
      <c r="T837" s="406">
        <v>31</v>
      </c>
    </row>
    <row r="838" spans="1:21">
      <c r="A838" s="406" t="s">
        <v>1245</v>
      </c>
      <c r="B838" s="406">
        <v>311</v>
      </c>
      <c r="C838" s="406">
        <f>+'6.CTT1'!A9</f>
        <v>311</v>
      </c>
      <c r="D838" s="406">
        <f si="18" t="shared"/>
        <v>0</v>
      </c>
      <c r="S838" s="406" t="s">
        <v>1245</v>
      </c>
      <c r="T838" s="406">
        <v>311</v>
      </c>
    </row>
    <row r="839" spans="1:21">
      <c r="A839" s="406" t="s">
        <v>1245</v>
      </c>
      <c r="B839" s="406">
        <v>31110</v>
      </c>
      <c r="C839" s="406">
        <f>+'6.CTT1'!A10</f>
        <v>31110</v>
      </c>
      <c r="D839" s="406">
        <f si="18" t="shared"/>
        <v>0</v>
      </c>
      <c r="S839" s="406" t="s">
        <v>1245</v>
      </c>
      <c r="T839" s="406">
        <v>31110</v>
      </c>
    </row>
    <row r="840" spans="1:21">
      <c r="A840" s="406" t="s">
        <v>1245</v>
      </c>
      <c r="B840" s="406">
        <v>31120</v>
      </c>
      <c r="C840" s="406">
        <f>+'6.CTT1'!A11</f>
        <v>31120</v>
      </c>
      <c r="D840" s="406">
        <f si="18" t="shared"/>
        <v>0</v>
      </c>
      <c r="S840" s="406" t="s">
        <v>1245</v>
      </c>
      <c r="T840" s="406">
        <v>31120</v>
      </c>
    </row>
    <row r="841" spans="1:21">
      <c r="A841" s="406" t="s">
        <v>1245</v>
      </c>
      <c r="B841" s="406">
        <v>31130</v>
      </c>
      <c r="C841" s="406">
        <f>+'6.CTT1'!A12</f>
        <v>31130</v>
      </c>
      <c r="D841" s="406">
        <f si="18" t="shared"/>
        <v>0</v>
      </c>
      <c r="S841" s="406" t="s">
        <v>1245</v>
      </c>
      <c r="T841" s="406">
        <v>31130</v>
      </c>
    </row>
    <row r="842" spans="1:21">
      <c r="A842" s="406" t="s">
        <v>1245</v>
      </c>
      <c r="B842" s="406">
        <v>31140</v>
      </c>
      <c r="C842" s="406">
        <f>+'6.CTT1'!A13</f>
        <v>31140</v>
      </c>
      <c r="D842" s="406">
        <f si="18" t="shared"/>
        <v>0</v>
      </c>
      <c r="S842" s="406" t="s">
        <v>1245</v>
      </c>
      <c r="T842" s="406">
        <v>31140</v>
      </c>
    </row>
    <row r="843" spans="1:21">
      <c r="A843" s="406" t="s">
        <v>1245</v>
      </c>
      <c r="B843" s="406">
        <v>312</v>
      </c>
      <c r="C843" s="406">
        <f>+'6.CTT1'!A14</f>
        <v>312</v>
      </c>
      <c r="D843" s="406">
        <f si="18" t="shared"/>
        <v>0</v>
      </c>
      <c r="S843" s="406" t="s">
        <v>1245</v>
      </c>
      <c r="T843" s="406">
        <v>312</v>
      </c>
    </row>
    <row r="844" spans="1:21">
      <c r="A844" s="406" t="s">
        <v>1245</v>
      </c>
      <c r="B844" s="406">
        <v>3121</v>
      </c>
      <c r="C844" s="406">
        <f>+'6.CTT1'!A15</f>
        <v>3121</v>
      </c>
      <c r="D844" s="406">
        <f si="18" t="shared"/>
        <v>0</v>
      </c>
      <c r="S844" s="406" t="s">
        <v>1245</v>
      </c>
      <c r="T844" s="406">
        <v>3121</v>
      </c>
    </row>
    <row r="845" spans="1:21">
      <c r="A845" s="406" t="s">
        <v>1245</v>
      </c>
      <c r="B845" s="406">
        <v>31211</v>
      </c>
      <c r="C845" s="406">
        <f>+'6.CTT1'!A16</f>
        <v>31211</v>
      </c>
      <c r="D845" s="406">
        <f si="18" t="shared"/>
        <v>0</v>
      </c>
      <c r="S845" s="406" t="s">
        <v>1245</v>
      </c>
      <c r="T845" s="406">
        <v>31211</v>
      </c>
    </row>
    <row r="846" spans="1:21">
      <c r="A846" s="406" t="s">
        <v>1245</v>
      </c>
      <c r="B846" s="406">
        <v>31212</v>
      </c>
      <c r="C846" s="406">
        <f>+'6.CTT1'!A17</f>
        <v>31212</v>
      </c>
      <c r="D846" s="406">
        <f si="18" t="shared"/>
        <v>0</v>
      </c>
      <c r="S846" s="406" t="s">
        <v>1245</v>
      </c>
      <c r="T846" s="406">
        <v>31212</v>
      </c>
    </row>
    <row r="847" spans="1:21">
      <c r="A847" s="406" t="s">
        <v>1245</v>
      </c>
      <c r="B847" s="406">
        <v>31213</v>
      </c>
      <c r="C847" s="406">
        <f>+'6.CTT1'!A18</f>
        <v>31213</v>
      </c>
      <c r="D847" s="406">
        <f si="18" t="shared"/>
        <v>0</v>
      </c>
      <c r="S847" s="406" t="s">
        <v>1245</v>
      </c>
      <c r="T847" s="406">
        <v>31213</v>
      </c>
    </row>
    <row r="848" spans="1:21">
      <c r="A848" s="406" t="s">
        <v>1245</v>
      </c>
      <c r="B848" s="406">
        <v>31214</v>
      </c>
      <c r="C848" s="406">
        <f>+'6.CTT1'!A19</f>
        <v>31214</v>
      </c>
      <c r="D848" s="406">
        <f si="18" t="shared"/>
        <v>0</v>
      </c>
      <c r="S848" s="406" t="s">
        <v>1245</v>
      </c>
      <c r="T848" s="406">
        <v>31214</v>
      </c>
    </row>
    <row r="849" spans="1:20">
      <c r="A849" s="406" t="s">
        <v>1245</v>
      </c>
      <c r="B849" s="406">
        <v>31215</v>
      </c>
      <c r="C849" s="406">
        <f>+'6.CTT1'!A20</f>
        <v>31215</v>
      </c>
      <c r="D849" s="406">
        <f si="18" t="shared"/>
        <v>0</v>
      </c>
      <c r="S849" s="406" t="s">
        <v>1245</v>
      </c>
      <c r="T849" s="406">
        <v>31215</v>
      </c>
    </row>
    <row r="850" spans="1:20">
      <c r="A850" s="406" t="s">
        <v>1245</v>
      </c>
      <c r="B850" s="406">
        <v>31216</v>
      </c>
      <c r="C850" s="406">
        <f>+'6.CTT1'!A21</f>
        <v>31216</v>
      </c>
      <c r="D850" s="406">
        <f si="18" t="shared"/>
        <v>0</v>
      </c>
      <c r="S850" s="406" t="s">
        <v>1245</v>
      </c>
      <c r="T850" s="406">
        <v>31216</v>
      </c>
    </row>
    <row r="851" spans="1:20">
      <c r="A851" s="406" t="s">
        <v>1245</v>
      </c>
      <c r="B851" s="406">
        <v>3122</v>
      </c>
      <c r="C851" s="406">
        <f>+'6.CTT1'!A22</f>
        <v>3122</v>
      </c>
      <c r="D851" s="406">
        <f si="18" t="shared"/>
        <v>0</v>
      </c>
      <c r="S851" s="406" t="s">
        <v>1245</v>
      </c>
      <c r="T851" s="406">
        <v>3122</v>
      </c>
    </row>
    <row r="852" spans="1:20">
      <c r="A852" s="406" t="s">
        <v>1245</v>
      </c>
      <c r="B852" s="406">
        <v>31221</v>
      </c>
      <c r="C852" s="406">
        <f>+'6.CTT1'!A23</f>
        <v>31221</v>
      </c>
      <c r="D852" s="406">
        <f si="18" t="shared"/>
        <v>0</v>
      </c>
      <c r="S852" s="406" t="s">
        <v>1245</v>
      </c>
      <c r="T852" s="406">
        <v>31221</v>
      </c>
    </row>
    <row r="853" spans="1:20">
      <c r="A853" s="406" t="s">
        <v>1245</v>
      </c>
      <c r="B853" s="406">
        <v>31222</v>
      </c>
      <c r="C853" s="406">
        <f>+'6.CTT1'!A24</f>
        <v>31222</v>
      </c>
      <c r="D853" s="406">
        <f si="18" t="shared"/>
        <v>0</v>
      </c>
      <c r="S853" s="406" t="s">
        <v>1245</v>
      </c>
      <c r="T853" s="406">
        <v>31222</v>
      </c>
    </row>
    <row r="854" spans="1:20">
      <c r="A854" s="406" t="s">
        <v>1245</v>
      </c>
      <c r="B854" s="406">
        <v>31223</v>
      </c>
      <c r="C854" s="406">
        <f>+'6.CTT1'!A25</f>
        <v>31223</v>
      </c>
      <c r="D854" s="406">
        <f si="18" t="shared"/>
        <v>0</v>
      </c>
      <c r="S854" s="406" t="s">
        <v>1245</v>
      </c>
      <c r="T854" s="406">
        <v>31223</v>
      </c>
    </row>
    <row r="855" spans="1:20">
      <c r="A855" s="406" t="s">
        <v>1245</v>
      </c>
      <c r="B855" s="406">
        <v>31224</v>
      </c>
      <c r="C855" s="406">
        <f>+'6.CTT1'!A26</f>
        <v>31224</v>
      </c>
      <c r="D855" s="406">
        <f si="18" t="shared"/>
        <v>0</v>
      </c>
      <c r="S855" s="406" t="s">
        <v>1245</v>
      </c>
      <c r="T855" s="406">
        <v>31224</v>
      </c>
    </row>
    <row r="856" spans="1:20">
      <c r="A856" s="406" t="s">
        <v>1245</v>
      </c>
      <c r="B856" s="406">
        <v>314</v>
      </c>
      <c r="C856" s="406">
        <f>+'6.CTT1'!A27</f>
        <v>314</v>
      </c>
      <c r="D856" s="406">
        <f si="18" t="shared"/>
        <v>0</v>
      </c>
      <c r="S856" s="406" t="s">
        <v>1245</v>
      </c>
      <c r="T856" s="406">
        <v>314</v>
      </c>
    </row>
    <row r="857" spans="1:20">
      <c r="A857" s="406" t="s">
        <v>1245</v>
      </c>
      <c r="B857" s="406">
        <v>315</v>
      </c>
      <c r="C857" s="406">
        <f>+'6.CTT1'!A28</f>
        <v>315</v>
      </c>
      <c r="D857" s="406">
        <f si="18" t="shared"/>
        <v>0</v>
      </c>
      <c r="S857" s="406" t="s">
        <v>1245</v>
      </c>
      <c r="T857" s="406">
        <v>315</v>
      </c>
    </row>
    <row r="858" spans="1:20">
      <c r="A858" s="406" t="s">
        <v>1246</v>
      </c>
      <c r="B858" s="406">
        <v>32</v>
      </c>
      <c r="C858" s="406">
        <f>+'7.CTT2'!A8</f>
        <v>32</v>
      </c>
      <c r="D858" s="406">
        <f si="18" t="shared"/>
        <v>0</v>
      </c>
      <c r="S858" s="406" t="s">
        <v>1246</v>
      </c>
      <c r="T858" s="406">
        <v>32</v>
      </c>
    </row>
    <row r="859" spans="1:20">
      <c r="A859" s="406" t="s">
        <v>1246</v>
      </c>
      <c r="B859" s="406">
        <v>321</v>
      </c>
      <c r="C859" s="406">
        <f>+'7.CTT2'!A9</f>
        <v>321</v>
      </c>
      <c r="D859" s="406">
        <f si="18" t="shared"/>
        <v>0</v>
      </c>
      <c r="S859" s="406" t="s">
        <v>1246</v>
      </c>
      <c r="T859" s="406">
        <v>321</v>
      </c>
    </row>
    <row r="860" spans="1:20">
      <c r="A860" s="406" t="s">
        <v>1246</v>
      </c>
      <c r="B860" s="406">
        <v>32110</v>
      </c>
      <c r="C860" s="406">
        <f>+'7.CTT2'!A10</f>
        <v>32110</v>
      </c>
      <c r="D860" s="406">
        <f si="18" t="shared"/>
        <v>0</v>
      </c>
      <c r="S860" s="406" t="s">
        <v>1246</v>
      </c>
      <c r="T860" s="406">
        <v>32110</v>
      </c>
    </row>
    <row r="861" spans="1:20">
      <c r="A861" s="406" t="s">
        <v>1246</v>
      </c>
      <c r="B861" s="406">
        <v>32120</v>
      </c>
      <c r="C861" s="406">
        <f>+'7.CTT2'!A11</f>
        <v>32120</v>
      </c>
      <c r="D861" s="406">
        <f si="18" t="shared"/>
        <v>0</v>
      </c>
      <c r="S861" s="406" t="s">
        <v>1246</v>
      </c>
      <c r="T861" s="406">
        <v>32120</v>
      </c>
    </row>
    <row r="862" spans="1:20">
      <c r="A862" s="406" t="s">
        <v>1247</v>
      </c>
      <c r="B862" s="406">
        <v>33</v>
      </c>
      <c r="C862" s="406">
        <f>+'8.CTT3'!A8</f>
        <v>33</v>
      </c>
      <c r="D862" s="406">
        <f si="18" t="shared"/>
        <v>0</v>
      </c>
      <c r="S862" s="406" t="s">
        <v>1247</v>
      </c>
      <c r="T862" s="406">
        <v>33</v>
      </c>
    </row>
    <row r="863" spans="1:20">
      <c r="A863" s="406" t="s">
        <v>1247</v>
      </c>
      <c r="B863" s="406">
        <v>33100</v>
      </c>
      <c r="C863" s="406">
        <f>+'8.CTT3'!A9</f>
        <v>33100</v>
      </c>
      <c r="D863" s="406">
        <f si="18" t="shared"/>
        <v>0</v>
      </c>
      <c r="S863" s="406" t="s">
        <v>1247</v>
      </c>
      <c r="T863" s="406">
        <v>33100</v>
      </c>
    </row>
    <row r="864" spans="1:20">
      <c r="A864" s="406" t="s">
        <v>1247</v>
      </c>
      <c r="B864" s="406">
        <v>33200</v>
      </c>
      <c r="C864" s="406">
        <f>+'8.CTT3'!A10</f>
        <v>33200</v>
      </c>
      <c r="D864" s="406">
        <f si="18" t="shared"/>
        <v>0</v>
      </c>
      <c r="S864" s="406" t="s">
        <v>1247</v>
      </c>
      <c r="T864" s="406">
        <v>33200</v>
      </c>
    </row>
    <row r="865" spans="1:20">
      <c r="A865" s="406" t="s">
        <v>1247</v>
      </c>
      <c r="B865" s="406">
        <v>33300</v>
      </c>
      <c r="C865" s="406">
        <f>+'8.CTT3'!A11</f>
        <v>33300</v>
      </c>
      <c r="D865" s="406">
        <f si="18" t="shared"/>
        <v>0</v>
      </c>
      <c r="S865" s="406" t="s">
        <v>1247</v>
      </c>
      <c r="T865" s="406">
        <v>33300</v>
      </c>
    </row>
    <row r="866" spans="1:20">
      <c r="A866" s="406" t="s">
        <v>1247</v>
      </c>
      <c r="B866" s="406">
        <v>33400</v>
      </c>
      <c r="C866" s="406">
        <f>+'8.CTT3'!A12</f>
        <v>33400</v>
      </c>
      <c r="D866" s="406">
        <f si="18" t="shared"/>
        <v>0</v>
      </c>
      <c r="S866" s="406" t="s">
        <v>1247</v>
      </c>
      <c r="T866" s="406">
        <v>33400</v>
      </c>
    </row>
    <row r="867" spans="1:20">
      <c r="A867" s="406" t="s">
        <v>1247</v>
      </c>
      <c r="B867" s="406">
        <v>33401</v>
      </c>
      <c r="C867" s="406">
        <f>+'8.CTT3'!A13</f>
        <v>33401</v>
      </c>
      <c r="D867" s="406">
        <f si="18" t="shared"/>
        <v>0</v>
      </c>
      <c r="S867" s="406" t="s">
        <v>1247</v>
      </c>
      <c r="T867" s="406">
        <v>33401</v>
      </c>
    </row>
    <row r="868" spans="1:20">
      <c r="A868" s="406" t="s">
        <v>1247</v>
      </c>
      <c r="B868" s="406">
        <v>33402</v>
      </c>
      <c r="C868" s="406">
        <f>+'8.CTT3'!A14</f>
        <v>33402</v>
      </c>
      <c r="D868" s="406">
        <f si="18" t="shared"/>
        <v>0</v>
      </c>
      <c r="S868" s="406" t="s">
        <v>1247</v>
      </c>
      <c r="T868" s="406">
        <v>33402</v>
      </c>
    </row>
    <row r="869" spans="1:20">
      <c r="A869" s="406" t="s">
        <v>1247</v>
      </c>
      <c r="B869" s="406">
        <v>335</v>
      </c>
      <c r="C869" s="406">
        <f>+'8.CTT3'!A15</f>
        <v>335</v>
      </c>
      <c r="D869" s="406">
        <f si="18" t="shared"/>
        <v>0</v>
      </c>
      <c r="S869" s="406" t="s">
        <v>1247</v>
      </c>
      <c r="T869" s="406">
        <v>335</v>
      </c>
    </row>
    <row r="870" spans="1:20">
      <c r="A870" s="406" t="s">
        <v>1247</v>
      </c>
      <c r="B870" s="406">
        <v>33510</v>
      </c>
      <c r="C870" s="406">
        <f>+'8.CTT3'!A16</f>
        <v>33510</v>
      </c>
      <c r="D870" s="406">
        <f si="18" t="shared"/>
        <v>0</v>
      </c>
      <c r="S870" s="406" t="s">
        <v>1247</v>
      </c>
      <c r="T870" s="406">
        <v>33510</v>
      </c>
    </row>
    <row r="871" spans="1:20">
      <c r="A871" s="406" t="s">
        <v>1247</v>
      </c>
      <c r="B871" s="406">
        <v>335101</v>
      </c>
      <c r="C871" s="406">
        <f>+'8.CTT3'!A17</f>
        <v>335101</v>
      </c>
      <c r="D871" s="406">
        <f si="18" t="shared"/>
        <v>0</v>
      </c>
      <c r="S871" s="406" t="s">
        <v>1247</v>
      </c>
      <c r="T871" s="406">
        <v>335101</v>
      </c>
    </row>
    <row r="872" spans="1:20">
      <c r="A872" s="406" t="s">
        <v>1247</v>
      </c>
      <c r="B872" s="406">
        <v>335102</v>
      </c>
      <c r="C872" s="406">
        <f>+'8.CTT3'!A18</f>
        <v>335102</v>
      </c>
      <c r="D872" s="406">
        <f si="18" t="shared"/>
        <v>0</v>
      </c>
      <c r="S872" s="406" t="s">
        <v>1247</v>
      </c>
      <c r="T872" s="406">
        <v>335102</v>
      </c>
    </row>
    <row r="873" spans="1:20">
      <c r="A873" s="406" t="s">
        <v>1247</v>
      </c>
      <c r="B873" s="406">
        <v>335103</v>
      </c>
      <c r="C873" s="406">
        <f>+'8.CTT3'!A19</f>
        <v>335103</v>
      </c>
      <c r="D873" s="406">
        <f si="18" t="shared"/>
        <v>0</v>
      </c>
      <c r="S873" s="406" t="s">
        <v>1247</v>
      </c>
      <c r="T873" s="406">
        <v>335103</v>
      </c>
    </row>
    <row r="874" spans="1:20">
      <c r="A874" s="406" t="s">
        <v>1247</v>
      </c>
      <c r="B874" s="406">
        <v>335104</v>
      </c>
      <c r="C874" s="406">
        <f>+'8.CTT3'!A20</f>
        <v>335104</v>
      </c>
      <c r="D874" s="406">
        <f si="18" t="shared"/>
        <v>0</v>
      </c>
      <c r="S874" s="406" t="s">
        <v>1247</v>
      </c>
      <c r="T874" s="406">
        <v>335104</v>
      </c>
    </row>
    <row r="875" spans="1:20">
      <c r="A875" s="406" t="s">
        <v>1247</v>
      </c>
      <c r="B875" s="406">
        <v>335105</v>
      </c>
      <c r="C875" s="406">
        <f>+'8.CTT3'!A21</f>
        <v>335105</v>
      </c>
      <c r="D875" s="406">
        <f si="18" t="shared"/>
        <v>0</v>
      </c>
      <c r="S875" s="406" t="s">
        <v>1247</v>
      </c>
      <c r="T875" s="406">
        <v>335105</v>
      </c>
    </row>
    <row r="876" spans="1:20">
      <c r="A876" s="406" t="s">
        <v>1247</v>
      </c>
      <c r="B876" s="406">
        <v>335106</v>
      </c>
      <c r="C876" s="406">
        <f>+'8.CTT3'!A22</f>
        <v>335106</v>
      </c>
      <c r="D876" s="406">
        <f si="18" t="shared"/>
        <v>0</v>
      </c>
      <c r="S876" s="406" t="s">
        <v>1247</v>
      </c>
      <c r="T876" s="406">
        <v>335106</v>
      </c>
    </row>
    <row r="877" spans="1:20">
      <c r="A877" s="406" t="s">
        <v>1247</v>
      </c>
      <c r="B877" s="406">
        <v>335107</v>
      </c>
      <c r="C877" s="406">
        <f>+'8.CTT3'!A23</f>
        <v>335107</v>
      </c>
      <c r="D877" s="406">
        <f si="18" t="shared"/>
        <v>0</v>
      </c>
      <c r="S877" s="406" t="s">
        <v>1247</v>
      </c>
      <c r="T877" s="406">
        <v>335107</v>
      </c>
    </row>
    <row r="878" spans="1:20">
      <c r="A878" s="406" t="s">
        <v>1247</v>
      </c>
      <c r="B878" s="406">
        <v>335108</v>
      </c>
      <c r="C878" s="406">
        <f>+'8.CTT3'!A24</f>
        <v>335108</v>
      </c>
      <c r="D878" s="406">
        <f si="18" t="shared"/>
        <v>0</v>
      </c>
      <c r="S878" s="406" t="s">
        <v>1247</v>
      </c>
      <c r="T878" s="406">
        <v>335108</v>
      </c>
    </row>
    <row r="879" spans="1:20">
      <c r="A879" s="406" t="s">
        <v>1247</v>
      </c>
      <c r="B879" s="406">
        <v>335109</v>
      </c>
      <c r="C879" s="406">
        <f>+'8.CTT3'!A25</f>
        <v>335109</v>
      </c>
      <c r="D879" s="406">
        <f si="18" t="shared"/>
        <v>0</v>
      </c>
      <c r="S879" s="406" t="s">
        <v>1247</v>
      </c>
      <c r="T879" s="406">
        <v>335109</v>
      </c>
    </row>
    <row r="880" spans="1:20">
      <c r="A880" s="406" t="s">
        <v>1247</v>
      </c>
      <c r="B880" s="406">
        <v>335110</v>
      </c>
      <c r="C880" s="406">
        <f>+'8.CTT3'!A26</f>
        <v>335110</v>
      </c>
      <c r="D880" s="406">
        <f si="18" t="shared"/>
        <v>0</v>
      </c>
      <c r="S880" s="406" t="s">
        <v>1247</v>
      </c>
      <c r="T880" s="406">
        <v>335110</v>
      </c>
    </row>
    <row r="881" spans="1:20">
      <c r="A881" s="406" t="s">
        <v>1247</v>
      </c>
      <c r="B881" s="406">
        <v>335111</v>
      </c>
      <c r="C881" s="406">
        <f>+'8.CTT3'!A27</f>
        <v>335111</v>
      </c>
      <c r="D881" s="406">
        <f si="18" t="shared"/>
        <v>0</v>
      </c>
      <c r="S881" s="406" t="s">
        <v>1247</v>
      </c>
      <c r="T881" s="406">
        <v>335111</v>
      </c>
    </row>
    <row r="882" spans="1:20">
      <c r="A882" s="406" t="s">
        <v>1247</v>
      </c>
      <c r="B882" s="406">
        <v>335112</v>
      </c>
      <c r="C882" s="406">
        <f>+'8.CTT3'!A28</f>
        <v>335112</v>
      </c>
      <c r="D882" s="406">
        <f si="18" t="shared"/>
        <v>0</v>
      </c>
      <c r="S882" s="406" t="s">
        <v>1247</v>
      </c>
      <c r="T882" s="406">
        <v>335112</v>
      </c>
    </row>
    <row r="883" spans="1:20">
      <c r="A883" s="406" t="s">
        <v>1247</v>
      </c>
      <c r="B883" s="406">
        <v>335113</v>
      </c>
      <c r="C883" s="406">
        <f>+'8.CTT3'!A29</f>
        <v>335113</v>
      </c>
      <c r="D883" s="406">
        <f si="18" t="shared"/>
        <v>0</v>
      </c>
      <c r="S883" s="406" t="s">
        <v>1247</v>
      </c>
      <c r="T883" s="406">
        <v>335113</v>
      </c>
    </row>
    <row r="884" spans="1:20">
      <c r="A884" s="406" t="s">
        <v>1247</v>
      </c>
      <c r="B884" s="406">
        <v>33520</v>
      </c>
      <c r="C884" s="406">
        <f>+'8.CTT3'!A30</f>
        <v>33520</v>
      </c>
      <c r="D884" s="406">
        <f si="18" t="shared"/>
        <v>0</v>
      </c>
      <c r="S884" s="406" t="s">
        <v>1247</v>
      </c>
      <c r="T884" s="406">
        <v>33520</v>
      </c>
    </row>
    <row r="885" spans="1:20">
      <c r="A885" s="406" t="s">
        <v>1247</v>
      </c>
      <c r="B885" s="406">
        <v>336</v>
      </c>
      <c r="C885" s="406">
        <f>+'8.CTT3'!A31</f>
        <v>336</v>
      </c>
      <c r="D885" s="406">
        <f si="18" t="shared"/>
        <v>0</v>
      </c>
      <c r="S885" s="406" t="s">
        <v>1247</v>
      </c>
      <c r="T885" s="406">
        <v>336</v>
      </c>
    </row>
    <row r="886" spans="1:20">
      <c r="A886" s="406" t="s">
        <v>1247</v>
      </c>
      <c r="B886" s="406">
        <v>3361</v>
      </c>
      <c r="C886" s="406">
        <f>+'8.CTT3'!A32</f>
        <v>3361</v>
      </c>
      <c r="D886" s="406">
        <f si="18" t="shared"/>
        <v>0</v>
      </c>
      <c r="S886" s="406" t="s">
        <v>1247</v>
      </c>
      <c r="T886" s="406">
        <v>3361</v>
      </c>
    </row>
    <row r="887" spans="1:20">
      <c r="A887" s="406" t="s">
        <v>1247</v>
      </c>
      <c r="B887" s="406">
        <v>33611</v>
      </c>
      <c r="C887" s="406">
        <f>+'8.CTT3'!A33</f>
        <v>33611</v>
      </c>
      <c r="D887" s="406">
        <f si="18" t="shared"/>
        <v>0</v>
      </c>
      <c r="S887" s="406" t="s">
        <v>1247</v>
      </c>
      <c r="T887" s="406">
        <v>33611</v>
      </c>
    </row>
    <row r="888" spans="1:20">
      <c r="A888" s="406" t="s">
        <v>1247</v>
      </c>
      <c r="B888" s="406">
        <v>33612</v>
      </c>
      <c r="C888" s="406">
        <f>+'8.CTT3'!A34</f>
        <v>33612</v>
      </c>
      <c r="D888" s="406">
        <f si="18" t="shared"/>
        <v>0</v>
      </c>
      <c r="S888" s="406" t="s">
        <v>1247</v>
      </c>
      <c r="T888" s="406">
        <v>33612</v>
      </c>
    </row>
    <row r="889" spans="1:20">
      <c r="A889" s="406" t="s">
        <v>1247</v>
      </c>
      <c r="B889" s="406">
        <v>33613</v>
      </c>
      <c r="C889" s="406">
        <f>+'8.CTT3'!A35</f>
        <v>33613</v>
      </c>
      <c r="D889" s="406">
        <f si="18" t="shared"/>
        <v>0</v>
      </c>
      <c r="S889" s="406" t="s">
        <v>1247</v>
      </c>
      <c r="T889" s="406">
        <v>33613</v>
      </c>
    </row>
    <row r="890" spans="1:20">
      <c r="A890" s="406" t="s">
        <v>1247</v>
      </c>
      <c r="B890" s="406">
        <v>33614</v>
      </c>
      <c r="C890" s="406">
        <f>+'8.CTT3'!A36</f>
        <v>33614</v>
      </c>
      <c r="D890" s="406">
        <f si="18" t="shared"/>
        <v>0</v>
      </c>
      <c r="S890" s="406" t="s">
        <v>1247</v>
      </c>
      <c r="T890" s="406">
        <v>33614</v>
      </c>
    </row>
    <row r="891" spans="1:20">
      <c r="A891" s="406" t="s">
        <v>1247</v>
      </c>
      <c r="B891" s="406">
        <v>33615</v>
      </c>
      <c r="C891" s="406">
        <f>+'8.CTT3'!A37</f>
        <v>33615</v>
      </c>
      <c r="D891" s="406">
        <f si="18" t="shared"/>
        <v>0</v>
      </c>
      <c r="S891" s="406" t="s">
        <v>1247</v>
      </c>
      <c r="T891" s="406">
        <v>33615</v>
      </c>
    </row>
    <row r="892" spans="1:20">
      <c r="A892" s="406" t="s">
        <v>1247</v>
      </c>
      <c r="B892" s="406">
        <v>3362</v>
      </c>
      <c r="C892" s="406">
        <f>+'8.CTT3'!A38</f>
        <v>3362</v>
      </c>
      <c r="D892" s="406">
        <f si="18" t="shared"/>
        <v>0</v>
      </c>
      <c r="S892" s="406" t="s">
        <v>1247</v>
      </c>
      <c r="T892" s="406">
        <v>3362</v>
      </c>
    </row>
    <row r="893" spans="1:20">
      <c r="A893" s="406" t="s">
        <v>1247</v>
      </c>
      <c r="B893" s="406">
        <v>33621</v>
      </c>
      <c r="C893" s="406">
        <f>+'8.CTT3'!A39</f>
        <v>33621</v>
      </c>
      <c r="D893" s="406">
        <f si="18" t="shared"/>
        <v>0</v>
      </c>
      <c r="S893" s="406" t="s">
        <v>1247</v>
      </c>
      <c r="T893" s="406">
        <v>33621</v>
      </c>
    </row>
    <row r="894" spans="1:20">
      <c r="A894" s="406" t="s">
        <v>1247</v>
      </c>
      <c r="B894" s="406">
        <v>33622</v>
      </c>
      <c r="C894" s="406">
        <f>+'8.CTT3'!A40</f>
        <v>33622</v>
      </c>
      <c r="D894" s="406">
        <f si="18" t="shared"/>
        <v>0</v>
      </c>
      <c r="S894" s="406" t="s">
        <v>1247</v>
      </c>
      <c r="T894" s="406">
        <v>33622</v>
      </c>
    </row>
    <row r="895" spans="1:20">
      <c r="A895" s="406" t="s">
        <v>1247</v>
      </c>
      <c r="B895" s="406">
        <v>33623</v>
      </c>
      <c r="C895" s="406">
        <f>+'8.CTT3'!A41</f>
        <v>33623</v>
      </c>
      <c r="D895" s="406">
        <f si="18" t="shared"/>
        <v>0</v>
      </c>
      <c r="S895" s="406" t="s">
        <v>1247</v>
      </c>
      <c r="T895" s="406">
        <v>33623</v>
      </c>
    </row>
    <row r="896" spans="1:20">
      <c r="A896" s="406" t="s">
        <v>1248</v>
      </c>
      <c r="B896" s="406">
        <v>34</v>
      </c>
      <c r="C896" s="406">
        <f>+'9.CTT4'!A8</f>
        <v>34</v>
      </c>
      <c r="D896" s="406">
        <f si="18" t="shared"/>
        <v>0</v>
      </c>
      <c r="S896" s="406" t="s">
        <v>1248</v>
      </c>
      <c r="T896" s="406">
        <v>34</v>
      </c>
    </row>
    <row r="897" spans="1:20">
      <c r="A897" s="406" t="s">
        <v>1248</v>
      </c>
      <c r="B897" s="406">
        <v>34100</v>
      </c>
      <c r="C897" s="406">
        <f>+'9.CTT4'!A9</f>
        <v>34100</v>
      </c>
      <c r="D897" s="406">
        <f si="18" t="shared"/>
        <v>0</v>
      </c>
      <c r="S897" s="406" t="s">
        <v>1248</v>
      </c>
      <c r="T897" s="406">
        <v>34100</v>
      </c>
    </row>
    <row r="898" spans="1:20">
      <c r="A898" s="406" t="s">
        <v>1248</v>
      </c>
      <c r="B898" s="406">
        <v>34200</v>
      </c>
      <c r="C898" s="406">
        <f>+'9.CTT4'!A10</f>
        <v>34200</v>
      </c>
      <c r="D898" s="406">
        <f si="18" t="shared"/>
        <v>0</v>
      </c>
      <c r="S898" s="406" t="s">
        <v>1248</v>
      </c>
      <c r="T898" s="406">
        <v>34200</v>
      </c>
    </row>
    <row r="899" spans="1:20">
      <c r="A899" s="406" t="s">
        <v>1248</v>
      </c>
      <c r="B899" s="406">
        <v>34300</v>
      </c>
      <c r="C899" s="406">
        <f>+'9.CTT4'!A11</f>
        <v>34300</v>
      </c>
      <c r="D899" s="406">
        <f ref="D899:D962" si="19" t="shared">IF(B899=VALUE(C899),0,1)</f>
        <v>0</v>
      </c>
      <c r="S899" s="406" t="s">
        <v>1248</v>
      </c>
      <c r="T899" s="406">
        <v>34300</v>
      </c>
    </row>
    <row r="900" spans="1:20">
      <c r="A900" s="406" t="s">
        <v>1248</v>
      </c>
      <c r="B900" s="406">
        <v>34400</v>
      </c>
      <c r="C900" s="406">
        <f>+'9.CTT4'!A12</f>
        <v>34400</v>
      </c>
      <c r="D900" s="406">
        <f si="19" t="shared"/>
        <v>0</v>
      </c>
      <c r="S900" s="406" t="s">
        <v>1248</v>
      </c>
      <c r="T900" s="406">
        <v>34400</v>
      </c>
    </row>
    <row r="901" spans="1:20">
      <c r="A901" s="406" t="s">
        <v>1248</v>
      </c>
      <c r="B901" s="406">
        <v>34500</v>
      </c>
      <c r="C901" s="406">
        <f>+'9.CTT4'!A13</f>
        <v>34500</v>
      </c>
      <c r="D901" s="406">
        <f si="19" t="shared"/>
        <v>0</v>
      </c>
      <c r="S901" s="406" t="s">
        <v>1248</v>
      </c>
      <c r="T901" s="406">
        <v>34500</v>
      </c>
    </row>
    <row r="902" spans="1:20">
      <c r="A902" s="406" t="s">
        <v>1248</v>
      </c>
      <c r="B902" s="406">
        <v>34600</v>
      </c>
      <c r="C902" s="406">
        <f>+'9.CTT4'!A14</f>
        <v>34600</v>
      </c>
      <c r="D902" s="406">
        <f si="19" t="shared"/>
        <v>0</v>
      </c>
      <c r="S902" s="406" t="s">
        <v>1248</v>
      </c>
      <c r="T902" s="406">
        <v>34600</v>
      </c>
    </row>
    <row r="903" spans="1:20">
      <c r="A903" s="406" t="s">
        <v>1248</v>
      </c>
      <c r="B903" s="406">
        <v>3471</v>
      </c>
      <c r="C903" s="406">
        <f>+'9.CTT4'!A15</f>
        <v>3471</v>
      </c>
      <c r="D903" s="406">
        <f si="19" t="shared"/>
        <v>0</v>
      </c>
      <c r="S903" s="406" t="s">
        <v>1248</v>
      </c>
      <c r="T903" s="406">
        <v>3471</v>
      </c>
    </row>
    <row r="904" spans="1:20">
      <c r="A904" s="406" t="s">
        <v>1248</v>
      </c>
      <c r="B904" s="406">
        <v>34711</v>
      </c>
      <c r="C904" s="406">
        <f>+'9.CTT4'!A16</f>
        <v>34711</v>
      </c>
      <c r="D904" s="406">
        <f si="19" t="shared"/>
        <v>0</v>
      </c>
      <c r="S904" s="406" t="s">
        <v>1248</v>
      </c>
      <c r="T904" s="406">
        <v>34711</v>
      </c>
    </row>
    <row r="905" spans="1:20">
      <c r="A905" s="406" t="s">
        <v>1248</v>
      </c>
      <c r="B905" s="406">
        <v>34712</v>
      </c>
      <c r="C905" s="406">
        <f>+'9.CTT4'!A17</f>
        <v>34712</v>
      </c>
      <c r="D905" s="406">
        <f si="19" t="shared"/>
        <v>0</v>
      </c>
      <c r="S905" s="406" t="s">
        <v>1248</v>
      </c>
      <c r="T905" s="406">
        <v>34712</v>
      </c>
    </row>
    <row r="906" spans="1:20">
      <c r="A906" s="406" t="s">
        <v>1248</v>
      </c>
      <c r="B906" s="406">
        <v>34713</v>
      </c>
      <c r="C906" s="406">
        <f>+'9.CTT4'!A18</f>
        <v>34713</v>
      </c>
      <c r="D906" s="406">
        <f si="19" t="shared"/>
        <v>0</v>
      </c>
      <c r="S906" s="406" t="s">
        <v>1248</v>
      </c>
      <c r="T906" s="406">
        <v>34713</v>
      </c>
    </row>
    <row r="907" spans="1:20">
      <c r="A907" s="406" t="s">
        <v>1248</v>
      </c>
      <c r="B907" s="406">
        <v>34714</v>
      </c>
      <c r="C907" s="406">
        <f>+'9.CTT4'!A19</f>
        <v>34714</v>
      </c>
      <c r="D907" s="406">
        <f si="19" t="shared"/>
        <v>0</v>
      </c>
      <c r="S907" s="406" t="s">
        <v>1248</v>
      </c>
      <c r="T907" s="406">
        <v>34714</v>
      </c>
    </row>
    <row r="908" spans="1:20">
      <c r="A908" s="406" t="s">
        <v>1249</v>
      </c>
      <c r="B908" s="406">
        <v>1</v>
      </c>
      <c r="C908" s="406">
        <f>+'10.CTT5'!A9</f>
        <v>1</v>
      </c>
      <c r="D908" s="406">
        <f si="19" t="shared"/>
        <v>0</v>
      </c>
      <c r="S908" s="406" t="s">
        <v>1249</v>
      </c>
      <c r="T908" s="406">
        <v>1</v>
      </c>
    </row>
    <row r="909" spans="1:20">
      <c r="A909" s="406" t="s">
        <v>1249</v>
      </c>
      <c r="B909" s="406">
        <v>2</v>
      </c>
      <c r="C909" s="406">
        <f>+'10.CTT5'!A10</f>
        <v>2</v>
      </c>
      <c r="D909" s="406">
        <f si="19" t="shared"/>
        <v>0</v>
      </c>
      <c r="S909" s="406" t="s">
        <v>1249</v>
      </c>
      <c r="T909" s="406">
        <v>2</v>
      </c>
    </row>
    <row r="910" spans="1:20">
      <c r="A910" s="406" t="s">
        <v>1249</v>
      </c>
      <c r="B910" s="406">
        <v>2.1</v>
      </c>
      <c r="C910" s="406">
        <f>+'10.CTT5'!A11</f>
        <v>2.1</v>
      </c>
      <c r="D910" s="406">
        <f si="19" t="shared"/>
        <v>0</v>
      </c>
      <c r="S910" s="406" t="s">
        <v>1249</v>
      </c>
      <c r="T910" s="406">
        <v>2.1</v>
      </c>
    </row>
    <row r="911" spans="1:20">
      <c r="A911" s="406" t="s">
        <v>1249</v>
      </c>
      <c r="B911" s="406">
        <v>2.2000000000000002</v>
      </c>
      <c r="C911" s="406">
        <f>+'10.CTT5'!A12</f>
        <v>2.2000000000000002</v>
      </c>
      <c r="D911" s="406">
        <f si="19" t="shared"/>
        <v>0</v>
      </c>
      <c r="S911" s="406" t="s">
        <v>1249</v>
      </c>
      <c r="T911" s="406">
        <v>2.2000000000000002</v>
      </c>
    </row>
    <row r="912" spans="1:20">
      <c r="A912" s="406" t="s">
        <v>1249</v>
      </c>
      <c r="B912" s="406">
        <v>2.2999999999999998</v>
      </c>
      <c r="C912" s="406">
        <f>+'10.CTT5'!A13</f>
        <v>2.2999999999999998</v>
      </c>
      <c r="D912" s="406">
        <f si="19" t="shared"/>
        <v>0</v>
      </c>
      <c r="S912" s="406" t="s">
        <v>1249</v>
      </c>
      <c r="T912" s="406">
        <v>2.2999999999999998</v>
      </c>
    </row>
    <row r="913" spans="1:20">
      <c r="A913" s="406" t="s">
        <v>1249</v>
      </c>
      <c r="B913" s="406">
        <v>2.4</v>
      </c>
      <c r="C913" s="406">
        <f>+'10.CTT5'!A14</f>
        <v>2.4</v>
      </c>
      <c r="D913" s="406">
        <f si="19" t="shared"/>
        <v>0</v>
      </c>
      <c r="S913" s="406" t="s">
        <v>1249</v>
      </c>
      <c r="T913" s="406">
        <v>2.4</v>
      </c>
    </row>
    <row r="914" spans="1:20">
      <c r="A914" s="406" t="s">
        <v>1249</v>
      </c>
      <c r="B914" s="406">
        <v>2.5</v>
      </c>
      <c r="C914" s="406">
        <f>+'10.CTT5'!A15</f>
        <v>2.5</v>
      </c>
      <c r="D914" s="406">
        <f si="19" t="shared"/>
        <v>0</v>
      </c>
      <c r="S914" s="406" t="s">
        <v>1249</v>
      </c>
      <c r="T914" s="406">
        <v>2.5</v>
      </c>
    </row>
    <row r="915" spans="1:20">
      <c r="A915" s="406" t="s">
        <v>1249</v>
      </c>
      <c r="B915" s="406">
        <v>3</v>
      </c>
      <c r="C915" s="406">
        <f>+'10.CTT5'!A16</f>
        <v>3</v>
      </c>
      <c r="D915" s="406">
        <f si="19" t="shared"/>
        <v>0</v>
      </c>
      <c r="S915" s="406" t="s">
        <v>1249</v>
      </c>
      <c r="T915" s="406">
        <v>3</v>
      </c>
    </row>
    <row r="916" spans="1:20">
      <c r="A916" s="406" t="s">
        <v>1249</v>
      </c>
      <c r="B916" s="406">
        <v>3.1</v>
      </c>
      <c r="C916" s="406">
        <f>+'10.CTT5'!A17</f>
        <v>3.1</v>
      </c>
      <c r="D916" s="406">
        <f si="19" t="shared"/>
        <v>0</v>
      </c>
      <c r="S916" s="406" t="s">
        <v>1249</v>
      </c>
      <c r="T916" s="406">
        <v>3.1</v>
      </c>
    </row>
    <row r="917" spans="1:20">
      <c r="A917" s="406" t="s">
        <v>1249</v>
      </c>
      <c r="B917" s="406">
        <v>3.2</v>
      </c>
      <c r="C917" s="406">
        <f>+'10.CTT5'!A18</f>
        <v>3.2</v>
      </c>
      <c r="D917" s="406">
        <f si="19" t="shared"/>
        <v>0</v>
      </c>
      <c r="S917" s="406" t="s">
        <v>1249</v>
      </c>
      <c r="T917" s="406">
        <v>3.2</v>
      </c>
    </row>
    <row r="918" spans="1:20">
      <c r="A918" s="406" t="s">
        <v>1249</v>
      </c>
      <c r="B918" s="406">
        <v>3.3</v>
      </c>
      <c r="C918" s="406">
        <f>+'10.CTT5'!A19</f>
        <v>3.3</v>
      </c>
      <c r="D918" s="406">
        <f si="19" t="shared"/>
        <v>0</v>
      </c>
      <c r="S918" s="406" t="s">
        <v>1249</v>
      </c>
      <c r="T918" s="406">
        <v>3.3</v>
      </c>
    </row>
    <row r="919" spans="1:20">
      <c r="A919" s="406" t="s">
        <v>1249</v>
      </c>
      <c r="B919" s="406">
        <v>3.4</v>
      </c>
      <c r="C919" s="406">
        <f>+'10.CTT5'!A20</f>
        <v>3.4</v>
      </c>
      <c r="D919" s="406">
        <f si="19" t="shared"/>
        <v>0</v>
      </c>
      <c r="S919" s="406" t="s">
        <v>1249</v>
      </c>
      <c r="T919" s="406">
        <v>3.4</v>
      </c>
    </row>
    <row r="920" spans="1:20">
      <c r="A920" s="406" t="s">
        <v>1249</v>
      </c>
      <c r="B920" s="406">
        <v>4</v>
      </c>
      <c r="C920" s="406">
        <f>+'10.CTT5'!A21</f>
        <v>4</v>
      </c>
      <c r="D920" s="406">
        <f si="19" t="shared"/>
        <v>0</v>
      </c>
      <c r="S920" s="406" t="s">
        <v>1249</v>
      </c>
      <c r="T920" s="406">
        <v>4</v>
      </c>
    </row>
    <row r="921" spans="1:20">
      <c r="A921" s="406" t="s">
        <v>2983</v>
      </c>
      <c r="B921" s="406">
        <v>37</v>
      </c>
      <c r="C921" s="406">
        <f>'11.CTT6'!A8</f>
        <v>37</v>
      </c>
      <c r="D921" s="406">
        <f si="19" t="shared"/>
        <v>0</v>
      </c>
      <c r="S921" s="406" t="s">
        <v>2983</v>
      </c>
      <c r="T921" s="406">
        <v>37</v>
      </c>
    </row>
    <row r="922" spans="1:20">
      <c r="A922" s="406" t="s">
        <v>2983</v>
      </c>
      <c r="B922" s="406">
        <v>37100</v>
      </c>
      <c r="C922" s="406">
        <f>'11.CTT6'!A9</f>
        <v>37100</v>
      </c>
      <c r="D922" s="406">
        <f si="19" t="shared"/>
        <v>0</v>
      </c>
      <c r="S922" s="406" t="s">
        <v>2983</v>
      </c>
      <c r="T922" s="406">
        <v>37100</v>
      </c>
    </row>
    <row r="923" spans="1:20">
      <c r="A923" s="406" t="s">
        <v>2983</v>
      </c>
      <c r="B923" s="406">
        <v>37110</v>
      </c>
      <c r="C923" s="406">
        <f>'11.CTT6'!A10</f>
        <v>37110</v>
      </c>
      <c r="D923" s="406">
        <f si="19" t="shared"/>
        <v>0</v>
      </c>
      <c r="S923" s="406" t="s">
        <v>2983</v>
      </c>
      <c r="T923" s="406">
        <v>37110</v>
      </c>
    </row>
    <row r="924" spans="1:20">
      <c r="A924" s="406" t="s">
        <v>2983</v>
      </c>
      <c r="B924" s="406">
        <v>37120</v>
      </c>
      <c r="C924" s="406">
        <f>'11.CTT6'!A11</f>
        <v>37120</v>
      </c>
      <c r="D924" s="406">
        <f si="19" t="shared"/>
        <v>0</v>
      </c>
      <c r="S924" s="406" t="s">
        <v>2983</v>
      </c>
      <c r="T924" s="406">
        <v>37120</v>
      </c>
    </row>
    <row r="925" spans="1:20">
      <c r="A925" s="406" t="s">
        <v>2983</v>
      </c>
      <c r="B925" s="406">
        <v>37200</v>
      </c>
      <c r="C925" s="406">
        <f>'11.CTT6'!A12</f>
        <v>37200</v>
      </c>
      <c r="D925" s="406">
        <f si="19" t="shared"/>
        <v>0</v>
      </c>
      <c r="S925" s="406" t="s">
        <v>2983</v>
      </c>
      <c r="T925" s="406">
        <v>37200</v>
      </c>
    </row>
    <row r="926" spans="1:20">
      <c r="A926" s="406" t="s">
        <v>2983</v>
      </c>
      <c r="B926" s="406">
        <v>37210</v>
      </c>
      <c r="C926" s="406">
        <f>'11.CTT6'!A13</f>
        <v>37210</v>
      </c>
      <c r="D926" s="406">
        <f si="19" t="shared"/>
        <v>0</v>
      </c>
      <c r="S926" s="406" t="s">
        <v>2983</v>
      </c>
      <c r="T926" s="406">
        <v>37210</v>
      </c>
    </row>
    <row r="927" spans="1:20">
      <c r="A927" s="406" t="s">
        <v>2983</v>
      </c>
      <c r="B927" s="406">
        <v>37220</v>
      </c>
      <c r="C927" s="406">
        <f>'11.CTT6'!A14</f>
        <v>37220</v>
      </c>
      <c r="D927" s="406">
        <f si="19" t="shared"/>
        <v>0</v>
      </c>
      <c r="S927" s="406" t="s">
        <v>2983</v>
      </c>
      <c r="T927" s="406">
        <v>37220</v>
      </c>
    </row>
    <row r="928" spans="1:20">
      <c r="A928" s="406" t="s">
        <v>2983</v>
      </c>
      <c r="B928" s="406">
        <v>37300</v>
      </c>
      <c r="C928" s="406">
        <f>'11.CTT6'!A15</f>
        <v>37300</v>
      </c>
      <c r="D928" s="406">
        <f si="19" t="shared"/>
        <v>0</v>
      </c>
      <c r="S928" s="406" t="s">
        <v>2983</v>
      </c>
      <c r="T928" s="406">
        <v>37300</v>
      </c>
    </row>
    <row r="929" spans="1:20">
      <c r="A929" s="406" t="s">
        <v>2983</v>
      </c>
      <c r="B929" s="406">
        <v>37310</v>
      </c>
      <c r="C929" s="406">
        <f>'11.CTT6'!A16</f>
        <v>37310</v>
      </c>
      <c r="D929" s="406">
        <f si="19" t="shared"/>
        <v>0</v>
      </c>
      <c r="S929" s="406" t="s">
        <v>2983</v>
      </c>
      <c r="T929" s="406">
        <v>37310</v>
      </c>
    </row>
    <row r="930" spans="1:20">
      <c r="A930" s="406" t="s">
        <v>2983</v>
      </c>
      <c r="B930" s="406">
        <v>37311</v>
      </c>
      <c r="C930" s="406">
        <f>'11.CTT6'!A17</f>
        <v>37311</v>
      </c>
      <c r="D930" s="406">
        <f si="19" t="shared"/>
        <v>0</v>
      </c>
      <c r="S930" s="406" t="s">
        <v>2983</v>
      </c>
      <c r="T930" s="406">
        <v>37311</v>
      </c>
    </row>
    <row r="931" spans="1:20">
      <c r="A931" s="406" t="s">
        <v>2983</v>
      </c>
      <c r="B931" s="406">
        <v>37312</v>
      </c>
      <c r="C931" s="406">
        <f>'11.CTT6'!A18</f>
        <v>37312</v>
      </c>
      <c r="D931" s="406">
        <f si="19" t="shared"/>
        <v>0</v>
      </c>
      <c r="S931" s="406" t="s">
        <v>2983</v>
      </c>
      <c r="T931" s="406">
        <v>37312</v>
      </c>
    </row>
    <row r="932" spans="1:20">
      <c r="A932" s="406" t="s">
        <v>2983</v>
      </c>
      <c r="B932" s="406">
        <v>37313</v>
      </c>
      <c r="C932" s="406">
        <f>'11.CTT6'!A19</f>
        <v>37313</v>
      </c>
      <c r="D932" s="406">
        <f si="19" t="shared"/>
        <v>0</v>
      </c>
      <c r="S932" s="406" t="s">
        <v>2983</v>
      </c>
      <c r="T932" s="406">
        <v>37313</v>
      </c>
    </row>
    <row r="933" spans="1:20">
      <c r="A933" s="406" t="s">
        <v>2983</v>
      </c>
      <c r="B933" s="406">
        <v>37314</v>
      </c>
      <c r="C933" s="406">
        <f>'11.CTT6'!A20</f>
        <v>37314</v>
      </c>
      <c r="D933" s="406">
        <f si="19" t="shared"/>
        <v>0</v>
      </c>
      <c r="S933" s="406" t="s">
        <v>2983</v>
      </c>
      <c r="T933" s="406">
        <v>37314</v>
      </c>
    </row>
    <row r="934" spans="1:20">
      <c r="A934" s="406" t="s">
        <v>2983</v>
      </c>
      <c r="B934" s="406">
        <v>37315</v>
      </c>
      <c r="C934" s="406">
        <f>'11.CTT6'!A21</f>
        <v>37315</v>
      </c>
      <c r="D934" s="406">
        <f si="19" t="shared"/>
        <v>0</v>
      </c>
      <c r="S934" s="406" t="s">
        <v>2983</v>
      </c>
      <c r="T934" s="406">
        <v>37315</v>
      </c>
    </row>
    <row r="935" spans="1:20">
      <c r="A935" s="406" t="s">
        <v>2983</v>
      </c>
      <c r="B935" s="406">
        <v>37320</v>
      </c>
      <c r="C935" s="406">
        <f>'11.CTT6'!A22</f>
        <v>37320</v>
      </c>
      <c r="D935" s="406">
        <f si="19" t="shared"/>
        <v>0</v>
      </c>
      <c r="S935" s="406" t="s">
        <v>2983</v>
      </c>
      <c r="T935" s="406">
        <v>37320</v>
      </c>
    </row>
    <row r="936" spans="1:20">
      <c r="A936" s="406" t="s">
        <v>2983</v>
      </c>
      <c r="B936" s="406">
        <v>37321</v>
      </c>
      <c r="C936" s="406">
        <f>'11.CTT6'!A23</f>
        <v>37321</v>
      </c>
      <c r="D936" s="406">
        <f si="19" t="shared"/>
        <v>0</v>
      </c>
      <c r="S936" s="406" t="s">
        <v>2983</v>
      </c>
      <c r="T936" s="406">
        <v>37321</v>
      </c>
    </row>
    <row r="937" spans="1:20">
      <c r="A937" s="406" t="s">
        <v>2983</v>
      </c>
      <c r="B937" s="406">
        <v>37323</v>
      </c>
      <c r="C937" s="406">
        <f>'11.CTT6'!A24</f>
        <v>37323</v>
      </c>
      <c r="D937" s="406">
        <f si="19" t="shared"/>
        <v>0</v>
      </c>
      <c r="S937" s="406" t="s">
        <v>2983</v>
      </c>
      <c r="T937" s="406">
        <v>37323</v>
      </c>
    </row>
    <row r="938" spans="1:20">
      <c r="A938" s="406" t="s">
        <v>2983</v>
      </c>
      <c r="B938" s="406">
        <v>37324</v>
      </c>
      <c r="C938" s="406">
        <f>'11.CTT6'!A25</f>
        <v>37324</v>
      </c>
      <c r="D938" s="406">
        <f si="19" t="shared"/>
        <v>0</v>
      </c>
      <c r="S938" s="406" t="s">
        <v>2983</v>
      </c>
      <c r="T938" s="406">
        <v>37324</v>
      </c>
    </row>
    <row r="939" spans="1:20">
      <c r="A939" s="406" t="s">
        <v>2983</v>
      </c>
      <c r="B939" s="406">
        <v>37330</v>
      </c>
      <c r="C939" s="406">
        <f>'11.CTT6'!A26</f>
        <v>37330</v>
      </c>
      <c r="D939" s="406">
        <f si="19" t="shared"/>
        <v>0</v>
      </c>
      <c r="S939" s="406" t="s">
        <v>2983</v>
      </c>
      <c r="T939" s="406">
        <v>37330</v>
      </c>
    </row>
    <row r="940" spans="1:20">
      <c r="A940" s="406" t="s">
        <v>2984</v>
      </c>
      <c r="B940" s="406">
        <v>0</v>
      </c>
      <c r="C940" s="406">
        <f>'12.CTT7'!A9</f>
        <v>0</v>
      </c>
      <c r="D940" s="406">
        <f si="19" t="shared"/>
        <v>0</v>
      </c>
      <c r="S940" s="406" t="s">
        <v>2984</v>
      </c>
      <c r="T940" s="406">
        <v>1</v>
      </c>
    </row>
    <row r="941" spans="1:20">
      <c r="A941" s="406" t="s">
        <v>2984</v>
      </c>
      <c r="B941" s="406">
        <v>1</v>
      </c>
      <c r="C941" s="406">
        <f>'12.CTT7'!A10</f>
        <v>1</v>
      </c>
      <c r="D941" s="406">
        <f si="19" t="shared"/>
        <v>0</v>
      </c>
      <c r="S941" s="406" t="s">
        <v>2984</v>
      </c>
      <c r="T941" s="406">
        <v>1</v>
      </c>
    </row>
    <row r="942" spans="1:20">
      <c r="A942" s="406" t="s">
        <v>2984</v>
      </c>
      <c r="B942" s="406">
        <v>2</v>
      </c>
      <c r="C942" s="406">
        <f>'12.CTT7'!A11</f>
        <v>2</v>
      </c>
      <c r="D942" s="406">
        <f si="19" t="shared"/>
        <v>0</v>
      </c>
      <c r="S942" s="406" t="s">
        <v>2984</v>
      </c>
      <c r="T942" s="406">
        <v>2</v>
      </c>
    </row>
    <row r="943" spans="1:20">
      <c r="A943" s="406" t="s">
        <v>2984</v>
      </c>
      <c r="B943" s="406">
        <v>2.1</v>
      </c>
      <c r="C943" s="406">
        <f>'12.CTT7'!A12</f>
        <v>2.1</v>
      </c>
      <c r="D943" s="406">
        <f si="19" t="shared"/>
        <v>0</v>
      </c>
      <c r="S943" s="406" t="s">
        <v>2984</v>
      </c>
      <c r="T943" s="406">
        <v>2.1</v>
      </c>
    </row>
    <row r="944" spans="1:20">
      <c r="A944" s="406" t="s">
        <v>2984</v>
      </c>
      <c r="B944" s="406">
        <v>2.2000000000000002</v>
      </c>
      <c r="C944" s="406">
        <f>'12.CTT7'!A13</f>
        <v>2.2000000000000002</v>
      </c>
      <c r="D944" s="406">
        <f si="19" t="shared"/>
        <v>0</v>
      </c>
      <c r="S944" s="406" t="s">
        <v>2984</v>
      </c>
      <c r="T944" s="406">
        <v>2.2000000000000002</v>
      </c>
    </row>
    <row r="945" spans="1:20">
      <c r="A945" s="406" t="s">
        <v>2984</v>
      </c>
      <c r="B945" s="406">
        <v>2.2999999999999998</v>
      </c>
      <c r="C945" s="406">
        <f>'12.CTT7'!A14</f>
        <v>2.2999999999999998</v>
      </c>
      <c r="D945" s="406">
        <f si="19" t="shared"/>
        <v>0</v>
      </c>
      <c r="S945" s="406" t="s">
        <v>2984</v>
      </c>
      <c r="T945" s="406">
        <v>2.2999999999999998</v>
      </c>
    </row>
    <row r="946" spans="1:20">
      <c r="A946" s="406" t="s">
        <v>2984</v>
      </c>
      <c r="B946" s="406">
        <v>2.4</v>
      </c>
      <c r="C946" s="406">
        <f>'12.CTT7'!A15</f>
        <v>2.4</v>
      </c>
      <c r="D946" s="406">
        <f si="19" t="shared"/>
        <v>0</v>
      </c>
      <c r="S946" s="406" t="s">
        <v>2984</v>
      </c>
      <c r="T946" s="406">
        <v>2.4</v>
      </c>
    </row>
    <row r="947" spans="1:20">
      <c r="A947" s="406" t="s">
        <v>2984</v>
      </c>
      <c r="B947" s="406">
        <v>2.5</v>
      </c>
      <c r="C947" s="406">
        <f>'12.CTT7'!A16</f>
        <v>2.5</v>
      </c>
      <c r="D947" s="406">
        <f si="19" t="shared"/>
        <v>0</v>
      </c>
      <c r="S947" s="406" t="s">
        <v>2984</v>
      </c>
      <c r="T947" s="406">
        <v>2.5</v>
      </c>
    </row>
    <row r="948" spans="1:20">
      <c r="A948" s="406" t="s">
        <v>2984</v>
      </c>
      <c r="B948" s="406">
        <v>2.6</v>
      </c>
      <c r="C948" s="406">
        <f>'12.CTT7'!A17</f>
        <v>2.6</v>
      </c>
      <c r="D948" s="406">
        <f si="19" t="shared"/>
        <v>0</v>
      </c>
      <c r="S948" s="406" t="s">
        <v>2984</v>
      </c>
      <c r="T948" s="406">
        <v>2.6</v>
      </c>
    </row>
    <row r="949" spans="1:20">
      <c r="A949" s="406" t="s">
        <v>2984</v>
      </c>
      <c r="B949" s="406">
        <v>3</v>
      </c>
      <c r="C949" s="406">
        <f>'12.CTT7'!A18</f>
        <v>3</v>
      </c>
      <c r="D949" s="406">
        <f si="19" t="shared"/>
        <v>0</v>
      </c>
      <c r="S949" s="406" t="s">
        <v>2984</v>
      </c>
      <c r="T949" s="406">
        <v>3</v>
      </c>
    </row>
    <row r="950" spans="1:20">
      <c r="A950" s="406" t="s">
        <v>2984</v>
      </c>
      <c r="B950" s="406">
        <v>301</v>
      </c>
      <c r="C950" s="406">
        <f>'12.CTT7'!A19</f>
        <v>301</v>
      </c>
      <c r="D950" s="406">
        <f si="19" t="shared"/>
        <v>0</v>
      </c>
      <c r="S950" s="406" t="s">
        <v>2984</v>
      </c>
      <c r="T950" s="406">
        <v>301</v>
      </c>
    </row>
    <row r="951" spans="1:20">
      <c r="A951" s="406" t="s">
        <v>2984</v>
      </c>
      <c r="B951" s="406">
        <v>302</v>
      </c>
      <c r="C951" s="406">
        <f>'12.CTT7'!A20</f>
        <v>302</v>
      </c>
      <c r="D951" s="406">
        <f si="19" t="shared"/>
        <v>0</v>
      </c>
      <c r="S951" s="406" t="s">
        <v>2984</v>
      </c>
      <c r="T951" s="406">
        <v>302</v>
      </c>
    </row>
    <row r="952" spans="1:20">
      <c r="A952" s="406" t="s">
        <v>2984</v>
      </c>
      <c r="B952" s="406">
        <v>303</v>
      </c>
      <c r="C952" s="406">
        <f>'12.CTT7'!A21</f>
        <v>303</v>
      </c>
      <c r="D952" s="406">
        <f si="19" t="shared"/>
        <v>0</v>
      </c>
      <c r="S952" s="406" t="s">
        <v>2984</v>
      </c>
      <c r="T952" s="406">
        <v>303</v>
      </c>
    </row>
    <row r="953" spans="1:20">
      <c r="A953" s="406" t="s">
        <v>2984</v>
      </c>
      <c r="B953" s="406">
        <v>304</v>
      </c>
      <c r="C953" s="406">
        <f>'12.CTT7'!A22</f>
        <v>304</v>
      </c>
      <c r="D953" s="406">
        <f si="19" t="shared"/>
        <v>0</v>
      </c>
      <c r="S953" s="406" t="s">
        <v>2984</v>
      </c>
      <c r="T953" s="406">
        <v>304</v>
      </c>
    </row>
    <row r="954" spans="1:20">
      <c r="A954" s="406" t="s">
        <v>2984</v>
      </c>
      <c r="B954" s="406">
        <v>305</v>
      </c>
      <c r="C954" s="406">
        <f>'12.CTT7'!A23</f>
        <v>305</v>
      </c>
      <c r="D954" s="406">
        <f si="19" t="shared"/>
        <v>0</v>
      </c>
      <c r="S954" s="406" t="s">
        <v>2984</v>
      </c>
      <c r="T954" s="406">
        <v>305</v>
      </c>
    </row>
    <row r="955" spans="1:20">
      <c r="A955" s="406" t="s">
        <v>2984</v>
      </c>
      <c r="B955" s="406">
        <v>306</v>
      </c>
      <c r="C955" s="406">
        <f>'12.CTT7'!A24</f>
        <v>306</v>
      </c>
      <c r="D955" s="406">
        <f si="19" t="shared"/>
        <v>0</v>
      </c>
      <c r="S955" s="406" t="s">
        <v>2984</v>
      </c>
      <c r="T955" s="406">
        <v>306</v>
      </c>
    </row>
    <row r="956" spans="1:20">
      <c r="A956" s="406" t="s">
        <v>2984</v>
      </c>
      <c r="B956" s="406">
        <v>4</v>
      </c>
      <c r="C956" s="406">
        <f>'12.CTT7'!A25</f>
        <v>4</v>
      </c>
      <c r="D956" s="406">
        <f si="19" t="shared"/>
        <v>0</v>
      </c>
      <c r="S956" s="406" t="s">
        <v>2984</v>
      </c>
      <c r="T956" s="406">
        <v>4</v>
      </c>
    </row>
    <row r="957" spans="1:20">
      <c r="A957" s="406" t="s">
        <v>2984</v>
      </c>
      <c r="B957" s="406">
        <v>6</v>
      </c>
      <c r="C957" s="406">
        <f>'12.CTT7'!A26</f>
        <v>6</v>
      </c>
      <c r="D957" s="406">
        <f si="19" t="shared"/>
        <v>0</v>
      </c>
      <c r="S957" s="406" t="s">
        <v>2984</v>
      </c>
      <c r="T957" s="406">
        <v>6</v>
      </c>
    </row>
    <row r="958" spans="1:20">
      <c r="A958" s="406" t="s">
        <v>2984</v>
      </c>
      <c r="B958" s="406">
        <v>7</v>
      </c>
      <c r="C958" s="406">
        <f>'12.CTT7'!A27</f>
        <v>7</v>
      </c>
      <c r="D958" s="406">
        <f si="19" t="shared"/>
        <v>0</v>
      </c>
      <c r="S958" s="406" t="s">
        <v>2984</v>
      </c>
      <c r="T958" s="406">
        <v>7</v>
      </c>
    </row>
    <row r="959" spans="1:20">
      <c r="A959" s="406" t="s">
        <v>2984</v>
      </c>
      <c r="B959" s="406">
        <v>8</v>
      </c>
      <c r="C959" s="406">
        <f>'12.CTT7'!A28</f>
        <v>8</v>
      </c>
      <c r="D959" s="406">
        <f si="19" t="shared"/>
        <v>0</v>
      </c>
      <c r="S959" s="406" t="s">
        <v>2984</v>
      </c>
      <c r="T959" s="406">
        <v>8</v>
      </c>
    </row>
    <row r="960" spans="1:20">
      <c r="A960" s="406" t="s">
        <v>2984</v>
      </c>
      <c r="B960" s="406">
        <v>801</v>
      </c>
      <c r="C960" s="406">
        <f>'12.CTT7'!A29</f>
        <v>801</v>
      </c>
      <c r="D960" s="406">
        <f si="19" t="shared"/>
        <v>0</v>
      </c>
      <c r="S960" s="406" t="s">
        <v>2984</v>
      </c>
      <c r="T960" s="406">
        <v>801</v>
      </c>
    </row>
    <row r="961" spans="1:20">
      <c r="A961" s="406" t="s">
        <v>2984</v>
      </c>
      <c r="B961" s="406">
        <v>802</v>
      </c>
      <c r="C961" s="406">
        <f>'12.CTT7'!A30</f>
        <v>802</v>
      </c>
      <c r="D961" s="406">
        <f si="19" t="shared"/>
        <v>0</v>
      </c>
      <c r="S961" s="406" t="s">
        <v>2984</v>
      </c>
      <c r="T961" s="406">
        <v>802</v>
      </c>
    </row>
    <row r="962" spans="1:20">
      <c r="A962" s="406" t="s">
        <v>2984</v>
      </c>
      <c r="B962" s="406">
        <v>9</v>
      </c>
      <c r="C962" s="406">
        <f>'12.CTT7'!A31</f>
        <v>9</v>
      </c>
      <c r="D962" s="406">
        <f si="19" t="shared"/>
        <v>0</v>
      </c>
      <c r="S962" s="406" t="s">
        <v>2984</v>
      </c>
      <c r="T962" s="406">
        <v>9</v>
      </c>
    </row>
    <row r="963" spans="1:20">
      <c r="A963" s="406" t="s">
        <v>2984</v>
      </c>
      <c r="B963" s="406">
        <v>901</v>
      </c>
      <c r="C963" s="406">
        <f>'12.CTT7'!A32</f>
        <v>901</v>
      </c>
      <c r="D963" s="406">
        <f ref="D963:D1026" si="20" t="shared">IF(B963=VALUE(C963),0,1)</f>
        <v>0</v>
      </c>
      <c r="S963" s="406" t="s">
        <v>2984</v>
      </c>
      <c r="T963" s="406">
        <v>901</v>
      </c>
    </row>
    <row r="964" spans="1:20">
      <c r="A964" s="406" t="s">
        <v>2984</v>
      </c>
      <c r="B964" s="406">
        <v>902</v>
      </c>
      <c r="C964" s="406">
        <f>'12.CTT7'!A33</f>
        <v>902</v>
      </c>
      <c r="D964" s="406">
        <f si="20" t="shared"/>
        <v>0</v>
      </c>
      <c r="S964" s="406" t="s">
        <v>2984</v>
      </c>
      <c r="T964" s="406">
        <v>902</v>
      </c>
    </row>
    <row r="965" spans="1:20">
      <c r="A965" s="406" t="s">
        <v>2984</v>
      </c>
      <c r="B965" s="406">
        <v>10</v>
      </c>
      <c r="C965" s="406">
        <f>'12.CTT7'!A34</f>
        <v>10</v>
      </c>
      <c r="D965" s="406">
        <f si="20" t="shared"/>
        <v>0</v>
      </c>
      <c r="S965" s="406" t="s">
        <v>2984</v>
      </c>
      <c r="T965" s="406">
        <v>10</v>
      </c>
    </row>
    <row r="966" spans="1:20">
      <c r="A966" s="406" t="s">
        <v>2984</v>
      </c>
      <c r="B966" s="406">
        <v>11</v>
      </c>
      <c r="C966" s="406">
        <f>'12.CTT7'!A35</f>
        <v>11</v>
      </c>
      <c r="D966" s="406">
        <f si="20" t="shared"/>
        <v>0</v>
      </c>
      <c r="S966" s="406" t="s">
        <v>2984</v>
      </c>
      <c r="T966" s="406">
        <v>11</v>
      </c>
    </row>
    <row r="967" spans="1:20">
      <c r="A967" s="406" t="s">
        <v>2985</v>
      </c>
      <c r="B967" s="406">
        <v>41</v>
      </c>
      <c r="C967" s="406">
        <f>'13.CTT8'!A8</f>
        <v>41</v>
      </c>
      <c r="D967" s="406">
        <f si="20" t="shared"/>
        <v>0</v>
      </c>
      <c r="S967" s="406" t="s">
        <v>2985</v>
      </c>
      <c r="T967" s="406">
        <v>41</v>
      </c>
    </row>
    <row r="968" spans="1:20">
      <c r="A968" s="406" t="s">
        <v>2985</v>
      </c>
      <c r="B968" s="406">
        <v>411</v>
      </c>
      <c r="C968" s="406">
        <f>'13.CTT8'!A9</f>
        <v>411</v>
      </c>
      <c r="D968" s="406">
        <f si="20" t="shared"/>
        <v>0</v>
      </c>
      <c r="S968" s="406" t="s">
        <v>2985</v>
      </c>
      <c r="T968" s="406">
        <v>411</v>
      </c>
    </row>
    <row r="969" spans="1:20">
      <c r="A969" s="406" t="s">
        <v>2985</v>
      </c>
      <c r="B969" s="406">
        <v>4111</v>
      </c>
      <c r="C969" s="406">
        <f>'13.CTT8'!A10</f>
        <v>4111</v>
      </c>
      <c r="D969" s="406">
        <f si="20" t="shared"/>
        <v>0</v>
      </c>
      <c r="S969" s="406" t="s">
        <v>2985</v>
      </c>
      <c r="T969" s="406">
        <v>4111</v>
      </c>
    </row>
    <row r="970" spans="1:20">
      <c r="A970" s="406" t="s">
        <v>2985</v>
      </c>
      <c r="B970" s="406">
        <v>41111</v>
      </c>
      <c r="C970" s="406">
        <f>'13.CTT8'!A11</f>
        <v>41111</v>
      </c>
      <c r="D970" s="406">
        <f si="20" t="shared"/>
        <v>0</v>
      </c>
      <c r="S970" s="406" t="s">
        <v>2985</v>
      </c>
      <c r="T970" s="406">
        <v>41111</v>
      </c>
    </row>
    <row r="971" spans="1:20">
      <c r="A971" s="406" t="s">
        <v>2985</v>
      </c>
      <c r="B971" s="406">
        <v>41112</v>
      </c>
      <c r="C971" s="406">
        <f>'13.CTT8'!A12</f>
        <v>41112</v>
      </c>
      <c r="D971" s="406">
        <f si="20" t="shared"/>
        <v>0</v>
      </c>
      <c r="S971" s="406" t="s">
        <v>2985</v>
      </c>
      <c r="T971" s="406">
        <v>41112</v>
      </c>
    </row>
    <row r="972" spans="1:20">
      <c r="A972" s="406" t="s">
        <v>2985</v>
      </c>
      <c r="B972" s="406">
        <v>41113</v>
      </c>
      <c r="C972" s="406">
        <f>'13.CTT8'!A13</f>
        <v>41113</v>
      </c>
      <c r="D972" s="406">
        <f si="20" t="shared"/>
        <v>0</v>
      </c>
      <c r="S972" s="406" t="s">
        <v>2985</v>
      </c>
      <c r="T972" s="406">
        <v>41113</v>
      </c>
    </row>
    <row r="973" spans="1:20">
      <c r="A973" s="406" t="s">
        <v>2985</v>
      </c>
      <c r="B973" s="406">
        <v>4112</v>
      </c>
      <c r="C973" s="406">
        <f>'13.CTT8'!A14</f>
        <v>4112</v>
      </c>
      <c r="D973" s="406">
        <f si="20" t="shared"/>
        <v>0</v>
      </c>
      <c r="S973" s="406" t="s">
        <v>2985</v>
      </c>
      <c r="T973" s="406">
        <v>4112</v>
      </c>
    </row>
    <row r="974" spans="1:20">
      <c r="A974" s="406" t="s">
        <v>2985</v>
      </c>
      <c r="B974" s="406">
        <v>41121</v>
      </c>
      <c r="C974" s="406">
        <f>'13.CTT8'!A15</f>
        <v>41121</v>
      </c>
      <c r="D974" s="406">
        <f si="20" t="shared"/>
        <v>0</v>
      </c>
      <c r="S974" s="406" t="s">
        <v>2985</v>
      </c>
      <c r="T974" s="406">
        <v>41121</v>
      </c>
    </row>
    <row r="975" spans="1:20">
      <c r="A975" s="406" t="s">
        <v>2985</v>
      </c>
      <c r="B975" s="406">
        <v>41122</v>
      </c>
      <c r="C975" s="406">
        <f>'13.CTT8'!A16</f>
        <v>41122</v>
      </c>
      <c r="D975" s="406">
        <f si="20" t="shared"/>
        <v>0</v>
      </c>
      <c r="S975" s="406" t="s">
        <v>2985</v>
      </c>
      <c r="T975" s="406">
        <v>41122</v>
      </c>
    </row>
    <row r="976" spans="1:20">
      <c r="A976" s="406" t="s">
        <v>2985</v>
      </c>
      <c r="B976" s="406">
        <v>41123</v>
      </c>
      <c r="C976" s="406">
        <f>'13.CTT8'!A17</f>
        <v>41123</v>
      </c>
      <c r="D976" s="406">
        <f si="20" t="shared"/>
        <v>0</v>
      </c>
      <c r="S976" s="406" t="s">
        <v>2985</v>
      </c>
      <c r="T976" s="406">
        <v>41123</v>
      </c>
    </row>
    <row r="977" spans="1:20">
      <c r="A977" s="406" t="s">
        <v>2985</v>
      </c>
      <c r="B977" s="406">
        <v>412</v>
      </c>
      <c r="C977" s="406">
        <f>'13.CTT8'!A18</f>
        <v>412</v>
      </c>
      <c r="D977" s="406">
        <f si="20" t="shared"/>
        <v>0</v>
      </c>
      <c r="S977" s="406" t="s">
        <v>2985</v>
      </c>
      <c r="T977" s="406">
        <v>412</v>
      </c>
    </row>
    <row r="978" spans="1:20">
      <c r="A978" s="406" t="s">
        <v>2985</v>
      </c>
      <c r="B978" s="406">
        <v>4121</v>
      </c>
      <c r="C978" s="406">
        <f>'13.CTT8'!A19</f>
        <v>4121</v>
      </c>
      <c r="D978" s="406">
        <f si="20" t="shared"/>
        <v>0</v>
      </c>
      <c r="S978" s="406" t="s">
        <v>2985</v>
      </c>
      <c r="T978" s="406">
        <v>4121</v>
      </c>
    </row>
    <row r="979" spans="1:20">
      <c r="A979" s="406" t="s">
        <v>2985</v>
      </c>
      <c r="B979" s="406">
        <v>41211</v>
      </c>
      <c r="C979" s="406">
        <f>'13.CTT8'!A20</f>
        <v>41211</v>
      </c>
      <c r="D979" s="406">
        <f si="20" t="shared"/>
        <v>0</v>
      </c>
      <c r="S979" s="406" t="s">
        <v>2985</v>
      </c>
      <c r="T979" s="406">
        <v>41211</v>
      </c>
    </row>
    <row r="980" spans="1:20">
      <c r="A980" s="406" t="s">
        <v>2985</v>
      </c>
      <c r="B980" s="406">
        <v>41212</v>
      </c>
      <c r="C980" s="406">
        <f>'13.CTT8'!A21</f>
        <v>41212</v>
      </c>
      <c r="D980" s="406">
        <f si="20" t="shared"/>
        <v>0</v>
      </c>
      <c r="S980" s="406" t="s">
        <v>2985</v>
      </c>
      <c r="T980" s="406">
        <v>41212</v>
      </c>
    </row>
    <row r="981" spans="1:20">
      <c r="A981" s="406" t="s">
        <v>2985</v>
      </c>
      <c r="B981" s="406">
        <v>41213</v>
      </c>
      <c r="C981" s="406">
        <f>'13.CTT8'!A22</f>
        <v>41213</v>
      </c>
      <c r="D981" s="406">
        <f si="20" t="shared"/>
        <v>0</v>
      </c>
      <c r="S981" s="406" t="s">
        <v>2985</v>
      </c>
      <c r="T981" s="406">
        <v>41213</v>
      </c>
    </row>
    <row r="982" spans="1:20">
      <c r="A982" s="406" t="s">
        <v>2985</v>
      </c>
      <c r="B982" s="406">
        <v>41214</v>
      </c>
      <c r="C982" s="406">
        <f>'13.CTT8'!A23</f>
        <v>41214</v>
      </c>
      <c r="D982" s="406">
        <f si="20" t="shared"/>
        <v>0</v>
      </c>
      <c r="S982" s="406" t="s">
        <v>2985</v>
      </c>
      <c r="T982" s="406">
        <v>41214</v>
      </c>
    </row>
    <row r="983" spans="1:20">
      <c r="A983" s="406" t="s">
        <v>2985</v>
      </c>
      <c r="B983" s="406">
        <v>41215</v>
      </c>
      <c r="C983" s="406">
        <f>'13.CTT8'!A24</f>
        <v>41215</v>
      </c>
      <c r="D983" s="406">
        <f si="20" t="shared"/>
        <v>0</v>
      </c>
      <c r="S983" s="406" t="s">
        <v>2985</v>
      </c>
      <c r="T983" s="406">
        <v>41215</v>
      </c>
    </row>
    <row r="984" spans="1:20">
      <c r="A984" s="406" t="s">
        <v>2985</v>
      </c>
      <c r="B984" s="406">
        <v>41216</v>
      </c>
      <c r="C984" s="406">
        <f>'13.CTT8'!A25</f>
        <v>41216</v>
      </c>
      <c r="D984" s="406">
        <f si="20" t="shared"/>
        <v>0</v>
      </c>
      <c r="S984" s="406" t="s">
        <v>2985</v>
      </c>
      <c r="T984" s="406">
        <v>41216</v>
      </c>
    </row>
    <row r="985" spans="1:20">
      <c r="A985" s="406" t="s">
        <v>2985</v>
      </c>
      <c r="B985" s="406">
        <v>41217</v>
      </c>
      <c r="C985" s="406">
        <f>'13.CTT8'!A26</f>
        <v>41217</v>
      </c>
      <c r="D985" s="406">
        <f si="20" t="shared"/>
        <v>0</v>
      </c>
      <c r="S985" s="406" t="s">
        <v>2985</v>
      </c>
      <c r="T985" s="406">
        <v>41217</v>
      </c>
    </row>
    <row r="986" spans="1:20">
      <c r="A986" s="406" t="s">
        <v>2985</v>
      </c>
      <c r="B986" s="406">
        <v>4122</v>
      </c>
      <c r="C986" s="406">
        <f>'13.CTT8'!A27</f>
        <v>4122</v>
      </c>
      <c r="D986" s="406">
        <f si="20" t="shared"/>
        <v>0</v>
      </c>
      <c r="S986" s="406" t="s">
        <v>2985</v>
      </c>
      <c r="T986" s="406">
        <v>4122</v>
      </c>
    </row>
    <row r="987" spans="1:20">
      <c r="A987" s="406" t="s">
        <v>2985</v>
      </c>
      <c r="B987" s="406">
        <v>41221</v>
      </c>
      <c r="C987" s="406">
        <f>'13.CTT8'!A28</f>
        <v>41221</v>
      </c>
      <c r="D987" s="406">
        <f si="20" t="shared"/>
        <v>0</v>
      </c>
      <c r="S987" s="406" t="s">
        <v>2985</v>
      </c>
      <c r="T987" s="406">
        <v>41221</v>
      </c>
    </row>
    <row r="988" spans="1:20">
      <c r="A988" s="406" t="s">
        <v>2985</v>
      </c>
      <c r="B988" s="406">
        <v>41222</v>
      </c>
      <c r="C988" s="406">
        <f>'13.CTT8'!A29</f>
        <v>41222</v>
      </c>
      <c r="D988" s="406">
        <f si="20" t="shared"/>
        <v>0</v>
      </c>
      <c r="S988" s="406" t="s">
        <v>2985</v>
      </c>
      <c r="T988" s="406">
        <v>41222</v>
      </c>
    </row>
    <row r="989" spans="1:20">
      <c r="A989" s="406" t="s">
        <v>2985</v>
      </c>
      <c r="B989" s="406">
        <v>41223</v>
      </c>
      <c r="C989" s="406">
        <f>'13.CTT8'!A30</f>
        <v>41223</v>
      </c>
      <c r="D989" s="406">
        <f si="20" t="shared"/>
        <v>0</v>
      </c>
      <c r="S989" s="406" t="s">
        <v>2985</v>
      </c>
      <c r="T989" s="406">
        <v>41223</v>
      </c>
    </row>
    <row r="990" spans="1:20">
      <c r="A990" s="406" t="s">
        <v>2985</v>
      </c>
      <c r="B990" s="406">
        <v>41224</v>
      </c>
      <c r="C990" s="406">
        <f>'13.CTT8'!A31</f>
        <v>41224</v>
      </c>
      <c r="D990" s="406">
        <f si="20" t="shared"/>
        <v>0</v>
      </c>
      <c r="S990" s="406" t="s">
        <v>2985</v>
      </c>
      <c r="T990" s="406">
        <v>41224</v>
      </c>
    </row>
    <row r="991" spans="1:20">
      <c r="A991" s="406" t="s">
        <v>2985</v>
      </c>
      <c r="B991" s="406">
        <v>41225</v>
      </c>
      <c r="C991" s="406">
        <f>'13.CTT8'!A32</f>
        <v>41225</v>
      </c>
      <c r="D991" s="406">
        <f si="20" t="shared"/>
        <v>0</v>
      </c>
      <c r="S991" s="406" t="s">
        <v>2985</v>
      </c>
      <c r="T991" s="406">
        <v>41225</v>
      </c>
    </row>
    <row r="992" spans="1:20">
      <c r="A992" s="406" t="s">
        <v>2985</v>
      </c>
      <c r="B992" s="406">
        <v>413</v>
      </c>
      <c r="C992" s="406">
        <f>'13.CTT8'!A33</f>
        <v>413</v>
      </c>
      <c r="D992" s="406">
        <f si="20" t="shared"/>
        <v>0</v>
      </c>
      <c r="S992" s="406" t="s">
        <v>2985</v>
      </c>
      <c r="T992" s="406">
        <v>413</v>
      </c>
    </row>
    <row r="993" spans="1:20">
      <c r="A993" s="406" t="s">
        <v>2985</v>
      </c>
      <c r="B993" s="406">
        <v>4131</v>
      </c>
      <c r="C993" s="406">
        <f>'13.CTT8'!A34</f>
        <v>4131</v>
      </c>
      <c r="D993" s="406">
        <f si="20" t="shared"/>
        <v>0</v>
      </c>
      <c r="S993" s="406" t="s">
        <v>2985</v>
      </c>
      <c r="T993" s="406">
        <v>4131</v>
      </c>
    </row>
    <row r="994" spans="1:20">
      <c r="A994" s="406" t="s">
        <v>2985</v>
      </c>
      <c r="B994" s="406">
        <v>413101</v>
      </c>
      <c r="C994" s="406">
        <f>'13.CTT8'!A35</f>
        <v>413101</v>
      </c>
      <c r="D994" s="406">
        <f si="20" t="shared"/>
        <v>0</v>
      </c>
      <c r="S994" s="406" t="s">
        <v>2985</v>
      </c>
      <c r="T994" s="406">
        <v>413101</v>
      </c>
    </row>
    <row r="995" spans="1:20">
      <c r="A995" s="406" t="s">
        <v>2985</v>
      </c>
      <c r="B995" s="406">
        <v>413102</v>
      </c>
      <c r="C995" s="406">
        <f>'13.CTT8'!A36</f>
        <v>413102</v>
      </c>
      <c r="D995" s="406">
        <f si="20" t="shared"/>
        <v>0</v>
      </c>
      <c r="S995" s="406" t="s">
        <v>2985</v>
      </c>
      <c r="T995" s="406">
        <v>413102</v>
      </c>
    </row>
    <row r="996" spans="1:20">
      <c r="A996" s="406" t="s">
        <v>2985</v>
      </c>
      <c r="B996" s="406">
        <v>413103</v>
      </c>
      <c r="C996" s="406">
        <f>'13.CTT8'!A37</f>
        <v>413103</v>
      </c>
      <c r="D996" s="406">
        <f si="20" t="shared"/>
        <v>0</v>
      </c>
      <c r="S996" s="406" t="s">
        <v>2985</v>
      </c>
      <c r="T996" s="406">
        <v>413103</v>
      </c>
    </row>
    <row r="997" spans="1:20">
      <c r="A997" s="406" t="s">
        <v>2985</v>
      </c>
      <c r="B997" s="406">
        <v>413104</v>
      </c>
      <c r="C997" s="406">
        <f>'13.CTT8'!A38</f>
        <v>413104</v>
      </c>
      <c r="D997" s="406">
        <f si="20" t="shared"/>
        <v>0</v>
      </c>
      <c r="S997" s="406" t="s">
        <v>2985</v>
      </c>
      <c r="T997" s="406">
        <v>413104</v>
      </c>
    </row>
    <row r="998" spans="1:20">
      <c r="A998" s="406" t="s">
        <v>2985</v>
      </c>
      <c r="B998" s="406">
        <v>4132</v>
      </c>
      <c r="C998" s="406">
        <f>'13.CTT8'!A39</f>
        <v>4132</v>
      </c>
      <c r="D998" s="406">
        <f si="20" t="shared"/>
        <v>0</v>
      </c>
      <c r="S998" s="406" t="s">
        <v>2985</v>
      </c>
      <c r="T998" s="406">
        <v>4132</v>
      </c>
    </row>
    <row r="999" spans="1:20">
      <c r="A999" s="406" t="s">
        <v>2985</v>
      </c>
      <c r="B999" s="406">
        <v>413201</v>
      </c>
      <c r="C999" s="406">
        <f>'13.CTT8'!A40</f>
        <v>413201</v>
      </c>
      <c r="D999" s="406">
        <f si="20" t="shared"/>
        <v>0</v>
      </c>
      <c r="S999" s="406" t="s">
        <v>2985</v>
      </c>
      <c r="T999" s="406">
        <v>413201</v>
      </c>
    </row>
    <row r="1000" spans="1:20">
      <c r="A1000" s="406" t="s">
        <v>2985</v>
      </c>
      <c r="B1000" s="406">
        <v>413202</v>
      </c>
      <c r="C1000" s="406">
        <f>'13.CTT8'!A41</f>
        <v>413202</v>
      </c>
      <c r="D1000" s="406">
        <f si="20" t="shared"/>
        <v>0</v>
      </c>
      <c r="S1000" s="406" t="s">
        <v>2985</v>
      </c>
      <c r="T1000" s="406">
        <v>413202</v>
      </c>
    </row>
    <row r="1001" spans="1:20">
      <c r="A1001" s="406" t="s">
        <v>2985</v>
      </c>
      <c r="B1001" s="406">
        <v>413203</v>
      </c>
      <c r="C1001" s="406">
        <f>'13.CTT8'!A42</f>
        <v>413203</v>
      </c>
      <c r="D1001" s="406">
        <f si="20" t="shared"/>
        <v>0</v>
      </c>
      <c r="S1001" s="406" t="s">
        <v>2985</v>
      </c>
      <c r="T1001" s="406">
        <v>413203</v>
      </c>
    </row>
    <row r="1002" spans="1:20">
      <c r="A1002" s="406" t="s">
        <v>2985</v>
      </c>
      <c r="B1002" s="406">
        <v>413204</v>
      </c>
      <c r="C1002" s="406">
        <f>'13.CTT8'!A43</f>
        <v>413204</v>
      </c>
      <c r="D1002" s="406">
        <f si="20" t="shared"/>
        <v>0</v>
      </c>
      <c r="S1002" s="406" t="s">
        <v>2985</v>
      </c>
      <c r="T1002" s="406">
        <v>413204</v>
      </c>
    </row>
    <row r="1003" spans="1:20">
      <c r="A1003" s="406" t="s">
        <v>2985</v>
      </c>
      <c r="B1003" s="406">
        <v>413205</v>
      </c>
      <c r="C1003" s="406">
        <f>'13.CTT8'!A44</f>
        <v>413205</v>
      </c>
      <c r="D1003" s="406">
        <f si="20" t="shared"/>
        <v>0</v>
      </c>
      <c r="S1003" s="406" t="s">
        <v>2985</v>
      </c>
      <c r="T1003" s="406">
        <v>413205</v>
      </c>
    </row>
    <row r="1004" spans="1:20">
      <c r="A1004" s="406" t="s">
        <v>2985</v>
      </c>
      <c r="B1004" s="406">
        <v>413206</v>
      </c>
      <c r="C1004" s="406">
        <f>'13.CTT8'!A45</f>
        <v>413206</v>
      </c>
      <c r="D1004" s="406">
        <f si="20" t="shared"/>
        <v>0</v>
      </c>
      <c r="S1004" s="406" t="s">
        <v>2985</v>
      </c>
      <c r="T1004" s="406">
        <v>413206</v>
      </c>
    </row>
    <row r="1005" spans="1:20">
      <c r="A1005" s="406" t="s">
        <v>2985</v>
      </c>
      <c r="B1005" s="406">
        <v>413207</v>
      </c>
      <c r="C1005" s="406">
        <f>'13.CTT8'!A46</f>
        <v>413207</v>
      </c>
      <c r="D1005" s="406">
        <f si="20" t="shared"/>
        <v>0</v>
      </c>
      <c r="S1005" s="406" t="s">
        <v>2985</v>
      </c>
      <c r="T1005" s="406">
        <v>413207</v>
      </c>
    </row>
    <row r="1006" spans="1:20">
      <c r="A1006" s="406" t="s">
        <v>2985</v>
      </c>
      <c r="B1006" s="406">
        <v>413208</v>
      </c>
      <c r="C1006" s="406">
        <f>'13.CTT8'!A47</f>
        <v>413208</v>
      </c>
      <c r="D1006" s="406">
        <f si="20" t="shared"/>
        <v>0</v>
      </c>
      <c r="S1006" s="406" t="s">
        <v>2985</v>
      </c>
      <c r="T1006" s="406">
        <v>413208</v>
      </c>
    </row>
    <row r="1007" spans="1:20">
      <c r="A1007" s="406" t="s">
        <v>2985</v>
      </c>
      <c r="B1007" s="406">
        <v>413209</v>
      </c>
      <c r="C1007" s="406">
        <f>'13.CTT8'!A48</f>
        <v>413209</v>
      </c>
      <c r="D1007" s="406">
        <f si="20" t="shared"/>
        <v>0</v>
      </c>
      <c r="S1007" s="406" t="s">
        <v>2985</v>
      </c>
      <c r="T1007" s="406">
        <v>413209</v>
      </c>
    </row>
    <row r="1008" spans="1:20">
      <c r="A1008" s="406" t="s">
        <v>2985</v>
      </c>
      <c r="B1008" s="406">
        <v>413210</v>
      </c>
      <c r="C1008" s="406">
        <f>'13.CTT8'!A49</f>
        <v>413210</v>
      </c>
      <c r="D1008" s="406">
        <f si="20" t="shared"/>
        <v>0</v>
      </c>
      <c r="S1008" s="406" t="s">
        <v>2985</v>
      </c>
      <c r="T1008" s="406">
        <v>413210</v>
      </c>
    </row>
    <row r="1009" spans="1:20">
      <c r="A1009" s="406" t="s">
        <v>2985</v>
      </c>
      <c r="B1009" s="406">
        <v>413211</v>
      </c>
      <c r="C1009" s="406">
        <f>'13.CTT8'!A50</f>
        <v>413211</v>
      </c>
      <c r="D1009" s="406">
        <f si="20" t="shared"/>
        <v>0</v>
      </c>
      <c r="S1009" s="406" t="s">
        <v>2985</v>
      </c>
      <c r="T1009" s="406">
        <v>413211</v>
      </c>
    </row>
    <row r="1010" spans="1:20">
      <c r="A1010" s="406" t="s">
        <v>2985</v>
      </c>
      <c r="B1010" s="406">
        <v>413212</v>
      </c>
      <c r="C1010" s="406">
        <f>'13.CTT8'!A51</f>
        <v>413212</v>
      </c>
      <c r="D1010" s="406">
        <f si="20" t="shared"/>
        <v>0</v>
      </c>
      <c r="S1010" s="406" t="s">
        <v>2985</v>
      </c>
      <c r="T1010" s="406">
        <v>413212</v>
      </c>
    </row>
    <row r="1011" spans="1:20">
      <c r="A1011" s="406" t="s">
        <v>2985</v>
      </c>
      <c r="B1011" s="406">
        <v>413213</v>
      </c>
      <c r="C1011" s="406">
        <f>'13.CTT8'!A52</f>
        <v>413213</v>
      </c>
      <c r="D1011" s="406">
        <f si="20" t="shared"/>
        <v>0</v>
      </c>
      <c r="S1011" s="406" t="s">
        <v>2985</v>
      </c>
      <c r="T1011" s="406">
        <v>413213</v>
      </c>
    </row>
    <row r="1012" spans="1:20">
      <c r="A1012" s="406" t="s">
        <v>2985</v>
      </c>
      <c r="B1012" s="406">
        <v>41330</v>
      </c>
      <c r="C1012" s="406">
        <f>'13.CTT8'!A53</f>
        <v>41330</v>
      </c>
      <c r="D1012" s="406">
        <f si="20" t="shared"/>
        <v>0</v>
      </c>
      <c r="S1012" s="406" t="s">
        <v>2985</v>
      </c>
      <c r="T1012" s="406">
        <v>41330</v>
      </c>
    </row>
    <row r="1013" spans="1:20">
      <c r="A1013" s="406" t="s">
        <v>2985</v>
      </c>
      <c r="B1013" s="406">
        <v>41340</v>
      </c>
      <c r="C1013" s="406">
        <f>'13.CTT8'!A54</f>
        <v>41340</v>
      </c>
      <c r="D1013" s="406">
        <f si="20" t="shared"/>
        <v>0</v>
      </c>
      <c r="S1013" s="406" t="s">
        <v>2985</v>
      </c>
      <c r="T1013" s="406">
        <v>41340</v>
      </c>
    </row>
    <row r="1014" spans="1:20">
      <c r="A1014" s="406" t="s">
        <v>2985</v>
      </c>
      <c r="B1014" s="406">
        <v>41350</v>
      </c>
      <c r="C1014" s="406">
        <f>'13.CTT8'!A55</f>
        <v>41350</v>
      </c>
      <c r="D1014" s="406">
        <f si="20" t="shared"/>
        <v>0</v>
      </c>
      <c r="S1014" s="406" t="s">
        <v>2985</v>
      </c>
      <c r="T1014" s="406">
        <v>41350</v>
      </c>
    </row>
    <row r="1015" spans="1:20">
      <c r="A1015" s="406" t="s">
        <v>2985</v>
      </c>
      <c r="B1015" s="406">
        <v>4136</v>
      </c>
      <c r="C1015" s="406">
        <f>'13.CTT8'!A56</f>
        <v>4136</v>
      </c>
      <c r="D1015" s="406">
        <f si="20" t="shared"/>
        <v>0</v>
      </c>
      <c r="S1015" s="406" t="s">
        <v>2985</v>
      </c>
      <c r="T1015" s="406">
        <v>4136</v>
      </c>
    </row>
    <row r="1016" spans="1:20">
      <c r="A1016" s="406" t="s">
        <v>2985</v>
      </c>
      <c r="B1016" s="406">
        <v>41361</v>
      </c>
      <c r="C1016" s="406">
        <f>'13.CTT8'!A57</f>
        <v>41361</v>
      </c>
      <c r="D1016" s="406">
        <f si="20" t="shared"/>
        <v>0</v>
      </c>
      <c r="S1016" s="406" t="s">
        <v>2985</v>
      </c>
      <c r="T1016" s="406">
        <v>41361</v>
      </c>
    </row>
    <row r="1017" spans="1:20">
      <c r="A1017" s="406" t="s">
        <v>2985</v>
      </c>
      <c r="B1017" s="406">
        <v>41362</v>
      </c>
      <c r="C1017" s="406">
        <f>'13.CTT8'!A58</f>
        <v>41362</v>
      </c>
      <c r="D1017" s="406">
        <f si="20" t="shared"/>
        <v>0</v>
      </c>
      <c r="S1017" s="406" t="s">
        <v>2985</v>
      </c>
      <c r="T1017" s="406">
        <v>41362</v>
      </c>
    </row>
    <row r="1018" spans="1:20">
      <c r="A1018" s="406" t="s">
        <v>2985</v>
      </c>
      <c r="B1018" s="406">
        <v>41363</v>
      </c>
      <c r="C1018" s="406">
        <f>'13.CTT8'!A59</f>
        <v>41363</v>
      </c>
      <c r="D1018" s="406">
        <f si="20" t="shared"/>
        <v>0</v>
      </c>
      <c r="S1018" s="406" t="s">
        <v>2985</v>
      </c>
      <c r="T1018" s="406">
        <v>41363</v>
      </c>
    </row>
    <row r="1019" spans="1:20">
      <c r="A1019" s="406" t="s">
        <v>2985</v>
      </c>
      <c r="B1019" s="406">
        <v>41364</v>
      </c>
      <c r="C1019" s="406">
        <f>'13.CTT8'!A60</f>
        <v>41364</v>
      </c>
      <c r="D1019" s="406">
        <f si="20" t="shared"/>
        <v>0</v>
      </c>
      <c r="S1019" s="406" t="s">
        <v>2985</v>
      </c>
      <c r="T1019" s="406">
        <v>41364</v>
      </c>
    </row>
    <row r="1020" spans="1:20">
      <c r="A1020" s="406" t="s">
        <v>2985</v>
      </c>
      <c r="B1020" s="406">
        <v>41365</v>
      </c>
      <c r="C1020" s="406">
        <f>'13.CTT8'!A61</f>
        <v>41365</v>
      </c>
      <c r="D1020" s="406">
        <f si="20" t="shared"/>
        <v>0</v>
      </c>
      <c r="S1020" s="406" t="s">
        <v>2985</v>
      </c>
      <c r="T1020" s="406">
        <v>41365</v>
      </c>
    </row>
    <row r="1021" spans="1:20">
      <c r="A1021" s="406" t="s">
        <v>2985</v>
      </c>
      <c r="B1021" s="406">
        <v>41366</v>
      </c>
      <c r="C1021" s="406">
        <f>'13.CTT8'!A62</f>
        <v>41366</v>
      </c>
      <c r="D1021" s="406">
        <f si="20" t="shared"/>
        <v>0</v>
      </c>
      <c r="S1021" s="406" t="s">
        <v>2985</v>
      </c>
      <c r="T1021" s="406">
        <v>41366</v>
      </c>
    </row>
    <row r="1022" spans="1:20">
      <c r="A1022" s="406" t="s">
        <v>2985</v>
      </c>
      <c r="B1022" s="406">
        <v>414</v>
      </c>
      <c r="C1022" s="406">
        <f>'13.CTT8'!A63</f>
        <v>414</v>
      </c>
      <c r="D1022" s="406">
        <f si="20" t="shared"/>
        <v>0</v>
      </c>
      <c r="S1022" s="406" t="s">
        <v>2985</v>
      </c>
      <c r="T1022" s="406">
        <v>414</v>
      </c>
    </row>
    <row r="1023" spans="1:20">
      <c r="A1023" s="406" t="s">
        <v>2985</v>
      </c>
      <c r="B1023" s="406">
        <v>41410</v>
      </c>
      <c r="C1023" s="406">
        <f>'13.CTT8'!A64</f>
        <v>41410</v>
      </c>
      <c r="D1023" s="406">
        <f si="20" t="shared"/>
        <v>0</v>
      </c>
      <c r="S1023" s="406" t="s">
        <v>2985</v>
      </c>
      <c r="T1023" s="406">
        <v>41410</v>
      </c>
    </row>
    <row r="1024" spans="1:20">
      <c r="A1024" s="406" t="s">
        <v>2985</v>
      </c>
      <c r="B1024" s="406">
        <v>41420</v>
      </c>
      <c r="C1024" s="406">
        <f>'13.CTT8'!A65</f>
        <v>41420</v>
      </c>
      <c r="D1024" s="406">
        <f si="20" t="shared"/>
        <v>0</v>
      </c>
      <c r="S1024" s="406" t="s">
        <v>2985</v>
      </c>
      <c r="T1024" s="406">
        <v>41420</v>
      </c>
    </row>
    <row r="1025" spans="1:20">
      <c r="A1025" s="406" t="s">
        <v>2985</v>
      </c>
      <c r="B1025" s="406">
        <v>41430</v>
      </c>
      <c r="C1025" s="406">
        <f>'13.CTT8'!A66</f>
        <v>41430</v>
      </c>
      <c r="D1025" s="406">
        <f si="20" t="shared"/>
        <v>0</v>
      </c>
      <c r="S1025" s="406" t="s">
        <v>2985</v>
      </c>
      <c r="T1025" s="406">
        <v>41430</v>
      </c>
    </row>
    <row r="1026" spans="1:20">
      <c r="A1026" s="406" t="s">
        <v>2985</v>
      </c>
      <c r="B1026" s="406">
        <v>41440</v>
      </c>
      <c r="C1026" s="406">
        <f>'13.CTT8'!A67</f>
        <v>41440</v>
      </c>
      <c r="D1026" s="406">
        <f si="20" t="shared"/>
        <v>0</v>
      </c>
      <c r="S1026" s="406" t="s">
        <v>2985</v>
      </c>
      <c r="T1026" s="406">
        <v>41440</v>
      </c>
    </row>
    <row r="1027" spans="1:20">
      <c r="A1027" s="406" t="s">
        <v>2985</v>
      </c>
      <c r="B1027" s="406">
        <v>41450</v>
      </c>
      <c r="C1027" s="406">
        <f>'13.CTT8'!A68</f>
        <v>41450</v>
      </c>
      <c r="D1027" s="406">
        <f ref="D1027:D1068" si="21" t="shared">IF(B1027=VALUE(C1027),0,1)</f>
        <v>0</v>
      </c>
      <c r="S1027" s="406" t="s">
        <v>2985</v>
      </c>
      <c r="T1027" s="406">
        <v>41450</v>
      </c>
    </row>
    <row r="1028" spans="1:20">
      <c r="A1028" s="406" t="s">
        <v>2985</v>
      </c>
      <c r="B1028" s="406">
        <v>0</v>
      </c>
      <c r="C1028" s="406">
        <f>'13.CTT8'!A69</f>
        <v>0</v>
      </c>
      <c r="D1028" s="406">
        <f si="21" t="shared"/>
        <v>0</v>
      </c>
      <c r="S1028" s="406" t="s">
        <v>2985</v>
      </c>
      <c r="T1028" s="406">
        <v>41450</v>
      </c>
    </row>
    <row r="1029" spans="1:20">
      <c r="A1029" s="406" t="s">
        <v>2986</v>
      </c>
      <c r="B1029" s="406">
        <v>42</v>
      </c>
      <c r="C1029" s="406">
        <f>'14.CTT9'!A8</f>
        <v>42</v>
      </c>
      <c r="D1029" s="406">
        <f si="21" t="shared"/>
        <v>0</v>
      </c>
      <c r="S1029" s="406" t="s">
        <v>2986</v>
      </c>
      <c r="T1029" s="406">
        <v>42</v>
      </c>
    </row>
    <row r="1030" spans="1:20">
      <c r="A1030" s="406" t="s">
        <v>2986</v>
      </c>
      <c r="B1030" s="406">
        <v>421</v>
      </c>
      <c r="C1030" s="406">
        <f>'14.CTT9'!A9</f>
        <v>421</v>
      </c>
      <c r="D1030" s="406">
        <f si="21" t="shared"/>
        <v>0</v>
      </c>
      <c r="S1030" s="406" t="s">
        <v>2986</v>
      </c>
      <c r="T1030" s="406">
        <v>421</v>
      </c>
    </row>
    <row r="1031" spans="1:20">
      <c r="A1031" s="406" t="s">
        <v>2986</v>
      </c>
      <c r="B1031" s="406">
        <v>4211</v>
      </c>
      <c r="C1031" s="406">
        <f>'14.CTT9'!A10</f>
        <v>4211</v>
      </c>
      <c r="D1031" s="406">
        <f si="21" t="shared"/>
        <v>0</v>
      </c>
      <c r="S1031" s="406" t="s">
        <v>2986</v>
      </c>
      <c r="T1031" s="406">
        <v>4211</v>
      </c>
    </row>
    <row r="1032" spans="1:20">
      <c r="A1032" s="406" t="s">
        <v>2986</v>
      </c>
      <c r="B1032" s="406">
        <v>42111</v>
      </c>
      <c r="C1032" s="406">
        <f>'14.CTT9'!A11</f>
        <v>42111</v>
      </c>
      <c r="D1032" s="406">
        <f si="21" t="shared"/>
        <v>0</v>
      </c>
      <c r="S1032" s="406" t="s">
        <v>2986</v>
      </c>
      <c r="T1032" s="406">
        <v>42111</v>
      </c>
    </row>
    <row r="1033" spans="1:20">
      <c r="A1033" s="406" t="s">
        <v>2986</v>
      </c>
      <c r="B1033" s="406">
        <v>42112</v>
      </c>
      <c r="C1033" s="406">
        <f>'14.CTT9'!A12</f>
        <v>42112</v>
      </c>
      <c r="D1033" s="406">
        <f si="21" t="shared"/>
        <v>0</v>
      </c>
      <c r="S1033" s="406" t="s">
        <v>2986</v>
      </c>
      <c r="T1033" s="406">
        <v>42112</v>
      </c>
    </row>
    <row r="1034" spans="1:20">
      <c r="A1034" s="406" t="s">
        <v>2986</v>
      </c>
      <c r="B1034" s="406">
        <v>42113</v>
      </c>
      <c r="C1034" s="406">
        <f>'14.CTT9'!A13</f>
        <v>42113</v>
      </c>
      <c r="D1034" s="406">
        <f si="21" t="shared"/>
        <v>0</v>
      </c>
      <c r="S1034" s="406" t="s">
        <v>2986</v>
      </c>
      <c r="T1034" s="406">
        <v>42113</v>
      </c>
    </row>
    <row r="1035" spans="1:20">
      <c r="A1035" s="406" t="s">
        <v>2986</v>
      </c>
      <c r="B1035" s="406">
        <v>4212</v>
      </c>
      <c r="C1035" s="406">
        <f>'14.CTT9'!A14</f>
        <v>4212</v>
      </c>
      <c r="D1035" s="406">
        <f si="21" t="shared"/>
        <v>0</v>
      </c>
      <c r="S1035" s="406" t="s">
        <v>2986</v>
      </c>
      <c r="T1035" s="406">
        <v>4212</v>
      </c>
    </row>
    <row r="1036" spans="1:20">
      <c r="A1036" s="406" t="s">
        <v>2986</v>
      </c>
      <c r="B1036" s="406">
        <v>42121</v>
      </c>
      <c r="C1036" s="406">
        <f>'14.CTT9'!A15</f>
        <v>42121</v>
      </c>
      <c r="D1036" s="406">
        <f si="21" t="shared"/>
        <v>0</v>
      </c>
      <c r="S1036" s="406" t="s">
        <v>2986</v>
      </c>
      <c r="T1036" s="406">
        <v>42121</v>
      </c>
    </row>
    <row r="1037" spans="1:20">
      <c r="A1037" s="406" t="s">
        <v>2986</v>
      </c>
      <c r="B1037" s="406">
        <v>42122</v>
      </c>
      <c r="C1037" s="406">
        <f>'14.CTT9'!A16</f>
        <v>42122</v>
      </c>
      <c r="D1037" s="406">
        <f si="21" t="shared"/>
        <v>0</v>
      </c>
      <c r="S1037" s="406" t="s">
        <v>2986</v>
      </c>
      <c r="T1037" s="406">
        <v>42122</v>
      </c>
    </row>
    <row r="1038" spans="1:20">
      <c r="A1038" s="406" t="s">
        <v>2986</v>
      </c>
      <c r="B1038" s="406">
        <v>42123</v>
      </c>
      <c r="C1038" s="406">
        <f>'14.CTT9'!A17</f>
        <v>42123</v>
      </c>
      <c r="D1038" s="406">
        <f si="21" t="shared"/>
        <v>0</v>
      </c>
      <c r="S1038" s="406" t="s">
        <v>2986</v>
      </c>
      <c r="T1038" s="406">
        <v>42123</v>
      </c>
    </row>
    <row r="1039" spans="1:20">
      <c r="A1039" s="406" t="s">
        <v>2986</v>
      </c>
      <c r="B1039" s="406">
        <v>422</v>
      </c>
      <c r="C1039" s="406">
        <f>'14.CTT9'!A18</f>
        <v>422</v>
      </c>
      <c r="D1039" s="406">
        <f si="21" t="shared"/>
        <v>0</v>
      </c>
      <c r="S1039" s="406" t="s">
        <v>2986</v>
      </c>
      <c r="T1039" s="406">
        <v>422</v>
      </c>
    </row>
    <row r="1040" spans="1:20">
      <c r="A1040" s="406" t="s">
        <v>2986</v>
      </c>
      <c r="B1040" s="406">
        <v>4221</v>
      </c>
      <c r="C1040" s="406">
        <f>'14.CTT9'!A19</f>
        <v>4221</v>
      </c>
      <c r="D1040" s="406">
        <f si="21" t="shared"/>
        <v>0</v>
      </c>
      <c r="S1040" s="406" t="s">
        <v>2986</v>
      </c>
      <c r="T1040" s="406">
        <v>4221</v>
      </c>
    </row>
    <row r="1041" spans="1:20">
      <c r="A1041" s="406" t="s">
        <v>2986</v>
      </c>
      <c r="B1041" s="406">
        <v>42211</v>
      </c>
      <c r="C1041" s="406">
        <f>'14.CTT9'!A20</f>
        <v>42211</v>
      </c>
      <c r="D1041" s="406">
        <f si="21" t="shared"/>
        <v>0</v>
      </c>
      <c r="S1041" s="406" t="s">
        <v>2986</v>
      </c>
      <c r="T1041" s="406">
        <v>42211</v>
      </c>
    </row>
    <row r="1042" spans="1:20">
      <c r="A1042" s="406" t="s">
        <v>2986</v>
      </c>
      <c r="B1042" s="406">
        <v>42212</v>
      </c>
      <c r="C1042" s="406">
        <f>'14.CTT9'!A21</f>
        <v>42212</v>
      </c>
      <c r="D1042" s="406">
        <f si="21" t="shared"/>
        <v>0</v>
      </c>
      <c r="S1042" s="406" t="s">
        <v>2986</v>
      </c>
      <c r="T1042" s="406">
        <v>42212</v>
      </c>
    </row>
    <row r="1043" spans="1:20">
      <c r="A1043" s="406" t="s">
        <v>2986</v>
      </c>
      <c r="B1043" s="406">
        <v>42213</v>
      </c>
      <c r="C1043" s="406">
        <f>'14.CTT9'!A22</f>
        <v>42213</v>
      </c>
      <c r="D1043" s="406">
        <f si="21" t="shared"/>
        <v>0</v>
      </c>
      <c r="S1043" s="406" t="s">
        <v>2986</v>
      </c>
      <c r="T1043" s="406">
        <v>42213</v>
      </c>
    </row>
    <row r="1044" spans="1:20">
      <c r="A1044" s="406" t="s">
        <v>2986</v>
      </c>
      <c r="B1044" s="406">
        <v>42214</v>
      </c>
      <c r="C1044" s="406">
        <f>'14.CTT9'!A23</f>
        <v>42214</v>
      </c>
      <c r="D1044" s="406">
        <f si="21" t="shared"/>
        <v>0</v>
      </c>
      <c r="S1044" s="406" t="s">
        <v>2986</v>
      </c>
      <c r="T1044" s="406">
        <v>42214</v>
      </c>
    </row>
    <row r="1045" spans="1:20">
      <c r="A1045" s="406" t="s">
        <v>2986</v>
      </c>
      <c r="B1045" s="406">
        <v>42215</v>
      </c>
      <c r="C1045" s="406">
        <f>'14.CTT9'!A24</f>
        <v>42215</v>
      </c>
      <c r="D1045" s="406">
        <f si="21" t="shared"/>
        <v>0</v>
      </c>
      <c r="S1045" s="406" t="s">
        <v>2986</v>
      </c>
      <c r="T1045" s="406">
        <v>42215</v>
      </c>
    </row>
    <row r="1046" spans="1:20">
      <c r="A1046" s="406" t="s">
        <v>2986</v>
      </c>
      <c r="B1046" s="406">
        <v>42216</v>
      </c>
      <c r="C1046" s="406">
        <f>'14.CTT9'!A25</f>
        <v>42216</v>
      </c>
      <c r="D1046" s="406">
        <f si="21" t="shared"/>
        <v>0</v>
      </c>
      <c r="S1046" s="406" t="s">
        <v>2986</v>
      </c>
      <c r="T1046" s="406">
        <v>42216</v>
      </c>
    </row>
    <row r="1047" spans="1:20">
      <c r="A1047" s="406" t="s">
        <v>2986</v>
      </c>
      <c r="B1047" s="406">
        <v>42217</v>
      </c>
      <c r="C1047" s="406">
        <f>'14.CTT9'!A26</f>
        <v>42217</v>
      </c>
      <c r="D1047" s="406">
        <f si="21" t="shared"/>
        <v>0</v>
      </c>
      <c r="S1047" s="406" t="s">
        <v>2986</v>
      </c>
      <c r="T1047" s="406">
        <v>42217</v>
      </c>
    </row>
    <row r="1048" spans="1:20">
      <c r="A1048" s="406" t="s">
        <v>2986</v>
      </c>
      <c r="B1048" s="406">
        <v>4222</v>
      </c>
      <c r="C1048" s="406">
        <f>'14.CTT9'!A27</f>
        <v>4222</v>
      </c>
      <c r="D1048" s="406">
        <f si="21" t="shared"/>
        <v>0</v>
      </c>
      <c r="S1048" s="406" t="s">
        <v>2986</v>
      </c>
      <c r="T1048" s="406">
        <v>4222</v>
      </c>
    </row>
    <row r="1049" spans="1:20">
      <c r="A1049" s="406" t="s">
        <v>2986</v>
      </c>
      <c r="B1049" s="406">
        <v>42221</v>
      </c>
      <c r="C1049" s="406">
        <f>'14.CTT9'!A28</f>
        <v>42221</v>
      </c>
      <c r="D1049" s="406">
        <f si="21" t="shared"/>
        <v>0</v>
      </c>
      <c r="S1049" s="406" t="s">
        <v>2986</v>
      </c>
      <c r="T1049" s="406">
        <v>42221</v>
      </c>
    </row>
    <row r="1050" spans="1:20">
      <c r="A1050" s="406" t="s">
        <v>2986</v>
      </c>
      <c r="B1050" s="406">
        <v>42222</v>
      </c>
      <c r="C1050" s="406">
        <f>'14.CTT9'!A29</f>
        <v>42222</v>
      </c>
      <c r="D1050" s="406">
        <f si="21" t="shared"/>
        <v>0</v>
      </c>
      <c r="S1050" s="406" t="s">
        <v>2986</v>
      </c>
      <c r="T1050" s="406">
        <v>42222</v>
      </c>
    </row>
    <row r="1051" spans="1:20">
      <c r="A1051" s="406" t="s">
        <v>2986</v>
      </c>
      <c r="B1051" s="406">
        <v>42223</v>
      </c>
      <c r="C1051" s="406">
        <f>'14.CTT9'!A30</f>
        <v>42223</v>
      </c>
      <c r="D1051" s="406">
        <f si="21" t="shared"/>
        <v>0</v>
      </c>
      <c r="S1051" s="406" t="s">
        <v>2986</v>
      </c>
      <c r="T1051" s="406">
        <v>42223</v>
      </c>
    </row>
    <row r="1052" spans="1:20">
      <c r="A1052" s="406" t="s">
        <v>2986</v>
      </c>
      <c r="B1052" s="406">
        <v>42224</v>
      </c>
      <c r="C1052" s="406">
        <f>'14.CTT9'!A31</f>
        <v>42224</v>
      </c>
      <c r="D1052" s="406">
        <f si="21" t="shared"/>
        <v>0</v>
      </c>
      <c r="S1052" s="406" t="s">
        <v>2986</v>
      </c>
      <c r="T1052" s="406">
        <v>42224</v>
      </c>
    </row>
    <row r="1053" spans="1:20">
      <c r="A1053" s="406" t="s">
        <v>2986</v>
      </c>
      <c r="B1053" s="406">
        <v>42225</v>
      </c>
      <c r="C1053" s="406">
        <f>'14.CTT9'!A32</f>
        <v>42225</v>
      </c>
      <c r="D1053" s="406">
        <f si="21" t="shared"/>
        <v>0</v>
      </c>
      <c r="S1053" s="406" t="s">
        <v>2986</v>
      </c>
      <c r="T1053" s="406">
        <v>42225</v>
      </c>
    </row>
    <row r="1054" spans="1:20">
      <c r="A1054" s="406" t="s">
        <v>2986</v>
      </c>
      <c r="B1054" s="406">
        <v>42226</v>
      </c>
      <c r="C1054" s="406">
        <f>'14.CTT9'!A33</f>
        <v>42226</v>
      </c>
      <c r="D1054" s="406">
        <f si="21" t="shared"/>
        <v>0</v>
      </c>
      <c r="S1054" s="406" t="s">
        <v>2986</v>
      </c>
      <c r="T1054" s="406">
        <v>42226</v>
      </c>
    </row>
    <row r="1055" spans="1:20">
      <c r="A1055" s="406" t="s">
        <v>2986</v>
      </c>
      <c r="B1055" s="406">
        <v>42227</v>
      </c>
      <c r="C1055" s="406">
        <f>'14.CTT9'!A34</f>
        <v>42227</v>
      </c>
      <c r="D1055" s="406">
        <f si="21" t="shared"/>
        <v>0</v>
      </c>
      <c r="S1055" s="406" t="s">
        <v>2986</v>
      </c>
      <c r="T1055" s="406">
        <v>42227</v>
      </c>
    </row>
    <row r="1056" spans="1:20">
      <c r="A1056" s="406" t="s">
        <v>2986</v>
      </c>
      <c r="B1056" s="406">
        <v>42228</v>
      </c>
      <c r="C1056" s="406">
        <f>'14.CTT9'!A35</f>
        <v>42228</v>
      </c>
      <c r="D1056" s="406">
        <f si="21" t="shared"/>
        <v>0</v>
      </c>
      <c r="S1056" s="406" t="s">
        <v>2986</v>
      </c>
      <c r="T1056" s="406">
        <v>42228</v>
      </c>
    </row>
    <row r="1057" spans="1:21">
      <c r="A1057" s="406" t="s">
        <v>2986</v>
      </c>
      <c r="B1057" s="406">
        <v>42229</v>
      </c>
      <c r="C1057" s="406">
        <f>'14.CTT9'!A36</f>
        <v>42229</v>
      </c>
      <c r="D1057" s="406">
        <f si="21" t="shared"/>
        <v>0</v>
      </c>
      <c r="S1057" s="406" t="s">
        <v>2986</v>
      </c>
      <c r="T1057" s="406">
        <v>42229</v>
      </c>
    </row>
    <row r="1058" spans="1:21">
      <c r="A1058" s="406" t="s">
        <v>2986</v>
      </c>
      <c r="B1058" s="406">
        <v>42230</v>
      </c>
      <c r="C1058" s="406">
        <f>'14.CTT9'!A37</f>
        <v>42230</v>
      </c>
      <c r="D1058" s="406">
        <f si="21" t="shared"/>
        <v>0</v>
      </c>
      <c r="S1058" s="406" t="s">
        <v>2986</v>
      </c>
      <c r="T1058" s="406">
        <v>42230</v>
      </c>
    </row>
    <row r="1059" spans="1:21">
      <c r="A1059" s="406" t="s">
        <v>2986</v>
      </c>
      <c r="B1059" s="406">
        <v>42231</v>
      </c>
      <c r="C1059" s="406">
        <f>'14.CTT9'!A38</f>
        <v>42231</v>
      </c>
      <c r="D1059" s="406">
        <f si="21" t="shared"/>
        <v>0</v>
      </c>
      <c r="S1059" s="406" t="s">
        <v>2986</v>
      </c>
      <c r="T1059" s="406">
        <v>42231</v>
      </c>
    </row>
    <row r="1060" spans="1:21">
      <c r="A1060" s="406" t="s">
        <v>2987</v>
      </c>
      <c r="D1060" s="406">
        <f si="21" t="shared"/>
        <v>0</v>
      </c>
      <c r="S1060" s="406" t="s">
        <v>2987</v>
      </c>
    </row>
    <row r="1061" spans="1:21">
      <c r="A1061" s="406" t="s">
        <v>2987</v>
      </c>
      <c r="D1061" s="406">
        <f si="21" t="shared"/>
        <v>0</v>
      </c>
      <c r="S1061" s="406" t="s">
        <v>2987</v>
      </c>
    </row>
    <row r="1062" spans="1:21">
      <c r="A1062" s="406" t="s">
        <v>2987</v>
      </c>
      <c r="D1062" s="406">
        <f si="21" t="shared"/>
        <v>0</v>
      </c>
      <c r="S1062" s="406" t="s">
        <v>2987</v>
      </c>
    </row>
    <row r="1063" spans="1:21">
      <c r="A1063" s="406" t="s">
        <v>2987</v>
      </c>
      <c r="D1063" s="406">
        <f si="21" t="shared"/>
        <v>0</v>
      </c>
      <c r="S1063" s="406" t="s">
        <v>2987</v>
      </c>
    </row>
    <row r="1064" spans="1:21">
      <c r="A1064" s="406" t="s">
        <v>2987</v>
      </c>
      <c r="D1064" s="406">
        <f si="21" t="shared"/>
        <v>0</v>
      </c>
      <c r="S1064" s="406" t="s">
        <v>2987</v>
      </c>
    </row>
    <row r="1065" spans="1:21">
      <c r="A1065" s="406" t="s">
        <v>2987</v>
      </c>
      <c r="B1065" s="893"/>
      <c r="C1065" s="893"/>
      <c r="D1065" s="406">
        <f si="21" t="shared"/>
        <v>0</v>
      </c>
      <c r="E1065" s="893"/>
      <c r="S1065" s="406" t="s">
        <v>2987</v>
      </c>
      <c r="T1065" s="893"/>
      <c r="U1065" s="893"/>
    </row>
    <row r="1066" spans="1:21">
      <c r="A1066" s="406" t="s">
        <v>2987</v>
      </c>
      <c r="B1066" s="893"/>
      <c r="C1066" s="893"/>
      <c r="D1066" s="406">
        <f si="21" t="shared"/>
        <v>0</v>
      </c>
      <c r="E1066" s="893"/>
      <c r="S1066" s="406" t="s">
        <v>2987</v>
      </c>
      <c r="T1066" s="893"/>
      <c r="U1066" s="893"/>
    </row>
    <row r="1067" spans="1:21">
      <c r="A1067" s="406" t="s">
        <v>2987</v>
      </c>
      <c r="B1067" s="893"/>
      <c r="C1067" s="893"/>
      <c r="D1067" s="406">
        <f si="21" t="shared"/>
        <v>0</v>
      </c>
      <c r="E1067" s="893"/>
      <c r="S1067" s="406" t="s">
        <v>2987</v>
      </c>
      <c r="T1067" s="893"/>
      <c r="U1067" s="893"/>
    </row>
    <row r="1068" spans="1:21">
      <c r="A1068" s="406" t="s">
        <v>2987</v>
      </c>
      <c r="B1068" s="893"/>
      <c r="C1068" s="893"/>
      <c r="D1068" s="406">
        <f si="21" t="shared"/>
        <v>0</v>
      </c>
      <c r="E1068" s="893"/>
      <c r="S1068" s="406" t="s">
        <v>2987</v>
      </c>
      <c r="T1068" s="893"/>
      <c r="U1068" s="893"/>
    </row>
    <row r="1069" spans="1:21">
      <c r="A1069" s="406" t="s">
        <v>2988</v>
      </c>
      <c r="B1069" s="893" t="s">
        <v>102</v>
      </c>
      <c r="C1069" s="893"/>
      <c r="E1069" s="893"/>
      <c r="S1069" s="406" t="s">
        <v>2988</v>
      </c>
      <c r="T1069" s="893" t="s">
        <v>102</v>
      </c>
      <c r="U1069" s="893"/>
    </row>
    <row r="1070" spans="1:21">
      <c r="A1070" s="406" t="s">
        <v>2988</v>
      </c>
      <c r="B1070" s="893">
        <v>39201</v>
      </c>
      <c r="C1070" s="893"/>
      <c r="E1070" s="893"/>
      <c r="S1070" s="406" t="s">
        <v>2988</v>
      </c>
      <c r="T1070" s="893">
        <v>39201</v>
      </c>
      <c r="U1070" s="893"/>
    </row>
    <row r="1071" spans="1:21">
      <c r="A1071" s="406" t="s">
        <v>2988</v>
      </c>
      <c r="B1071" s="893">
        <v>0</v>
      </c>
      <c r="C1071" s="893"/>
      <c r="E1071" s="893"/>
      <c r="S1071" s="406" t="s">
        <v>2988</v>
      </c>
      <c r="T1071" s="893">
        <v>0</v>
      </c>
      <c r="U1071" s="893"/>
    </row>
    <row r="1072" spans="1:21">
      <c r="A1072" s="406" t="s">
        <v>2989</v>
      </c>
      <c r="B1072" s="893"/>
      <c r="C1072" s="893"/>
      <c r="E1072" s="893"/>
      <c r="S1072" s="406" t="s">
        <v>2989</v>
      </c>
      <c r="T1072" s="893"/>
      <c r="U1072" s="893"/>
    </row>
    <row r="1073" spans="1:21">
      <c r="A1073" s="406" t="s">
        <v>2989</v>
      </c>
      <c r="B1073" s="893"/>
      <c r="C1073" s="893"/>
      <c r="E1073" s="893"/>
      <c r="S1073" s="406" t="s">
        <v>2989</v>
      </c>
      <c r="T1073" s="893"/>
      <c r="U1073" s="893"/>
    </row>
    <row r="1074" spans="1:21">
      <c r="A1074" s="406" t="s">
        <v>2989</v>
      </c>
      <c r="B1074" s="893"/>
      <c r="C1074" s="893"/>
      <c r="E1074" s="893"/>
      <c r="S1074" s="406" t="s">
        <v>2989</v>
      </c>
      <c r="T1074" s="893"/>
      <c r="U1074" s="893"/>
    </row>
    <row r="1075" spans="1:21">
      <c r="A1075" s="406" t="s">
        <v>2990</v>
      </c>
      <c r="B1075" s="893"/>
      <c r="C1075" s="893"/>
      <c r="E1075" s="893"/>
      <c r="S1075" s="406" t="s">
        <v>2990</v>
      </c>
      <c r="T1075" s="893"/>
      <c r="U1075" s="893"/>
    </row>
    <row r="1076" spans="1:21">
      <c r="A1076" s="406" t="s">
        <v>2990</v>
      </c>
      <c r="B1076" s="893"/>
      <c r="C1076" s="893"/>
      <c r="E1076" s="893"/>
      <c r="S1076" s="406" t="s">
        <v>2990</v>
      </c>
      <c r="T1076" s="893"/>
      <c r="U1076" s="893"/>
    </row>
    <row r="1077" spans="1:21">
      <c r="A1077" s="406" t="s">
        <v>2990</v>
      </c>
      <c r="B1077" s="893"/>
      <c r="C1077" s="893"/>
      <c r="E1077" s="893"/>
      <c r="S1077" s="406" t="s">
        <v>2990</v>
      </c>
      <c r="T1077" s="893"/>
      <c r="U1077" s="893"/>
    </row>
    <row r="1078" spans="1:21">
      <c r="A1078" s="406" t="s">
        <v>2990</v>
      </c>
      <c r="B1078" s="893"/>
      <c r="C1078" s="893"/>
      <c r="E1078" s="893"/>
      <c r="S1078" s="406" t="s">
        <v>2990</v>
      </c>
      <c r="T1078" s="893"/>
      <c r="U1078" s="893"/>
    </row>
    <row r="1079" spans="1:21">
      <c r="A1079" s="406" t="s">
        <v>2991</v>
      </c>
      <c r="B1079" s="406">
        <v>1</v>
      </c>
      <c r="C1079" s="406">
        <f>'20.TGT1'!C8</f>
        <v>1</v>
      </c>
      <c r="D1079" s="406">
        <f ref="D1079:D1099" si="22" t="shared">IF(VALUE(B1079)=VALUE(C1079),0,1)</f>
        <v>0</v>
      </c>
      <c r="S1079" s="406" t="s">
        <v>2991</v>
      </c>
      <c r="T1079" s="406">
        <v>1</v>
      </c>
    </row>
    <row r="1080" spans="1:21">
      <c r="A1080" s="406" t="s">
        <v>2991</v>
      </c>
      <c r="B1080" s="406">
        <v>2</v>
      </c>
      <c r="C1080" s="406">
        <f>'20.TGT1'!C9</f>
        <v>2</v>
      </c>
      <c r="D1080" s="406">
        <f si="22" t="shared"/>
        <v>0</v>
      </c>
      <c r="S1080" s="406" t="s">
        <v>2991</v>
      </c>
      <c r="T1080" s="406">
        <v>2</v>
      </c>
    </row>
    <row r="1081" spans="1:21">
      <c r="A1081" s="406" t="s">
        <v>2991</v>
      </c>
      <c r="B1081" s="406">
        <v>21</v>
      </c>
      <c r="C1081" s="406">
        <f>'20.TGT1'!C10</f>
        <v>21</v>
      </c>
      <c r="D1081" s="406">
        <f si="22" t="shared"/>
        <v>0</v>
      </c>
      <c r="S1081" s="406" t="s">
        <v>2991</v>
      </c>
      <c r="T1081" s="406">
        <v>21</v>
      </c>
    </row>
    <row r="1082" spans="1:21">
      <c r="A1082" s="406" t="s">
        <v>2991</v>
      </c>
      <c r="B1082" s="406">
        <v>210</v>
      </c>
      <c r="C1082" s="406">
        <f>'20.TGT1'!C11</f>
        <v>210</v>
      </c>
      <c r="D1082" s="406">
        <f si="22" t="shared"/>
        <v>0</v>
      </c>
      <c r="S1082" s="406" t="s">
        <v>2991</v>
      </c>
      <c r="T1082" s="406">
        <v>210</v>
      </c>
    </row>
    <row r="1083" spans="1:21">
      <c r="A1083" s="406" t="s">
        <v>2991</v>
      </c>
      <c r="B1083" s="406">
        <v>2101</v>
      </c>
      <c r="C1083" s="406">
        <f>'20.TGT1'!C12</f>
        <v>2101</v>
      </c>
      <c r="D1083" s="406">
        <f si="22" t="shared"/>
        <v>0</v>
      </c>
      <c r="S1083" s="406" t="s">
        <v>2991</v>
      </c>
      <c r="T1083" s="406">
        <v>2101</v>
      </c>
    </row>
    <row r="1084" spans="1:21">
      <c r="A1084" s="406" t="s">
        <v>2991</v>
      </c>
      <c r="B1084" s="406">
        <v>210101</v>
      </c>
      <c r="C1084" s="406">
        <f>'20.TGT1'!C13</f>
        <v>210101</v>
      </c>
      <c r="D1084" s="406">
        <f si="22" t="shared"/>
        <v>0</v>
      </c>
      <c r="S1084" s="406" t="s">
        <v>2991</v>
      </c>
      <c r="T1084" s="406">
        <v>210101</v>
      </c>
    </row>
    <row r="1085" spans="1:21">
      <c r="A1085" s="406" t="s">
        <v>2991</v>
      </c>
      <c r="B1085" s="406">
        <v>210102</v>
      </c>
      <c r="C1085" s="406">
        <f>'20.TGT1'!C14</f>
        <v>210102</v>
      </c>
      <c r="D1085" s="406">
        <f si="22" t="shared"/>
        <v>0</v>
      </c>
      <c r="S1085" s="406" t="s">
        <v>2991</v>
      </c>
      <c r="T1085" s="406">
        <v>210102</v>
      </c>
    </row>
    <row r="1086" spans="1:21">
      <c r="A1086" s="406" t="s">
        <v>2991</v>
      </c>
      <c r="B1086" s="406">
        <v>210103</v>
      </c>
      <c r="C1086" s="406">
        <f>'20.TGT1'!C15</f>
        <v>210103</v>
      </c>
      <c r="D1086" s="406">
        <f si="22" t="shared"/>
        <v>0</v>
      </c>
      <c r="S1086" s="406" t="s">
        <v>2991</v>
      </c>
      <c r="T1086" s="406">
        <v>210103</v>
      </c>
    </row>
    <row r="1087" spans="1:21">
      <c r="A1087" s="406" t="s">
        <v>2991</v>
      </c>
      <c r="B1087" s="406">
        <v>210104</v>
      </c>
      <c r="C1087" s="406">
        <f>'20.TGT1'!C16</f>
        <v>210104</v>
      </c>
      <c r="D1087" s="406">
        <f si="22" t="shared"/>
        <v>0</v>
      </c>
      <c r="S1087" s="406" t="s">
        <v>2991</v>
      </c>
      <c r="T1087" s="406">
        <v>210104</v>
      </c>
    </row>
    <row r="1088" spans="1:21">
      <c r="A1088" s="406" t="s">
        <v>2991</v>
      </c>
      <c r="B1088" s="406">
        <v>210105</v>
      </c>
      <c r="C1088" s="406">
        <f>'20.TGT1'!C17</f>
        <v>210105</v>
      </c>
      <c r="D1088" s="406">
        <f si="22" t="shared"/>
        <v>0</v>
      </c>
      <c r="S1088" s="406" t="s">
        <v>2991</v>
      </c>
      <c r="T1088" s="406">
        <v>210105</v>
      </c>
    </row>
    <row r="1089" spans="1:20">
      <c r="A1089" s="406" t="s">
        <v>2991</v>
      </c>
      <c r="B1089" s="406">
        <v>2102</v>
      </c>
      <c r="C1089" s="406">
        <f>'20.TGT1'!C18</f>
        <v>2102</v>
      </c>
      <c r="D1089" s="406">
        <f si="22" t="shared"/>
        <v>0</v>
      </c>
      <c r="S1089" s="406" t="s">
        <v>2991</v>
      </c>
      <c r="T1089" s="406">
        <v>2102</v>
      </c>
    </row>
    <row r="1090" spans="1:20">
      <c r="A1090" s="406" t="s">
        <v>2991</v>
      </c>
      <c r="B1090" s="406">
        <v>210201</v>
      </c>
      <c r="C1090" s="406">
        <f>'20.TGT1'!C19</f>
        <v>210201</v>
      </c>
      <c r="D1090" s="406">
        <f si="22" t="shared"/>
        <v>0</v>
      </c>
      <c r="S1090" s="406" t="s">
        <v>2991</v>
      </c>
      <c r="T1090" s="406">
        <v>210201</v>
      </c>
    </row>
    <row r="1091" spans="1:20">
      <c r="A1091" s="406" t="s">
        <v>2991</v>
      </c>
      <c r="B1091" s="406">
        <v>210202</v>
      </c>
      <c r="C1091" s="406">
        <f>'20.TGT1'!C20</f>
        <v>210202</v>
      </c>
      <c r="D1091" s="406">
        <f si="22" t="shared"/>
        <v>0</v>
      </c>
      <c r="S1091" s="406" t="s">
        <v>2991</v>
      </c>
      <c r="T1091" s="406">
        <v>210202</v>
      </c>
    </row>
    <row r="1092" spans="1:20">
      <c r="A1092" s="406" t="s">
        <v>2991</v>
      </c>
      <c r="B1092" s="406">
        <v>210203</v>
      </c>
      <c r="C1092" s="406">
        <f>'20.TGT1'!C21</f>
        <v>210203</v>
      </c>
      <c r="D1092" s="406">
        <f si="22" t="shared"/>
        <v>0</v>
      </c>
      <c r="S1092" s="406" t="s">
        <v>2991</v>
      </c>
      <c r="T1092" s="406">
        <v>210203</v>
      </c>
    </row>
    <row r="1093" spans="1:20">
      <c r="A1093" s="406" t="s">
        <v>2991</v>
      </c>
      <c r="B1093" s="406">
        <v>210204</v>
      </c>
      <c r="C1093" s="406">
        <f>'20.TGT1'!C22</f>
        <v>210204</v>
      </c>
      <c r="D1093" s="406">
        <f si="22" t="shared"/>
        <v>0</v>
      </c>
      <c r="S1093" s="406" t="s">
        <v>2991</v>
      </c>
      <c r="T1093" s="406">
        <v>210204</v>
      </c>
    </row>
    <row r="1094" spans="1:20">
      <c r="A1094" s="406" t="s">
        <v>2991</v>
      </c>
      <c r="B1094" s="406">
        <v>210205</v>
      </c>
      <c r="C1094" s="406">
        <f>'20.TGT1'!C23</f>
        <v>210205</v>
      </c>
      <c r="D1094" s="406">
        <f si="22" t="shared"/>
        <v>0</v>
      </c>
      <c r="S1094" s="406" t="s">
        <v>2991</v>
      </c>
      <c r="T1094" s="406">
        <v>210205</v>
      </c>
    </row>
    <row r="1095" spans="1:20">
      <c r="A1095" s="406" t="s">
        <v>2991</v>
      </c>
      <c r="B1095" s="406">
        <v>2103</v>
      </c>
      <c r="C1095" s="406">
        <f>'20.TGT1'!C24</f>
        <v>2103</v>
      </c>
      <c r="D1095" s="406">
        <f si="22" t="shared"/>
        <v>0</v>
      </c>
      <c r="S1095" s="406" t="s">
        <v>2991</v>
      </c>
      <c r="T1095" s="406">
        <v>2103</v>
      </c>
    </row>
    <row r="1096" spans="1:20">
      <c r="A1096" s="406" t="s">
        <v>2991</v>
      </c>
      <c r="B1096" s="406">
        <v>210301</v>
      </c>
      <c r="C1096" s="406">
        <f>'20.TGT1'!C25</f>
        <v>210301</v>
      </c>
      <c r="D1096" s="406">
        <f si="22" t="shared"/>
        <v>0</v>
      </c>
      <c r="S1096" s="406" t="s">
        <v>2991</v>
      </c>
      <c r="T1096" s="406">
        <v>210301</v>
      </c>
    </row>
    <row r="1097" spans="1:20">
      <c r="A1097" s="406" t="s">
        <v>2991</v>
      </c>
      <c r="B1097" s="406">
        <v>210302</v>
      </c>
      <c r="C1097" s="406">
        <f>'20.TGT1'!C26</f>
        <v>210302</v>
      </c>
      <c r="D1097" s="406">
        <f si="22" t="shared"/>
        <v>0</v>
      </c>
      <c r="S1097" s="406" t="s">
        <v>2991</v>
      </c>
      <c r="T1097" s="406">
        <v>210302</v>
      </c>
    </row>
    <row r="1098" spans="1:20">
      <c r="A1098" s="406" t="s">
        <v>2991</v>
      </c>
      <c r="B1098" s="406">
        <v>210303</v>
      </c>
      <c r="C1098" s="406">
        <f>'20.TGT1'!C27</f>
        <v>210303</v>
      </c>
      <c r="D1098" s="406">
        <f si="22" t="shared"/>
        <v>0</v>
      </c>
      <c r="S1098" s="406" t="s">
        <v>2991</v>
      </c>
      <c r="T1098" s="406">
        <v>210303</v>
      </c>
    </row>
    <row r="1099" spans="1:20">
      <c r="A1099" s="406" t="s">
        <v>2991</v>
      </c>
      <c r="B1099" s="406">
        <v>210304</v>
      </c>
      <c r="C1099" s="406">
        <f>'20.TGT1'!C28</f>
        <v>210304</v>
      </c>
      <c r="D1099" s="406">
        <f si="22" t="shared"/>
        <v>0</v>
      </c>
      <c r="S1099" s="406" t="s">
        <v>2991</v>
      </c>
      <c r="T1099" s="406">
        <v>210304</v>
      </c>
    </row>
    <row r="1100" spans="1:20">
      <c r="A1100" s="406" t="s">
        <v>2991</v>
      </c>
      <c r="B1100" s="406">
        <v>2104</v>
      </c>
      <c r="C1100" s="406">
        <f>'20.TGT1'!C29</f>
        <v>2104</v>
      </c>
      <c r="D1100" s="406">
        <f ref="D1100:D1163" si="23" t="shared">IF(VALUE(B1100)=VALUE(C1100),0,1)</f>
        <v>0</v>
      </c>
      <c r="S1100" s="406" t="s">
        <v>2991</v>
      </c>
      <c r="T1100" s="406">
        <v>2104</v>
      </c>
    </row>
    <row r="1101" spans="1:20">
      <c r="A1101" s="406" t="s">
        <v>2991</v>
      </c>
      <c r="B1101" s="406">
        <v>210401</v>
      </c>
      <c r="C1101" s="406">
        <f>'20.TGT1'!C30</f>
        <v>210401</v>
      </c>
      <c r="D1101" s="406">
        <f si="23" t="shared"/>
        <v>0</v>
      </c>
      <c r="S1101" s="406" t="s">
        <v>2991</v>
      </c>
      <c r="T1101" s="406">
        <v>210401</v>
      </c>
    </row>
    <row r="1102" spans="1:20">
      <c r="A1102" s="406" t="s">
        <v>2991</v>
      </c>
      <c r="B1102" s="406">
        <v>210402</v>
      </c>
      <c r="C1102" s="406">
        <f>'20.TGT1'!C31</f>
        <v>210402</v>
      </c>
      <c r="D1102" s="406">
        <f si="23" t="shared"/>
        <v>0</v>
      </c>
      <c r="S1102" s="406" t="s">
        <v>2991</v>
      </c>
      <c r="T1102" s="406">
        <v>210402</v>
      </c>
    </row>
    <row r="1103" spans="1:20">
      <c r="A1103" s="406" t="s">
        <v>2991</v>
      </c>
      <c r="B1103" s="406">
        <v>210403</v>
      </c>
      <c r="C1103" s="406">
        <f>'20.TGT1'!C32</f>
        <v>210403</v>
      </c>
      <c r="D1103" s="406">
        <f si="23" t="shared"/>
        <v>0</v>
      </c>
      <c r="S1103" s="406" t="s">
        <v>2991</v>
      </c>
      <c r="T1103" s="406">
        <v>210403</v>
      </c>
    </row>
    <row r="1104" spans="1:20">
      <c r="A1104" s="406" t="s">
        <v>2991</v>
      </c>
      <c r="B1104" s="406">
        <v>210404</v>
      </c>
      <c r="C1104" s="406">
        <f>'20.TGT1'!C33</f>
        <v>210404</v>
      </c>
      <c r="D1104" s="406">
        <f si="23" t="shared"/>
        <v>0</v>
      </c>
      <c r="S1104" s="406" t="s">
        <v>2991</v>
      </c>
      <c r="T1104" s="406">
        <v>210404</v>
      </c>
    </row>
    <row r="1105" spans="1:20">
      <c r="A1105" s="406" t="s">
        <v>2991</v>
      </c>
      <c r="B1105" s="406">
        <v>210405</v>
      </c>
      <c r="C1105" s="406">
        <f>'20.TGT1'!C34</f>
        <v>210405</v>
      </c>
      <c r="D1105" s="406">
        <f si="23" t="shared"/>
        <v>0</v>
      </c>
      <c r="S1105" s="406" t="s">
        <v>2991</v>
      </c>
      <c r="T1105" s="406">
        <v>210405</v>
      </c>
    </row>
    <row r="1106" spans="1:20">
      <c r="A1106" s="406" t="s">
        <v>2991</v>
      </c>
      <c r="B1106" s="406">
        <v>210406</v>
      </c>
      <c r="C1106" s="406">
        <f>'20.TGT1'!C35</f>
        <v>210406</v>
      </c>
      <c r="D1106" s="406">
        <f si="23" t="shared"/>
        <v>0</v>
      </c>
      <c r="S1106" s="406" t="s">
        <v>2991</v>
      </c>
      <c r="T1106" s="406">
        <v>210406</v>
      </c>
    </row>
    <row r="1107" spans="1:20">
      <c r="A1107" s="406" t="s">
        <v>2991</v>
      </c>
      <c r="B1107" s="406">
        <v>210407</v>
      </c>
      <c r="C1107" s="406">
        <f>'20.TGT1'!C36</f>
        <v>210407</v>
      </c>
      <c r="D1107" s="406">
        <f si="23" t="shared"/>
        <v>0</v>
      </c>
      <c r="S1107" s="406" t="s">
        <v>2991</v>
      </c>
      <c r="T1107" s="406">
        <v>210407</v>
      </c>
    </row>
    <row r="1108" spans="1:20">
      <c r="A1108" s="406" t="s">
        <v>2991</v>
      </c>
      <c r="B1108" s="406">
        <v>2105</v>
      </c>
      <c r="C1108" s="406">
        <f>'20.TGT1'!C37</f>
        <v>2105</v>
      </c>
      <c r="D1108" s="406">
        <f si="23" t="shared"/>
        <v>0</v>
      </c>
      <c r="S1108" s="406" t="s">
        <v>2991</v>
      </c>
      <c r="T1108" s="406">
        <v>2105</v>
      </c>
    </row>
    <row r="1109" spans="1:20">
      <c r="A1109" s="406" t="s">
        <v>2991</v>
      </c>
      <c r="B1109" s="406">
        <v>210501</v>
      </c>
      <c r="C1109" s="406">
        <f>'20.TGT1'!C38</f>
        <v>210501</v>
      </c>
      <c r="D1109" s="406">
        <f si="23" t="shared"/>
        <v>0</v>
      </c>
      <c r="S1109" s="406" t="s">
        <v>2991</v>
      </c>
      <c r="T1109" s="406">
        <v>210501</v>
      </c>
    </row>
    <row r="1110" spans="1:20">
      <c r="A1110" s="406" t="s">
        <v>2991</v>
      </c>
      <c r="B1110" s="406">
        <v>210502</v>
      </c>
      <c r="C1110" s="406">
        <f>'20.TGT1'!C39</f>
        <v>210502</v>
      </c>
      <c r="D1110" s="406">
        <f si="23" t="shared"/>
        <v>0</v>
      </c>
      <c r="S1110" s="406" t="s">
        <v>2991</v>
      </c>
      <c r="T1110" s="406">
        <v>210502</v>
      </c>
    </row>
    <row r="1111" spans="1:20">
      <c r="A1111" s="406" t="s">
        <v>2991</v>
      </c>
      <c r="B1111" s="406">
        <v>210503</v>
      </c>
      <c r="C1111" s="406">
        <f>'20.TGT1'!C40</f>
        <v>210503</v>
      </c>
      <c r="D1111" s="406">
        <f si="23" t="shared"/>
        <v>0</v>
      </c>
      <c r="S1111" s="406" t="s">
        <v>2991</v>
      </c>
      <c r="T1111" s="406">
        <v>210503</v>
      </c>
    </row>
    <row r="1112" spans="1:20">
      <c r="A1112" s="406" t="s">
        <v>3496</v>
      </c>
      <c r="B1112" s="406">
        <v>2106</v>
      </c>
      <c r="C1112" s="406">
        <f>'20.TGT1'!C41</f>
        <v>2106</v>
      </c>
      <c r="D1112" s="406">
        <f ref="D1112" si="24" t="shared">IF(VALUE(B1112)=VALUE(C1112),0,1)</f>
        <v>0</v>
      </c>
    </row>
    <row r="1113" spans="1:20">
      <c r="A1113" s="406" t="s">
        <v>2991</v>
      </c>
      <c r="B1113" s="406">
        <v>210601</v>
      </c>
      <c r="C1113" s="406">
        <f>'20.TGT1'!C42</f>
        <v>210601</v>
      </c>
      <c r="D1113" s="406">
        <f si="23" t="shared"/>
        <v>0</v>
      </c>
      <c r="S1113" s="406" t="s">
        <v>2991</v>
      </c>
      <c r="T1113" s="406">
        <v>210601</v>
      </c>
    </row>
    <row r="1114" spans="1:20">
      <c r="A1114" s="406" t="s">
        <v>2991</v>
      </c>
      <c r="B1114" s="406">
        <v>210602</v>
      </c>
      <c r="C1114" s="406">
        <f>'20.TGT1'!C43</f>
        <v>210602</v>
      </c>
      <c r="D1114" s="406">
        <f si="23" t="shared"/>
        <v>0</v>
      </c>
      <c r="S1114" s="406" t="s">
        <v>2991</v>
      </c>
      <c r="T1114" s="406">
        <v>210602</v>
      </c>
    </row>
    <row r="1115" spans="1:20">
      <c r="A1115" s="406" t="s">
        <v>2991</v>
      </c>
      <c r="B1115" s="406">
        <v>210603</v>
      </c>
      <c r="C1115" s="406">
        <f>'20.TGT1'!C44</f>
        <v>210603</v>
      </c>
      <c r="D1115" s="406">
        <f si="23" t="shared"/>
        <v>0</v>
      </c>
      <c r="S1115" s="406" t="s">
        <v>2991</v>
      </c>
      <c r="T1115" s="406">
        <v>210603</v>
      </c>
    </row>
    <row r="1116" spans="1:20">
      <c r="A1116" s="406" t="s">
        <v>2991</v>
      </c>
      <c r="B1116" s="406">
        <v>210604</v>
      </c>
      <c r="C1116" s="406">
        <f>'20.TGT1'!C45</f>
        <v>210604</v>
      </c>
      <c r="D1116" s="406">
        <f si="23" t="shared"/>
        <v>0</v>
      </c>
      <c r="S1116" s="406" t="s">
        <v>2991</v>
      </c>
      <c r="T1116" s="406">
        <v>210604</v>
      </c>
    </row>
    <row r="1117" spans="1:20">
      <c r="A1117" s="406" t="s">
        <v>2991</v>
      </c>
      <c r="B1117" s="406">
        <v>2107</v>
      </c>
      <c r="C1117" s="406">
        <f>'20.TGT1'!C46</f>
        <v>2107</v>
      </c>
      <c r="D1117" s="406">
        <f si="23" t="shared"/>
        <v>0</v>
      </c>
      <c r="S1117" s="406" t="s">
        <v>2991</v>
      </c>
      <c r="T1117" s="406">
        <v>2107</v>
      </c>
    </row>
    <row r="1118" spans="1:20">
      <c r="A1118" s="406" t="s">
        <v>2991</v>
      </c>
      <c r="B1118" s="406">
        <v>210701</v>
      </c>
      <c r="C1118" s="406">
        <f>'20.TGT1'!C47</f>
        <v>210701</v>
      </c>
      <c r="D1118" s="406">
        <f si="23" t="shared"/>
        <v>0</v>
      </c>
      <c r="S1118" s="406" t="s">
        <v>2991</v>
      </c>
      <c r="T1118" s="406">
        <v>210701</v>
      </c>
    </row>
    <row r="1119" spans="1:20">
      <c r="A1119" s="406" t="s">
        <v>2991</v>
      </c>
      <c r="B1119" s="406">
        <v>210702</v>
      </c>
      <c r="C1119" s="406">
        <f>'20.TGT1'!C48</f>
        <v>210702</v>
      </c>
      <c r="D1119" s="406">
        <f si="23" t="shared"/>
        <v>0</v>
      </c>
      <c r="S1119" s="406" t="s">
        <v>2991</v>
      </c>
      <c r="T1119" s="406">
        <v>210702</v>
      </c>
    </row>
    <row r="1120" spans="1:20">
      <c r="A1120" s="406" t="s">
        <v>2991</v>
      </c>
      <c r="B1120" s="406">
        <v>210703</v>
      </c>
      <c r="C1120" s="406">
        <f>'20.TGT1'!C49</f>
        <v>210703</v>
      </c>
      <c r="D1120" s="406">
        <f si="23" t="shared"/>
        <v>0</v>
      </c>
      <c r="S1120" s="406" t="s">
        <v>2991</v>
      </c>
      <c r="T1120" s="406">
        <v>210703</v>
      </c>
    </row>
    <row r="1121" spans="1:20">
      <c r="A1121" s="406" t="s">
        <v>2991</v>
      </c>
      <c r="B1121" s="406">
        <v>2108</v>
      </c>
      <c r="C1121" s="406">
        <f>'20.TGT1'!C50</f>
        <v>2108</v>
      </c>
      <c r="D1121" s="406">
        <f si="23" t="shared"/>
        <v>0</v>
      </c>
      <c r="S1121" s="406" t="s">
        <v>2991</v>
      </c>
      <c r="T1121" s="406">
        <v>2108</v>
      </c>
    </row>
    <row r="1122" spans="1:20">
      <c r="A1122" s="406" t="s">
        <v>2991</v>
      </c>
      <c r="B1122" s="406">
        <v>210801</v>
      </c>
      <c r="C1122" s="406">
        <f>'20.TGT1'!C51</f>
        <v>210801</v>
      </c>
      <c r="D1122" s="406">
        <f si="23" t="shared"/>
        <v>0</v>
      </c>
      <c r="S1122" s="406" t="s">
        <v>2991</v>
      </c>
      <c r="T1122" s="406">
        <v>210801</v>
      </c>
    </row>
    <row r="1123" spans="1:20">
      <c r="A1123" s="406" t="s">
        <v>2991</v>
      </c>
      <c r="B1123" s="406">
        <v>210802</v>
      </c>
      <c r="C1123" s="406">
        <f>'20.TGT1'!C52</f>
        <v>210802</v>
      </c>
      <c r="D1123" s="406">
        <f si="23" t="shared"/>
        <v>0</v>
      </c>
      <c r="S1123" s="406" t="s">
        <v>2991</v>
      </c>
      <c r="T1123" s="406">
        <v>210802</v>
      </c>
    </row>
    <row r="1124" spans="1:20">
      <c r="A1124" s="406" t="s">
        <v>2991</v>
      </c>
      <c r="B1124" s="406">
        <v>210803</v>
      </c>
      <c r="C1124" s="406">
        <f>'20.TGT1'!C53</f>
        <v>210803</v>
      </c>
      <c r="D1124" s="406">
        <f si="23" t="shared"/>
        <v>0</v>
      </c>
      <c r="S1124" s="406" t="s">
        <v>2991</v>
      </c>
      <c r="T1124" s="406">
        <v>210803</v>
      </c>
    </row>
    <row r="1125" spans="1:20">
      <c r="A1125" s="406" t="s">
        <v>2991</v>
      </c>
      <c r="B1125" s="406">
        <v>210804</v>
      </c>
      <c r="C1125" s="406">
        <f>'20.TGT1'!C54</f>
        <v>210804</v>
      </c>
      <c r="D1125" s="406">
        <f si="23" t="shared"/>
        <v>0</v>
      </c>
      <c r="S1125" s="406" t="s">
        <v>2991</v>
      </c>
      <c r="T1125" s="406">
        <v>210804</v>
      </c>
    </row>
    <row r="1126" spans="1:20">
      <c r="A1126" s="406" t="s">
        <v>2991</v>
      </c>
      <c r="B1126" s="406">
        <v>210805</v>
      </c>
      <c r="C1126" s="406">
        <f>'20.TGT1'!C55</f>
        <v>210805</v>
      </c>
      <c r="D1126" s="406">
        <f si="23" t="shared"/>
        <v>0</v>
      </c>
      <c r="S1126" s="406" t="s">
        <v>2991</v>
      </c>
      <c r="T1126" s="406">
        <v>210805</v>
      </c>
    </row>
    <row r="1127" spans="1:20">
      <c r="A1127" s="406" t="s">
        <v>2991</v>
      </c>
      <c r="B1127" s="406">
        <v>210806</v>
      </c>
      <c r="C1127" s="406">
        <f>'20.TGT1'!C56</f>
        <v>210806</v>
      </c>
      <c r="D1127" s="406">
        <f si="23" t="shared"/>
        <v>0</v>
      </c>
      <c r="S1127" s="406" t="s">
        <v>2991</v>
      </c>
      <c r="T1127" s="406">
        <v>210806</v>
      </c>
    </row>
    <row r="1128" spans="1:20">
      <c r="A1128" s="406" t="s">
        <v>2991</v>
      </c>
      <c r="B1128" s="406">
        <v>210807</v>
      </c>
      <c r="C1128" s="406">
        <f>'20.TGT1'!C57</f>
        <v>210807</v>
      </c>
      <c r="D1128" s="406">
        <f si="23" t="shared"/>
        <v>0</v>
      </c>
      <c r="S1128" s="406" t="s">
        <v>2991</v>
      </c>
      <c r="T1128" s="406">
        <v>210807</v>
      </c>
    </row>
    <row r="1129" spans="1:20">
      <c r="A1129" s="406" t="s">
        <v>2991</v>
      </c>
      <c r="B1129" s="406">
        <v>210808</v>
      </c>
      <c r="C1129" s="406">
        <f>'20.TGT1'!C58</f>
        <v>210808</v>
      </c>
      <c r="D1129" s="406">
        <f si="23" t="shared"/>
        <v>0</v>
      </c>
      <c r="S1129" s="406" t="s">
        <v>2991</v>
      </c>
      <c r="T1129" s="406">
        <v>210808</v>
      </c>
    </row>
    <row r="1130" spans="1:20">
      <c r="A1130" s="406" t="s">
        <v>2991</v>
      </c>
      <c r="B1130" s="406">
        <v>210809</v>
      </c>
      <c r="C1130" s="406">
        <f>'20.TGT1'!C59</f>
        <v>210809</v>
      </c>
      <c r="D1130" s="406">
        <f si="23" t="shared"/>
        <v>0</v>
      </c>
      <c r="S1130" s="406" t="s">
        <v>2991</v>
      </c>
      <c r="T1130" s="406">
        <v>210809</v>
      </c>
    </row>
    <row r="1131" spans="1:20">
      <c r="A1131" s="406" t="s">
        <v>2991</v>
      </c>
      <c r="B1131" s="406">
        <v>2109</v>
      </c>
      <c r="C1131" s="406">
        <f>'20.TGT1'!C60</f>
        <v>2109</v>
      </c>
      <c r="D1131" s="406">
        <f si="23" t="shared"/>
        <v>0</v>
      </c>
      <c r="S1131" s="406" t="s">
        <v>2991</v>
      </c>
      <c r="T1131" s="406">
        <v>2109</v>
      </c>
    </row>
    <row r="1132" spans="1:20">
      <c r="A1132" s="406" t="s">
        <v>2991</v>
      </c>
      <c r="B1132" s="406">
        <v>210901</v>
      </c>
      <c r="C1132" s="406">
        <f>'20.TGT1'!C61</f>
        <v>210901</v>
      </c>
      <c r="D1132" s="406">
        <f si="23" t="shared"/>
        <v>0</v>
      </c>
      <c r="S1132" s="406" t="s">
        <v>2991</v>
      </c>
      <c r="T1132" s="406">
        <v>210901</v>
      </c>
    </row>
    <row r="1133" spans="1:20">
      <c r="A1133" s="406" t="s">
        <v>2991</v>
      </c>
      <c r="B1133" s="406">
        <v>210902</v>
      </c>
      <c r="C1133" s="406">
        <f>'20.TGT1'!C62</f>
        <v>210902</v>
      </c>
      <c r="D1133" s="406">
        <f si="23" t="shared"/>
        <v>0</v>
      </c>
      <c r="S1133" s="406" t="s">
        <v>2991</v>
      </c>
      <c r="T1133" s="406">
        <v>210902</v>
      </c>
    </row>
    <row r="1134" spans="1:20">
      <c r="A1134" s="406" t="s">
        <v>2991</v>
      </c>
      <c r="B1134" s="406">
        <v>211</v>
      </c>
      <c r="C1134" s="406">
        <f>'20.TGT1'!C63</f>
        <v>211</v>
      </c>
      <c r="D1134" s="406">
        <f si="23" t="shared"/>
        <v>0</v>
      </c>
      <c r="S1134" s="406" t="s">
        <v>2991</v>
      </c>
      <c r="T1134" s="406">
        <v>211</v>
      </c>
    </row>
    <row r="1135" spans="1:20">
      <c r="A1135" s="406" t="s">
        <v>2991</v>
      </c>
      <c r="B1135" s="406">
        <v>2111</v>
      </c>
      <c r="C1135" s="406">
        <f>'20.TGT1'!C64</f>
        <v>2111</v>
      </c>
      <c r="D1135" s="406">
        <f si="23" t="shared"/>
        <v>0</v>
      </c>
      <c r="S1135" s="406" t="s">
        <v>2991</v>
      </c>
      <c r="T1135" s="406">
        <v>2111</v>
      </c>
    </row>
    <row r="1136" spans="1:20">
      <c r="A1136" s="406" t="s">
        <v>2991</v>
      </c>
      <c r="B1136" s="406">
        <v>211101</v>
      </c>
      <c r="C1136" s="406">
        <f>'20.TGT1'!C65</f>
        <v>211101</v>
      </c>
      <c r="D1136" s="406">
        <f si="23" t="shared"/>
        <v>0</v>
      </c>
      <c r="S1136" s="406" t="s">
        <v>2991</v>
      </c>
      <c r="T1136" s="406">
        <v>211101</v>
      </c>
    </row>
    <row r="1137" spans="1:20">
      <c r="A1137" s="406" t="s">
        <v>2991</v>
      </c>
      <c r="B1137" s="406">
        <v>2112</v>
      </c>
      <c r="C1137" s="406">
        <f>'20.TGT1'!C66</f>
        <v>2112</v>
      </c>
      <c r="D1137" s="406">
        <f si="23" t="shared"/>
        <v>0</v>
      </c>
      <c r="S1137" s="406" t="s">
        <v>2991</v>
      </c>
      <c r="T1137" s="406">
        <v>2112</v>
      </c>
    </row>
    <row r="1138" spans="1:20">
      <c r="A1138" s="406" t="s">
        <v>2991</v>
      </c>
      <c r="B1138" s="406">
        <v>211201</v>
      </c>
      <c r="C1138" s="406">
        <f>'20.TGT1'!C67</f>
        <v>211201</v>
      </c>
      <c r="D1138" s="406">
        <f si="23" t="shared"/>
        <v>0</v>
      </c>
      <c r="S1138" s="406" t="s">
        <v>2991</v>
      </c>
      <c r="T1138" s="406">
        <v>211201</v>
      </c>
    </row>
    <row r="1139" spans="1:20">
      <c r="A1139" s="406" t="s">
        <v>2991</v>
      </c>
      <c r="B1139" s="406">
        <v>212</v>
      </c>
      <c r="C1139" s="406">
        <f>'20.TGT1'!C68</f>
        <v>212</v>
      </c>
      <c r="D1139" s="406">
        <f si="23" t="shared"/>
        <v>0</v>
      </c>
      <c r="S1139" s="406" t="s">
        <v>2991</v>
      </c>
      <c r="T1139" s="406">
        <v>212</v>
      </c>
    </row>
    <row r="1140" spans="1:20">
      <c r="A1140" s="406" t="s">
        <v>2991</v>
      </c>
      <c r="B1140" s="406">
        <v>2121</v>
      </c>
      <c r="C1140" s="406">
        <f>'20.TGT1'!C69</f>
        <v>2121</v>
      </c>
      <c r="D1140" s="406">
        <f si="23" t="shared"/>
        <v>0</v>
      </c>
      <c r="S1140" s="406" t="s">
        <v>2991</v>
      </c>
      <c r="T1140" s="406">
        <v>2121</v>
      </c>
    </row>
    <row r="1141" spans="1:20">
      <c r="A1141" s="406" t="s">
        <v>2991</v>
      </c>
      <c r="B1141" s="406">
        <v>212101</v>
      </c>
      <c r="C1141" s="406">
        <f>'20.TGT1'!C70</f>
        <v>212101</v>
      </c>
      <c r="D1141" s="406">
        <f si="23" t="shared"/>
        <v>0</v>
      </c>
      <c r="S1141" s="406" t="s">
        <v>2991</v>
      </c>
      <c r="T1141" s="406">
        <v>212101</v>
      </c>
    </row>
    <row r="1142" spans="1:20">
      <c r="A1142" s="406" t="s">
        <v>2991</v>
      </c>
      <c r="B1142" s="406">
        <v>2122</v>
      </c>
      <c r="C1142" s="406">
        <f>'20.TGT1'!C71</f>
        <v>2122</v>
      </c>
      <c r="D1142" s="406">
        <f si="23" t="shared"/>
        <v>0</v>
      </c>
      <c r="S1142" s="406" t="s">
        <v>2991</v>
      </c>
      <c r="T1142" s="406">
        <v>2122</v>
      </c>
    </row>
    <row r="1143" spans="1:20">
      <c r="A1143" s="406" t="s">
        <v>2991</v>
      </c>
      <c r="B1143" s="406">
        <v>212201</v>
      </c>
      <c r="C1143" s="406">
        <f>'20.TGT1'!C72</f>
        <v>212201</v>
      </c>
      <c r="D1143" s="406">
        <f si="23" t="shared"/>
        <v>0</v>
      </c>
      <c r="S1143" s="406" t="s">
        <v>2991</v>
      </c>
      <c r="T1143" s="406">
        <v>212201</v>
      </c>
    </row>
    <row r="1144" spans="1:20">
      <c r="A1144" s="406" t="s">
        <v>2991</v>
      </c>
      <c r="B1144" s="406">
        <v>213</v>
      </c>
      <c r="C1144" s="406">
        <f>'20.TGT1'!C73</f>
        <v>213</v>
      </c>
      <c r="D1144" s="406">
        <f si="23" t="shared"/>
        <v>0</v>
      </c>
      <c r="S1144" s="406" t="s">
        <v>2991</v>
      </c>
      <c r="T1144" s="406">
        <v>213</v>
      </c>
    </row>
    <row r="1145" spans="1:20">
      <c r="A1145" s="406" t="s">
        <v>2991</v>
      </c>
      <c r="B1145" s="406">
        <v>2131</v>
      </c>
      <c r="C1145" s="406">
        <f>'20.TGT1'!C74</f>
        <v>2131</v>
      </c>
      <c r="D1145" s="406">
        <f si="23" t="shared"/>
        <v>0</v>
      </c>
      <c r="S1145" s="406" t="s">
        <v>2991</v>
      </c>
      <c r="T1145" s="406">
        <v>2131</v>
      </c>
    </row>
    <row r="1146" spans="1:20">
      <c r="A1146" s="406" t="s">
        <v>2991</v>
      </c>
      <c r="B1146" s="406">
        <v>213101</v>
      </c>
      <c r="C1146" s="406">
        <f>'20.TGT1'!C75</f>
        <v>213101</v>
      </c>
      <c r="D1146" s="406">
        <f si="23" t="shared"/>
        <v>0</v>
      </c>
      <c r="S1146" s="406" t="s">
        <v>2991</v>
      </c>
      <c r="T1146" s="406">
        <v>213101</v>
      </c>
    </row>
    <row r="1147" spans="1:20">
      <c r="A1147" s="406" t="s">
        <v>2991</v>
      </c>
      <c r="B1147" s="406">
        <v>213102</v>
      </c>
      <c r="C1147" s="406">
        <f>'20.TGT1'!C76</f>
        <v>213102</v>
      </c>
      <c r="D1147" s="406">
        <f si="23" t="shared"/>
        <v>0</v>
      </c>
      <c r="S1147" s="406" t="s">
        <v>2991</v>
      </c>
      <c r="T1147" s="406">
        <v>213102</v>
      </c>
    </row>
    <row r="1148" spans="1:20">
      <c r="A1148" s="406" t="s">
        <v>2991</v>
      </c>
      <c r="B1148" s="406">
        <v>2132</v>
      </c>
      <c r="C1148" s="406">
        <f>'20.TGT1'!C77</f>
        <v>2132</v>
      </c>
      <c r="D1148" s="406">
        <f si="23" t="shared"/>
        <v>0</v>
      </c>
      <c r="S1148" s="406" t="s">
        <v>2991</v>
      </c>
      <c r="T1148" s="406">
        <v>2132</v>
      </c>
    </row>
    <row r="1149" spans="1:20">
      <c r="A1149" s="406" t="s">
        <v>2991</v>
      </c>
      <c r="B1149" s="406">
        <v>213202</v>
      </c>
      <c r="C1149" s="406">
        <f>'20.TGT1'!C78</f>
        <v>213202</v>
      </c>
      <c r="D1149" s="406">
        <f si="23" t="shared"/>
        <v>0</v>
      </c>
      <c r="S1149" s="406" t="s">
        <v>2991</v>
      </c>
      <c r="T1149" s="406">
        <v>213202</v>
      </c>
    </row>
    <row r="1150" spans="1:20">
      <c r="A1150" s="406" t="s">
        <v>2991</v>
      </c>
      <c r="B1150" s="406">
        <v>213203</v>
      </c>
      <c r="C1150" s="406">
        <f>'20.TGT1'!C79</f>
        <v>213203</v>
      </c>
      <c r="D1150" s="406">
        <f si="23" t="shared"/>
        <v>0</v>
      </c>
      <c r="S1150" s="406" t="s">
        <v>2991</v>
      </c>
      <c r="T1150" s="406">
        <v>213203</v>
      </c>
    </row>
    <row r="1151" spans="1:20">
      <c r="A1151" s="406" t="s">
        <v>2991</v>
      </c>
      <c r="B1151" s="406">
        <v>213204</v>
      </c>
      <c r="C1151" s="406">
        <f>'20.TGT1'!C80</f>
        <v>213204</v>
      </c>
      <c r="D1151" s="406">
        <f si="23" t="shared"/>
        <v>0</v>
      </c>
      <c r="S1151" s="406" t="s">
        <v>2991</v>
      </c>
      <c r="T1151" s="406">
        <v>213204</v>
      </c>
    </row>
    <row r="1152" spans="1:20">
      <c r="A1152" s="406" t="s">
        <v>2991</v>
      </c>
      <c r="B1152" s="406">
        <v>213205</v>
      </c>
      <c r="C1152" s="406">
        <f>'20.TGT1'!C81</f>
        <v>213205</v>
      </c>
      <c r="D1152" s="406">
        <f si="23" t="shared"/>
        <v>0</v>
      </c>
      <c r="S1152" s="406" t="s">
        <v>2991</v>
      </c>
      <c r="T1152" s="406">
        <v>213205</v>
      </c>
    </row>
    <row r="1153" spans="1:20">
      <c r="A1153" s="406" t="s">
        <v>2991</v>
      </c>
      <c r="B1153" s="406">
        <v>213206</v>
      </c>
      <c r="C1153" s="406">
        <f>'20.TGT1'!C82</f>
        <v>213206</v>
      </c>
      <c r="D1153" s="406">
        <f si="23" t="shared"/>
        <v>0</v>
      </c>
      <c r="S1153" s="406" t="s">
        <v>2991</v>
      </c>
      <c r="T1153" s="406">
        <v>213206</v>
      </c>
    </row>
    <row r="1154" spans="1:20">
      <c r="A1154" s="406" t="s">
        <v>2991</v>
      </c>
      <c r="B1154" s="406">
        <v>213207</v>
      </c>
      <c r="C1154" s="406">
        <f>'20.TGT1'!C83</f>
        <v>213207</v>
      </c>
      <c r="D1154" s="406">
        <f si="23" t="shared"/>
        <v>0</v>
      </c>
      <c r="S1154" s="406" t="s">
        <v>2991</v>
      </c>
      <c r="T1154" s="406">
        <v>213207</v>
      </c>
    </row>
    <row r="1155" spans="1:20">
      <c r="A1155" s="406" t="s">
        <v>2991</v>
      </c>
      <c r="B1155" s="406">
        <v>213208</v>
      </c>
      <c r="C1155" s="406">
        <f>'20.TGT1'!C84</f>
        <v>213208</v>
      </c>
      <c r="D1155" s="406">
        <f si="23" t="shared"/>
        <v>0</v>
      </c>
      <c r="S1155" s="406" t="s">
        <v>2991</v>
      </c>
      <c r="T1155" s="406">
        <v>213208</v>
      </c>
    </row>
    <row r="1156" spans="1:20">
      <c r="A1156" s="406" t="s">
        <v>2991</v>
      </c>
      <c r="B1156" s="406">
        <v>213209</v>
      </c>
      <c r="C1156" s="406">
        <f>'20.TGT1'!C85</f>
        <v>213209</v>
      </c>
      <c r="D1156" s="406">
        <f si="23" t="shared"/>
        <v>0</v>
      </c>
      <c r="S1156" s="406" t="s">
        <v>2991</v>
      </c>
      <c r="T1156" s="406">
        <v>213209</v>
      </c>
    </row>
    <row r="1157" spans="1:20">
      <c r="A1157" s="406" t="s">
        <v>2991</v>
      </c>
      <c r="B1157" s="406">
        <v>22</v>
      </c>
      <c r="C1157" s="406">
        <f>'20.TGT1'!C86</f>
        <v>22</v>
      </c>
      <c r="D1157" s="406">
        <f si="23" t="shared"/>
        <v>0</v>
      </c>
      <c r="S1157" s="406" t="s">
        <v>2991</v>
      </c>
      <c r="T1157" s="406">
        <v>22</v>
      </c>
    </row>
    <row r="1158" spans="1:20">
      <c r="A1158" s="406" t="s">
        <v>2991</v>
      </c>
      <c r="B1158" s="406">
        <v>2200</v>
      </c>
      <c r="C1158" s="406">
        <f>'20.TGT1'!C87</f>
        <v>2200</v>
      </c>
      <c r="D1158" s="406">
        <f si="23" t="shared"/>
        <v>0</v>
      </c>
      <c r="S1158" s="406" t="s">
        <v>2991</v>
      </c>
      <c r="T1158" s="406">
        <v>2200</v>
      </c>
    </row>
    <row r="1159" spans="1:20">
      <c r="A1159" s="406" t="s">
        <v>2991</v>
      </c>
      <c r="B1159" s="406">
        <v>220001</v>
      </c>
      <c r="C1159" s="406">
        <f>'20.TGT1'!C88</f>
        <v>220001</v>
      </c>
      <c r="D1159" s="406">
        <f si="23" t="shared"/>
        <v>0</v>
      </c>
      <c r="S1159" s="406" t="s">
        <v>2991</v>
      </c>
      <c r="T1159" s="406">
        <v>220001</v>
      </c>
    </row>
    <row r="1160" spans="1:20">
      <c r="A1160" s="406" t="s">
        <v>2991</v>
      </c>
      <c r="B1160" s="406">
        <v>221001</v>
      </c>
      <c r="C1160" s="406">
        <f>'20.TGT1'!C89</f>
        <v>221001</v>
      </c>
      <c r="D1160" s="406">
        <f si="23" t="shared"/>
        <v>0</v>
      </c>
      <c r="S1160" s="406" t="s">
        <v>2991</v>
      </c>
      <c r="T1160" s="406">
        <v>221001</v>
      </c>
    </row>
    <row r="1161" spans="1:20">
      <c r="A1161" s="406" t="s">
        <v>2991</v>
      </c>
      <c r="B1161" s="406">
        <v>222001</v>
      </c>
      <c r="C1161" s="406">
        <f>'20.TGT1'!C90</f>
        <v>222001</v>
      </c>
      <c r="D1161" s="406">
        <f si="23" t="shared"/>
        <v>0</v>
      </c>
      <c r="S1161" s="406" t="s">
        <v>2991</v>
      </c>
      <c r="T1161" s="406">
        <v>222001</v>
      </c>
    </row>
    <row r="1162" spans="1:20">
      <c r="A1162" s="406" t="s">
        <v>2991</v>
      </c>
      <c r="B1162" s="406">
        <v>223001</v>
      </c>
      <c r="C1162" s="406">
        <f>'20.TGT1'!C91</f>
        <v>223001</v>
      </c>
      <c r="D1162" s="406">
        <f si="23" t="shared"/>
        <v>0</v>
      </c>
      <c r="S1162" s="406" t="s">
        <v>2991</v>
      </c>
      <c r="T1162" s="406">
        <v>223001</v>
      </c>
    </row>
    <row r="1163" spans="1:20">
      <c r="A1163" s="406" t="s">
        <v>2991</v>
      </c>
      <c r="B1163" s="406">
        <v>224001</v>
      </c>
      <c r="C1163" s="406">
        <f>'20.TGT1'!C92</f>
        <v>224001</v>
      </c>
      <c r="D1163" s="406">
        <f si="23" t="shared"/>
        <v>0</v>
      </c>
      <c r="S1163" s="406" t="s">
        <v>2991</v>
      </c>
      <c r="T1163" s="406">
        <v>224001</v>
      </c>
    </row>
    <row r="1164" spans="1:20">
      <c r="A1164" s="406" t="s">
        <v>2991</v>
      </c>
      <c r="B1164" s="406">
        <v>2260</v>
      </c>
      <c r="C1164" s="406">
        <f>'20.TGT1'!C93</f>
        <v>2260</v>
      </c>
      <c r="D1164" s="406">
        <f ref="D1164:D1226" si="25" t="shared">IF(VALUE(B1164)=VALUE(C1164),0,1)</f>
        <v>0</v>
      </c>
      <c r="S1164" s="406" t="s">
        <v>2991</v>
      </c>
      <c r="T1164" s="406">
        <v>2260</v>
      </c>
    </row>
    <row r="1165" spans="1:20">
      <c r="A1165" s="406" t="s">
        <v>2991</v>
      </c>
      <c r="B1165" s="406">
        <v>226001</v>
      </c>
      <c r="C1165" s="406">
        <f>'20.TGT1'!C94</f>
        <v>226001</v>
      </c>
      <c r="D1165" s="406">
        <f si="25" t="shared"/>
        <v>0</v>
      </c>
      <c r="S1165" s="406" t="s">
        <v>2991</v>
      </c>
      <c r="T1165" s="406">
        <v>226001</v>
      </c>
    </row>
    <row r="1166" spans="1:20">
      <c r="A1166" s="406" t="s">
        <v>2991</v>
      </c>
      <c r="B1166" s="406">
        <v>23</v>
      </c>
      <c r="C1166" s="406">
        <f>'20.TGT1'!C95</f>
        <v>23</v>
      </c>
      <c r="D1166" s="406">
        <f si="25" t="shared"/>
        <v>0</v>
      </c>
      <c r="S1166" s="406" t="s">
        <v>2991</v>
      </c>
      <c r="T1166" s="406">
        <v>23</v>
      </c>
    </row>
    <row r="1167" spans="1:20">
      <c r="A1167" s="406" t="s">
        <v>2991</v>
      </c>
      <c r="B1167" s="406">
        <v>230001</v>
      </c>
      <c r="C1167" s="406">
        <f>'20.TGT1'!C96</f>
        <v>230001</v>
      </c>
      <c r="D1167" s="406">
        <f si="25" t="shared"/>
        <v>0</v>
      </c>
      <c r="S1167" s="406" t="s">
        <v>2991</v>
      </c>
      <c r="T1167" s="406">
        <v>230001</v>
      </c>
    </row>
    <row r="1168" spans="1:20">
      <c r="A1168" s="406" t="s">
        <v>2991</v>
      </c>
      <c r="B1168" s="406">
        <v>231001</v>
      </c>
      <c r="C1168" s="406">
        <f>'20.TGT1'!C97</f>
        <v>231001</v>
      </c>
      <c r="D1168" s="406">
        <f si="25" t="shared"/>
        <v>0</v>
      </c>
      <c r="S1168" s="406" t="s">
        <v>2991</v>
      </c>
      <c r="T1168" s="406">
        <v>231001</v>
      </c>
    </row>
    <row r="1169" spans="1:20">
      <c r="A1169" s="406" t="s">
        <v>2991</v>
      </c>
      <c r="B1169" s="406">
        <v>232001</v>
      </c>
      <c r="C1169" s="406">
        <f>'20.TGT1'!C98</f>
        <v>232001</v>
      </c>
      <c r="D1169" s="406">
        <f si="25" t="shared"/>
        <v>0</v>
      </c>
      <c r="S1169" s="406" t="s">
        <v>2991</v>
      </c>
      <c r="T1169" s="406">
        <v>232001</v>
      </c>
    </row>
    <row r="1170" spans="1:20">
      <c r="A1170" s="406" t="s">
        <v>2991</v>
      </c>
      <c r="B1170" s="406">
        <v>1310</v>
      </c>
      <c r="C1170" s="406">
        <f>'20.TGT1'!C100</f>
        <v>1310</v>
      </c>
      <c r="D1170" s="406">
        <f si="25" t="shared"/>
        <v>0</v>
      </c>
      <c r="S1170" s="406" t="s">
        <v>2991</v>
      </c>
      <c r="T1170" s="406">
        <v>1310</v>
      </c>
    </row>
    <row r="1171" spans="1:20">
      <c r="A1171" s="406" t="s">
        <v>2991</v>
      </c>
      <c r="B1171" s="406">
        <v>131001</v>
      </c>
      <c r="C1171" s="406">
        <f>'20.TGT1'!C101</f>
        <v>131001</v>
      </c>
      <c r="D1171" s="406">
        <f si="25" t="shared"/>
        <v>0</v>
      </c>
      <c r="S1171" s="406" t="s">
        <v>2991</v>
      </c>
      <c r="T1171" s="406">
        <v>131001</v>
      </c>
    </row>
    <row r="1172" spans="1:20">
      <c r="A1172" s="406" t="s">
        <v>2991</v>
      </c>
      <c r="B1172" s="406">
        <v>131006</v>
      </c>
      <c r="C1172" s="406">
        <f>'20.TGT1'!C102</f>
        <v>131006</v>
      </c>
      <c r="D1172" s="406">
        <f si="25" t="shared"/>
        <v>0</v>
      </c>
      <c r="S1172" s="406" t="s">
        <v>2991</v>
      </c>
      <c r="T1172" s="406">
        <v>131006</v>
      </c>
    </row>
    <row r="1173" spans="1:20">
      <c r="A1173" s="406" t="s">
        <v>2991</v>
      </c>
      <c r="B1173" s="406">
        <v>131007</v>
      </c>
      <c r="C1173" s="406">
        <f>'20.TGT1'!C103</f>
        <v>131007</v>
      </c>
      <c r="D1173" s="406">
        <f si="25" t="shared"/>
        <v>0</v>
      </c>
      <c r="S1173" s="406" t="s">
        <v>2991</v>
      </c>
      <c r="T1173" s="406">
        <v>131007</v>
      </c>
    </row>
    <row r="1174" spans="1:20">
      <c r="A1174" s="406" t="s">
        <v>2991</v>
      </c>
      <c r="B1174" s="406">
        <v>131008</v>
      </c>
      <c r="C1174" s="406">
        <f>'20.TGT1'!C104</f>
        <v>131008</v>
      </c>
      <c r="D1174" s="406">
        <f si="25" t="shared"/>
        <v>0</v>
      </c>
      <c r="S1174" s="406" t="s">
        <v>2991</v>
      </c>
      <c r="T1174" s="406">
        <v>131008</v>
      </c>
    </row>
    <row r="1175" spans="1:20">
      <c r="A1175" s="406" t="s">
        <v>2991</v>
      </c>
      <c r="B1175" s="406">
        <v>1320</v>
      </c>
      <c r="C1175" s="406">
        <f>'20.TGT1'!C105</f>
        <v>1320</v>
      </c>
      <c r="D1175" s="406">
        <f si="25" t="shared"/>
        <v>0</v>
      </c>
      <c r="S1175" s="406" t="s">
        <v>2991</v>
      </c>
      <c r="T1175" s="406">
        <v>1320</v>
      </c>
    </row>
    <row r="1176" spans="1:20">
      <c r="A1176" s="406" t="s">
        <v>2991</v>
      </c>
      <c r="B1176" s="406">
        <v>132001</v>
      </c>
      <c r="C1176" s="406">
        <f>'20.TGT1'!C106</f>
        <v>132001</v>
      </c>
      <c r="D1176" s="406">
        <f si="25" t="shared"/>
        <v>0</v>
      </c>
      <c r="S1176" s="406" t="s">
        <v>2991</v>
      </c>
      <c r="T1176" s="406">
        <v>132001</v>
      </c>
    </row>
    <row r="1177" spans="1:20">
      <c r="A1177" s="406" t="s">
        <v>2991</v>
      </c>
      <c r="B1177" s="406">
        <v>132007</v>
      </c>
      <c r="C1177" s="406">
        <f>'20.TGT1'!C107</f>
        <v>132007</v>
      </c>
      <c r="D1177" s="406">
        <f si="25" t="shared"/>
        <v>0</v>
      </c>
      <c r="S1177" s="406" t="s">
        <v>2991</v>
      </c>
      <c r="T1177" s="406">
        <v>132007</v>
      </c>
    </row>
    <row r="1178" spans="1:20">
      <c r="A1178" s="406" t="s">
        <v>2991</v>
      </c>
      <c r="B1178" s="406">
        <v>1340</v>
      </c>
      <c r="C1178" s="406">
        <f>'20.TGT1'!C108</f>
        <v>1340</v>
      </c>
      <c r="D1178" s="406">
        <f si="25" t="shared"/>
        <v>0</v>
      </c>
      <c r="S1178" s="406" t="s">
        <v>2991</v>
      </c>
      <c r="T1178" s="406">
        <v>1340</v>
      </c>
    </row>
    <row r="1179" spans="1:20">
      <c r="A1179" s="406" t="s">
        <v>2991</v>
      </c>
      <c r="B1179" s="406">
        <v>134001</v>
      </c>
      <c r="C1179" s="406">
        <f>'20.TGT1'!C109</f>
        <v>134001</v>
      </c>
      <c r="D1179" s="406">
        <f si="25" t="shared"/>
        <v>0</v>
      </c>
      <c r="S1179" s="406" t="s">
        <v>2991</v>
      </c>
      <c r="T1179" s="406">
        <v>134001</v>
      </c>
    </row>
    <row r="1180" spans="1:20">
      <c r="A1180" s="406" t="s">
        <v>2991</v>
      </c>
      <c r="B1180" s="406">
        <v>134002</v>
      </c>
      <c r="C1180" s="406">
        <f>'20.TGT1'!C110</f>
        <v>134002</v>
      </c>
      <c r="D1180" s="406">
        <f si="25" t="shared"/>
        <v>0</v>
      </c>
      <c r="S1180" s="406" t="s">
        <v>2991</v>
      </c>
      <c r="T1180" s="406">
        <v>134002</v>
      </c>
    </row>
    <row r="1181" spans="1:20">
      <c r="A1181" s="406" t="s">
        <v>2991</v>
      </c>
      <c r="B1181" s="406">
        <v>134003</v>
      </c>
      <c r="C1181" s="406">
        <f>'20.TGT1'!C111</f>
        <v>134003</v>
      </c>
      <c r="D1181" s="406">
        <f si="25" t="shared"/>
        <v>0</v>
      </c>
      <c r="S1181" s="406" t="s">
        <v>2991</v>
      </c>
      <c r="T1181" s="406">
        <v>134003</v>
      </c>
    </row>
    <row r="1182" spans="1:20">
      <c r="A1182" s="406" t="s">
        <v>2991</v>
      </c>
      <c r="B1182" s="406">
        <v>120004</v>
      </c>
      <c r="C1182" s="406">
        <f>'20.TGT1'!C112</f>
        <v>120004</v>
      </c>
      <c r="D1182" s="406">
        <f si="25" t="shared"/>
        <v>0</v>
      </c>
      <c r="S1182" s="406" t="s">
        <v>2991</v>
      </c>
      <c r="T1182" s="406">
        <v>120004</v>
      </c>
    </row>
    <row r="1183" spans="1:20">
      <c r="A1183" s="406" t="s">
        <v>2991</v>
      </c>
      <c r="B1183" s="406">
        <v>1200041</v>
      </c>
      <c r="C1183" s="406">
        <f>'20.TGT1'!C113</f>
        <v>1200041</v>
      </c>
      <c r="D1183" s="406">
        <f si="25" t="shared"/>
        <v>0</v>
      </c>
      <c r="S1183" s="406" t="s">
        <v>2991</v>
      </c>
      <c r="T1183" s="406">
        <v>1200041</v>
      </c>
    </row>
    <row r="1184" spans="1:20">
      <c r="A1184" s="406" t="s">
        <v>2991</v>
      </c>
      <c r="B1184" s="406">
        <v>1200042</v>
      </c>
      <c r="C1184" s="406">
        <f>'20.TGT1'!C114</f>
        <v>1200042</v>
      </c>
      <c r="D1184" s="406">
        <f si="25" t="shared"/>
        <v>0</v>
      </c>
      <c r="S1184" s="406" t="s">
        <v>2991</v>
      </c>
      <c r="T1184" s="406">
        <v>1200042</v>
      </c>
    </row>
    <row r="1185" spans="1:20">
      <c r="A1185" s="406" t="s">
        <v>2991</v>
      </c>
      <c r="B1185" s="406">
        <v>1200043</v>
      </c>
      <c r="C1185" s="406">
        <f>'20.TGT1'!C115</f>
        <v>1200043</v>
      </c>
      <c r="D1185" s="406">
        <f si="25" t="shared"/>
        <v>0</v>
      </c>
      <c r="S1185" s="406" t="s">
        <v>2991</v>
      </c>
      <c r="T1185" s="406">
        <v>1200043</v>
      </c>
    </row>
    <row r="1186" spans="1:20">
      <c r="A1186" s="406" t="s">
        <v>2991</v>
      </c>
      <c r="B1186" s="406">
        <v>1200044</v>
      </c>
      <c r="C1186" s="406">
        <f>'20.TGT1'!C116</f>
        <v>1200044</v>
      </c>
      <c r="D1186" s="406">
        <f si="25" t="shared"/>
        <v>0</v>
      </c>
      <c r="S1186" s="406" t="s">
        <v>2991</v>
      </c>
      <c r="T1186" s="406">
        <v>1200044</v>
      </c>
    </row>
    <row r="1187" spans="1:20">
      <c r="A1187" s="406" t="s">
        <v>2991</v>
      </c>
      <c r="B1187" s="406">
        <v>122</v>
      </c>
      <c r="C1187" s="406">
        <f>'20.TGT1'!C117</f>
        <v>122</v>
      </c>
      <c r="D1187" s="406">
        <f si="25" t="shared"/>
        <v>0</v>
      </c>
      <c r="S1187" s="406" t="s">
        <v>2991</v>
      </c>
      <c r="T1187" s="406">
        <v>122</v>
      </c>
    </row>
    <row r="1188" spans="1:20">
      <c r="A1188" s="406" t="s">
        <v>2991</v>
      </c>
      <c r="B1188" s="406">
        <v>122001</v>
      </c>
      <c r="C1188" s="406">
        <f>'20.TGT1'!C118</f>
        <v>122001</v>
      </c>
      <c r="D1188" s="406">
        <f si="25" t="shared"/>
        <v>0</v>
      </c>
      <c r="S1188" s="406" t="s">
        <v>2991</v>
      </c>
      <c r="T1188" s="406">
        <v>122001</v>
      </c>
    </row>
    <row r="1189" spans="1:20">
      <c r="A1189" s="406" t="s">
        <v>2991</v>
      </c>
      <c r="B1189" s="406">
        <v>122002</v>
      </c>
      <c r="C1189" s="406">
        <f>'20.TGT1'!C119</f>
        <v>122002</v>
      </c>
      <c r="D1189" s="406">
        <f si="25" t="shared"/>
        <v>0</v>
      </c>
      <c r="S1189" s="406" t="s">
        <v>2991</v>
      </c>
      <c r="T1189" s="406">
        <v>122002</v>
      </c>
    </row>
    <row r="1190" spans="1:20">
      <c r="A1190" s="406" t="s">
        <v>2991</v>
      </c>
      <c r="B1190" s="406">
        <v>14</v>
      </c>
      <c r="C1190" s="406">
        <f>'20.TGT1'!C120</f>
        <v>14</v>
      </c>
      <c r="D1190" s="406">
        <f si="25" t="shared"/>
        <v>0</v>
      </c>
      <c r="S1190" s="406" t="s">
        <v>2991</v>
      </c>
      <c r="T1190" s="406">
        <v>14</v>
      </c>
    </row>
    <row r="1191" spans="1:20">
      <c r="A1191" s="406" t="s">
        <v>2991</v>
      </c>
      <c r="B1191" s="406">
        <v>145005</v>
      </c>
      <c r="C1191" s="406">
        <f>'20.TGT1'!C121</f>
        <v>145005</v>
      </c>
      <c r="D1191" s="406">
        <f si="25" t="shared"/>
        <v>0</v>
      </c>
      <c r="S1191" s="406" t="s">
        <v>2991</v>
      </c>
      <c r="T1191" s="406">
        <v>145005</v>
      </c>
    </row>
    <row r="1192" spans="1:20">
      <c r="A1192" s="406" t="s">
        <v>2991</v>
      </c>
      <c r="B1192" s="406">
        <v>4</v>
      </c>
      <c r="C1192" s="406">
        <f>'20.TGT1'!C122</f>
        <v>4</v>
      </c>
      <c r="D1192" s="406">
        <f si="25" t="shared"/>
        <v>0</v>
      </c>
      <c r="S1192" s="406" t="s">
        <v>2991</v>
      </c>
      <c r="T1192" s="406">
        <v>4</v>
      </c>
    </row>
    <row r="1193" spans="1:20">
      <c r="A1193" s="406" t="s">
        <v>2991</v>
      </c>
      <c r="B1193" s="406">
        <v>5</v>
      </c>
      <c r="C1193" s="406">
        <f>'20.TGT1'!C123</f>
        <v>5</v>
      </c>
      <c r="D1193" s="406">
        <f si="25" t="shared"/>
        <v>0</v>
      </c>
      <c r="S1193" s="406" t="s">
        <v>2991</v>
      </c>
      <c r="T1193" s="406">
        <v>5</v>
      </c>
    </row>
    <row r="1194" spans="1:20">
      <c r="A1194" s="406" t="s">
        <v>2991</v>
      </c>
      <c r="B1194" s="406">
        <v>6</v>
      </c>
      <c r="C1194" s="406">
        <f>'20.TGT1'!C124</f>
        <v>6</v>
      </c>
      <c r="D1194" s="406">
        <f si="25" t="shared"/>
        <v>0</v>
      </c>
      <c r="S1194" s="406" t="s">
        <v>2991</v>
      </c>
      <c r="T1194" s="406">
        <v>6</v>
      </c>
    </row>
    <row r="1195" spans="1:20">
      <c r="A1195" s="406" t="s">
        <v>2991</v>
      </c>
      <c r="B1195" s="406">
        <v>61</v>
      </c>
      <c r="C1195" s="406">
        <f>'20.TGT1'!C125</f>
        <v>61</v>
      </c>
      <c r="D1195" s="406">
        <f si="25" t="shared"/>
        <v>0</v>
      </c>
      <c r="S1195" s="406" t="s">
        <v>2991</v>
      </c>
      <c r="T1195" s="406">
        <v>61</v>
      </c>
    </row>
    <row r="1196" spans="1:20">
      <c r="A1196" s="406" t="s">
        <v>2991</v>
      </c>
      <c r="B1196" s="406">
        <v>610001</v>
      </c>
      <c r="C1196" s="406">
        <f>'20.TGT1'!C126</f>
        <v>610001</v>
      </c>
      <c r="D1196" s="406">
        <f si="25" t="shared"/>
        <v>0</v>
      </c>
      <c r="S1196" s="406" t="s">
        <v>2991</v>
      </c>
      <c r="T1196" s="406">
        <v>610001</v>
      </c>
    </row>
    <row r="1197" spans="1:20">
      <c r="A1197" s="406" t="s">
        <v>2991</v>
      </c>
      <c r="B1197" s="406">
        <v>610002</v>
      </c>
      <c r="C1197" s="406">
        <f>'20.TGT1'!C127</f>
        <v>610002</v>
      </c>
      <c r="D1197" s="406">
        <f si="25" t="shared"/>
        <v>0</v>
      </c>
      <c r="S1197" s="406" t="s">
        <v>2991</v>
      </c>
      <c r="T1197" s="406">
        <v>610002</v>
      </c>
    </row>
    <row r="1198" spans="1:20">
      <c r="A1198" s="406" t="s">
        <v>2991</v>
      </c>
      <c r="B1198" s="406">
        <v>62</v>
      </c>
      <c r="C1198" s="406">
        <f>'20.TGT1'!C128</f>
        <v>62</v>
      </c>
      <c r="D1198" s="406">
        <f si="25" t="shared"/>
        <v>0</v>
      </c>
      <c r="S1198" s="406" t="s">
        <v>2991</v>
      </c>
      <c r="T1198" s="406">
        <v>62</v>
      </c>
    </row>
    <row r="1199" spans="1:20">
      <c r="A1199" s="406" t="s">
        <v>2991</v>
      </c>
      <c r="B1199" s="406">
        <v>620001</v>
      </c>
      <c r="C1199" s="406">
        <f>'20.TGT1'!C129</f>
        <v>620001</v>
      </c>
      <c r="D1199" s="406">
        <f si="25" t="shared"/>
        <v>0</v>
      </c>
      <c r="S1199" s="406" t="s">
        <v>2991</v>
      </c>
      <c r="T1199" s="406">
        <v>620001</v>
      </c>
    </row>
    <row r="1200" spans="1:20">
      <c r="A1200" s="406" t="s">
        <v>2991</v>
      </c>
      <c r="B1200" s="406">
        <v>620002</v>
      </c>
      <c r="C1200" s="406">
        <f>'20.TGT1'!C130</f>
        <v>620002</v>
      </c>
      <c r="D1200" s="406">
        <f si="25" t="shared"/>
        <v>0</v>
      </c>
      <c r="S1200" s="406" t="s">
        <v>2991</v>
      </c>
      <c r="T1200" s="406">
        <v>620002</v>
      </c>
    </row>
    <row r="1201" spans="1:20">
      <c r="A1201" s="406" t="s">
        <v>2991</v>
      </c>
      <c r="B1201" s="406">
        <v>620003</v>
      </c>
      <c r="C1201" s="406">
        <f>'20.TGT1'!C131</f>
        <v>620003</v>
      </c>
      <c r="D1201" s="406">
        <f si="25" t="shared"/>
        <v>0</v>
      </c>
      <c r="S1201" s="406" t="s">
        <v>2991</v>
      </c>
      <c r="T1201" s="406">
        <v>620003</v>
      </c>
    </row>
    <row r="1202" spans="1:20">
      <c r="A1202" s="406" t="s">
        <v>2991</v>
      </c>
      <c r="B1202" s="406">
        <v>620004</v>
      </c>
      <c r="C1202" s="406">
        <f>'20.TGT1'!C132</f>
        <v>620004</v>
      </c>
      <c r="D1202" s="406">
        <f si="25" t="shared"/>
        <v>0</v>
      </c>
      <c r="S1202" s="406" t="s">
        <v>2991</v>
      </c>
      <c r="T1202" s="406">
        <v>620004</v>
      </c>
    </row>
    <row r="1203" spans="1:20">
      <c r="A1203" s="406" t="s">
        <v>2991</v>
      </c>
      <c r="B1203" s="406">
        <v>63</v>
      </c>
      <c r="C1203" s="406">
        <f>'20.TGT1'!C133</f>
        <v>63</v>
      </c>
      <c r="D1203" s="406">
        <f si="25" t="shared"/>
        <v>0</v>
      </c>
      <c r="S1203" s="406" t="s">
        <v>2991</v>
      </c>
      <c r="T1203" s="406">
        <v>63</v>
      </c>
    </row>
    <row r="1204" spans="1:20">
      <c r="A1204" s="406" t="s">
        <v>2991</v>
      </c>
      <c r="B1204" s="406">
        <v>630</v>
      </c>
      <c r="C1204" s="406">
        <f>'20.TGT1'!C134</f>
        <v>630</v>
      </c>
      <c r="D1204" s="406">
        <f si="25" t="shared"/>
        <v>0</v>
      </c>
      <c r="S1204" s="406" t="s">
        <v>2991</v>
      </c>
      <c r="T1204" s="406">
        <v>630</v>
      </c>
    </row>
    <row r="1205" spans="1:20">
      <c r="A1205" s="406" t="s">
        <v>2991</v>
      </c>
      <c r="B1205" s="406">
        <v>630001</v>
      </c>
      <c r="C1205" s="406">
        <f>'20.TGT1'!C135</f>
        <v>630001</v>
      </c>
      <c r="D1205" s="406">
        <f si="25" t="shared"/>
        <v>0</v>
      </c>
      <c r="S1205" s="406" t="s">
        <v>2991</v>
      </c>
      <c r="T1205" s="406">
        <v>630001</v>
      </c>
    </row>
    <row r="1206" spans="1:20">
      <c r="A1206" s="406" t="s">
        <v>2991</v>
      </c>
      <c r="B1206" s="406">
        <v>630002</v>
      </c>
      <c r="C1206" s="406">
        <f>'20.TGT1'!C136</f>
        <v>630002</v>
      </c>
      <c r="D1206" s="406">
        <f si="25" t="shared"/>
        <v>0</v>
      </c>
      <c r="S1206" s="406" t="s">
        <v>2991</v>
      </c>
      <c r="T1206" s="406">
        <v>630002</v>
      </c>
    </row>
    <row r="1207" spans="1:20">
      <c r="A1207" s="406" t="s">
        <v>2991</v>
      </c>
      <c r="B1207" s="406">
        <v>631</v>
      </c>
      <c r="C1207" s="406">
        <f>'20.TGT1'!C137</f>
        <v>631</v>
      </c>
      <c r="D1207" s="406">
        <f si="25" t="shared"/>
        <v>0</v>
      </c>
      <c r="S1207" s="406" t="s">
        <v>2991</v>
      </c>
      <c r="T1207" s="406">
        <v>631</v>
      </c>
    </row>
    <row r="1208" spans="1:20">
      <c r="A1208" s="406" t="s">
        <v>2991</v>
      </c>
      <c r="B1208" s="406">
        <v>631001</v>
      </c>
      <c r="C1208" s="406">
        <f>'20.TGT1'!C138</f>
        <v>631001</v>
      </c>
      <c r="D1208" s="406">
        <f si="25" t="shared"/>
        <v>0</v>
      </c>
      <c r="S1208" s="406" t="s">
        <v>2991</v>
      </c>
      <c r="T1208" s="406">
        <v>631001</v>
      </c>
    </row>
    <row r="1209" spans="1:20">
      <c r="A1209" s="406" t="s">
        <v>2991</v>
      </c>
      <c r="B1209" s="406">
        <v>631002</v>
      </c>
      <c r="C1209" s="406">
        <f>'20.TGT1'!C139</f>
        <v>631002</v>
      </c>
      <c r="D1209" s="406">
        <f si="25" t="shared"/>
        <v>0</v>
      </c>
      <c r="S1209" s="406" t="s">
        <v>2991</v>
      </c>
      <c r="T1209" s="406">
        <v>631002</v>
      </c>
    </row>
    <row r="1210" spans="1:20">
      <c r="A1210" s="406" t="s">
        <v>2991</v>
      </c>
      <c r="B1210" s="406">
        <v>632</v>
      </c>
      <c r="C1210" s="406">
        <f>'20.TGT1'!C140</f>
        <v>632</v>
      </c>
      <c r="D1210" s="406">
        <f si="25" t="shared"/>
        <v>0</v>
      </c>
      <c r="S1210" s="406" t="s">
        <v>2991</v>
      </c>
      <c r="T1210" s="406">
        <v>632</v>
      </c>
    </row>
    <row r="1211" spans="1:20">
      <c r="A1211" s="406" t="s">
        <v>2991</v>
      </c>
      <c r="B1211" s="406">
        <v>632001</v>
      </c>
      <c r="C1211" s="406">
        <f>'20.TGT1'!C141</f>
        <v>632001</v>
      </c>
      <c r="D1211" s="406">
        <f si="25" t="shared"/>
        <v>0</v>
      </c>
      <c r="S1211" s="406" t="s">
        <v>2991</v>
      </c>
      <c r="T1211" s="406">
        <v>632001</v>
      </c>
    </row>
    <row r="1212" spans="1:20">
      <c r="A1212" s="406" t="s">
        <v>2991</v>
      </c>
      <c r="B1212" s="406">
        <v>632002</v>
      </c>
      <c r="C1212" s="406">
        <f>'20.TGT1'!C142</f>
        <v>632002</v>
      </c>
      <c r="D1212" s="406">
        <f si="25" t="shared"/>
        <v>0</v>
      </c>
      <c r="S1212" s="406" t="s">
        <v>2991</v>
      </c>
      <c r="T1212" s="406">
        <v>632002</v>
      </c>
    </row>
    <row r="1213" spans="1:20">
      <c r="A1213" s="406" t="s">
        <v>2991</v>
      </c>
      <c r="B1213" s="406">
        <v>64</v>
      </c>
      <c r="C1213" s="406">
        <f>'20.TGT1'!C143</f>
        <v>64</v>
      </c>
      <c r="D1213" s="406">
        <f si="25" t="shared"/>
        <v>0</v>
      </c>
      <c r="S1213" s="406" t="s">
        <v>2991</v>
      </c>
      <c r="T1213" s="406">
        <v>64</v>
      </c>
    </row>
    <row r="1214" spans="1:20">
      <c r="A1214" s="406" t="s">
        <v>2991</v>
      </c>
      <c r="B1214" s="406">
        <v>640001</v>
      </c>
      <c r="C1214" s="406">
        <f>'20.TGT1'!C144</f>
        <v>640001</v>
      </c>
      <c r="D1214" s="406">
        <f si="25" t="shared"/>
        <v>0</v>
      </c>
      <c r="S1214" s="406" t="s">
        <v>2991</v>
      </c>
      <c r="T1214" s="406">
        <v>640001</v>
      </c>
    </row>
    <row r="1215" spans="1:20">
      <c r="A1215" s="406" t="s">
        <v>2991</v>
      </c>
      <c r="B1215" s="406">
        <v>640002</v>
      </c>
      <c r="C1215" s="406">
        <f>'20.TGT1'!C145</f>
        <v>640002</v>
      </c>
      <c r="D1215" s="406">
        <f si="25" t="shared"/>
        <v>0</v>
      </c>
      <c r="S1215" s="406" t="s">
        <v>2991</v>
      </c>
      <c r="T1215" s="406">
        <v>640002</v>
      </c>
    </row>
    <row r="1216" spans="1:20">
      <c r="A1216" s="406" t="s">
        <v>2991</v>
      </c>
      <c r="B1216" s="406">
        <v>640003</v>
      </c>
      <c r="C1216" s="406">
        <f>'20.TGT1'!C146</f>
        <v>640003</v>
      </c>
      <c r="D1216" s="406">
        <f si="25" t="shared"/>
        <v>0</v>
      </c>
      <c r="S1216" s="406" t="s">
        <v>2991</v>
      </c>
      <c r="T1216" s="406">
        <v>640003</v>
      </c>
    </row>
    <row r="1217" spans="1:20">
      <c r="A1217" s="406" t="s">
        <v>2991</v>
      </c>
      <c r="B1217" s="406">
        <v>65</v>
      </c>
      <c r="C1217" s="406">
        <f>'20.TGT1'!C147</f>
        <v>65</v>
      </c>
      <c r="D1217" s="406">
        <f si="25" t="shared"/>
        <v>0</v>
      </c>
      <c r="S1217" s="406" t="s">
        <v>2991</v>
      </c>
      <c r="T1217" s="406">
        <v>65</v>
      </c>
    </row>
    <row r="1218" spans="1:20">
      <c r="A1218" s="406" t="s">
        <v>2991</v>
      </c>
      <c r="B1218" s="406">
        <v>650001</v>
      </c>
      <c r="C1218" s="406">
        <f>'20.TGT1'!C148</f>
        <v>650001</v>
      </c>
      <c r="D1218" s="406">
        <f si="25" t="shared"/>
        <v>0</v>
      </c>
      <c r="S1218" s="406" t="s">
        <v>2991</v>
      </c>
      <c r="T1218" s="406">
        <v>650001</v>
      </c>
    </row>
    <row r="1219" spans="1:20">
      <c r="A1219" s="406" t="s">
        <v>2991</v>
      </c>
      <c r="B1219" s="406">
        <v>650002</v>
      </c>
      <c r="C1219" s="406">
        <f>'20.TGT1'!C149</f>
        <v>650002</v>
      </c>
      <c r="D1219" s="406">
        <f si="25" t="shared"/>
        <v>0</v>
      </c>
      <c r="S1219" s="406" t="s">
        <v>2991</v>
      </c>
      <c r="T1219" s="406">
        <v>650002</v>
      </c>
    </row>
    <row r="1220" spans="1:20">
      <c r="A1220" s="406" t="s">
        <v>2991</v>
      </c>
      <c r="B1220" s="406">
        <v>650003</v>
      </c>
      <c r="C1220" s="406">
        <f>'20.TGT1'!C150</f>
        <v>650003</v>
      </c>
      <c r="D1220" s="406">
        <f si="25" t="shared"/>
        <v>0</v>
      </c>
      <c r="S1220" s="406" t="s">
        <v>2991</v>
      </c>
      <c r="T1220" s="406">
        <v>650003</v>
      </c>
    </row>
    <row r="1221" spans="1:20">
      <c r="A1221" s="406" t="s">
        <v>2991</v>
      </c>
      <c r="B1221" s="406">
        <v>650004</v>
      </c>
      <c r="C1221" s="406">
        <f>'20.TGT1'!C151</f>
        <v>650004</v>
      </c>
      <c r="D1221" s="406">
        <f si="25" t="shared"/>
        <v>0</v>
      </c>
      <c r="S1221" s="406" t="s">
        <v>2991</v>
      </c>
      <c r="T1221" s="406">
        <v>650004</v>
      </c>
    </row>
    <row r="1222" spans="1:20">
      <c r="A1222" s="406" t="s">
        <v>2991</v>
      </c>
      <c r="B1222" s="406">
        <v>650005</v>
      </c>
      <c r="C1222" s="406">
        <f>'20.TGT1'!C152</f>
        <v>650005</v>
      </c>
      <c r="D1222" s="406">
        <f si="25" t="shared"/>
        <v>0</v>
      </c>
      <c r="S1222" s="406" t="s">
        <v>2991</v>
      </c>
      <c r="T1222" s="406">
        <v>650005</v>
      </c>
    </row>
    <row r="1223" spans="1:20">
      <c r="A1223" s="406" t="s">
        <v>2991</v>
      </c>
      <c r="B1223" s="406">
        <v>650006</v>
      </c>
      <c r="C1223" s="406">
        <f>'20.TGT1'!C153</f>
        <v>650006</v>
      </c>
      <c r="D1223" s="406">
        <f si="25" t="shared"/>
        <v>0</v>
      </c>
      <c r="S1223" s="406" t="s">
        <v>2991</v>
      </c>
      <c r="T1223" s="406">
        <v>650006</v>
      </c>
    </row>
    <row r="1224" spans="1:20">
      <c r="A1224" s="406" t="s">
        <v>2991</v>
      </c>
      <c r="B1224" s="406">
        <v>650007</v>
      </c>
      <c r="C1224" s="406">
        <f>'20.TGT1'!C154</f>
        <v>650007</v>
      </c>
      <c r="D1224" s="406">
        <f si="25" t="shared"/>
        <v>0</v>
      </c>
      <c r="S1224" s="406" t="s">
        <v>2991</v>
      </c>
      <c r="T1224" s="406">
        <v>650007</v>
      </c>
    </row>
    <row r="1225" spans="1:20">
      <c r="A1225" s="406" t="s">
        <v>2991</v>
      </c>
      <c r="B1225" s="406">
        <v>650008</v>
      </c>
      <c r="C1225" s="406">
        <f>'20.TGT1'!C155</f>
        <v>650008</v>
      </c>
      <c r="D1225" s="406">
        <f si="25" t="shared"/>
        <v>0</v>
      </c>
      <c r="S1225" s="406" t="s">
        <v>2991</v>
      </c>
      <c r="T1225" s="406">
        <v>650008</v>
      </c>
    </row>
    <row r="1226" spans="1:20">
      <c r="A1226" s="406" t="s">
        <v>2991</v>
      </c>
      <c r="B1226" s="406">
        <v>650009</v>
      </c>
      <c r="C1226" s="406">
        <f>'20.TGT1'!C156</f>
        <v>650009</v>
      </c>
      <c r="D1226" s="406">
        <f si="25" t="shared"/>
        <v>0</v>
      </c>
      <c r="S1226" s="406" t="s">
        <v>2991</v>
      </c>
      <c r="T1226" s="406">
        <v>650009</v>
      </c>
    </row>
    <row r="1227" spans="1:20">
      <c r="A1227" s="406" t="s">
        <v>2991</v>
      </c>
      <c r="B1227" s="406">
        <v>650010</v>
      </c>
      <c r="C1227" s="406">
        <f>'20.TGT1'!C157</f>
        <v>650010</v>
      </c>
      <c r="D1227" s="406">
        <f ref="D1227:D1228" si="26" t="shared">IF(VALUE(B1227)=VALUE(C1227),0,1)</f>
        <v>0</v>
      </c>
      <c r="S1227" s="406" t="s">
        <v>2991</v>
      </c>
      <c r="T1227" s="406">
        <v>650010</v>
      </c>
    </row>
    <row r="1228" spans="1:20">
      <c r="A1228" s="406" t="s">
        <v>2991</v>
      </c>
      <c r="B1228" s="406">
        <v>650011</v>
      </c>
      <c r="C1228" s="406">
        <f>'20.TGT1'!C158</f>
        <v>650011</v>
      </c>
      <c r="D1228" s="406">
        <f si="26" t="shared"/>
        <v>0</v>
      </c>
      <c r="S1228" s="406" t="s">
        <v>2991</v>
      </c>
      <c r="T1228" s="406">
        <v>650011</v>
      </c>
    </row>
    <row r="1229" spans="1:20">
      <c r="A1229" s="406" t="s">
        <v>2992</v>
      </c>
      <c r="S1229" s="406" t="s">
        <v>2992</v>
      </c>
      <c r="T1229" s="406">
        <v>0</v>
      </c>
    </row>
  </sheetData>
  <autoFilter ref="A1:D1229"/>
  <pageMargins bottom="0.75" footer="0.3" header="0.3" left="0.7" right="0.7" top="0.75"/>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K1671"/>
  <sheetViews>
    <sheetView workbookViewId="0" zoomScale="85" zoomScaleNormal="85">
      <pane activePane="bottomRight" state="frozen" topLeftCell="D3" xSplit="3" ySplit="2"/>
      <selection activeCell="D1" pane="topRight" sqref="D1"/>
      <selection activeCell="A3" pane="bottomLeft" sqref="A3"/>
      <selection pane="bottomRight" sqref="A1:XFD1048576"/>
    </sheetView>
  </sheetViews>
  <sheetFormatPr defaultRowHeight="12.75"/>
  <cols>
    <col min="1" max="1" customWidth="true" style="406" width="10.7109375" collapsed="true"/>
    <col min="2" max="2" customWidth="true" style="406" width="12.140625" collapsed="true"/>
    <col min="3" max="3" customWidth="true" style="406" width="37.5703125" collapsed="false"/>
    <col min="4" max="4" customWidth="true" style="1547" width="21.140625" collapsed="false"/>
    <col min="5" max="5" customWidth="true" style="410" width="25.0" collapsed="true"/>
    <col min="6" max="6" bestFit="true" customWidth="true" style="671" width="27.7109375" collapsed="false"/>
    <col min="7" max="7" customWidth="true" style="406" width="21.5703125" collapsed="true"/>
    <col min="8" max="8" customWidth="true" style="1554" width="24.0" collapsed="true"/>
    <col min="9" max="9" customWidth="true" style="1484" width="10.7109375" collapsed="true"/>
    <col min="10" max="10" customWidth="true" style="1484" width="12.140625" collapsed="true"/>
    <col min="11" max="11" customWidth="true" style="1484" width="37.5703125" collapsed="false"/>
    <col min="12" max="12" bestFit="true" customWidth="true" style="1484" width="16.0" collapsed="false"/>
    <col min="13" max="13" customWidth="true" style="410" width="22.85546875" collapsed="true"/>
    <col min="14" max="14" customWidth="true" style="410" width="22.85546875" collapsed="false"/>
    <col min="15" max="15" bestFit="true" customWidth="true" style="410" width="28.7109375" collapsed="true"/>
    <col min="16" max="16" customWidth="true" style="1120" width="21.85546875" collapsed="true"/>
    <col min="17" max="17" customWidth="true" style="406" width="30.5703125" collapsed="true"/>
    <col min="18" max="18" customWidth="true" style="406" width="21.140625" collapsed="true"/>
    <col min="19" max="19" customWidth="true" style="406" width="19.28515625" collapsed="true"/>
    <col min="20" max="20" customWidth="true" style="406" width="17.140625" collapsed="true"/>
    <col min="21" max="21" customWidth="true" style="406" width="19.5703125" collapsed="true"/>
    <col min="22" max="22" customWidth="true" style="406" width="22.85546875" collapsed="true"/>
    <col min="23" max="23" customWidth="true" style="406" width="10.7109375" collapsed="true"/>
    <col min="24" max="24" customWidth="true" style="406" width="12.140625" collapsed="true"/>
    <col min="25" max="25" customWidth="true" style="406" width="28.0" collapsed="false"/>
    <col min="26" max="27" style="406" width="9.140625" collapsed="true"/>
    <col min="28" max="28" bestFit="true" customWidth="true" style="406" width="30.28515625" collapsed="true"/>
    <col min="29" max="29" bestFit="true" customWidth="true" style="406" width="56.7109375" collapsed="true"/>
    <col min="30" max="30" bestFit="true" customWidth="true" style="406" width="57.7109375" collapsed="true"/>
    <col min="31" max="31" customWidth="true" style="406" width="15.28515625" collapsed="false"/>
    <col min="32" max="32" customWidth="true" style="406" width="18.42578125" collapsed="false"/>
    <col min="33" max="34" customWidth="true" style="406" width="25.140625" collapsed="false"/>
    <col min="35" max="35" customWidth="true" style="406" width="30.7109375" collapsed="false"/>
    <col min="36" max="36" customWidth="true" style="406" width="77.140625" collapsed="true"/>
    <col min="37" max="37" customWidth="true" style="893" width="73.7109375" collapsed="true"/>
    <col min="38" max="16384" style="406" width="9.140625" collapsed="true"/>
  </cols>
  <sheetData>
    <row customFormat="1" customHeight="1" ht="31.5" r="1" s="1520" spans="4:31">
      <c r="D1" s="1121"/>
      <c r="E1" s="1555"/>
      <c r="F1" s="1121"/>
      <c r="G1" s="920"/>
      <c r="H1" s="1121"/>
      <c r="Q1" s="1121"/>
      <c r="R1" s="920"/>
      <c r="AE1" s="920"/>
    </row>
    <row customFormat="1" r="2" s="1548" spans="4:31">
      <c r="D2" s="1544"/>
      <c r="E2" s="665"/>
      <c r="F2" s="1556"/>
      <c r="G2" s="665"/>
      <c r="H2" s="1553"/>
      <c r="Q2" s="665"/>
      <c r="Y2" s="1541"/>
    </row>
    <row customFormat="1" r="3" s="1548" spans="4:31">
      <c r="D3" s="1544"/>
      <c r="E3" s="665"/>
      <c r="F3" s="1556"/>
      <c r="G3" s="665"/>
      <c r="H3" s="1553"/>
      <c r="Q3" s="665"/>
      <c r="Y3" s="1541"/>
    </row>
    <row customFormat="1" r="4" s="1548" spans="4:31">
      <c r="D4" s="1544"/>
      <c r="E4" s="665"/>
      <c r="F4" s="1556"/>
      <c r="G4" s="665"/>
      <c r="H4" s="1553"/>
      <c r="Q4" s="665"/>
      <c r="Y4" s="1541"/>
    </row>
    <row customFormat="1" r="5" s="1548" spans="4:31">
      <c r="D5" s="1544"/>
      <c r="E5" s="665"/>
      <c r="F5" s="1556"/>
      <c r="G5" s="665"/>
      <c r="H5" s="1553"/>
      <c r="Q5" s="665"/>
      <c r="Y5" s="1541"/>
    </row>
    <row customFormat="1" r="6" s="1548" spans="4:31">
      <c r="D6" s="1544"/>
      <c r="E6" s="665"/>
      <c r="F6" s="1556"/>
      <c r="G6" s="665"/>
      <c r="H6" s="1553"/>
      <c r="Q6" s="665"/>
      <c r="Y6" s="1541"/>
    </row>
    <row customFormat="1" r="7" s="1548" spans="4:31">
      <c r="D7" s="1544"/>
      <c r="E7" s="665"/>
      <c r="F7" s="1556"/>
      <c r="G7" s="665"/>
      <c r="H7" s="1553"/>
      <c r="Q7" s="665"/>
      <c r="Y7" s="1541"/>
    </row>
    <row customFormat="1" r="8" s="1548" spans="4:31">
      <c r="D8" s="1544"/>
      <c r="E8" s="665"/>
      <c r="F8" s="1556"/>
      <c r="G8" s="665"/>
      <c r="H8" s="1553"/>
      <c r="Q8" s="665"/>
      <c r="Y8" s="1541"/>
    </row>
    <row customFormat="1" r="9" s="1548" spans="4:31">
      <c r="D9" s="1544"/>
      <c r="E9" s="665"/>
      <c r="F9" s="1556"/>
      <c r="G9" s="665"/>
      <c r="H9" s="1553"/>
      <c r="Q9" s="665"/>
      <c r="Y9" s="1541"/>
    </row>
    <row customFormat="1" r="10" s="1548" spans="4:31">
      <c r="D10" s="1544"/>
      <c r="E10" s="665"/>
      <c r="F10" s="1556"/>
      <c r="G10" s="665"/>
      <c r="H10" s="1553"/>
      <c r="Q10" s="665"/>
      <c r="Y10" s="1541"/>
    </row>
    <row customFormat="1" r="11" s="1548" spans="4:31">
      <c r="D11" s="1544"/>
      <c r="E11" s="665"/>
      <c r="F11" s="1556"/>
      <c r="G11" s="665"/>
      <c r="H11" s="1553"/>
      <c r="Q11" s="665"/>
      <c r="Y11" s="1541"/>
    </row>
    <row customFormat="1" r="12" s="1548" spans="4:31">
      <c r="D12" s="1544"/>
      <c r="E12" s="665"/>
      <c r="F12" s="1556"/>
      <c r="G12" s="665"/>
      <c r="H12" s="1553"/>
      <c r="Q12" s="665"/>
      <c r="Y12" s="1541"/>
    </row>
    <row customFormat="1" r="13" s="1548" spans="4:31">
      <c r="D13" s="1544"/>
      <c r="E13" s="665"/>
      <c r="F13" s="1556"/>
      <c r="G13" s="665"/>
      <c r="H13" s="1553"/>
      <c r="Q13" s="665"/>
      <c r="Y13" s="1541"/>
    </row>
    <row customFormat="1" r="14" s="1548" spans="4:31">
      <c r="D14" s="1544"/>
      <c r="E14" s="665"/>
      <c r="F14" s="1556"/>
      <c r="G14" s="665"/>
      <c r="H14" s="1553"/>
      <c r="Q14" s="665"/>
      <c r="Y14" s="1541"/>
    </row>
    <row customFormat="1" r="15" s="1548" spans="4:31">
      <c r="D15" s="1544"/>
      <c r="E15" s="665"/>
      <c r="F15" s="1556"/>
      <c r="G15" s="665"/>
      <c r="H15" s="1553"/>
      <c r="Q15" s="665"/>
      <c r="Y15" s="1541"/>
    </row>
    <row customFormat="1" r="16" s="1548" spans="4:31">
      <c r="D16" s="1544"/>
      <c r="E16" s="665"/>
      <c r="F16" s="1556"/>
      <c r="G16" s="665"/>
      <c r="H16" s="1553"/>
      <c r="Q16" s="665"/>
      <c r="Y16" s="1541"/>
    </row>
    <row customFormat="1" r="17" s="1548" spans="4:25">
      <c r="D17" s="1544"/>
      <c r="E17" s="665"/>
      <c r="F17" s="1556"/>
      <c r="G17" s="665"/>
      <c r="H17" s="1553"/>
      <c r="Q17" s="665"/>
      <c r="Y17" s="1541"/>
    </row>
    <row customFormat="1" r="18" s="1548" spans="4:25">
      <c r="D18" s="1544"/>
      <c r="E18" s="665"/>
      <c r="F18" s="1556"/>
      <c r="G18" s="665"/>
      <c r="H18" s="1553"/>
      <c r="Q18" s="665"/>
      <c r="Y18" s="1541"/>
    </row>
    <row customFormat="1" r="19" s="1548" spans="4:25">
      <c r="D19" s="1544"/>
      <c r="E19" s="665"/>
      <c r="F19" s="1556"/>
      <c r="G19" s="665"/>
      <c r="H19" s="1553"/>
      <c r="Q19" s="665"/>
      <c r="Y19" s="1541"/>
    </row>
    <row customFormat="1" r="20" s="1548" spans="4:25">
      <c r="D20" s="1544"/>
      <c r="E20" s="665"/>
      <c r="F20" s="1556"/>
      <c r="G20" s="665"/>
      <c r="H20" s="1553"/>
      <c r="Q20" s="665"/>
      <c r="Y20" s="1541"/>
    </row>
    <row customFormat="1" r="21" s="1548" spans="4:25">
      <c r="D21" s="1544"/>
      <c r="E21" s="665"/>
      <c r="F21" s="1556"/>
      <c r="G21" s="665"/>
      <c r="H21" s="1553"/>
      <c r="Q21" s="665"/>
      <c r="Y21" s="1541"/>
    </row>
    <row customFormat="1" r="22" s="1548" spans="4:25">
      <c r="D22" s="1544"/>
      <c r="E22" s="665"/>
      <c r="F22" s="1556"/>
      <c r="G22" s="665"/>
      <c r="H22" s="1553"/>
      <c r="Q22" s="665"/>
      <c r="Y22" s="1541"/>
    </row>
    <row customFormat="1" r="23" s="1548" spans="4:25">
      <c r="D23" s="1544"/>
      <c r="E23" s="665"/>
      <c r="F23" s="1556"/>
      <c r="G23" s="665"/>
      <c r="H23" s="1553"/>
      <c r="Q23" s="665"/>
      <c r="Y23" s="1541"/>
    </row>
    <row customFormat="1" r="24" s="1548" spans="4:25">
      <c r="D24" s="1544"/>
      <c r="E24" s="665"/>
      <c r="F24" s="1556"/>
      <c r="G24" s="665"/>
      <c r="H24" s="1553"/>
      <c r="Q24" s="665"/>
      <c r="Y24" s="1541"/>
    </row>
    <row customFormat="1" r="25" s="1548" spans="4:25">
      <c r="D25" s="1544"/>
      <c r="E25" s="665"/>
      <c r="F25" s="1556"/>
      <c r="G25" s="665"/>
      <c r="H25" s="1553"/>
      <c r="Q25" s="665"/>
      <c r="Y25" s="1541"/>
    </row>
    <row customFormat="1" r="26" s="1548" spans="4:25">
      <c r="D26" s="1544"/>
      <c r="E26" s="665"/>
      <c r="F26" s="1556"/>
      <c r="G26" s="665"/>
      <c r="H26" s="1553"/>
      <c r="Q26" s="665"/>
      <c r="Y26" s="1541"/>
    </row>
    <row customFormat="1" r="27" s="1548" spans="4:25">
      <c r="D27" s="1544"/>
      <c r="E27" s="665"/>
      <c r="F27" s="1556"/>
      <c r="G27" s="665"/>
      <c r="H27" s="1553"/>
      <c r="Q27" s="665"/>
      <c r="Y27" s="1541"/>
    </row>
    <row customFormat="1" r="28" s="1548" spans="4:25">
      <c r="D28" s="1544"/>
      <c r="E28" s="665"/>
      <c r="F28" s="1556"/>
      <c r="G28" s="665"/>
      <c r="H28" s="1553"/>
      <c r="Q28" s="665"/>
      <c r="Y28" s="1541"/>
    </row>
    <row customFormat="1" r="29" s="1548" spans="4:25">
      <c r="D29" s="1544"/>
      <c r="E29" s="665"/>
      <c r="F29" s="1556"/>
      <c r="G29" s="665"/>
      <c r="H29" s="1553"/>
      <c r="Q29" s="665"/>
      <c r="Y29" s="1541"/>
    </row>
    <row customFormat="1" r="30" s="1548" spans="4:25">
      <c r="D30" s="1544"/>
      <c r="E30" s="665"/>
      <c r="F30" s="1556"/>
      <c r="G30" s="665"/>
      <c r="H30" s="1553"/>
      <c r="Q30" s="665"/>
      <c r="Y30" s="1541"/>
    </row>
    <row customFormat="1" r="31" s="1548" spans="4:25">
      <c r="D31" s="1544"/>
      <c r="E31" s="665"/>
      <c r="F31" s="1556"/>
      <c r="G31" s="665"/>
      <c r="H31" s="1553"/>
      <c r="Q31" s="665"/>
      <c r="Y31" s="1541"/>
    </row>
    <row customFormat="1" r="32" s="1548" spans="4:25">
      <c r="D32" s="1544"/>
      <c r="E32" s="665"/>
      <c r="F32" s="1556"/>
      <c r="G32" s="665"/>
      <c r="H32" s="1553"/>
      <c r="Q32" s="665"/>
      <c r="Y32" s="1541"/>
    </row>
    <row customFormat="1" r="33" s="1548" spans="4:25">
      <c r="D33" s="1544"/>
      <c r="E33" s="665"/>
      <c r="F33" s="1556"/>
      <c r="G33" s="665"/>
      <c r="H33" s="1553"/>
      <c r="Q33" s="665"/>
      <c r="Y33" s="1541"/>
    </row>
    <row customFormat="1" r="34" s="1548" spans="4:25">
      <c r="D34" s="1544"/>
      <c r="E34" s="665"/>
      <c r="F34" s="1556"/>
      <c r="G34" s="665"/>
      <c r="H34" s="1553"/>
      <c r="Q34" s="665"/>
      <c r="Y34" s="1541"/>
    </row>
    <row customFormat="1" r="35" s="1548" spans="4:25">
      <c r="D35" s="1544"/>
      <c r="E35" s="665"/>
      <c r="F35" s="1556"/>
      <c r="G35" s="665"/>
      <c r="H35" s="1553"/>
      <c r="Q35" s="665"/>
      <c r="Y35" s="1541"/>
    </row>
    <row customFormat="1" r="36" s="1548" spans="4:25">
      <c r="D36" s="1544"/>
      <c r="E36" s="665"/>
      <c r="F36" s="1556"/>
      <c r="G36" s="665"/>
      <c r="H36" s="1553"/>
      <c r="Q36" s="665"/>
      <c r="Y36" s="1541"/>
    </row>
    <row customFormat="1" r="37" s="1548" spans="4:25">
      <c r="D37" s="1544"/>
      <c r="E37" s="665"/>
      <c r="F37" s="1556"/>
      <c r="G37" s="665"/>
      <c r="H37" s="1553"/>
      <c r="Q37" s="665"/>
      <c r="Y37" s="1541"/>
    </row>
    <row customFormat="1" r="38" s="1548" spans="4:25">
      <c r="D38" s="1544"/>
      <c r="E38" s="665"/>
      <c r="F38" s="1556"/>
      <c r="G38" s="665"/>
      <c r="H38" s="1553"/>
      <c r="Q38" s="665"/>
      <c r="Y38" s="1541"/>
    </row>
    <row customFormat="1" r="39" s="1548" spans="4:25">
      <c r="D39" s="1544"/>
      <c r="E39" s="665"/>
      <c r="F39" s="1556"/>
      <c r="G39" s="665"/>
      <c r="H39" s="1553"/>
      <c r="Q39" s="665"/>
      <c r="Y39" s="1541"/>
    </row>
    <row customFormat="1" r="40" s="1548" spans="4:25">
      <c r="D40" s="1544"/>
      <c r="E40" s="665"/>
      <c r="F40" s="1556"/>
      <c r="G40" s="665"/>
      <c r="H40" s="1553"/>
      <c r="Q40" s="665"/>
      <c r="Y40" s="1541"/>
    </row>
    <row customFormat="1" r="41" s="1548" spans="4:25">
      <c r="D41" s="1544"/>
      <c r="E41" s="665"/>
      <c r="F41" s="1556"/>
      <c r="G41" s="665"/>
      <c r="H41" s="1553"/>
      <c r="Q41" s="665"/>
      <c r="Y41" s="1541"/>
    </row>
    <row customFormat="1" r="42" s="1548" spans="4:25">
      <c r="D42" s="1544"/>
      <c r="E42" s="665"/>
      <c r="F42" s="1556"/>
      <c r="G42" s="665"/>
      <c r="H42" s="1553"/>
      <c r="Q42" s="665"/>
      <c r="Y42" s="1541"/>
    </row>
    <row customFormat="1" r="43" s="1548" spans="4:25">
      <c r="D43" s="1544"/>
      <c r="E43" s="665"/>
      <c r="F43" s="1556"/>
      <c r="G43" s="665"/>
      <c r="H43" s="1553"/>
      <c r="Q43" s="665"/>
      <c r="Y43" s="1541"/>
    </row>
    <row customFormat="1" r="44" s="1548" spans="4:25">
      <c r="D44" s="1544"/>
      <c r="E44" s="665"/>
      <c r="F44" s="1556"/>
      <c r="G44" s="665"/>
      <c r="H44" s="1553"/>
      <c r="Q44" s="665"/>
      <c r="Y44" s="1541"/>
    </row>
    <row customFormat="1" r="45" s="1548" spans="4:25">
      <c r="D45" s="1544"/>
      <c r="E45" s="665"/>
      <c r="F45" s="1556"/>
      <c r="G45" s="665"/>
      <c r="H45" s="1553"/>
      <c r="Q45" s="665"/>
      <c r="Y45" s="1541"/>
    </row>
    <row customFormat="1" r="46" s="1548" spans="4:25">
      <c r="D46" s="1544"/>
      <c r="E46" s="665"/>
      <c r="F46" s="1556"/>
      <c r="G46" s="665"/>
      <c r="H46" s="1553"/>
      <c r="Q46" s="665"/>
      <c r="Y46" s="1541"/>
    </row>
    <row customFormat="1" r="47" s="1548" spans="4:25">
      <c r="D47" s="1544"/>
      <c r="E47" s="665"/>
      <c r="F47" s="1556"/>
      <c r="G47" s="665"/>
      <c r="H47" s="1553"/>
      <c r="Q47" s="665"/>
      <c r="Y47" s="1541"/>
    </row>
    <row customFormat="1" r="48" s="1548" spans="4:25">
      <c r="D48" s="1544"/>
      <c r="E48" s="665"/>
      <c r="F48" s="1556"/>
      <c r="G48" s="665"/>
      <c r="H48" s="1553"/>
      <c r="Q48" s="665"/>
      <c r="Y48" s="1541"/>
    </row>
    <row customFormat="1" r="49" s="1548" spans="4:25">
      <c r="D49" s="1544"/>
      <c r="E49" s="665"/>
      <c r="F49" s="1556"/>
      <c r="G49" s="665"/>
      <c r="H49" s="1553"/>
      <c r="Q49" s="665"/>
      <c r="Y49" s="1541"/>
    </row>
    <row customFormat="1" r="50" s="1548" spans="4:25">
      <c r="D50" s="1544"/>
      <c r="E50" s="665"/>
      <c r="F50" s="1556"/>
      <c r="G50" s="665"/>
      <c r="H50" s="1553"/>
      <c r="Q50" s="665"/>
      <c r="Y50" s="1541"/>
    </row>
    <row customFormat="1" r="51" s="1548" spans="4:25">
      <c r="D51" s="1544"/>
      <c r="E51" s="665"/>
      <c r="F51" s="1556"/>
      <c r="G51" s="665"/>
      <c r="H51" s="1553"/>
      <c r="Q51" s="665"/>
      <c r="Y51" s="1541"/>
    </row>
    <row customFormat="1" r="52" s="1548" spans="4:25">
      <c r="D52" s="1544"/>
      <c r="E52" s="665"/>
      <c r="F52" s="1556"/>
      <c r="G52" s="665"/>
      <c r="H52" s="1553"/>
      <c r="Q52" s="665"/>
      <c r="Y52" s="1541"/>
    </row>
    <row customFormat="1" r="53" s="1548" spans="4:25">
      <c r="D53" s="1544"/>
      <c r="E53" s="665"/>
      <c r="F53" s="1556"/>
      <c r="G53" s="665"/>
      <c r="H53" s="1553"/>
      <c r="Q53" s="665"/>
      <c r="Y53" s="1541"/>
    </row>
    <row customFormat="1" r="54" s="1548" spans="4:25">
      <c r="D54" s="1544"/>
      <c r="E54" s="665"/>
      <c r="F54" s="1556"/>
      <c r="G54" s="665"/>
      <c r="H54" s="1553"/>
      <c r="Q54" s="665"/>
      <c r="Y54" s="1541"/>
    </row>
    <row customFormat="1" r="55" s="1548" spans="4:25">
      <c r="D55" s="1544"/>
      <c r="E55" s="665"/>
      <c r="F55" s="1556"/>
      <c r="G55" s="665"/>
      <c r="H55" s="1553"/>
      <c r="Q55" s="665"/>
      <c r="Y55" s="1541"/>
    </row>
    <row customFormat="1" r="56" s="1548" spans="4:25">
      <c r="D56" s="1544"/>
      <c r="E56" s="665"/>
      <c r="F56" s="1556"/>
      <c r="G56" s="665"/>
      <c r="H56" s="1553"/>
      <c r="Q56" s="665"/>
      <c r="Y56" s="1541"/>
    </row>
    <row customFormat="1" r="57" s="1548" spans="4:25">
      <c r="D57" s="1544"/>
      <c r="E57" s="665"/>
      <c r="F57" s="1556"/>
      <c r="G57" s="665"/>
      <c r="H57" s="1553"/>
      <c r="Q57" s="665"/>
      <c r="Y57" s="1541"/>
    </row>
    <row customFormat="1" r="58" s="1548" spans="4:25">
      <c r="D58" s="1544"/>
      <c r="E58" s="665"/>
      <c r="F58" s="1556"/>
      <c r="G58" s="665"/>
      <c r="H58" s="1553"/>
      <c r="Q58" s="665"/>
      <c r="Y58" s="1541"/>
    </row>
    <row customFormat="1" r="59" s="1548" spans="4:25">
      <c r="D59" s="1544"/>
      <c r="E59" s="665"/>
      <c r="F59" s="1556"/>
      <c r="G59" s="665"/>
      <c r="H59" s="1553"/>
      <c r="Q59" s="665"/>
      <c r="Y59" s="1541"/>
    </row>
    <row customFormat="1" r="60" s="1548" spans="4:25">
      <c r="D60" s="1544"/>
      <c r="E60" s="665"/>
      <c r="F60" s="1556"/>
      <c r="G60" s="665"/>
      <c r="H60" s="1553"/>
      <c r="Q60" s="665"/>
      <c r="Y60" s="1541"/>
    </row>
    <row customFormat="1" r="61" s="1548" spans="4:25">
      <c r="D61" s="1544"/>
      <c r="E61" s="665"/>
      <c r="F61" s="1556"/>
      <c r="G61" s="665"/>
      <c r="H61" s="1553"/>
      <c r="Q61" s="665"/>
      <c r="Y61" s="1541"/>
    </row>
    <row customFormat="1" r="62" s="1548" spans="4:25">
      <c r="D62" s="1544"/>
      <c r="E62" s="665"/>
      <c r="F62" s="1556"/>
      <c r="G62" s="665"/>
      <c r="H62" s="1553"/>
      <c r="Q62" s="665"/>
      <c r="Y62" s="1541"/>
    </row>
    <row customFormat="1" r="63" s="1548" spans="4:25">
      <c r="D63" s="1544"/>
      <c r="E63" s="665"/>
      <c r="F63" s="1556"/>
      <c r="G63" s="665"/>
      <c r="H63" s="1553"/>
      <c r="Q63" s="665"/>
      <c r="Y63" s="1541"/>
    </row>
    <row customFormat="1" r="64" s="1539" spans="4:25">
      <c r="D64" s="1544"/>
      <c r="E64" s="665"/>
      <c r="F64" s="1556"/>
      <c r="G64" s="665"/>
      <c r="H64" s="1553"/>
      <c r="Q64" s="665"/>
      <c r="W64" s="1548"/>
      <c r="Y64" s="1541"/>
    </row>
    <row customFormat="1" r="65" s="1548" spans="4:25">
      <c r="D65" s="1544"/>
      <c r="E65" s="665"/>
      <c r="F65" s="1556"/>
      <c r="G65" s="665"/>
      <c r="H65" s="1553"/>
      <c r="Q65" s="665"/>
      <c r="Y65" s="1541"/>
    </row>
    <row customFormat="1" r="66" s="1548" spans="4:25">
      <c r="D66" s="1544"/>
      <c r="E66" s="665"/>
      <c r="F66" s="1556"/>
      <c r="G66" s="665"/>
      <c r="H66" s="1553"/>
      <c r="Q66" s="665"/>
      <c r="Y66" s="1541"/>
    </row>
    <row customFormat="1" r="67" s="1548" spans="4:25">
      <c r="D67" s="1544"/>
      <c r="E67" s="665"/>
      <c r="F67" s="1556"/>
      <c r="G67" s="665"/>
      <c r="H67" s="1553"/>
      <c r="Q67" s="665"/>
      <c r="Y67" s="1541"/>
    </row>
    <row customFormat="1" r="68" s="1539" spans="4:25">
      <c r="D68" s="1544"/>
      <c r="E68" s="665"/>
      <c r="F68" s="1556"/>
      <c r="G68" s="665"/>
      <c r="H68" s="1553"/>
      <c r="Q68" s="665"/>
      <c r="W68" s="1548"/>
      <c r="Y68" s="1541"/>
    </row>
    <row customFormat="1" r="69" s="1548" spans="4:25">
      <c r="D69" s="1544"/>
      <c r="E69" s="665"/>
      <c r="F69" s="1556"/>
      <c r="G69" s="665"/>
      <c r="H69" s="1553"/>
      <c r="Q69" s="665"/>
      <c r="Y69" s="1541"/>
    </row>
    <row customFormat="1" r="70" s="1548" spans="4:25">
      <c r="D70" s="1544"/>
      <c r="E70" s="665"/>
      <c r="F70" s="1556"/>
      <c r="G70" s="665"/>
      <c r="H70" s="1553"/>
      <c r="Q70" s="665"/>
      <c r="Y70" s="1541"/>
    </row>
    <row customFormat="1" r="71" s="1548" spans="4:25">
      <c r="D71" s="1544"/>
      <c r="E71" s="665"/>
      <c r="F71" s="1556"/>
      <c r="G71" s="665"/>
      <c r="H71" s="1553"/>
      <c r="Q71" s="665"/>
      <c r="Y71" s="1541"/>
    </row>
    <row customFormat="1" r="72" s="1539" spans="4:25">
      <c r="D72" s="1544"/>
      <c r="E72" s="665"/>
      <c r="F72" s="1556"/>
      <c r="G72" s="665"/>
      <c r="H72" s="1553"/>
      <c r="Q72" s="665"/>
      <c r="W72" s="1548"/>
      <c r="Y72" s="1541"/>
    </row>
    <row customFormat="1" r="73" s="1548" spans="4:25">
      <c r="D73" s="1544"/>
      <c r="E73" s="665"/>
      <c r="F73" s="1556"/>
      <c r="G73" s="665"/>
      <c r="H73" s="1553"/>
      <c r="Q73" s="665"/>
      <c r="Y73" s="1541"/>
    </row>
    <row customFormat="1" r="74" s="1548" spans="4:25">
      <c r="D74" s="1544"/>
      <c r="E74" s="665"/>
      <c r="F74" s="1556"/>
      <c r="G74" s="665"/>
      <c r="H74" s="1553"/>
      <c r="Q74" s="665"/>
      <c r="Y74" s="1541"/>
    </row>
    <row customFormat="1" r="75" s="1539" spans="4:25">
      <c r="D75" s="1544"/>
      <c r="E75" s="665"/>
      <c r="F75" s="1556"/>
      <c r="G75" s="665"/>
      <c r="H75" s="1553"/>
      <c r="Q75" s="665"/>
      <c r="W75" s="1548"/>
      <c r="Y75" s="1541"/>
    </row>
    <row customFormat="1" r="76" s="1548" spans="4:25">
      <c r="D76" s="1544"/>
      <c r="E76" s="665"/>
      <c r="F76" s="1556"/>
      <c r="G76" s="665"/>
      <c r="H76" s="1553"/>
      <c r="Q76" s="665"/>
      <c r="Y76" s="1541"/>
    </row>
    <row customFormat="1" r="77" s="1548" spans="4:25">
      <c r="D77" s="1544"/>
      <c r="E77" s="665"/>
      <c r="F77" s="1556"/>
      <c r="G77" s="665"/>
      <c r="H77" s="1553"/>
      <c r="Q77" s="665"/>
      <c r="Y77" s="1541"/>
    </row>
    <row customFormat="1" r="78" s="1548" spans="4:25">
      <c r="D78" s="1544"/>
      <c r="E78" s="665"/>
      <c r="F78" s="1556"/>
      <c r="G78" s="665"/>
      <c r="H78" s="1553"/>
      <c r="Q78" s="665"/>
      <c r="Y78" s="1541"/>
    </row>
    <row customFormat="1" r="79" s="1548" spans="4:25">
      <c r="D79" s="1544"/>
      <c r="E79" s="665"/>
      <c r="F79" s="1556"/>
      <c r="G79" s="665"/>
      <c r="H79" s="1553"/>
      <c r="Q79" s="665"/>
      <c r="Y79" s="1541"/>
    </row>
    <row customFormat="1" r="80" s="1548" spans="4:25">
      <c r="D80" s="1544"/>
      <c r="E80" s="665"/>
      <c r="F80" s="1556"/>
      <c r="G80" s="665"/>
      <c r="H80" s="1553"/>
      <c r="Q80" s="665"/>
      <c r="Y80" s="1541"/>
    </row>
    <row customFormat="1" r="81" s="1548" spans="4:25">
      <c r="D81" s="1544"/>
      <c r="E81" s="665"/>
      <c r="F81" s="1556"/>
      <c r="G81" s="665"/>
      <c r="H81" s="1553"/>
      <c r="Q81" s="665"/>
      <c r="Y81" s="1541"/>
    </row>
    <row customFormat="1" r="82" s="1548" spans="4:25">
      <c r="D82" s="1544"/>
      <c r="E82" s="665"/>
      <c r="F82" s="1556"/>
      <c r="G82" s="665"/>
      <c r="H82" s="1553"/>
      <c r="Q82" s="665"/>
      <c r="Y82" s="1541"/>
    </row>
    <row customFormat="1" r="83" s="1548" spans="4:25">
      <c r="D83" s="1544"/>
      <c r="E83" s="665"/>
      <c r="F83" s="1556"/>
      <c r="G83" s="665"/>
      <c r="H83" s="1553"/>
      <c r="Q83" s="665"/>
      <c r="Y83" s="1541"/>
    </row>
    <row customFormat="1" r="84" s="1548" spans="4:25">
      <c r="D84" s="1544"/>
      <c r="E84" s="665"/>
      <c r="F84" s="1556"/>
      <c r="G84" s="665"/>
      <c r="H84" s="1553"/>
      <c r="Q84" s="665"/>
      <c r="Y84" s="1541"/>
    </row>
    <row customFormat="1" r="85" s="1548" spans="4:25">
      <c r="D85" s="1544"/>
      <c r="E85" s="665"/>
      <c r="F85" s="1556"/>
      <c r="G85" s="665"/>
      <c r="H85" s="1553"/>
      <c r="Q85" s="665"/>
      <c r="Y85" s="1541"/>
    </row>
    <row customFormat="1" r="86" s="1548" spans="4:25">
      <c r="D86" s="1544"/>
      <c r="E86" s="665"/>
      <c r="F86" s="1556"/>
      <c r="G86" s="665"/>
      <c r="H86" s="1553"/>
      <c r="Q86" s="665"/>
      <c r="Y86" s="1541"/>
    </row>
    <row customFormat="1" r="87" s="1548" spans="4:25">
      <c r="D87" s="1544"/>
      <c r="E87" s="665"/>
      <c r="F87" s="1556"/>
      <c r="G87" s="665"/>
      <c r="H87" s="1553"/>
      <c r="Q87" s="665"/>
      <c r="Y87" s="1541"/>
    </row>
    <row customFormat="1" r="88" s="1548" spans="4:25">
      <c r="D88" s="1544"/>
      <c r="E88" s="665"/>
      <c r="F88" s="1556"/>
      <c r="G88" s="665"/>
      <c r="H88" s="1553"/>
      <c r="Q88" s="665"/>
      <c r="Y88" s="1541"/>
    </row>
    <row customFormat="1" r="89" s="1548" spans="4:25">
      <c r="D89" s="1544"/>
      <c r="E89" s="665"/>
      <c r="F89" s="1556"/>
      <c r="G89" s="665"/>
      <c r="H89" s="1553"/>
      <c r="Q89" s="665"/>
      <c r="Y89" s="1541"/>
    </row>
    <row customFormat="1" r="90" s="1548" spans="4:25">
      <c r="D90" s="1544"/>
      <c r="E90" s="665"/>
      <c r="F90" s="1556"/>
      <c r="G90" s="665"/>
      <c r="H90" s="1553"/>
      <c r="Q90" s="665"/>
      <c r="Y90" s="1541"/>
    </row>
    <row customFormat="1" r="91" s="1548" spans="4:25">
      <c r="D91" s="1544"/>
      <c r="E91" s="665"/>
      <c r="F91" s="1556"/>
      <c r="G91" s="665"/>
      <c r="H91" s="1553"/>
      <c r="Q91" s="665"/>
      <c r="Y91" s="1541"/>
    </row>
    <row customFormat="1" r="92" s="1548" spans="4:25">
      <c r="D92" s="1544"/>
      <c r="E92" s="665"/>
      <c r="F92" s="1556"/>
      <c r="G92" s="665"/>
      <c r="H92" s="1553"/>
      <c r="Q92" s="665"/>
      <c r="Y92" s="1541"/>
    </row>
    <row customFormat="1" r="93" s="1548" spans="4:25">
      <c r="D93" s="1544"/>
      <c r="E93" s="665"/>
      <c r="F93" s="1556"/>
      <c r="G93" s="665"/>
      <c r="H93" s="1553"/>
      <c r="Q93" s="665"/>
      <c r="Y93" s="1541"/>
    </row>
    <row customFormat="1" r="94" s="1548" spans="4:25">
      <c r="D94" s="1544"/>
      <c r="E94" s="665"/>
      <c r="F94" s="1556"/>
      <c r="G94" s="665"/>
      <c r="H94" s="1553"/>
      <c r="Q94" s="665"/>
      <c r="Y94" s="1541"/>
    </row>
    <row customFormat="1" r="95" s="1548" spans="4:25">
      <c r="D95" s="1544"/>
      <c r="E95" s="665"/>
      <c r="F95" s="1556"/>
      <c r="G95" s="665"/>
      <c r="H95" s="1553"/>
      <c r="Q95" s="665"/>
      <c r="Y95" s="1541"/>
    </row>
    <row customFormat="1" r="96" s="1548" spans="4:25">
      <c r="D96" s="1544"/>
      <c r="E96" s="665"/>
      <c r="F96" s="1556"/>
      <c r="G96" s="665"/>
      <c r="H96" s="1553"/>
      <c r="Q96" s="665"/>
      <c r="Y96" s="1541"/>
    </row>
    <row customFormat="1" r="97" s="1548" spans="4:25">
      <c r="D97" s="1544"/>
      <c r="E97" s="665"/>
      <c r="F97" s="1556"/>
      <c r="G97" s="665"/>
      <c r="H97" s="1553"/>
      <c r="Q97" s="665"/>
      <c r="Y97" s="1541"/>
    </row>
    <row customFormat="1" r="98" s="1548" spans="4:25">
      <c r="D98" s="1544"/>
      <c r="E98" s="665"/>
      <c r="F98" s="1556"/>
      <c r="G98" s="665"/>
      <c r="H98" s="1553"/>
      <c r="Q98" s="665"/>
      <c r="Y98" s="1541"/>
    </row>
    <row customFormat="1" r="99" s="1548" spans="4:25">
      <c r="D99" s="1544"/>
      <c r="E99" s="665"/>
      <c r="F99" s="1556"/>
      <c r="G99" s="665"/>
      <c r="H99" s="1553"/>
      <c r="Q99" s="665"/>
      <c r="Y99" s="1541"/>
    </row>
    <row customFormat="1" r="100" s="1548" spans="4:25">
      <c r="D100" s="1544"/>
      <c r="E100" s="665"/>
      <c r="F100" s="1556"/>
      <c r="G100" s="665"/>
      <c r="H100" s="1553"/>
      <c r="Q100" s="665"/>
      <c r="Y100" s="1541"/>
    </row>
    <row customFormat="1" r="101" s="1548" spans="4:25">
      <c r="D101" s="1544"/>
      <c r="E101" s="665"/>
      <c r="F101" s="1556"/>
      <c r="G101" s="665"/>
      <c r="H101" s="1553"/>
      <c r="Q101" s="665"/>
      <c r="Y101" s="1541"/>
    </row>
    <row customFormat="1" r="102" s="1548" spans="4:25">
      <c r="D102" s="1544"/>
      <c r="E102" s="665"/>
      <c r="F102" s="1556"/>
      <c r="G102" s="665"/>
      <c r="H102" s="1553"/>
      <c r="Q102" s="665"/>
      <c r="Y102" s="1541"/>
    </row>
    <row customFormat="1" r="103" s="1548" spans="4:25">
      <c r="D103" s="1544"/>
      <c r="E103" s="665"/>
      <c r="F103" s="1556"/>
      <c r="G103" s="665"/>
      <c r="H103" s="1553"/>
      <c r="Q103" s="665"/>
      <c r="Y103" s="1541"/>
    </row>
    <row customFormat="1" r="104" s="1548" spans="4:25">
      <c r="D104" s="1544"/>
      <c r="E104" s="665"/>
      <c r="F104" s="1556"/>
      <c r="G104" s="665"/>
      <c r="H104" s="1553"/>
      <c r="Q104" s="665"/>
      <c r="Y104" s="1541"/>
    </row>
    <row customFormat="1" r="105" s="1548" spans="4:25">
      <c r="D105" s="1544"/>
      <c r="E105" s="665"/>
      <c r="F105" s="1556"/>
      <c r="G105" s="665"/>
      <c r="H105" s="1553"/>
      <c r="Q105" s="665"/>
      <c r="Y105" s="1541"/>
    </row>
    <row customFormat="1" r="106" s="1548" spans="4:25">
      <c r="D106" s="1544"/>
      <c r="E106" s="665"/>
      <c r="F106" s="1556"/>
      <c r="G106" s="665"/>
      <c r="H106" s="1553"/>
      <c r="Q106" s="665"/>
      <c r="Y106" s="1541"/>
    </row>
    <row customFormat="1" r="107" s="1548" spans="4:25">
      <c r="D107" s="1544"/>
      <c r="E107" s="665"/>
      <c r="F107" s="1556"/>
      <c r="G107" s="665"/>
      <c r="H107" s="1553"/>
      <c r="Q107" s="665"/>
      <c r="Y107" s="1541"/>
    </row>
    <row customFormat="1" r="108" s="1548" spans="4:25">
      <c r="D108" s="1544"/>
      <c r="E108" s="665"/>
      <c r="F108" s="1556"/>
      <c r="G108" s="665"/>
      <c r="H108" s="1553"/>
      <c r="Q108" s="665"/>
      <c r="Y108" s="1541"/>
    </row>
    <row customFormat="1" r="109" s="1548" spans="4:25">
      <c r="D109" s="1544"/>
      <c r="E109" s="665"/>
      <c r="F109" s="1556"/>
      <c r="G109" s="665"/>
      <c r="H109" s="1553"/>
      <c r="Q109" s="665"/>
      <c r="Y109" s="1541"/>
    </row>
    <row customFormat="1" r="110" s="1548" spans="4:25">
      <c r="D110" s="1544"/>
      <c r="E110" s="665"/>
      <c r="F110" s="1556"/>
      <c r="G110" s="665"/>
      <c r="H110" s="1553"/>
      <c r="Q110" s="665"/>
      <c r="Y110" s="1541"/>
    </row>
    <row customFormat="1" r="111" s="1548" spans="4:25">
      <c r="D111" s="1544"/>
      <c r="E111" s="665"/>
      <c r="F111" s="1556"/>
      <c r="G111" s="665"/>
      <c r="H111" s="1553"/>
      <c r="Q111" s="665"/>
      <c r="Y111" s="1541"/>
    </row>
    <row customFormat="1" r="112" s="1548" spans="4:25">
      <c r="D112" s="1544"/>
      <c r="E112" s="665"/>
      <c r="F112" s="1556"/>
      <c r="G112" s="665"/>
      <c r="H112" s="1553"/>
      <c r="Q112" s="665"/>
      <c r="Y112" s="1541"/>
    </row>
    <row customFormat="1" r="113" s="1548" spans="4:25">
      <c r="D113" s="1544"/>
      <c r="E113" s="665"/>
      <c r="F113" s="1556"/>
      <c r="G113" s="665"/>
      <c r="H113" s="1553"/>
      <c r="Q113" s="665"/>
      <c r="Y113" s="1541"/>
    </row>
    <row customFormat="1" r="114" s="1548" spans="4:25">
      <c r="D114" s="1544"/>
      <c r="E114" s="665"/>
      <c r="F114" s="1556"/>
      <c r="G114" s="665"/>
      <c r="H114" s="1553"/>
      <c r="Q114" s="665"/>
      <c r="Y114" s="1541"/>
    </row>
    <row customFormat="1" r="115" s="1548" spans="4:25">
      <c r="D115" s="1544"/>
      <c r="E115" s="665"/>
      <c r="F115" s="1556"/>
      <c r="G115" s="665"/>
      <c r="H115" s="1553"/>
      <c r="Q115" s="665"/>
      <c r="Y115" s="1541"/>
    </row>
    <row customFormat="1" r="116" s="1548" spans="4:25">
      <c r="D116" s="1544"/>
      <c r="E116" s="665"/>
      <c r="F116" s="1556"/>
      <c r="G116" s="665"/>
      <c r="H116" s="1553"/>
      <c r="Q116" s="665"/>
      <c r="Y116" s="1541"/>
    </row>
    <row customFormat="1" r="117" s="1548" spans="4:25">
      <c r="D117" s="1544"/>
      <c r="E117" s="665"/>
      <c r="F117" s="1556"/>
      <c r="G117" s="665"/>
      <c r="H117" s="1553"/>
      <c r="Q117" s="665"/>
      <c r="Y117" s="1541"/>
    </row>
    <row customFormat="1" r="118" s="1548" spans="4:25">
      <c r="D118" s="1544"/>
      <c r="E118" s="665"/>
      <c r="F118" s="1556"/>
      <c r="G118" s="665"/>
      <c r="H118" s="1553"/>
      <c r="Q118" s="665"/>
      <c r="Y118" s="1541"/>
    </row>
    <row customFormat="1" r="119" s="1548" spans="4:25">
      <c r="D119" s="1544"/>
      <c r="E119" s="665"/>
      <c r="F119" s="1556"/>
      <c r="G119" s="665"/>
      <c r="H119" s="1553"/>
      <c r="Q119" s="665"/>
      <c r="Y119" s="1541"/>
    </row>
    <row customFormat="1" r="120" s="1548" spans="4:25">
      <c r="D120" s="1544"/>
      <c r="E120" s="665"/>
      <c r="F120" s="1556"/>
      <c r="G120" s="665"/>
      <c r="H120" s="1553"/>
      <c r="Q120" s="665"/>
      <c r="Y120" s="1541"/>
    </row>
    <row customFormat="1" r="121" s="1548" spans="4:25">
      <c r="D121" s="1544"/>
      <c r="E121" s="665"/>
      <c r="F121" s="1556"/>
      <c r="G121" s="665"/>
      <c r="H121" s="1553"/>
      <c r="Q121" s="665"/>
      <c r="Y121" s="1541"/>
    </row>
    <row customFormat="1" r="122" s="1548" spans="4:25">
      <c r="D122" s="1544"/>
      <c r="E122" s="665"/>
      <c r="F122" s="1556"/>
      <c r="G122" s="665"/>
      <c r="H122" s="1553"/>
      <c r="Q122" s="665"/>
      <c r="Y122" s="1541"/>
    </row>
    <row customFormat="1" r="123" s="1548" spans="4:25">
      <c r="D123" s="1544"/>
      <c r="E123" s="665"/>
      <c r="F123" s="1556"/>
      <c r="G123" s="665"/>
      <c r="H123" s="1553"/>
      <c r="Q123" s="665"/>
      <c r="Y123" s="1541"/>
    </row>
    <row customFormat="1" r="124" s="1548" spans="4:25">
      <c r="D124" s="1544"/>
      <c r="E124" s="665"/>
      <c r="F124" s="1556"/>
      <c r="G124" s="665"/>
      <c r="H124" s="1553"/>
      <c r="Q124" s="665"/>
      <c r="Y124" s="1541"/>
    </row>
    <row customFormat="1" r="125" s="1548" spans="4:25">
      <c r="D125" s="1544"/>
      <c r="E125" s="665"/>
      <c r="F125" s="1556"/>
      <c r="G125" s="665"/>
      <c r="H125" s="1553"/>
      <c r="Q125" s="665"/>
      <c r="Y125" s="1541"/>
    </row>
    <row customFormat="1" r="126" s="1548" spans="4:25">
      <c r="D126" s="1544"/>
      <c r="E126" s="665"/>
      <c r="F126" s="1556"/>
      <c r="G126" s="665"/>
      <c r="H126" s="1553"/>
      <c r="Q126" s="665"/>
      <c r="Y126" s="1541"/>
    </row>
    <row customFormat="1" r="127" s="1548" spans="4:25">
      <c r="D127" s="1544"/>
      <c r="E127" s="665"/>
      <c r="F127" s="1556"/>
      <c r="G127" s="665"/>
      <c r="H127" s="1553"/>
      <c r="Q127" s="665"/>
      <c r="Y127" s="1541"/>
    </row>
    <row customFormat="1" r="128" s="1548" spans="4:25">
      <c r="D128" s="1544"/>
      <c r="E128" s="665"/>
      <c r="F128" s="1556"/>
      <c r="G128" s="665"/>
      <c r="H128" s="1553"/>
      <c r="Q128" s="665"/>
      <c r="Y128" s="1541"/>
    </row>
    <row customFormat="1" r="129" s="1548" spans="4:25">
      <c r="D129" s="1544"/>
      <c r="E129" s="665"/>
      <c r="F129" s="1556"/>
      <c r="G129" s="665"/>
      <c r="H129" s="1553"/>
      <c r="Q129" s="665"/>
      <c r="Y129" s="1541"/>
    </row>
    <row customFormat="1" r="130" s="1548" spans="4:25">
      <c r="D130" s="1544"/>
      <c r="E130" s="665"/>
      <c r="F130" s="1556"/>
      <c r="G130" s="665"/>
      <c r="H130" s="1553"/>
      <c r="Q130" s="665"/>
      <c r="Y130" s="1541"/>
    </row>
    <row customFormat="1" r="131" s="1548" spans="4:25">
      <c r="D131" s="1544"/>
      <c r="E131" s="665"/>
      <c r="F131" s="1556"/>
      <c r="G131" s="665"/>
      <c r="H131" s="1553"/>
      <c r="Q131" s="665"/>
      <c r="Y131" s="1541"/>
    </row>
    <row customFormat="1" r="132" s="1548" spans="4:25">
      <c r="D132" s="1544"/>
      <c r="E132" s="665"/>
      <c r="F132" s="1556"/>
      <c r="G132" s="665"/>
      <c r="H132" s="1553"/>
      <c r="Q132" s="665"/>
      <c r="Y132" s="1541"/>
    </row>
    <row customFormat="1" r="133" s="1548" spans="4:25">
      <c r="D133" s="1544"/>
      <c r="E133" s="665"/>
      <c r="F133" s="1556"/>
      <c r="G133" s="665"/>
      <c r="H133" s="1553"/>
      <c r="Q133" s="665"/>
      <c r="Y133" s="1541"/>
    </row>
    <row customFormat="1" r="134" s="1548" spans="4:25">
      <c r="D134" s="1544"/>
      <c r="E134" s="665"/>
      <c r="F134" s="1556"/>
      <c r="G134" s="665"/>
      <c r="H134" s="1553"/>
      <c r="Q134" s="665"/>
      <c r="Y134" s="1541"/>
    </row>
    <row customFormat="1" r="135" s="1548" spans="4:25">
      <c r="D135" s="1544"/>
      <c r="E135" s="665"/>
      <c r="F135" s="1556"/>
      <c r="G135" s="665"/>
      <c r="H135" s="1553"/>
      <c r="Q135" s="665"/>
      <c r="Y135" s="1541"/>
    </row>
    <row customFormat="1" r="136" s="1548" spans="4:25">
      <c r="D136" s="1544"/>
      <c r="E136" s="665"/>
      <c r="F136" s="1556"/>
      <c r="G136" s="665"/>
      <c r="H136" s="1553"/>
      <c r="Q136" s="665"/>
      <c r="Y136" s="1541"/>
    </row>
    <row customFormat="1" r="137" s="1548" spans="4:25">
      <c r="D137" s="1544"/>
      <c r="E137" s="665"/>
      <c r="F137" s="1556"/>
      <c r="G137" s="665"/>
      <c r="H137" s="1553"/>
      <c r="Q137" s="665"/>
      <c r="Y137" s="1541"/>
    </row>
    <row customFormat="1" r="138" s="1548" spans="4:25">
      <c r="D138" s="1544"/>
      <c r="E138" s="665"/>
      <c r="F138" s="1556"/>
      <c r="G138" s="1549"/>
      <c r="H138" s="1553"/>
      <c r="Q138" s="665"/>
      <c r="Y138" s="1541"/>
    </row>
    <row customFormat="1" r="139" s="1548" spans="4:25">
      <c r="D139" s="1544"/>
      <c r="E139" s="665"/>
      <c r="F139" s="1556"/>
      <c r="G139" s="1550"/>
      <c r="H139" s="1553"/>
      <c r="Q139" s="665"/>
      <c r="Y139" s="1541"/>
    </row>
    <row customFormat="1" r="140" s="1548" spans="4:25">
      <c r="D140" s="1544"/>
      <c r="E140" s="665"/>
      <c r="F140" s="1556"/>
      <c r="G140" s="1551"/>
      <c r="H140" s="1553"/>
      <c r="Q140" s="665"/>
      <c r="Y140" s="1541"/>
    </row>
    <row customFormat="1" r="141" s="1548" spans="4:25">
      <c r="D141" s="1544"/>
      <c r="E141" s="665"/>
      <c r="F141" s="1556"/>
      <c r="G141" s="1551"/>
      <c r="H141" s="1553"/>
      <c r="Q141" s="665"/>
      <c r="Y141" s="1541"/>
    </row>
    <row customFormat="1" r="142" s="1548" spans="4:25">
      <c r="D142" s="1544"/>
      <c r="E142" s="665"/>
      <c r="F142" s="1556"/>
      <c r="G142" s="1551"/>
      <c r="H142" s="1553"/>
      <c r="Q142" s="665"/>
      <c r="Y142" s="1541"/>
    </row>
    <row customFormat="1" r="143" s="1548" spans="4:25">
      <c r="D143" s="1544"/>
      <c r="E143" s="665"/>
      <c r="F143" s="1556"/>
      <c r="G143" s="665"/>
      <c r="H143" s="1553"/>
      <c r="Q143" s="665"/>
      <c r="Y143" s="1541"/>
    </row>
    <row customFormat="1" r="144" s="1548" spans="4:25">
      <c r="D144" s="1544"/>
      <c r="E144" s="665"/>
      <c r="F144" s="1556"/>
      <c r="G144" s="665"/>
      <c r="H144" s="1553"/>
      <c r="Q144" s="665"/>
      <c r="Y144" s="1541"/>
    </row>
    <row customFormat="1" r="145" s="1548" spans="4:25">
      <c r="D145" s="1544"/>
      <c r="E145" s="665"/>
      <c r="F145" s="1556"/>
      <c r="G145" s="665"/>
      <c r="H145" s="1553"/>
      <c r="Q145" s="665"/>
      <c r="Y145" s="1541"/>
    </row>
    <row customFormat="1" r="146" s="1548" spans="4:25">
      <c r="D146" s="1544"/>
      <c r="E146" s="665"/>
      <c r="F146" s="1556"/>
      <c r="G146" s="665"/>
      <c r="H146" s="1553"/>
      <c r="Q146" s="665"/>
      <c r="Y146" s="1541"/>
    </row>
    <row customFormat="1" r="147" s="1548" spans="4:25">
      <c r="D147" s="1544"/>
      <c r="E147" s="665"/>
      <c r="F147" s="1556"/>
      <c r="G147" s="665"/>
      <c r="H147" s="1553"/>
      <c r="Q147" s="665"/>
      <c r="Y147" s="1541"/>
    </row>
    <row customFormat="1" r="148" s="1548" spans="4:25">
      <c r="D148" s="1544"/>
      <c r="E148" s="665"/>
      <c r="F148" s="1556"/>
      <c r="G148" s="665"/>
      <c r="H148" s="1553"/>
      <c r="Q148" s="665"/>
      <c r="Y148" s="1541"/>
    </row>
    <row customFormat="1" r="149" s="1548" spans="4:25">
      <c r="D149" s="1544"/>
      <c r="E149" s="665"/>
      <c r="F149" s="1556"/>
      <c r="G149" s="665"/>
      <c r="H149" s="1553"/>
      <c r="Q149" s="665"/>
      <c r="Y149" s="1541"/>
    </row>
    <row customFormat="1" r="150" s="1548" spans="4:25">
      <c r="D150" s="1544"/>
      <c r="E150" s="665"/>
      <c r="F150" s="1556"/>
      <c r="G150" s="665"/>
      <c r="H150" s="1553"/>
      <c r="Q150" s="665"/>
      <c r="Y150" s="1541"/>
    </row>
    <row customFormat="1" r="151" s="1548" spans="4:25">
      <c r="D151" s="1544"/>
      <c r="E151" s="665"/>
      <c r="F151" s="1556"/>
      <c r="G151" s="665"/>
      <c r="H151" s="1553"/>
      <c r="Q151" s="665"/>
      <c r="Y151" s="1541"/>
    </row>
    <row customFormat="1" r="152" s="1548" spans="4:25">
      <c r="D152" s="1544"/>
      <c r="E152" s="665"/>
      <c r="F152" s="1556"/>
      <c r="G152" s="665"/>
      <c r="H152" s="1553"/>
      <c r="Q152" s="665"/>
      <c r="Y152" s="1541"/>
    </row>
    <row customFormat="1" r="153" s="1548" spans="4:25">
      <c r="D153" s="1544"/>
      <c r="E153" s="665"/>
      <c r="F153" s="1556"/>
      <c r="G153" s="665"/>
      <c r="H153" s="1553"/>
      <c r="Q153" s="665"/>
      <c r="Y153" s="1541"/>
    </row>
    <row customFormat="1" r="154" s="1548" spans="4:25">
      <c r="D154" s="1544"/>
      <c r="E154" s="665"/>
      <c r="F154" s="1556"/>
      <c r="G154" s="665"/>
      <c r="H154" s="1553"/>
      <c r="Q154" s="665"/>
      <c r="Y154" s="1541"/>
    </row>
    <row customFormat="1" r="155" s="1548" spans="4:25">
      <c r="D155" s="1544"/>
      <c r="E155" s="665"/>
      <c r="F155" s="1556"/>
      <c r="G155" s="665"/>
      <c r="H155" s="1553"/>
      <c r="Q155" s="665"/>
      <c r="Y155" s="1541"/>
    </row>
    <row customFormat="1" r="156" s="1548" spans="4:25">
      <c r="D156" s="1544"/>
      <c r="E156" s="665"/>
      <c r="F156" s="1556"/>
      <c r="G156" s="665"/>
      <c r="H156" s="1553"/>
      <c r="Q156" s="665"/>
      <c r="Y156" s="1541"/>
    </row>
    <row customFormat="1" r="157" s="1548" spans="4:25">
      <c r="D157" s="1544"/>
      <c r="E157" s="665"/>
      <c r="F157" s="1556"/>
      <c r="G157" s="665"/>
      <c r="H157" s="1553"/>
      <c r="Q157" s="665"/>
      <c r="Y157" s="1541"/>
    </row>
    <row customFormat="1" r="158" s="1548" spans="4:25">
      <c r="D158" s="1544"/>
      <c r="E158" s="665"/>
      <c r="F158" s="1556"/>
      <c r="G158" s="665"/>
      <c r="H158" s="1553"/>
      <c r="Q158" s="665"/>
      <c r="Y158" s="1541"/>
    </row>
    <row customFormat="1" r="159" s="1548" spans="4:25">
      <c r="D159" s="1544"/>
      <c r="E159" s="665"/>
      <c r="F159" s="1556"/>
      <c r="G159" s="665"/>
      <c r="H159" s="1553"/>
      <c r="Q159" s="665"/>
      <c r="Y159" s="1541"/>
    </row>
    <row customFormat="1" r="160" s="1548" spans="4:25">
      <c r="D160" s="1544"/>
      <c r="E160" s="665"/>
      <c r="F160" s="1556"/>
      <c r="G160" s="665"/>
      <c r="H160" s="1553"/>
      <c r="Q160" s="665"/>
      <c r="Y160" s="1541"/>
    </row>
    <row customFormat="1" r="161" s="1548" spans="4:25">
      <c r="D161" s="1544"/>
      <c r="E161" s="665"/>
      <c r="F161" s="1556"/>
      <c r="G161" s="665"/>
      <c r="H161" s="1553"/>
      <c r="Q161" s="665"/>
      <c r="Y161" s="1541"/>
    </row>
    <row customFormat="1" r="162" s="1548" spans="4:25">
      <c r="D162" s="1544"/>
      <c r="E162" s="665"/>
      <c r="F162" s="1556"/>
      <c r="G162" s="665"/>
      <c r="H162" s="1553"/>
      <c r="Q162" s="665"/>
      <c r="Y162" s="1541"/>
    </row>
    <row customFormat="1" r="163" s="1548" spans="4:25">
      <c r="D163" s="1544"/>
      <c r="E163" s="665"/>
      <c r="F163" s="1556"/>
      <c r="G163" s="665"/>
      <c r="H163" s="1553"/>
      <c r="Q163" s="665"/>
      <c r="Y163" s="1541"/>
    </row>
    <row customFormat="1" r="164" s="1548" spans="4:25">
      <c r="D164" s="1544"/>
      <c r="E164" s="665"/>
      <c r="F164" s="1556"/>
      <c r="G164" s="665"/>
      <c r="H164" s="1553"/>
      <c r="Q164" s="665"/>
      <c r="Y164" s="1541"/>
    </row>
    <row customFormat="1" r="165" s="1548" spans="4:25">
      <c r="D165" s="1544"/>
      <c r="E165" s="665"/>
      <c r="F165" s="1556"/>
      <c r="G165" s="665"/>
      <c r="H165" s="1553"/>
      <c r="Q165" s="665"/>
      <c r="Y165" s="1541"/>
    </row>
    <row customFormat="1" r="166" s="1548" spans="4:25">
      <c r="D166" s="1544"/>
      <c r="E166" s="665"/>
      <c r="F166" s="1556"/>
      <c r="G166" s="665"/>
      <c r="H166" s="1553"/>
      <c r="Q166" s="665"/>
      <c r="Y166" s="1541"/>
    </row>
    <row customFormat="1" r="167" s="1548" spans="4:25">
      <c r="D167" s="1544"/>
      <c r="E167" s="665"/>
      <c r="F167" s="1556"/>
      <c r="G167" s="665"/>
      <c r="H167" s="1553"/>
      <c r="Q167" s="665"/>
      <c r="Y167" s="1541"/>
    </row>
    <row customFormat="1" r="168" s="1548" spans="4:25">
      <c r="D168" s="1544"/>
      <c r="E168" s="665"/>
      <c r="F168" s="1556"/>
      <c r="G168" s="665"/>
      <c r="H168" s="1553"/>
      <c r="Q168" s="665"/>
      <c r="Y168" s="1541"/>
    </row>
    <row customFormat="1" r="169" s="1548" spans="4:25">
      <c r="D169" s="1544"/>
      <c r="E169" s="665"/>
      <c r="F169" s="1556"/>
      <c r="G169" s="665"/>
      <c r="H169" s="1553"/>
      <c r="Q169" s="665"/>
      <c r="Y169" s="1541"/>
    </row>
    <row customFormat="1" r="170" s="1548" spans="4:25">
      <c r="D170" s="1544"/>
      <c r="E170" s="665"/>
      <c r="F170" s="1556"/>
      <c r="G170" s="665"/>
      <c r="H170" s="1553"/>
      <c r="Q170" s="665"/>
      <c r="Y170" s="1541"/>
    </row>
    <row customFormat="1" r="171" s="1548" spans="4:25">
      <c r="D171" s="1544"/>
      <c r="E171" s="665"/>
      <c r="F171" s="1556"/>
      <c r="G171" s="665"/>
      <c r="H171" s="1553"/>
      <c r="Q171" s="665"/>
      <c r="Y171" s="1541"/>
    </row>
    <row customFormat="1" r="172" s="1548" spans="4:25">
      <c r="D172" s="1544"/>
      <c r="E172" s="665"/>
      <c r="F172" s="1556"/>
      <c r="G172" s="665"/>
      <c r="H172" s="1553"/>
      <c r="Q172" s="665"/>
      <c r="Y172" s="1541"/>
    </row>
    <row customFormat="1" r="173" s="1548" spans="4:25">
      <c r="D173" s="1544"/>
      <c r="E173" s="665"/>
      <c r="F173" s="1556"/>
      <c r="G173" s="665"/>
      <c r="H173" s="1553"/>
      <c r="Q173" s="665"/>
      <c r="Y173" s="1541"/>
    </row>
    <row customFormat="1" r="174" s="1548" spans="4:25">
      <c r="D174" s="1544"/>
      <c r="E174" s="665"/>
      <c r="F174" s="1556"/>
      <c r="G174" s="665"/>
      <c r="H174" s="1553"/>
      <c r="Q174" s="665"/>
      <c r="Y174" s="1541"/>
    </row>
    <row customFormat="1" r="175" s="1548" spans="4:25">
      <c r="D175" s="1544"/>
      <c r="E175" s="665"/>
      <c r="F175" s="1556"/>
      <c r="G175" s="665"/>
      <c r="H175" s="1553"/>
      <c r="Q175" s="665"/>
      <c r="Y175" s="1541"/>
    </row>
    <row customFormat="1" r="176" s="1548" spans="4:25">
      <c r="D176" s="1544"/>
      <c r="E176" s="665"/>
      <c r="F176" s="1556"/>
      <c r="G176" s="665"/>
      <c r="H176" s="1553"/>
      <c r="Q176" s="665"/>
      <c r="Y176" s="1541"/>
    </row>
    <row customFormat="1" r="177" s="1548" spans="4:25">
      <c r="D177" s="1544"/>
      <c r="E177" s="665"/>
      <c r="F177" s="1556"/>
      <c r="G177" s="665"/>
      <c r="H177" s="1553"/>
      <c r="Q177" s="665"/>
      <c r="Y177" s="1541"/>
    </row>
    <row customFormat="1" r="178" s="1548" spans="4:25">
      <c r="D178" s="1544"/>
      <c r="E178" s="665"/>
      <c r="F178" s="1556"/>
      <c r="G178" s="665"/>
      <c r="H178" s="1553"/>
      <c r="Q178" s="665"/>
      <c r="Y178" s="1541"/>
    </row>
    <row customFormat="1" r="179" s="1548" spans="4:25">
      <c r="D179" s="1544"/>
      <c r="E179" s="665"/>
      <c r="F179" s="1556"/>
      <c r="G179" s="665"/>
      <c r="H179" s="1553"/>
      <c r="Q179" s="665"/>
      <c r="Y179" s="1541"/>
    </row>
    <row customFormat="1" r="180" s="1548" spans="4:25">
      <c r="D180" s="1544"/>
      <c r="E180" s="665"/>
      <c r="F180" s="1556"/>
      <c r="G180" s="665"/>
      <c r="H180" s="1553"/>
      <c r="Q180" s="665"/>
      <c r="Y180" s="1541"/>
    </row>
    <row customFormat="1" r="181" s="1548" spans="4:25">
      <c r="D181" s="1544"/>
      <c r="E181" s="665"/>
      <c r="F181" s="1556"/>
      <c r="G181" s="665"/>
      <c r="H181" s="1553"/>
      <c r="Q181" s="665"/>
      <c r="Y181" s="1541"/>
    </row>
    <row customFormat="1" r="182" s="1548" spans="4:25">
      <c r="D182" s="1544"/>
      <c r="E182" s="665"/>
      <c r="F182" s="1556"/>
      <c r="G182" s="665"/>
      <c r="H182" s="1553"/>
      <c r="Q182" s="665"/>
      <c r="Y182" s="1541"/>
    </row>
    <row customFormat="1" r="183" s="1548" spans="4:25">
      <c r="D183" s="1544"/>
      <c r="E183" s="665"/>
      <c r="F183" s="1556"/>
      <c r="G183" s="665"/>
      <c r="H183" s="1553"/>
      <c r="Q183" s="665"/>
      <c r="Y183" s="1541"/>
    </row>
    <row customFormat="1" r="184" s="1548" spans="4:25">
      <c r="D184" s="1544"/>
      <c r="E184" s="665"/>
      <c r="F184" s="1556"/>
      <c r="G184" s="665"/>
      <c r="H184" s="1553"/>
      <c r="Q184" s="665"/>
      <c r="Y184" s="1541"/>
    </row>
    <row customFormat="1" r="185" s="1548" spans="4:25">
      <c r="D185" s="1544"/>
      <c r="E185" s="665"/>
      <c r="F185" s="1556"/>
      <c r="G185" s="665"/>
      <c r="H185" s="1553"/>
      <c r="Q185" s="665"/>
      <c r="Y185" s="1541"/>
    </row>
    <row customFormat="1" r="186" s="1548" spans="4:25">
      <c r="D186" s="1544"/>
      <c r="E186" s="665"/>
      <c r="F186" s="1556"/>
      <c r="G186" s="665"/>
      <c r="H186" s="1553"/>
      <c r="Q186" s="665"/>
      <c r="Y186" s="1541"/>
    </row>
    <row customFormat="1" r="187" s="1548" spans="4:25">
      <c r="D187" s="1544"/>
      <c r="E187" s="665"/>
      <c r="F187" s="1556"/>
      <c r="G187" s="665"/>
      <c r="H187" s="1553"/>
      <c r="Q187" s="665"/>
      <c r="Y187" s="1541"/>
    </row>
    <row customFormat="1" r="188" s="1548" spans="4:25">
      <c r="D188" s="1544"/>
      <c r="E188" s="665"/>
      <c r="F188" s="1556"/>
      <c r="G188" s="665"/>
      <c r="H188" s="1553"/>
      <c r="Q188" s="665"/>
      <c r="Y188" s="1541"/>
    </row>
    <row customFormat="1" r="189" s="1548" spans="4:25">
      <c r="D189" s="1544"/>
      <c r="E189" s="665"/>
      <c r="F189" s="1556"/>
      <c r="G189" s="665"/>
      <c r="H189" s="1553"/>
      <c r="Q189" s="665"/>
      <c r="Y189" s="1541"/>
    </row>
    <row customFormat="1" r="190" s="1548" spans="4:25">
      <c r="D190" s="1544"/>
      <c r="E190" s="665"/>
      <c r="F190" s="1556"/>
      <c r="G190" s="665"/>
      <c r="H190" s="1553"/>
      <c r="Q190" s="665"/>
      <c r="Y190" s="1541"/>
    </row>
    <row customFormat="1" r="191" s="1548" spans="4:25">
      <c r="D191" s="1544"/>
      <c r="E191" s="665"/>
      <c r="F191" s="1556"/>
      <c r="G191" s="665"/>
      <c r="H191" s="1553"/>
      <c r="Q191" s="665"/>
      <c r="Y191" s="1541"/>
    </row>
    <row customFormat="1" r="192" s="1548" spans="4:25">
      <c r="D192" s="1544"/>
      <c r="E192" s="665"/>
      <c r="F192" s="1556"/>
      <c r="G192" s="665"/>
      <c r="H192" s="1553"/>
      <c r="Q192" s="665"/>
      <c r="Y192" s="1541"/>
    </row>
    <row customFormat="1" r="193" s="1548" spans="4:25">
      <c r="D193" s="1544"/>
      <c r="E193" s="665"/>
      <c r="F193" s="1556"/>
      <c r="G193" s="665"/>
      <c r="H193" s="1553"/>
      <c r="Q193" s="665"/>
      <c r="Y193" s="1541"/>
    </row>
    <row customFormat="1" r="194" s="1548" spans="4:25">
      <c r="D194" s="1544"/>
      <c r="E194" s="665"/>
      <c r="F194" s="1556"/>
      <c r="G194" s="665"/>
      <c r="H194" s="1553"/>
      <c r="Q194" s="665"/>
      <c r="Y194" s="1541"/>
    </row>
    <row customFormat="1" r="195" s="1548" spans="4:25">
      <c r="D195" s="1544"/>
      <c r="E195" s="665"/>
      <c r="F195" s="1556"/>
      <c r="G195" s="665"/>
      <c r="H195" s="1553"/>
      <c r="Q195" s="665"/>
      <c r="Y195" s="1541"/>
    </row>
    <row customFormat="1" r="196" s="1548" spans="4:25">
      <c r="D196" s="1544"/>
      <c r="E196" s="665"/>
      <c r="F196" s="1556"/>
      <c r="G196" s="665"/>
      <c r="H196" s="1553"/>
      <c r="Q196" s="665"/>
      <c r="Y196" s="1541"/>
    </row>
    <row customFormat="1" r="197" s="1548" spans="4:25">
      <c r="D197" s="1544"/>
      <c r="E197" s="665"/>
      <c r="F197" s="1556"/>
      <c r="G197" s="665"/>
      <c r="H197" s="1553"/>
      <c r="Q197" s="665"/>
      <c r="Y197" s="1541"/>
    </row>
    <row customFormat="1" r="198" s="1548" spans="4:25">
      <c r="D198" s="1544"/>
      <c r="E198" s="665"/>
      <c r="F198" s="1556"/>
      <c r="G198" s="665"/>
      <c r="H198" s="1553"/>
      <c r="Q198" s="665"/>
      <c r="Y198" s="1541"/>
    </row>
    <row customFormat="1" r="199" s="1548" spans="4:25">
      <c r="D199" s="1544"/>
      <c r="E199" s="665"/>
      <c r="F199" s="1556"/>
      <c r="G199" s="665"/>
      <c r="H199" s="1553"/>
      <c r="Q199" s="665"/>
      <c r="Y199" s="1541"/>
    </row>
    <row customFormat="1" r="200" s="1548" spans="4:25">
      <c r="D200" s="1544"/>
      <c r="E200" s="665"/>
      <c r="F200" s="1556"/>
      <c r="G200" s="665"/>
      <c r="H200" s="1553"/>
      <c r="Q200" s="665"/>
      <c r="Y200" s="1541"/>
    </row>
    <row customFormat="1" r="201" s="1548" spans="4:25">
      <c r="D201" s="1544"/>
      <c r="E201" s="665"/>
      <c r="F201" s="1556"/>
      <c r="G201" s="665"/>
      <c r="H201" s="1553"/>
      <c r="Q201" s="665"/>
      <c r="Y201" s="1541"/>
    </row>
    <row customFormat="1" r="202" s="1548" spans="4:25">
      <c r="D202" s="1544"/>
      <c r="E202" s="665"/>
      <c r="F202" s="1556"/>
      <c r="G202" s="665"/>
      <c r="H202" s="1553"/>
      <c r="Q202" s="665"/>
      <c r="Y202" s="1541"/>
    </row>
    <row customFormat="1" r="203" s="1548" spans="4:25">
      <c r="D203" s="1544"/>
      <c r="E203" s="665"/>
      <c r="F203" s="1556"/>
      <c r="G203" s="665"/>
      <c r="H203" s="1553"/>
      <c r="Q203" s="665"/>
      <c r="Y203" s="1541"/>
    </row>
    <row customFormat="1" r="204" s="1548" spans="4:25">
      <c r="D204" s="1544"/>
      <c r="E204" s="665"/>
      <c r="F204" s="1556"/>
      <c r="G204" s="665"/>
      <c r="H204" s="1553"/>
      <c r="Q204" s="665"/>
      <c r="Y204" s="1541"/>
    </row>
    <row customFormat="1" r="205" s="1548" spans="4:25">
      <c r="D205" s="1544"/>
      <c r="E205" s="665"/>
      <c r="F205" s="1556"/>
      <c r="G205" s="665"/>
      <c r="H205" s="1553"/>
      <c r="Q205" s="665"/>
      <c r="Y205" s="1541"/>
    </row>
    <row customFormat="1" r="206" s="1548" spans="4:25">
      <c r="D206" s="1544"/>
      <c r="E206" s="665"/>
      <c r="F206" s="1556"/>
      <c r="G206" s="665"/>
      <c r="H206" s="1553"/>
      <c r="Q206" s="665"/>
      <c r="Y206" s="1541"/>
    </row>
    <row customFormat="1" r="207" s="1548" spans="4:25">
      <c r="D207" s="1544"/>
      <c r="E207" s="665"/>
      <c r="F207" s="1556"/>
      <c r="G207" s="665"/>
      <c r="H207" s="1553"/>
      <c r="Q207" s="665"/>
      <c r="Y207" s="1541"/>
    </row>
    <row customFormat="1" r="208" s="1548" spans="4:25">
      <c r="D208" s="1544"/>
      <c r="E208" s="665"/>
      <c r="F208" s="1556"/>
      <c r="G208" s="665"/>
      <c r="H208" s="1553"/>
      <c r="Q208" s="665"/>
      <c r="Y208" s="1541"/>
    </row>
    <row customFormat="1" r="209" s="1548" spans="3:25">
      <c r="D209" s="1544"/>
      <c r="E209" s="665"/>
      <c r="F209" s="1556"/>
      <c r="G209" s="665"/>
      <c r="H209" s="1553"/>
      <c r="Q209" s="665"/>
      <c r="Y209" s="1541"/>
    </row>
    <row customFormat="1" r="210" s="1548" spans="3:25">
      <c r="C210" s="1540"/>
      <c r="D210" s="1544"/>
      <c r="E210" s="665"/>
      <c r="F210" s="1556"/>
      <c r="G210" s="665"/>
      <c r="H210" s="1553"/>
      <c r="Q210" s="665"/>
      <c r="Y210" s="1541"/>
    </row>
    <row customFormat="1" r="211" s="1548" spans="3:25">
      <c r="C211" s="1540"/>
      <c r="D211" s="1544"/>
      <c r="E211" s="665"/>
      <c r="F211" s="1556"/>
      <c r="G211" s="665"/>
      <c r="H211" s="1553"/>
      <c r="Q211" s="665"/>
      <c r="Y211" s="1541"/>
    </row>
    <row customFormat="1" r="212" s="1548" spans="3:25">
      <c r="C212" s="1540"/>
      <c r="D212" s="1544"/>
      <c r="E212" s="665"/>
      <c r="F212" s="1556"/>
      <c r="G212" s="665"/>
      <c r="H212" s="1553"/>
      <c r="Q212" s="665"/>
      <c r="Y212" s="1541"/>
    </row>
    <row customFormat="1" r="213" s="1548" spans="3:25">
      <c r="C213" s="1540"/>
      <c r="D213" s="1544"/>
      <c r="E213" s="665"/>
      <c r="F213" s="1556"/>
      <c r="G213" s="665"/>
      <c r="H213" s="1553"/>
      <c r="Q213" s="665"/>
      <c r="Y213" s="1541"/>
    </row>
    <row customFormat="1" r="214" s="1548" spans="3:25">
      <c r="C214" s="1540"/>
      <c r="D214" s="1544"/>
      <c r="E214" s="665"/>
      <c r="F214" s="1556"/>
      <c r="G214" s="665"/>
      <c r="H214" s="1553"/>
      <c r="Q214" s="665"/>
      <c r="Y214" s="1541"/>
    </row>
    <row customFormat="1" r="215" s="1548" spans="3:25">
      <c r="D215" s="1544"/>
      <c r="E215" s="665"/>
      <c r="F215" s="1556"/>
      <c r="G215" s="665"/>
      <c r="H215" s="1553"/>
      <c r="Q215" s="665"/>
      <c r="Y215" s="1541"/>
    </row>
    <row customFormat="1" r="216" s="1548" spans="3:25">
      <c r="D216" s="1544"/>
      <c r="E216" s="665"/>
      <c r="F216" s="1556"/>
      <c r="G216" s="665"/>
      <c r="H216" s="1553"/>
      <c r="Q216" s="665"/>
      <c r="Y216" s="1541"/>
    </row>
    <row customFormat="1" r="217" s="1548" spans="3:25">
      <c r="D217" s="1544"/>
      <c r="E217" s="665"/>
      <c r="F217" s="1556"/>
      <c r="G217" s="665"/>
      <c r="H217" s="1553"/>
      <c r="Q217" s="665"/>
      <c r="Y217" s="1541"/>
    </row>
    <row customFormat="1" r="218" s="1548" spans="3:25">
      <c r="D218" s="1544"/>
      <c r="E218" s="665"/>
      <c r="F218" s="1556"/>
      <c r="G218" s="665"/>
      <c r="H218" s="1553"/>
      <c r="Q218" s="665"/>
      <c r="Y218" s="1541"/>
    </row>
    <row customFormat="1" r="219" s="1548" spans="3:25">
      <c r="D219" s="1544"/>
      <c r="E219" s="665"/>
      <c r="F219" s="1556"/>
      <c r="G219" s="665"/>
      <c r="H219" s="1553"/>
      <c r="Q219" s="665"/>
      <c r="Y219" s="1541"/>
    </row>
    <row customFormat="1" r="220" s="1548" spans="3:25">
      <c r="D220" s="1544"/>
      <c r="E220" s="665"/>
      <c r="F220" s="1556"/>
      <c r="G220" s="665"/>
      <c r="H220" s="1553"/>
      <c r="Q220" s="665"/>
      <c r="Y220" s="1541"/>
    </row>
    <row customFormat="1" r="221" s="1548" spans="3:25">
      <c r="D221" s="1544"/>
      <c r="E221" s="665"/>
      <c r="F221" s="1556"/>
      <c r="G221" s="665"/>
      <c r="H221" s="1553"/>
      <c r="Q221" s="665"/>
      <c r="Y221" s="1541"/>
    </row>
    <row customFormat="1" r="222" s="1548" spans="3:25">
      <c r="D222" s="1544"/>
      <c r="E222" s="665"/>
      <c r="F222" s="1556"/>
      <c r="G222" s="665"/>
      <c r="H222" s="1553"/>
      <c r="Q222" s="665"/>
      <c r="Y222" s="1541"/>
    </row>
    <row customFormat="1" r="223" s="1548" spans="3:25">
      <c r="D223" s="1544"/>
      <c r="E223" s="665"/>
      <c r="F223" s="1556"/>
      <c r="G223" s="665"/>
      <c r="H223" s="1553"/>
      <c r="Q223" s="665"/>
      <c r="Y223" s="1541"/>
    </row>
    <row customFormat="1" r="224" s="1548" spans="3:25">
      <c r="D224" s="1544"/>
      <c r="E224" s="665"/>
      <c r="F224" s="1556"/>
      <c r="G224" s="665"/>
      <c r="H224" s="1553"/>
      <c r="Q224" s="665"/>
      <c r="Y224" s="1541"/>
    </row>
    <row customFormat="1" r="225" s="1548" spans="4:25">
      <c r="D225" s="1544"/>
      <c r="E225" s="665"/>
      <c r="F225" s="1556"/>
      <c r="G225" s="665"/>
      <c r="H225" s="1553"/>
      <c r="Q225" s="665"/>
      <c r="Y225" s="1541"/>
    </row>
    <row customFormat="1" r="226" s="1548" spans="4:25">
      <c r="D226" s="1544"/>
      <c r="E226" s="665"/>
      <c r="F226" s="1556"/>
      <c r="G226" s="665"/>
      <c r="H226" s="1553"/>
      <c r="Q226" s="665"/>
      <c r="Y226" s="1541"/>
    </row>
    <row customFormat="1" r="227" s="1548" spans="4:25">
      <c r="D227" s="1544"/>
      <c r="E227" s="665"/>
      <c r="F227" s="1556"/>
      <c r="G227" s="665"/>
      <c r="H227" s="1553"/>
      <c r="Q227" s="665"/>
      <c r="Y227" s="1541"/>
    </row>
    <row customFormat="1" r="228" s="1548" spans="4:25">
      <c r="D228" s="1544"/>
      <c r="E228" s="665"/>
      <c r="F228" s="1556"/>
      <c r="G228" s="665"/>
      <c r="H228" s="1553"/>
      <c r="Q228" s="665"/>
      <c r="Y228" s="1541"/>
    </row>
    <row customFormat="1" r="229" s="1548" spans="4:25">
      <c r="D229" s="1544"/>
      <c r="E229" s="665"/>
      <c r="F229" s="1556"/>
      <c r="G229" s="665"/>
      <c r="H229" s="1553"/>
      <c r="Q229" s="665"/>
      <c r="Y229" s="1541"/>
    </row>
    <row customFormat="1" r="230" s="1548" spans="4:25">
      <c r="D230" s="1544"/>
      <c r="E230" s="665"/>
      <c r="F230" s="1556"/>
      <c r="G230" s="665"/>
      <c r="H230" s="1553"/>
      <c r="Q230" s="665"/>
      <c r="Y230" s="1541"/>
    </row>
    <row customFormat="1" r="231" s="1548" spans="4:25">
      <c r="D231" s="1544"/>
      <c r="E231" s="665"/>
      <c r="F231" s="1556"/>
      <c r="G231" s="665"/>
      <c r="H231" s="1553"/>
      <c r="Q231" s="665"/>
      <c r="Y231" s="1541"/>
    </row>
    <row customFormat="1" r="232" s="1548" spans="4:25">
      <c r="D232" s="1544"/>
      <c r="E232" s="665"/>
      <c r="F232" s="1556"/>
      <c r="G232" s="1552"/>
      <c r="H232" s="1553"/>
      <c r="Q232" s="665"/>
      <c r="Y232" s="1541"/>
    </row>
    <row customFormat="1" r="233" s="1548" spans="4:25">
      <c r="D233" s="1544"/>
      <c r="E233" s="665"/>
      <c r="F233" s="1556"/>
      <c r="G233" s="665"/>
      <c r="H233" s="1553"/>
      <c r="Q233" s="665"/>
      <c r="Y233" s="1541"/>
    </row>
    <row customFormat="1" r="234" s="1548" spans="4:25">
      <c r="D234" s="1544"/>
      <c r="E234" s="665"/>
      <c r="F234" s="1556"/>
      <c r="G234" s="665"/>
      <c r="H234" s="1553"/>
      <c r="Q234" s="665"/>
      <c r="Y234" s="1541"/>
    </row>
    <row customFormat="1" r="235" s="1548" spans="4:25">
      <c r="D235" s="1544"/>
      <c r="E235" s="665"/>
      <c r="F235" s="1556"/>
      <c r="G235" s="665"/>
      <c r="H235" s="1553"/>
      <c r="Q235" s="665"/>
      <c r="Y235" s="1541"/>
    </row>
    <row customFormat="1" r="236" s="1548" spans="4:25">
      <c r="D236" s="1544"/>
      <c r="E236" s="665"/>
      <c r="F236" s="1556"/>
      <c r="G236" s="665"/>
      <c r="H236" s="1553"/>
      <c r="Q236" s="665"/>
      <c r="Y236" s="1541"/>
    </row>
    <row customFormat="1" r="237" s="1548" spans="4:25">
      <c r="D237" s="1544"/>
      <c r="E237" s="665"/>
      <c r="F237" s="1556"/>
      <c r="G237" s="665"/>
      <c r="H237" s="1553"/>
      <c r="Q237" s="665"/>
      <c r="Y237" s="1541"/>
    </row>
    <row customFormat="1" r="238" s="1548" spans="4:25">
      <c r="D238" s="1544"/>
      <c r="E238" s="665"/>
      <c r="F238" s="1556"/>
      <c r="G238" s="665"/>
      <c r="H238" s="1553"/>
      <c r="Q238" s="665"/>
      <c r="Y238" s="1541"/>
    </row>
    <row customFormat="1" r="239" s="1548" spans="4:25">
      <c r="D239" s="1544"/>
      <c r="E239" s="665"/>
      <c r="F239" s="1556"/>
      <c r="G239" s="665"/>
      <c r="H239" s="1553"/>
      <c r="Q239" s="665"/>
      <c r="Y239" s="1541"/>
    </row>
    <row customFormat="1" r="240" s="1548" spans="4:25">
      <c r="D240" s="1544"/>
      <c r="E240" s="665"/>
      <c r="F240" s="1556"/>
      <c r="G240" s="665"/>
      <c r="H240" s="1553"/>
      <c r="Q240" s="665"/>
      <c r="Y240" s="1541"/>
    </row>
    <row customFormat="1" customHeight="1" ht="24.75" r="241" s="1548" spans="3:25">
      <c r="C241" s="556"/>
      <c r="D241" s="1544"/>
      <c r="E241" s="665"/>
      <c r="F241" s="1556"/>
      <c r="G241" s="665"/>
      <c r="H241" s="1553"/>
      <c r="Q241" s="665"/>
      <c r="Y241" s="1541"/>
    </row>
    <row customFormat="1" r="242" s="1548" spans="3:25">
      <c r="D242" s="1544"/>
      <c r="E242" s="665"/>
      <c r="F242" s="1556"/>
      <c r="G242" s="665"/>
      <c r="H242" s="1553"/>
      <c r="Q242" s="665"/>
      <c r="Y242" s="1541"/>
    </row>
    <row customFormat="1" r="243" s="1548" spans="3:25">
      <c r="D243" s="1544"/>
      <c r="E243" s="665"/>
      <c r="F243" s="1556"/>
      <c r="G243" s="665"/>
      <c r="H243" s="1553"/>
      <c r="Q243" s="665"/>
      <c r="Y243" s="1541"/>
    </row>
    <row customFormat="1" r="244" s="1548" spans="3:25">
      <c r="D244" s="1544"/>
      <c r="E244" s="665"/>
      <c r="F244" s="1556"/>
      <c r="G244" s="665"/>
      <c r="H244" s="1553"/>
      <c r="Q244" s="665"/>
      <c r="Y244" s="1541"/>
    </row>
    <row customFormat="1" r="245" s="1548" spans="3:25">
      <c r="D245" s="1544"/>
      <c r="E245" s="665"/>
      <c r="F245" s="1556"/>
      <c r="G245" s="665"/>
      <c r="H245" s="1553"/>
      <c r="Q245" s="665"/>
      <c r="Y245" s="1541"/>
    </row>
    <row customFormat="1" r="246" s="1548" spans="3:25">
      <c r="D246" s="1544"/>
      <c r="E246" s="665"/>
      <c r="F246" s="1556"/>
      <c r="G246" s="665"/>
      <c r="H246" s="1553"/>
      <c r="Q246" s="665"/>
      <c r="Y246" s="1541"/>
    </row>
    <row customFormat="1" r="247" s="1548" spans="3:25">
      <c r="D247" s="1544"/>
      <c r="E247" s="665"/>
      <c r="F247" s="1556"/>
      <c r="G247" s="665"/>
      <c r="H247" s="1553"/>
      <c r="Q247" s="665"/>
      <c r="Y247" s="1541"/>
    </row>
    <row customFormat="1" r="248" s="1548" spans="3:25">
      <c r="D248" s="1544"/>
      <c r="E248" s="665"/>
      <c r="F248" s="1556"/>
      <c r="G248" s="665"/>
      <c r="H248" s="1553"/>
      <c r="Q248" s="665"/>
      <c r="Y248" s="1541"/>
    </row>
    <row customFormat="1" r="249" s="1548" spans="3:25">
      <c r="D249" s="1544"/>
      <c r="E249" s="665"/>
      <c r="F249" s="1556"/>
      <c r="G249" s="665"/>
      <c r="H249" s="1553"/>
      <c r="Q249" s="665"/>
      <c r="Y249" s="1541"/>
    </row>
    <row customFormat="1" r="250" s="1548" spans="3:25">
      <c r="D250" s="1544"/>
      <c r="E250" s="665"/>
      <c r="F250" s="1556"/>
      <c r="G250" s="665"/>
      <c r="H250" s="1553"/>
      <c r="Q250" s="665"/>
      <c r="Y250" s="1541"/>
    </row>
    <row customFormat="1" r="251" s="1548" spans="3:25">
      <c r="D251" s="1544"/>
      <c r="E251" s="665"/>
      <c r="F251" s="1556"/>
      <c r="G251" s="665"/>
      <c r="H251" s="1553"/>
      <c r="Q251" s="665"/>
      <c r="Y251" s="1541"/>
    </row>
    <row customFormat="1" r="252" s="1548" spans="3:25">
      <c r="D252" s="1544"/>
      <c r="E252" s="665"/>
      <c r="F252" s="1556"/>
      <c r="G252" s="665"/>
      <c r="H252" s="1553"/>
      <c r="Q252" s="665"/>
      <c r="Y252" s="1541"/>
    </row>
    <row customFormat="1" r="253" s="1548" spans="3:25">
      <c r="D253" s="1544"/>
      <c r="E253" s="665"/>
      <c r="F253" s="1556"/>
      <c r="G253" s="665"/>
      <c r="H253" s="1553"/>
      <c r="Q253" s="665"/>
      <c r="Y253" s="1541"/>
    </row>
    <row customFormat="1" r="254" s="1548" spans="3:25">
      <c r="D254" s="1544"/>
      <c r="E254" s="665"/>
      <c r="F254" s="1556"/>
      <c r="G254" s="665"/>
      <c r="H254" s="1553"/>
      <c r="Q254" s="665"/>
      <c r="Y254" s="1541"/>
    </row>
    <row customFormat="1" r="255" s="1548" spans="3:25">
      <c r="D255" s="1544"/>
      <c r="E255" s="665"/>
      <c r="F255" s="1556"/>
      <c r="G255" s="665"/>
      <c r="H255" s="1553"/>
      <c r="Q255" s="665"/>
      <c r="Y255" s="1541"/>
    </row>
    <row customFormat="1" r="256" s="1548" spans="3:25">
      <c r="D256" s="1544"/>
      <c r="E256" s="665"/>
      <c r="F256" s="1556"/>
      <c r="G256" s="665"/>
      <c r="H256" s="1553"/>
      <c r="Q256" s="665"/>
      <c r="Y256" s="1541"/>
    </row>
    <row customFormat="1" r="257" s="1548" spans="4:25">
      <c r="D257" s="1544"/>
      <c r="E257" s="665"/>
      <c r="F257" s="1556"/>
      <c r="G257" s="665"/>
      <c r="H257" s="1553"/>
      <c r="Q257" s="665"/>
      <c r="Y257" s="1541"/>
    </row>
    <row customFormat="1" r="258" s="1548" spans="4:25">
      <c r="D258" s="1544"/>
      <c r="E258" s="665"/>
      <c r="F258" s="1556"/>
      <c r="G258" s="665"/>
      <c r="H258" s="1553"/>
      <c r="Q258" s="665"/>
      <c r="Y258" s="1541"/>
    </row>
    <row customFormat="1" r="259" s="1548" spans="4:25">
      <c r="D259" s="1544"/>
      <c r="E259" s="665"/>
      <c r="F259" s="1556"/>
      <c r="G259" s="665"/>
      <c r="H259" s="1553"/>
      <c r="Q259" s="665"/>
      <c r="Y259" s="1541"/>
    </row>
    <row customFormat="1" r="260" s="1548" spans="4:25">
      <c r="D260" s="1544"/>
      <c r="E260" s="665"/>
      <c r="F260" s="1556"/>
      <c r="G260" s="665"/>
      <c r="H260" s="1553"/>
      <c r="Q260" s="665"/>
      <c r="Y260" s="1541"/>
    </row>
    <row customFormat="1" r="261" s="1548" spans="4:25">
      <c r="D261" s="1544"/>
      <c r="E261" s="665"/>
      <c r="F261" s="1556"/>
      <c r="G261" s="665"/>
      <c r="H261" s="1553"/>
      <c r="Q261" s="665"/>
      <c r="Y261" s="1541"/>
    </row>
    <row customFormat="1" r="262" s="1548" spans="4:25">
      <c r="D262" s="1544"/>
      <c r="E262" s="665"/>
      <c r="F262" s="1556"/>
      <c r="G262" s="665"/>
      <c r="H262" s="1553"/>
      <c r="Q262" s="665"/>
      <c r="Y262" s="1541"/>
    </row>
    <row customFormat="1" r="263" s="1548" spans="4:25">
      <c r="D263" s="1544"/>
      <c r="E263" s="665"/>
      <c r="F263" s="1556"/>
      <c r="G263" s="665"/>
      <c r="H263" s="1553"/>
      <c r="Q263" s="665"/>
      <c r="Y263" s="1541"/>
    </row>
    <row customFormat="1" r="264" s="1548" spans="4:25">
      <c r="D264" s="1544"/>
      <c r="E264" s="665"/>
      <c r="F264" s="1556"/>
      <c r="G264" s="665"/>
      <c r="H264" s="1553"/>
      <c r="Q264" s="665"/>
      <c r="Y264" s="1541"/>
    </row>
    <row customFormat="1" r="265" s="1548" spans="4:25">
      <c r="D265" s="1544"/>
      <c r="E265" s="665"/>
      <c r="F265" s="1556"/>
      <c r="G265" s="665"/>
      <c r="H265" s="1553"/>
      <c r="Q265" s="665"/>
      <c r="Y265" s="1541"/>
    </row>
    <row customFormat="1" r="266" s="1548" spans="4:25">
      <c r="D266" s="1544"/>
      <c r="E266" s="665"/>
      <c r="F266" s="1556"/>
      <c r="G266" s="665"/>
      <c r="H266" s="1553"/>
      <c r="Q266" s="665"/>
      <c r="Y266" s="1541"/>
    </row>
    <row customFormat="1" r="267" s="1548" spans="4:25">
      <c r="D267" s="1544"/>
      <c r="E267" s="665"/>
      <c r="F267" s="1556"/>
      <c r="G267" s="665"/>
      <c r="H267" s="1553"/>
      <c r="Q267" s="665"/>
      <c r="Y267" s="1541"/>
    </row>
    <row customFormat="1" r="268" s="1548" spans="4:25">
      <c r="D268" s="1544"/>
      <c r="E268" s="665"/>
      <c r="F268" s="1556"/>
      <c r="G268" s="665"/>
      <c r="H268" s="1553"/>
      <c r="Q268" s="665"/>
      <c r="Y268" s="1541"/>
    </row>
    <row customFormat="1" r="269" s="1548" spans="4:25">
      <c r="D269" s="1544"/>
      <c r="E269" s="665"/>
      <c r="F269" s="1556"/>
      <c r="G269" s="665"/>
      <c r="H269" s="1553"/>
      <c r="Q269" s="665"/>
      <c r="Y269" s="1541"/>
    </row>
    <row customFormat="1" r="270" s="1548" spans="4:25">
      <c r="D270" s="1544"/>
      <c r="E270" s="665"/>
      <c r="F270" s="1556"/>
      <c r="G270" s="665"/>
      <c r="H270" s="1553"/>
      <c r="Q270" s="665"/>
      <c r="Y270" s="1541"/>
    </row>
    <row customFormat="1" r="271" s="1548" spans="4:25">
      <c r="D271" s="1544"/>
      <c r="E271" s="665"/>
      <c r="F271" s="1556"/>
      <c r="G271" s="665"/>
      <c r="H271" s="1553"/>
      <c r="Q271" s="665"/>
      <c r="Y271" s="1541"/>
    </row>
    <row customFormat="1" r="272" s="1548" spans="4:25">
      <c r="D272" s="1544"/>
      <c r="E272" s="665"/>
      <c r="F272" s="1556"/>
      <c r="G272" s="665"/>
      <c r="H272" s="1553"/>
      <c r="Q272" s="665"/>
      <c r="Y272" s="1541"/>
    </row>
    <row customFormat="1" r="273" s="1548" spans="4:25">
      <c r="D273" s="1544"/>
      <c r="E273" s="665"/>
      <c r="F273" s="1556"/>
      <c r="G273" s="665"/>
      <c r="H273" s="1553"/>
      <c r="Q273" s="665"/>
      <c r="Y273" s="1541"/>
    </row>
    <row customFormat="1" r="274" s="1548" spans="4:25">
      <c r="D274" s="1544"/>
      <c r="E274" s="665"/>
      <c r="F274" s="1556"/>
      <c r="G274" s="665"/>
      <c r="H274" s="1553"/>
      <c r="Q274" s="665"/>
      <c r="Y274" s="1541"/>
    </row>
    <row customFormat="1" r="275" s="1548" spans="4:25">
      <c r="D275" s="1544"/>
      <c r="E275" s="665"/>
      <c r="F275" s="1556"/>
      <c r="G275" s="665"/>
      <c r="H275" s="1553"/>
      <c r="Q275" s="665"/>
      <c r="Y275" s="1541"/>
    </row>
    <row customFormat="1" r="276" s="1548" spans="4:25">
      <c r="D276" s="1544"/>
      <c r="E276" s="665"/>
      <c r="F276" s="1556"/>
      <c r="G276" s="665"/>
      <c r="H276" s="1553"/>
      <c r="Q276" s="665"/>
      <c r="Y276" s="1541"/>
    </row>
    <row customFormat="1" r="277" s="1548" spans="4:25">
      <c r="D277" s="1544"/>
      <c r="E277" s="665"/>
      <c r="F277" s="1556"/>
      <c r="G277" s="665"/>
      <c r="H277" s="1553"/>
      <c r="Q277" s="665"/>
      <c r="Y277" s="1541"/>
    </row>
    <row customFormat="1" r="278" s="1548" spans="4:25">
      <c r="D278" s="1544"/>
      <c r="E278" s="665"/>
      <c r="F278" s="1556"/>
      <c r="G278" s="665"/>
      <c r="H278" s="1553"/>
      <c r="Q278" s="665"/>
      <c r="Y278" s="1541"/>
    </row>
    <row customFormat="1" r="279" s="1548" spans="4:25">
      <c r="D279" s="1544"/>
      <c r="E279" s="665"/>
      <c r="F279" s="1556"/>
      <c r="G279" s="665"/>
      <c r="H279" s="1553"/>
      <c r="Q279" s="665"/>
      <c r="Y279" s="1541"/>
    </row>
    <row customFormat="1" r="280" s="1548" spans="4:25">
      <c r="D280" s="1544"/>
      <c r="E280" s="665"/>
      <c r="F280" s="1556"/>
      <c r="G280" s="665"/>
      <c r="H280" s="1553"/>
      <c r="Q280" s="665"/>
      <c r="Y280" s="1541"/>
    </row>
    <row customFormat="1" r="281" s="1548" spans="4:25">
      <c r="D281" s="1544"/>
      <c r="E281" s="665"/>
      <c r="F281" s="1556"/>
      <c r="G281" s="665"/>
      <c r="H281" s="1553"/>
      <c r="Q281" s="665"/>
      <c r="Y281" s="1541"/>
    </row>
    <row customFormat="1" r="282" s="1548" spans="4:25">
      <c r="D282" s="1544"/>
      <c r="E282" s="665"/>
      <c r="F282" s="1556"/>
      <c r="G282" s="665"/>
      <c r="H282" s="1553"/>
      <c r="Q282" s="665"/>
      <c r="Y282" s="1541"/>
    </row>
    <row customFormat="1" r="283" s="1548" spans="4:25">
      <c r="D283" s="1544"/>
      <c r="E283" s="665"/>
      <c r="F283" s="1556"/>
      <c r="G283" s="665"/>
      <c r="H283" s="1553"/>
      <c r="Q283" s="665"/>
      <c r="Y283" s="1541"/>
    </row>
    <row customFormat="1" r="284" s="1548" spans="4:25">
      <c r="D284" s="1544"/>
      <c r="E284" s="665"/>
      <c r="F284" s="1556"/>
      <c r="G284" s="665"/>
      <c r="H284" s="1553"/>
      <c r="Q284" s="665"/>
      <c r="Y284" s="1541"/>
    </row>
    <row customFormat="1" r="285" s="1548" spans="4:25">
      <c r="D285" s="1544"/>
      <c r="E285" s="665"/>
      <c r="F285" s="1556"/>
      <c r="G285" s="665"/>
      <c r="H285" s="1553"/>
      <c r="Q285" s="665"/>
      <c r="Y285" s="1541"/>
    </row>
    <row customFormat="1" r="286" s="1548" spans="4:25">
      <c r="D286" s="1544"/>
      <c r="E286" s="665"/>
      <c r="F286" s="1556"/>
      <c r="G286" s="665"/>
      <c r="H286" s="1553"/>
      <c r="Q286" s="665"/>
      <c r="Y286" s="1541"/>
    </row>
    <row customFormat="1" r="287" s="1548" spans="4:25">
      <c r="D287" s="1544"/>
      <c r="E287" s="665"/>
      <c r="F287" s="1556"/>
      <c r="G287" s="665"/>
      <c r="H287" s="1553"/>
      <c r="Q287" s="665"/>
      <c r="Y287" s="1541"/>
    </row>
    <row customFormat="1" r="288" s="1548" spans="4:25">
      <c r="D288" s="1544"/>
      <c r="E288" s="665"/>
      <c r="F288" s="1556"/>
      <c r="G288" s="665"/>
      <c r="H288" s="1553"/>
      <c r="Q288" s="665"/>
      <c r="Y288" s="1541"/>
    </row>
    <row customFormat="1" r="289" s="1548" spans="4:25">
      <c r="D289" s="1544"/>
      <c r="E289" s="665"/>
      <c r="F289" s="1556"/>
      <c r="G289" s="665"/>
      <c r="H289" s="1553"/>
      <c r="Q289" s="665"/>
      <c r="Y289" s="1541"/>
    </row>
    <row customFormat="1" r="290" s="1548" spans="4:25">
      <c r="D290" s="1544"/>
      <c r="E290" s="665"/>
      <c r="F290" s="1556"/>
      <c r="G290" s="665"/>
      <c r="H290" s="1553"/>
      <c r="Q290" s="665"/>
      <c r="Y290" s="1541"/>
    </row>
    <row customFormat="1" r="291" s="1548" spans="4:25">
      <c r="D291" s="1544"/>
      <c r="E291" s="665"/>
      <c r="F291" s="1556"/>
      <c r="G291" s="665"/>
      <c r="H291" s="1553"/>
      <c r="Q291" s="665"/>
      <c r="Y291" s="1541"/>
    </row>
    <row customFormat="1" r="292" s="1548" spans="4:25">
      <c r="D292" s="1544"/>
      <c r="E292" s="665"/>
      <c r="F292" s="1556"/>
      <c r="G292" s="665"/>
      <c r="H292" s="1553"/>
      <c r="Q292" s="665"/>
      <c r="Y292" s="1541"/>
    </row>
    <row customFormat="1" r="293" s="1548" spans="4:25">
      <c r="D293" s="1544"/>
      <c r="E293" s="665"/>
      <c r="F293" s="1556"/>
      <c r="G293" s="665"/>
      <c r="H293" s="1553"/>
      <c r="Q293" s="665"/>
      <c r="Y293" s="1541"/>
    </row>
    <row customFormat="1" r="294" s="1548" spans="4:25">
      <c r="D294" s="1544"/>
      <c r="E294" s="665"/>
      <c r="F294" s="1556"/>
      <c r="G294" s="665"/>
      <c r="H294" s="1553"/>
      <c r="Q294" s="665"/>
      <c r="Y294" s="1541"/>
    </row>
    <row customFormat="1" r="295" s="1548" spans="4:25">
      <c r="D295" s="1544"/>
      <c r="E295" s="665"/>
      <c r="F295" s="1556"/>
      <c r="G295" s="665"/>
      <c r="H295" s="1553"/>
      <c r="Q295" s="665"/>
      <c r="Y295" s="1541"/>
    </row>
    <row customFormat="1" r="296" s="1548" spans="4:25">
      <c r="D296" s="1544"/>
      <c r="E296" s="665"/>
      <c r="F296" s="1556"/>
      <c r="G296" s="665"/>
      <c r="H296" s="1553"/>
      <c r="Q296" s="665"/>
      <c r="Y296" s="1541"/>
    </row>
    <row customFormat="1" r="297" s="1548" spans="4:25">
      <c r="D297" s="1544"/>
      <c r="E297" s="665"/>
      <c r="F297" s="1556"/>
      <c r="G297" s="665"/>
      <c r="H297" s="1553"/>
      <c r="Q297" s="665"/>
      <c r="Y297" s="1541"/>
    </row>
    <row customFormat="1" r="298" s="1548" spans="4:25">
      <c r="D298" s="1544"/>
      <c r="E298" s="665"/>
      <c r="F298" s="1556"/>
      <c r="G298" s="665"/>
      <c r="H298" s="1553"/>
      <c r="Q298" s="665"/>
      <c r="Y298" s="1541"/>
    </row>
    <row customFormat="1" r="299" s="1548" spans="4:25">
      <c r="D299" s="1544"/>
      <c r="E299" s="665"/>
      <c r="F299" s="1556"/>
      <c r="G299" s="665"/>
      <c r="H299" s="1553"/>
      <c r="Q299" s="665"/>
      <c r="Y299" s="1541"/>
    </row>
    <row customFormat="1" r="300" s="1548" spans="4:25">
      <c r="D300" s="1544"/>
      <c r="E300" s="665"/>
      <c r="F300" s="1556"/>
      <c r="G300" s="665"/>
      <c r="H300" s="1553"/>
      <c r="Q300" s="665"/>
      <c r="Y300" s="1541"/>
    </row>
    <row customFormat="1" r="301" s="1548" spans="4:25">
      <c r="D301" s="1544"/>
      <c r="E301" s="665"/>
      <c r="F301" s="1556"/>
      <c r="G301" s="665"/>
      <c r="H301" s="1553"/>
      <c r="Q301" s="665"/>
      <c r="Y301" s="1541"/>
    </row>
    <row customFormat="1" r="302" s="1548" spans="4:25">
      <c r="D302" s="1544"/>
      <c r="E302" s="665"/>
      <c r="F302" s="1556"/>
      <c r="G302" s="665"/>
      <c r="H302" s="1553"/>
      <c r="Q302" s="665"/>
      <c r="Y302" s="1541"/>
    </row>
    <row customFormat="1" r="303" s="1548" spans="4:25">
      <c r="D303" s="1544"/>
      <c r="E303" s="665"/>
      <c r="F303" s="1556"/>
      <c r="G303" s="665"/>
      <c r="H303" s="1553"/>
      <c r="Q303" s="665"/>
      <c r="Y303" s="1541"/>
    </row>
    <row customFormat="1" r="304" s="1548" spans="4:25">
      <c r="D304" s="1544"/>
      <c r="E304" s="665"/>
      <c r="F304" s="1556"/>
      <c r="G304" s="665"/>
      <c r="H304" s="1553"/>
      <c r="Q304" s="665"/>
      <c r="Y304" s="1541"/>
    </row>
    <row customFormat="1" r="305" s="1548" spans="4:25">
      <c r="D305" s="1544"/>
      <c r="E305" s="665"/>
      <c r="F305" s="1556"/>
      <c r="G305" s="665"/>
      <c r="H305" s="1553"/>
      <c r="Q305" s="665"/>
      <c r="Y305" s="1541"/>
    </row>
    <row customFormat="1" r="306" s="1548" spans="4:25">
      <c r="D306" s="1544"/>
      <c r="E306" s="665"/>
      <c r="F306" s="1556"/>
      <c r="G306" s="665"/>
      <c r="H306" s="1553"/>
      <c r="Q306" s="665"/>
      <c r="Y306" s="1541"/>
    </row>
    <row customFormat="1" r="307" s="1548" spans="4:25">
      <c r="D307" s="1544"/>
      <c r="E307" s="665"/>
      <c r="F307" s="1556"/>
      <c r="G307" s="665"/>
      <c r="H307" s="1553"/>
      <c r="Q307" s="665"/>
      <c r="Y307" s="1541"/>
    </row>
    <row customFormat="1" r="308" s="1548" spans="4:25">
      <c r="D308" s="1544"/>
      <c r="E308" s="665"/>
      <c r="F308" s="1556"/>
      <c r="G308" s="665"/>
      <c r="H308" s="1553"/>
      <c r="Q308" s="665"/>
      <c r="Y308" s="1541"/>
    </row>
    <row customFormat="1" r="309" s="1548" spans="4:25">
      <c r="D309" s="1544"/>
      <c r="E309" s="665"/>
      <c r="F309" s="1556"/>
      <c r="G309" s="665"/>
      <c r="H309" s="1553"/>
      <c r="Q309" s="665"/>
      <c r="Y309" s="1541"/>
    </row>
    <row customFormat="1" r="310" s="1548" spans="4:25">
      <c r="D310" s="1544"/>
      <c r="E310" s="665"/>
      <c r="F310" s="1556"/>
      <c r="G310" s="665"/>
      <c r="H310" s="1553"/>
      <c r="Q310" s="665"/>
      <c r="Y310" s="1541"/>
    </row>
    <row customFormat="1" r="311" s="1548" spans="4:25">
      <c r="D311" s="1544"/>
      <c r="E311" s="665"/>
      <c r="F311" s="1556"/>
      <c r="G311" s="665"/>
      <c r="H311" s="1553"/>
      <c r="Q311" s="665"/>
      <c r="Y311" s="1541"/>
    </row>
    <row customFormat="1" r="312" s="1548" spans="4:25">
      <c r="D312" s="1544"/>
      <c r="E312" s="665"/>
      <c r="F312" s="1556"/>
      <c r="G312" s="665"/>
      <c r="H312" s="1553"/>
      <c r="Q312" s="665"/>
      <c r="Y312" s="1541"/>
    </row>
    <row customFormat="1" r="313" s="1548" spans="4:25">
      <c r="D313" s="1544"/>
      <c r="E313" s="665"/>
      <c r="F313" s="1556"/>
      <c r="G313" s="665"/>
      <c r="H313" s="1553"/>
      <c r="Q313" s="665"/>
      <c r="Y313" s="1541"/>
    </row>
    <row customFormat="1" r="314" s="1548" spans="4:25">
      <c r="D314" s="1544"/>
      <c r="E314" s="665"/>
      <c r="F314" s="1556"/>
      <c r="G314" s="665"/>
      <c r="H314" s="1553"/>
      <c r="Q314" s="665"/>
      <c r="Y314" s="1541"/>
    </row>
    <row customFormat="1" r="315" s="1548" spans="4:25">
      <c r="D315" s="1544"/>
      <c r="E315" s="665"/>
      <c r="F315" s="1556"/>
      <c r="G315" s="665"/>
      <c r="H315" s="1553"/>
      <c r="Q315" s="665"/>
      <c r="Y315" s="1541"/>
    </row>
    <row customFormat="1" r="316" s="1548" spans="4:25">
      <c r="D316" s="1544"/>
      <c r="E316" s="665"/>
      <c r="F316" s="1556"/>
      <c r="G316" s="665"/>
      <c r="H316" s="1553"/>
      <c r="Q316" s="665"/>
      <c r="Y316" s="1541"/>
    </row>
    <row customFormat="1" r="317" s="1548" spans="4:25">
      <c r="D317" s="1544"/>
      <c r="E317" s="665"/>
      <c r="F317" s="1556"/>
      <c r="G317" s="665"/>
      <c r="H317" s="1553"/>
      <c r="Q317" s="665"/>
      <c r="Y317" s="1541"/>
    </row>
    <row customFormat="1" r="318" s="1548" spans="4:25">
      <c r="D318" s="1544"/>
      <c r="E318" s="665"/>
      <c r="F318" s="1556"/>
      <c r="G318" s="665"/>
      <c r="H318" s="1553"/>
      <c r="Q318" s="665"/>
      <c r="Y318" s="1541"/>
    </row>
    <row customFormat="1" r="319" s="1548" spans="4:25">
      <c r="D319" s="1544"/>
      <c r="E319" s="665"/>
      <c r="F319" s="1556"/>
      <c r="G319" s="665"/>
      <c r="H319" s="1553"/>
      <c r="Q319" s="665"/>
      <c r="Y319" s="1541"/>
    </row>
    <row customFormat="1" r="320" s="1548" spans="4:25">
      <c r="D320" s="1544"/>
      <c r="E320" s="665"/>
      <c r="F320" s="1556"/>
      <c r="G320" s="665"/>
      <c r="H320" s="1553"/>
      <c r="Q320" s="665"/>
      <c r="Y320" s="1541"/>
    </row>
    <row customFormat="1" r="321" s="1548" spans="4:25">
      <c r="D321" s="1544"/>
      <c r="E321" s="665"/>
      <c r="F321" s="1556"/>
      <c r="G321" s="665"/>
      <c r="H321" s="1553"/>
      <c r="Q321" s="665"/>
      <c r="Y321" s="1541"/>
    </row>
    <row customFormat="1" r="322" s="1548" spans="4:25">
      <c r="D322" s="1544"/>
      <c r="E322" s="665"/>
      <c r="F322" s="1556"/>
      <c r="G322" s="665"/>
      <c r="H322" s="1553"/>
      <c r="Q322" s="665"/>
      <c r="Y322" s="1541"/>
    </row>
    <row customFormat="1" r="323" s="1548" spans="4:25">
      <c r="D323" s="1544"/>
      <c r="E323" s="665"/>
      <c r="F323" s="1556"/>
      <c r="G323" s="665"/>
      <c r="H323" s="1553"/>
      <c r="Q323" s="665"/>
      <c r="Y323" s="1541"/>
    </row>
    <row customFormat="1" r="324" s="1548" spans="4:25">
      <c r="D324" s="1544"/>
      <c r="E324" s="665"/>
      <c r="F324" s="1556"/>
      <c r="G324" s="665"/>
      <c r="H324" s="1553"/>
      <c r="Q324" s="665"/>
      <c r="Y324" s="1541"/>
    </row>
    <row customFormat="1" r="325" s="1548" spans="4:25">
      <c r="D325" s="1544"/>
      <c r="E325" s="665"/>
      <c r="F325" s="1556"/>
      <c r="G325" s="665"/>
      <c r="H325" s="1553"/>
      <c r="Q325" s="665"/>
      <c r="Y325" s="1541"/>
    </row>
    <row customFormat="1" r="326" s="1548" spans="4:25">
      <c r="D326" s="1544"/>
      <c r="E326" s="665"/>
      <c r="F326" s="1556"/>
      <c r="G326" s="665"/>
      <c r="H326" s="1553"/>
      <c r="Q326" s="665"/>
      <c r="Y326" s="1541"/>
    </row>
    <row customFormat="1" r="327" s="1548" spans="4:25">
      <c r="D327" s="1544"/>
      <c r="E327" s="665"/>
      <c r="F327" s="1556"/>
      <c r="G327" s="665"/>
      <c r="H327" s="1553"/>
      <c r="Q327" s="665"/>
      <c r="Y327" s="1541"/>
    </row>
    <row customFormat="1" r="328" s="1548" spans="4:25">
      <c r="D328" s="1544"/>
      <c r="E328" s="665"/>
      <c r="F328" s="1556"/>
      <c r="G328" s="665"/>
      <c r="H328" s="1553"/>
      <c r="Q328" s="665"/>
      <c r="Y328" s="1541"/>
    </row>
    <row customFormat="1" r="329" s="1548" spans="4:25">
      <c r="D329" s="1544"/>
      <c r="E329" s="665"/>
      <c r="F329" s="1556"/>
      <c r="G329" s="665"/>
      <c r="H329" s="1553"/>
      <c r="Q329" s="665"/>
      <c r="Y329" s="1541"/>
    </row>
    <row customFormat="1" r="330" s="1548" spans="4:25">
      <c r="D330" s="1544"/>
      <c r="E330" s="665"/>
      <c r="F330" s="1556"/>
      <c r="G330" s="665"/>
      <c r="H330" s="1553"/>
      <c r="Q330" s="665"/>
      <c r="Y330" s="1541"/>
    </row>
    <row customFormat="1" r="331" s="1548" spans="4:25">
      <c r="D331" s="1544"/>
      <c r="E331" s="665"/>
      <c r="F331" s="1556"/>
      <c r="G331" s="665"/>
      <c r="H331" s="1553"/>
      <c r="Q331" s="665"/>
      <c r="Y331" s="1541"/>
    </row>
    <row customFormat="1" r="332" s="1548" spans="4:25">
      <c r="D332" s="1544"/>
      <c r="E332" s="665"/>
      <c r="F332" s="1556"/>
      <c r="G332" s="665"/>
      <c r="H332" s="1553"/>
      <c r="Q332" s="665"/>
      <c r="Y332" s="1541"/>
    </row>
    <row customFormat="1" r="333" s="1548" spans="4:25">
      <c r="D333" s="1544"/>
      <c r="E333" s="665"/>
      <c r="F333" s="1556"/>
      <c r="G333" s="665"/>
      <c r="H333" s="1553"/>
      <c r="Q333" s="665"/>
      <c r="Y333" s="1541"/>
    </row>
    <row customFormat="1" r="334" s="1548" spans="4:25">
      <c r="D334" s="1544"/>
      <c r="E334" s="665"/>
      <c r="F334" s="1556"/>
      <c r="G334" s="665"/>
      <c r="H334" s="1553"/>
      <c r="Q334" s="665"/>
      <c r="Y334" s="1541"/>
    </row>
    <row customFormat="1" r="335" s="1548" spans="4:25">
      <c r="D335" s="1544"/>
      <c r="E335" s="665"/>
      <c r="F335" s="1556"/>
      <c r="G335" s="665"/>
      <c r="H335" s="1553"/>
      <c r="Q335" s="665"/>
      <c r="Y335" s="1541"/>
    </row>
    <row customFormat="1" r="336" s="1548" spans="4:25">
      <c r="D336" s="1544"/>
      <c r="E336" s="665"/>
      <c r="F336" s="1556"/>
      <c r="G336" s="665"/>
      <c r="H336" s="1553"/>
      <c r="Q336" s="665"/>
      <c r="Y336" s="1541"/>
    </row>
    <row customFormat="1" r="337" s="1548" spans="4:25">
      <c r="D337" s="1544"/>
      <c r="E337" s="665"/>
      <c r="F337" s="1556"/>
      <c r="G337" s="665"/>
      <c r="H337" s="1553"/>
      <c r="Q337" s="665"/>
      <c r="Y337" s="1541"/>
    </row>
    <row customFormat="1" r="338" s="1548" spans="4:25">
      <c r="D338" s="1544"/>
      <c r="E338" s="665"/>
      <c r="F338" s="1556"/>
      <c r="G338" s="665"/>
      <c r="H338" s="1553"/>
      <c r="Q338" s="665"/>
      <c r="Y338" s="1541"/>
    </row>
    <row customFormat="1" r="339" s="1548" spans="4:25">
      <c r="D339" s="1544"/>
      <c r="E339" s="665"/>
      <c r="F339" s="1556"/>
      <c r="G339" s="665"/>
      <c r="H339" s="1553"/>
      <c r="Q339" s="665"/>
      <c r="Y339" s="1541"/>
    </row>
    <row customFormat="1" r="340" s="1548" spans="4:25">
      <c r="D340" s="1544"/>
      <c r="E340" s="665"/>
      <c r="F340" s="1556"/>
      <c r="G340" s="665"/>
      <c r="H340" s="1553"/>
      <c r="Q340" s="665"/>
      <c r="Y340" s="1541"/>
    </row>
    <row customFormat="1" r="341" s="1548" spans="4:25">
      <c r="D341" s="1544"/>
      <c r="E341" s="665"/>
      <c r="F341" s="1556"/>
      <c r="G341" s="665"/>
      <c r="H341" s="1553"/>
      <c r="Q341" s="665"/>
      <c r="Y341" s="1541"/>
    </row>
    <row customFormat="1" r="342" s="1548" spans="4:25">
      <c r="D342" s="1544"/>
      <c r="E342" s="665"/>
      <c r="F342" s="1556"/>
      <c r="G342" s="665"/>
      <c r="H342" s="1553"/>
      <c r="Q342" s="665"/>
      <c r="Y342" s="1541"/>
    </row>
    <row customFormat="1" r="343" s="1548" spans="4:25">
      <c r="D343" s="1544"/>
      <c r="E343" s="665"/>
      <c r="F343" s="1556"/>
      <c r="G343" s="665"/>
      <c r="H343" s="1553"/>
      <c r="Q343" s="665"/>
      <c r="Y343" s="1541"/>
    </row>
    <row customFormat="1" r="344" s="1548" spans="4:25">
      <c r="D344" s="1544"/>
      <c r="E344" s="665"/>
      <c r="F344" s="1556"/>
      <c r="G344" s="665"/>
      <c r="H344" s="1553"/>
      <c r="Q344" s="665"/>
      <c r="Y344" s="1541"/>
    </row>
    <row customFormat="1" r="345" s="1548" spans="4:25">
      <c r="D345" s="1544"/>
      <c r="E345" s="665"/>
      <c r="F345" s="1556"/>
      <c r="G345" s="665"/>
      <c r="H345" s="1553"/>
      <c r="Q345" s="665"/>
      <c r="Y345" s="1541"/>
    </row>
    <row customFormat="1" r="346" s="1548" spans="4:25">
      <c r="D346" s="1544"/>
      <c r="E346" s="665"/>
      <c r="F346" s="1556"/>
      <c r="G346" s="665"/>
      <c r="H346" s="1553"/>
      <c r="Q346" s="665"/>
      <c r="Y346" s="1541"/>
    </row>
    <row customFormat="1" r="347" s="1548" spans="4:25">
      <c r="D347" s="1544"/>
      <c r="E347" s="665"/>
      <c r="F347" s="1556"/>
      <c r="G347" s="665"/>
      <c r="H347" s="1553"/>
      <c r="Q347" s="665"/>
      <c r="Y347" s="1541"/>
    </row>
    <row customFormat="1" r="348" s="1548" spans="4:25">
      <c r="D348" s="1544"/>
      <c r="E348" s="665"/>
      <c r="F348" s="1556"/>
      <c r="G348" s="665"/>
      <c r="H348" s="1553"/>
      <c r="Q348" s="665"/>
      <c r="Y348" s="1541"/>
    </row>
    <row customFormat="1" r="349" s="1548" spans="4:25">
      <c r="D349" s="1544"/>
      <c r="E349" s="665"/>
      <c r="F349" s="1556"/>
      <c r="G349" s="665"/>
      <c r="H349" s="1553"/>
      <c r="Q349" s="665"/>
      <c r="Y349" s="1541"/>
    </row>
    <row customFormat="1" r="350" s="1548" spans="4:25">
      <c r="D350" s="1544"/>
      <c r="E350" s="665"/>
      <c r="F350" s="1556"/>
      <c r="G350" s="665"/>
      <c r="H350" s="1553"/>
      <c r="Q350" s="665"/>
      <c r="Y350" s="1541"/>
    </row>
    <row customFormat="1" r="351" s="1548" spans="4:25">
      <c r="D351" s="1544"/>
      <c r="E351" s="665"/>
      <c r="F351" s="1556"/>
      <c r="G351" s="665"/>
      <c r="H351" s="1553"/>
      <c r="Q351" s="665"/>
      <c r="Y351" s="1541"/>
    </row>
    <row customFormat="1" r="352" s="1548" spans="4:25">
      <c r="D352" s="1544"/>
      <c r="E352" s="665"/>
      <c r="F352" s="1556"/>
      <c r="G352" s="665"/>
      <c r="H352" s="1553"/>
      <c r="Q352" s="665"/>
      <c r="Y352" s="1541"/>
    </row>
    <row customFormat="1" r="353" s="1548" spans="4:25">
      <c r="D353" s="1544"/>
      <c r="E353" s="665"/>
      <c r="F353" s="1556"/>
      <c r="G353" s="665"/>
      <c r="H353" s="1553"/>
      <c r="Q353" s="665"/>
      <c r="Y353" s="1541"/>
    </row>
    <row customFormat="1" r="354" s="1548" spans="4:25">
      <c r="D354" s="1544"/>
      <c r="E354" s="665"/>
      <c r="F354" s="1556"/>
      <c r="G354" s="665"/>
      <c r="H354" s="1553"/>
      <c r="Q354" s="665"/>
      <c r="Y354" s="1541"/>
    </row>
    <row customFormat="1" r="355" s="1548" spans="4:25">
      <c r="D355" s="1544"/>
      <c r="E355" s="665"/>
      <c r="F355" s="1556"/>
      <c r="G355" s="665"/>
      <c r="H355" s="1553"/>
      <c r="Q355" s="665"/>
      <c r="Y355" s="1541"/>
    </row>
    <row customFormat="1" r="356" s="1548" spans="4:25">
      <c r="D356" s="1544"/>
      <c r="E356" s="665"/>
      <c r="F356" s="1556"/>
      <c r="G356" s="665"/>
      <c r="H356" s="1553"/>
      <c r="Q356" s="665"/>
      <c r="Y356" s="1541"/>
    </row>
    <row customFormat="1" r="357" s="1548" spans="4:25">
      <c r="D357" s="1544"/>
      <c r="E357" s="665"/>
      <c r="F357" s="1556"/>
      <c r="G357" s="665"/>
      <c r="H357" s="1553"/>
      <c r="Q357" s="665"/>
      <c r="Y357" s="1541"/>
    </row>
    <row customFormat="1" r="358" s="1548" spans="4:25">
      <c r="D358" s="1544"/>
      <c r="E358" s="665"/>
      <c r="F358" s="1556"/>
      <c r="G358" s="665"/>
      <c r="H358" s="1553"/>
      <c r="Q358" s="665"/>
      <c r="Y358" s="1541"/>
    </row>
    <row customFormat="1" r="359" s="1548" spans="4:25">
      <c r="D359" s="1544"/>
      <c r="E359" s="665"/>
      <c r="F359" s="1556"/>
      <c r="G359" s="665"/>
      <c r="H359" s="1553"/>
      <c r="Q359" s="665"/>
      <c r="Y359" s="1541"/>
    </row>
    <row customFormat="1" r="360" s="1548" spans="4:25">
      <c r="D360" s="1544"/>
      <c r="E360" s="665"/>
      <c r="F360" s="1556"/>
      <c r="G360" s="665"/>
      <c r="H360" s="1553"/>
      <c r="Q360" s="665"/>
      <c r="Y360" s="1541"/>
    </row>
    <row customFormat="1" r="361" s="1548" spans="4:25">
      <c r="D361" s="1544"/>
      <c r="E361" s="665"/>
      <c r="F361" s="1556"/>
      <c r="G361" s="665"/>
      <c r="H361" s="1553"/>
      <c r="Q361" s="665"/>
      <c r="Y361" s="1541"/>
    </row>
    <row customFormat="1" r="362" s="1548" spans="4:25">
      <c r="D362" s="1544"/>
      <c r="E362" s="665"/>
      <c r="F362" s="1556"/>
      <c r="G362" s="665"/>
      <c r="H362" s="1553"/>
      <c r="Q362" s="665"/>
      <c r="Y362" s="1541"/>
    </row>
    <row customFormat="1" r="363" s="1548" spans="4:25">
      <c r="D363" s="1544"/>
      <c r="E363" s="665"/>
      <c r="F363" s="1556"/>
      <c r="G363" s="665"/>
      <c r="H363" s="1553"/>
      <c r="Q363" s="665"/>
      <c r="Y363" s="1541"/>
    </row>
    <row customFormat="1" r="364" s="1548" spans="4:25">
      <c r="D364" s="1544"/>
      <c r="E364" s="665"/>
      <c r="F364" s="1556"/>
      <c r="G364" s="665"/>
      <c r="H364" s="1553"/>
      <c r="Q364" s="665"/>
      <c r="Y364" s="1541"/>
    </row>
    <row customFormat="1" r="365" s="1548" spans="4:25">
      <c r="D365" s="1544"/>
      <c r="E365" s="665"/>
      <c r="F365" s="1556"/>
      <c r="G365" s="665"/>
      <c r="H365" s="1553"/>
      <c r="Q365" s="665"/>
      <c r="Y365" s="1541"/>
    </row>
    <row customFormat="1" r="366" s="1548" spans="4:25">
      <c r="D366" s="1544"/>
      <c r="E366" s="665"/>
      <c r="F366" s="1556"/>
      <c r="G366" s="665"/>
      <c r="H366" s="1553"/>
      <c r="Q366" s="665"/>
      <c r="Y366" s="1541"/>
    </row>
    <row customFormat="1" r="367" s="1548" spans="4:25">
      <c r="D367" s="1544"/>
      <c r="E367" s="665"/>
      <c r="F367" s="1556"/>
      <c r="G367" s="665"/>
      <c r="H367" s="1553"/>
      <c r="Q367" s="665"/>
      <c r="Y367" s="1541"/>
    </row>
    <row customFormat="1" r="368" s="1548" spans="4:25">
      <c r="D368" s="1544"/>
      <c r="E368" s="665"/>
      <c r="F368" s="1556"/>
      <c r="G368" s="665"/>
      <c r="H368" s="1553"/>
      <c r="Q368" s="665"/>
      <c r="Y368" s="1541"/>
    </row>
    <row customFormat="1" r="369" s="1548" spans="4:25">
      <c r="D369" s="1544"/>
      <c r="E369" s="665"/>
      <c r="F369" s="1556"/>
      <c r="G369" s="665"/>
      <c r="H369" s="1553"/>
      <c r="Q369" s="665"/>
      <c r="Y369" s="1541"/>
    </row>
    <row customFormat="1" r="370" s="1548" spans="4:25">
      <c r="D370" s="1544"/>
      <c r="E370" s="665"/>
      <c r="F370" s="1556"/>
      <c r="G370" s="665"/>
      <c r="H370" s="1553"/>
      <c r="Q370" s="665"/>
      <c r="Y370" s="1541"/>
    </row>
    <row customFormat="1" r="371" s="1548" spans="4:25">
      <c r="D371" s="1544"/>
      <c r="E371" s="665"/>
      <c r="F371" s="1556"/>
      <c r="G371" s="665"/>
      <c r="H371" s="1553"/>
      <c r="Q371" s="665"/>
      <c r="Y371" s="1541"/>
    </row>
    <row customFormat="1" r="372" s="1548" spans="4:25">
      <c r="D372" s="1544"/>
      <c r="E372" s="665"/>
      <c r="F372" s="1556"/>
      <c r="G372" s="665"/>
      <c r="H372" s="1553"/>
      <c r="Q372" s="665"/>
      <c r="Y372" s="1541"/>
    </row>
    <row customFormat="1" r="373" s="1548" spans="4:25">
      <c r="D373" s="1544"/>
      <c r="E373" s="665"/>
      <c r="F373" s="1556"/>
      <c r="G373" s="665"/>
      <c r="H373" s="1553"/>
      <c r="Q373" s="665"/>
      <c r="Y373" s="1541"/>
    </row>
    <row customFormat="1" r="374" s="1548" spans="4:25">
      <c r="D374" s="1544"/>
      <c r="E374" s="665"/>
      <c r="F374" s="1556"/>
      <c r="G374" s="665"/>
      <c r="H374" s="1553"/>
      <c r="Q374" s="665"/>
      <c r="Y374" s="1541"/>
    </row>
    <row customFormat="1" r="375" s="1548" spans="4:25">
      <c r="D375" s="1544"/>
      <c r="E375" s="665"/>
      <c r="F375" s="1556"/>
      <c r="G375" s="665"/>
      <c r="H375" s="1553"/>
      <c r="Q375" s="665"/>
      <c r="Y375" s="1541"/>
    </row>
    <row customFormat="1" r="376" s="1548" spans="4:25">
      <c r="D376" s="1544"/>
      <c r="E376" s="665"/>
      <c r="F376" s="1556"/>
      <c r="G376" s="665"/>
      <c r="H376" s="1553"/>
      <c r="Q376" s="665"/>
      <c r="Y376" s="1541"/>
    </row>
    <row customFormat="1" r="377" s="1548" spans="4:25">
      <c r="D377" s="1544"/>
      <c r="E377" s="665"/>
      <c r="F377" s="1556"/>
      <c r="G377" s="665"/>
      <c r="H377" s="1553"/>
      <c r="Q377" s="665"/>
      <c r="Y377" s="1541"/>
    </row>
    <row customFormat="1" r="378" s="1548" spans="4:25">
      <c r="D378" s="1544"/>
      <c r="E378" s="665"/>
      <c r="F378" s="1556"/>
      <c r="G378" s="665"/>
      <c r="H378" s="1553"/>
      <c r="Q378" s="665"/>
      <c r="Y378" s="1541"/>
    </row>
    <row customFormat="1" r="379" s="1548" spans="4:25">
      <c r="D379" s="1544"/>
      <c r="E379" s="665"/>
      <c r="F379" s="1556"/>
      <c r="G379" s="665"/>
      <c r="H379" s="1553"/>
      <c r="Q379" s="665"/>
      <c r="Y379" s="1541"/>
    </row>
    <row customFormat="1" r="380" s="1548" spans="4:25">
      <c r="D380" s="1544"/>
      <c r="E380" s="665"/>
      <c r="F380" s="1556"/>
      <c r="G380" s="665"/>
      <c r="H380" s="1553"/>
      <c r="Q380" s="665"/>
      <c r="Y380" s="1541"/>
    </row>
    <row customFormat="1" r="381" s="1548" spans="4:25">
      <c r="D381" s="1544"/>
      <c r="E381" s="665"/>
      <c r="F381" s="1556"/>
      <c r="G381" s="665"/>
      <c r="H381" s="1553"/>
      <c r="Q381" s="665"/>
      <c r="Y381" s="1541"/>
    </row>
    <row customFormat="1" r="382" s="1548" spans="4:25">
      <c r="D382" s="1544"/>
      <c r="E382" s="665"/>
      <c r="F382" s="1556"/>
      <c r="G382" s="665"/>
      <c r="H382" s="1553"/>
      <c r="Q382" s="665"/>
      <c r="Y382" s="1541"/>
    </row>
    <row customFormat="1" r="383" s="1548" spans="4:25">
      <c r="D383" s="1544"/>
      <c r="E383" s="665"/>
      <c r="F383" s="1556"/>
      <c r="G383" s="665"/>
      <c r="H383" s="1553"/>
      <c r="Q383" s="665"/>
      <c r="Y383" s="1541"/>
    </row>
    <row customFormat="1" r="384" s="1548" spans="4:25">
      <c r="D384" s="1544"/>
      <c r="E384" s="665"/>
      <c r="F384" s="1556"/>
      <c r="G384" s="665"/>
      <c r="H384" s="1553"/>
      <c r="Q384" s="665"/>
      <c r="Y384" s="1541"/>
    </row>
    <row customFormat="1" r="385" s="1548" spans="4:25">
      <c r="D385" s="1544"/>
      <c r="E385" s="665"/>
      <c r="F385" s="1556"/>
      <c r="G385" s="665"/>
      <c r="H385" s="1553"/>
      <c r="Q385" s="665"/>
      <c r="Y385" s="1541"/>
    </row>
    <row customFormat="1" r="386" s="1548" spans="4:25">
      <c r="D386" s="1544"/>
      <c r="E386" s="665"/>
      <c r="F386" s="1556"/>
      <c r="G386" s="665"/>
      <c r="H386" s="1553"/>
      <c r="Q386" s="665"/>
      <c r="Y386" s="1541"/>
    </row>
    <row customFormat="1" r="387" s="1548" spans="4:25">
      <c r="D387" s="1544"/>
      <c r="E387" s="665"/>
      <c r="F387" s="1556"/>
      <c r="G387" s="665"/>
      <c r="H387" s="1553"/>
      <c r="Q387" s="665"/>
      <c r="Y387" s="1541"/>
    </row>
    <row customFormat="1" r="388" s="1548" spans="4:25">
      <c r="D388" s="1544"/>
      <c r="E388" s="665"/>
      <c r="F388" s="1556"/>
      <c r="G388" s="665"/>
      <c r="H388" s="1553"/>
      <c r="Q388" s="665"/>
      <c r="Y388" s="1541"/>
    </row>
    <row customFormat="1" r="389" s="1548" spans="4:25">
      <c r="D389" s="1544"/>
      <c r="E389" s="665"/>
      <c r="F389" s="1556"/>
      <c r="G389" s="665"/>
      <c r="H389" s="1553"/>
      <c r="Q389" s="665"/>
      <c r="Y389" s="1541"/>
    </row>
    <row customFormat="1" r="390" s="1548" spans="4:25">
      <c r="D390" s="1544"/>
      <c r="E390" s="665"/>
      <c r="F390" s="1556"/>
      <c r="G390" s="665"/>
      <c r="H390" s="1553"/>
      <c r="Q390" s="665"/>
      <c r="Y390" s="1541"/>
    </row>
    <row customFormat="1" r="391" s="1548" spans="4:25">
      <c r="D391" s="1544"/>
      <c r="E391" s="665"/>
      <c r="F391" s="1556"/>
      <c r="G391" s="665"/>
      <c r="H391" s="1553"/>
      <c r="Q391" s="665"/>
      <c r="Y391" s="1541"/>
    </row>
    <row customFormat="1" r="392" s="1548" spans="4:25">
      <c r="D392" s="1544"/>
      <c r="E392" s="665"/>
      <c r="F392" s="1556"/>
      <c r="G392" s="665"/>
      <c r="H392" s="1553"/>
      <c r="Q392" s="665"/>
      <c r="Y392" s="1541"/>
    </row>
    <row customFormat="1" r="393" s="1548" spans="4:25">
      <c r="D393" s="1544"/>
      <c r="E393" s="665"/>
      <c r="F393" s="1556"/>
      <c r="G393" s="665"/>
      <c r="H393" s="1553"/>
      <c r="Q393" s="665"/>
      <c r="Y393" s="1541"/>
    </row>
    <row customFormat="1" r="394" s="1548" spans="4:25">
      <c r="D394" s="1544"/>
      <c r="E394" s="665"/>
      <c r="F394" s="1556"/>
      <c r="G394" s="665"/>
      <c r="H394" s="1553"/>
      <c r="Q394" s="665"/>
      <c r="Y394" s="1541"/>
    </row>
    <row customFormat="1" r="395" s="1548" spans="4:25">
      <c r="D395" s="1544"/>
      <c r="E395" s="665"/>
      <c r="F395" s="1556"/>
      <c r="G395" s="665"/>
      <c r="H395" s="1553"/>
      <c r="Q395" s="665"/>
      <c r="Y395" s="1541"/>
    </row>
    <row customFormat="1" r="396" s="1548" spans="4:25">
      <c r="D396" s="1544"/>
      <c r="E396" s="665"/>
      <c r="F396" s="1556"/>
      <c r="G396" s="665"/>
      <c r="H396" s="1553"/>
      <c r="Q396" s="665"/>
      <c r="Y396" s="1541"/>
    </row>
    <row customFormat="1" r="397" s="1548" spans="4:25">
      <c r="D397" s="1544"/>
      <c r="E397" s="665"/>
      <c r="F397" s="1556"/>
      <c r="G397" s="665"/>
      <c r="H397" s="1553"/>
      <c r="Q397" s="665"/>
      <c r="Y397" s="1541"/>
    </row>
    <row customFormat="1" r="398" s="1548" spans="4:25">
      <c r="D398" s="1544"/>
      <c r="E398" s="665"/>
      <c r="F398" s="1556"/>
      <c r="G398" s="665"/>
      <c r="H398" s="1553"/>
      <c r="Q398" s="665"/>
      <c r="Y398" s="1541"/>
    </row>
    <row customFormat="1" r="399" s="1548" spans="4:25">
      <c r="D399" s="1544"/>
      <c r="E399" s="665"/>
      <c r="F399" s="1556"/>
      <c r="G399" s="665"/>
      <c r="H399" s="1553"/>
      <c r="Q399" s="665"/>
      <c r="Y399" s="1541"/>
    </row>
    <row customFormat="1" r="400" s="1548" spans="4:25">
      <c r="D400" s="1544"/>
      <c r="E400" s="665"/>
      <c r="F400" s="1556"/>
      <c r="G400" s="665"/>
      <c r="H400" s="1553"/>
      <c r="Q400" s="665"/>
      <c r="Y400" s="1541"/>
    </row>
    <row customFormat="1" r="401" s="1548" spans="4:25">
      <c r="D401" s="1544"/>
      <c r="E401" s="665"/>
      <c r="F401" s="1556"/>
      <c r="G401" s="665"/>
      <c r="H401" s="1553"/>
      <c r="Q401" s="665"/>
      <c r="Y401" s="1541"/>
    </row>
    <row customFormat="1" r="402" s="1548" spans="4:25">
      <c r="D402" s="1544"/>
      <c r="E402" s="665"/>
      <c r="F402" s="1556"/>
      <c r="G402" s="665"/>
      <c r="H402" s="1553"/>
      <c r="Q402" s="665"/>
      <c r="Y402" s="1541"/>
    </row>
    <row customFormat="1" r="403" s="1548" spans="4:25">
      <c r="D403" s="1544"/>
      <c r="E403" s="665"/>
      <c r="F403" s="1556"/>
      <c r="G403" s="665"/>
      <c r="H403" s="1553"/>
      <c r="Q403" s="665"/>
      <c r="Y403" s="1541"/>
    </row>
    <row customFormat="1" r="404" s="1548" spans="4:25">
      <c r="D404" s="1544"/>
      <c r="E404" s="665"/>
      <c r="F404" s="1556"/>
      <c r="G404" s="665"/>
      <c r="H404" s="1553"/>
      <c r="Q404" s="665"/>
      <c r="Y404" s="1541"/>
    </row>
    <row customFormat="1" r="405" s="1548" spans="4:25">
      <c r="D405" s="1544"/>
      <c r="E405" s="665"/>
      <c r="F405" s="1556"/>
      <c r="G405" s="665"/>
      <c r="H405" s="1553"/>
      <c r="Q405" s="665"/>
      <c r="Y405" s="1541"/>
    </row>
    <row customFormat="1" r="406" s="1548" spans="4:25">
      <c r="D406" s="1544"/>
      <c r="E406" s="665"/>
      <c r="F406" s="1556"/>
      <c r="G406" s="665"/>
      <c r="H406" s="1553"/>
      <c r="Q406" s="665"/>
      <c r="Y406" s="1541"/>
    </row>
    <row customFormat="1" r="407" s="1548" spans="4:25">
      <c r="D407" s="1544"/>
      <c r="E407" s="665"/>
      <c r="F407" s="1556"/>
      <c r="G407" s="665"/>
      <c r="H407" s="1553"/>
      <c r="Q407" s="665"/>
      <c r="Y407" s="1541"/>
    </row>
    <row customFormat="1" r="408" s="1548" spans="4:25">
      <c r="D408" s="1544"/>
      <c r="E408" s="665"/>
      <c r="F408" s="1556"/>
      <c r="G408" s="665"/>
      <c r="H408" s="1553"/>
      <c r="Q408" s="665"/>
      <c r="Y408" s="1541"/>
    </row>
    <row customFormat="1" r="409" s="1548" spans="4:25">
      <c r="D409" s="1544"/>
      <c r="E409" s="665"/>
      <c r="F409" s="1556"/>
      <c r="G409" s="665"/>
      <c r="H409" s="1553"/>
      <c r="Q409" s="665"/>
      <c r="Y409" s="1541"/>
    </row>
    <row customFormat="1" r="410" s="1548" spans="4:25">
      <c r="D410" s="1544"/>
      <c r="E410" s="665"/>
      <c r="F410" s="1556"/>
      <c r="G410" s="665"/>
      <c r="H410" s="1553"/>
      <c r="Q410" s="665"/>
      <c r="Y410" s="1541"/>
    </row>
    <row customFormat="1" r="411" s="1548" spans="4:25">
      <c r="D411" s="1544"/>
      <c r="E411" s="665"/>
      <c r="F411" s="1556"/>
      <c r="G411" s="665"/>
      <c r="H411" s="1553"/>
      <c r="Q411" s="665"/>
      <c r="Y411" s="1541"/>
    </row>
    <row customFormat="1" r="412" s="1548" spans="4:25">
      <c r="D412" s="1544"/>
      <c r="E412" s="665"/>
      <c r="F412" s="1556"/>
      <c r="G412" s="665"/>
      <c r="H412" s="1553"/>
      <c r="Q412" s="665"/>
      <c r="Y412" s="1541"/>
    </row>
    <row customFormat="1" r="413" s="1548" spans="4:25">
      <c r="D413" s="1544"/>
      <c r="E413" s="665"/>
      <c r="F413" s="1556"/>
      <c r="G413" s="665"/>
      <c r="H413" s="1553"/>
      <c r="Q413" s="665"/>
      <c r="Y413" s="1541"/>
    </row>
    <row customFormat="1" r="414" s="1548" spans="4:25">
      <c r="D414" s="1544"/>
      <c r="E414" s="665"/>
      <c r="F414" s="1556"/>
      <c r="G414" s="665"/>
      <c r="H414" s="1553"/>
      <c r="Q414" s="665"/>
      <c r="Y414" s="1541"/>
    </row>
    <row customFormat="1" r="415" s="1548" spans="4:25">
      <c r="D415" s="1544"/>
      <c r="E415" s="665"/>
      <c r="F415" s="1556"/>
      <c r="G415" s="665"/>
      <c r="H415" s="1553"/>
      <c r="Q415" s="665"/>
      <c r="Y415" s="1541"/>
    </row>
    <row customFormat="1" r="416" s="1548" spans="4:25">
      <c r="D416" s="1544"/>
      <c r="E416" s="665"/>
      <c r="F416" s="1556"/>
      <c r="G416" s="665"/>
      <c r="H416" s="1553"/>
      <c r="Q416" s="665"/>
      <c r="Y416" s="1541"/>
    </row>
    <row customFormat="1" r="417" s="1548" spans="4:25">
      <c r="D417" s="1544"/>
      <c r="E417" s="665"/>
      <c r="F417" s="1556"/>
      <c r="G417" s="665"/>
      <c r="H417" s="1553"/>
      <c r="Q417" s="665"/>
      <c r="Y417" s="1541"/>
    </row>
    <row customFormat="1" r="418" s="1548" spans="4:25">
      <c r="D418" s="1544"/>
      <c r="E418" s="665"/>
      <c r="F418" s="1556"/>
      <c r="G418" s="665"/>
      <c r="H418" s="1553"/>
      <c r="Q418" s="665"/>
      <c r="Y418" s="1541"/>
    </row>
    <row customFormat="1" r="419" s="1548" spans="4:25">
      <c r="D419" s="1544"/>
      <c r="E419" s="665"/>
      <c r="F419" s="1556"/>
      <c r="G419" s="665"/>
      <c r="H419" s="1553"/>
      <c r="Q419" s="665"/>
      <c r="Y419" s="1541"/>
    </row>
    <row customFormat="1" r="420" s="1548" spans="4:25">
      <c r="D420" s="1544"/>
      <c r="E420" s="665"/>
      <c r="F420" s="1556"/>
      <c r="G420" s="665"/>
      <c r="H420" s="1553"/>
      <c r="Q420" s="665"/>
      <c r="Y420" s="1541"/>
    </row>
    <row customFormat="1" r="421" s="1548" spans="4:25">
      <c r="D421" s="1544"/>
      <c r="E421" s="665"/>
      <c r="F421" s="1556"/>
      <c r="G421" s="665"/>
      <c r="H421" s="1553"/>
      <c r="Q421" s="665"/>
      <c r="Y421" s="1541"/>
    </row>
    <row customFormat="1" r="422" s="1548" spans="4:25">
      <c r="D422" s="1544"/>
      <c r="E422" s="665"/>
      <c r="F422" s="1556"/>
      <c r="G422" s="665"/>
      <c r="H422" s="1553"/>
      <c r="Q422" s="665"/>
      <c r="Y422" s="1541"/>
    </row>
    <row customFormat="1" r="423" s="1548" spans="4:25">
      <c r="D423" s="1544"/>
      <c r="E423" s="665"/>
      <c r="F423" s="1556"/>
      <c r="G423" s="665"/>
      <c r="H423" s="1553"/>
      <c r="Q423" s="665"/>
      <c r="Y423" s="1541"/>
    </row>
    <row customFormat="1" r="424" s="1548" spans="4:25">
      <c r="D424" s="1544"/>
      <c r="E424" s="665"/>
      <c r="F424" s="1556"/>
      <c r="G424" s="665"/>
      <c r="H424" s="1553"/>
      <c r="Q424" s="665"/>
      <c r="Y424" s="1541"/>
    </row>
    <row customFormat="1" r="425" s="1548" spans="4:25">
      <c r="D425" s="1544"/>
      <c r="E425" s="665"/>
      <c r="F425" s="1556"/>
      <c r="G425" s="665"/>
      <c r="H425" s="1553"/>
      <c r="Q425" s="665"/>
      <c r="Y425" s="1541"/>
    </row>
    <row customFormat="1" r="426" s="1548" spans="4:25">
      <c r="D426" s="1544"/>
      <c r="E426" s="665"/>
      <c r="F426" s="1556"/>
      <c r="G426" s="665"/>
      <c r="H426" s="1553"/>
      <c r="Q426" s="665"/>
      <c r="Y426" s="1541"/>
    </row>
    <row customFormat="1" r="427" s="1548" spans="4:25">
      <c r="D427" s="1544"/>
      <c r="E427" s="665"/>
      <c r="F427" s="1556"/>
      <c r="G427" s="665"/>
      <c r="H427" s="1553"/>
      <c r="Q427" s="665"/>
      <c r="Y427" s="1541"/>
    </row>
    <row customFormat="1" r="428" s="1548" spans="4:25">
      <c r="D428" s="1544"/>
      <c r="E428" s="665"/>
      <c r="F428" s="1556"/>
      <c r="G428" s="665"/>
      <c r="H428" s="1553"/>
      <c r="Q428" s="665"/>
      <c r="Y428" s="1541"/>
    </row>
    <row customFormat="1" r="429" s="1548" spans="4:25">
      <c r="D429" s="1544"/>
      <c r="E429" s="665"/>
      <c r="F429" s="1556"/>
      <c r="G429" s="665"/>
      <c r="H429" s="1553"/>
      <c r="Q429" s="665"/>
      <c r="Y429" s="1541"/>
    </row>
    <row customFormat="1" r="430" s="1548" spans="4:25">
      <c r="D430" s="1544"/>
      <c r="E430" s="665"/>
      <c r="F430" s="1556"/>
      <c r="G430" s="665"/>
      <c r="H430" s="1553"/>
      <c r="Q430" s="665"/>
      <c r="Y430" s="1541"/>
    </row>
    <row customFormat="1" r="431" s="1548" spans="4:25">
      <c r="D431" s="1544"/>
      <c r="E431" s="665"/>
      <c r="F431" s="1556"/>
      <c r="G431" s="665"/>
      <c r="H431" s="1553"/>
      <c r="Q431" s="665"/>
      <c r="Y431" s="1541"/>
    </row>
    <row customFormat="1" r="432" s="1548" spans="4:25">
      <c r="D432" s="1544"/>
      <c r="E432" s="665"/>
      <c r="F432" s="1556"/>
      <c r="G432" s="665"/>
      <c r="H432" s="1553"/>
      <c r="Q432" s="665"/>
      <c r="Y432" s="1541"/>
    </row>
    <row customFormat="1" r="433" s="1548" spans="4:25">
      <c r="D433" s="1544"/>
      <c r="E433" s="665"/>
      <c r="F433" s="1556"/>
      <c r="G433" s="665"/>
      <c r="H433" s="1553"/>
      <c r="Q433" s="665"/>
      <c r="Y433" s="1541"/>
    </row>
    <row customFormat="1" r="434" s="1548" spans="4:25">
      <c r="D434" s="1544"/>
      <c r="E434" s="665"/>
      <c r="F434" s="1556"/>
      <c r="G434" s="665"/>
      <c r="H434" s="1553"/>
      <c r="Q434" s="665"/>
      <c r="Y434" s="1541"/>
    </row>
    <row customFormat="1" r="435" s="1548" spans="4:25">
      <c r="D435" s="1544"/>
      <c r="E435" s="665"/>
      <c r="F435" s="1556"/>
      <c r="G435" s="665"/>
      <c r="H435" s="1553"/>
      <c r="Q435" s="665"/>
      <c r="Y435" s="1541"/>
    </row>
    <row customFormat="1" r="436" s="1548" spans="4:25">
      <c r="D436" s="1544"/>
      <c r="E436" s="665"/>
      <c r="F436" s="1556"/>
      <c r="G436" s="665"/>
      <c r="H436" s="1553"/>
      <c r="Q436" s="665"/>
      <c r="Y436" s="1541"/>
    </row>
    <row customFormat="1" r="437" s="1548" spans="4:25">
      <c r="D437" s="1544"/>
      <c r="E437" s="665"/>
      <c r="F437" s="1556"/>
      <c r="G437" s="665"/>
      <c r="H437" s="1553"/>
      <c r="Q437" s="665"/>
      <c r="Y437" s="1541"/>
    </row>
    <row customFormat="1" r="438" s="1548" spans="4:25">
      <c r="D438" s="1544"/>
      <c r="E438" s="665"/>
      <c r="F438" s="1556"/>
      <c r="G438" s="665"/>
      <c r="H438" s="1553"/>
      <c r="Q438" s="665"/>
      <c r="Y438" s="1541"/>
    </row>
    <row customFormat="1" r="439" s="1548" spans="4:25">
      <c r="D439" s="1544"/>
      <c r="E439" s="665"/>
      <c r="F439" s="1556"/>
      <c r="G439" s="665"/>
      <c r="H439" s="1553"/>
      <c r="Q439" s="665"/>
      <c r="Y439" s="1541"/>
    </row>
    <row customFormat="1" r="440" s="1548" spans="4:25">
      <c r="D440" s="1544"/>
      <c r="E440" s="665"/>
      <c r="F440" s="1556"/>
      <c r="G440" s="665"/>
      <c r="H440" s="1553"/>
      <c r="Q440" s="665"/>
      <c r="Y440" s="1541"/>
    </row>
    <row customFormat="1" r="441" s="1548" spans="4:25">
      <c r="D441" s="1544"/>
      <c r="E441" s="665"/>
      <c r="F441" s="1556"/>
      <c r="G441" s="665"/>
      <c r="H441" s="1553"/>
      <c r="Q441" s="665"/>
      <c r="Y441" s="1541"/>
    </row>
    <row customFormat="1" r="442" s="1548" spans="4:25">
      <c r="D442" s="1544"/>
      <c r="E442" s="665"/>
      <c r="F442" s="1556"/>
      <c r="G442" s="665"/>
      <c r="H442" s="1553"/>
      <c r="Q442" s="665"/>
      <c r="Y442" s="1541"/>
    </row>
    <row customFormat="1" r="443" s="1548" spans="4:25">
      <c r="D443" s="1544"/>
      <c r="E443" s="665"/>
      <c r="F443" s="1556"/>
      <c r="G443" s="665"/>
      <c r="H443" s="1553"/>
      <c r="Q443" s="665"/>
      <c r="Y443" s="1541"/>
    </row>
    <row customFormat="1" r="444" s="1548" spans="4:25">
      <c r="D444" s="1544"/>
      <c r="E444" s="665"/>
      <c r="F444" s="1556"/>
      <c r="G444" s="665"/>
      <c r="H444" s="1553"/>
      <c r="Q444" s="665"/>
      <c r="Y444" s="1541"/>
    </row>
    <row customFormat="1" r="445" s="1548" spans="4:25">
      <c r="D445" s="1544"/>
      <c r="E445" s="665"/>
      <c r="F445" s="1556"/>
      <c r="G445" s="665"/>
      <c r="H445" s="1553"/>
      <c r="Q445" s="665"/>
      <c r="Y445" s="1541"/>
    </row>
    <row customFormat="1" r="446" s="1548" spans="4:25">
      <c r="D446" s="1544"/>
      <c r="E446" s="665"/>
      <c r="F446" s="1556"/>
      <c r="G446" s="665"/>
      <c r="H446" s="1553"/>
      <c r="Q446" s="665"/>
      <c r="Y446" s="1541"/>
    </row>
    <row customFormat="1" r="447" s="1548" spans="4:25">
      <c r="D447" s="1544"/>
      <c r="E447" s="665"/>
      <c r="F447" s="1556"/>
      <c r="G447" s="665"/>
      <c r="H447" s="1553"/>
      <c r="Q447" s="665"/>
      <c r="Y447" s="1541"/>
    </row>
    <row customFormat="1" r="448" s="1548" spans="4:25">
      <c r="D448" s="1544"/>
      <c r="E448" s="665"/>
      <c r="F448" s="1556"/>
      <c r="G448" s="665"/>
      <c r="H448" s="1553"/>
      <c r="Q448" s="665"/>
      <c r="Y448" s="1541"/>
    </row>
    <row customFormat="1" r="449" s="1548" spans="4:25">
      <c r="D449" s="1544"/>
      <c r="E449" s="665"/>
      <c r="F449" s="1556"/>
      <c r="G449" s="665"/>
      <c r="H449" s="1553"/>
      <c r="Q449" s="665"/>
      <c r="Y449" s="1541"/>
    </row>
    <row customFormat="1" r="450" s="1548" spans="4:25">
      <c r="D450" s="1544"/>
      <c r="E450" s="665"/>
      <c r="F450" s="1556"/>
      <c r="G450" s="665"/>
      <c r="H450" s="1553"/>
      <c r="Q450" s="665"/>
      <c r="Y450" s="1541"/>
    </row>
    <row customFormat="1" r="451" s="1548" spans="4:25">
      <c r="D451" s="1544"/>
      <c r="E451" s="665"/>
      <c r="F451" s="1556"/>
      <c r="G451" s="665"/>
      <c r="H451" s="1553"/>
      <c r="Q451" s="665"/>
      <c r="Y451" s="1541"/>
    </row>
    <row customFormat="1" r="452" s="1548" spans="4:25">
      <c r="D452" s="1544"/>
      <c r="E452" s="665"/>
      <c r="F452" s="1556"/>
      <c r="G452" s="665"/>
      <c r="H452" s="1553"/>
      <c r="Q452" s="665"/>
      <c r="Y452" s="1541"/>
    </row>
    <row customFormat="1" r="453" s="1548" spans="4:25">
      <c r="D453" s="1544"/>
      <c r="E453" s="665"/>
      <c r="F453" s="1556"/>
      <c r="G453" s="665"/>
      <c r="H453" s="1553"/>
      <c r="Q453" s="665"/>
      <c r="Y453" s="1541"/>
    </row>
    <row customFormat="1" r="454" s="1548" spans="4:25">
      <c r="D454" s="1544"/>
      <c r="E454" s="665"/>
      <c r="F454" s="1556"/>
      <c r="G454" s="665"/>
      <c r="H454" s="1553"/>
      <c r="Q454" s="665"/>
      <c r="Y454" s="1541"/>
    </row>
    <row customFormat="1" r="455" s="1548" spans="4:25">
      <c r="D455" s="1544"/>
      <c r="E455" s="665"/>
      <c r="F455" s="1556"/>
      <c r="G455" s="665"/>
      <c r="H455" s="1553"/>
      <c r="Q455" s="665"/>
      <c r="Y455" s="1541"/>
    </row>
    <row customFormat="1" r="456" s="1548" spans="4:25">
      <c r="D456" s="1544"/>
      <c r="E456" s="665"/>
      <c r="F456" s="1556"/>
      <c r="G456" s="665"/>
      <c r="H456" s="1553"/>
      <c r="Q456" s="665"/>
      <c r="Y456" s="1541"/>
    </row>
    <row customFormat="1" r="457" s="1548" spans="4:25">
      <c r="D457" s="1544"/>
      <c r="E457" s="665"/>
      <c r="F457" s="1556"/>
      <c r="G457" s="665"/>
      <c r="H457" s="1553"/>
      <c r="Q457" s="665"/>
      <c r="Y457" s="1541"/>
    </row>
    <row customFormat="1" r="458" s="1548" spans="4:25">
      <c r="D458" s="1544"/>
      <c r="E458" s="665"/>
      <c r="F458" s="1556"/>
      <c r="G458" s="665"/>
      <c r="H458" s="1553"/>
      <c r="Q458" s="665"/>
      <c r="Y458" s="1541"/>
    </row>
    <row customFormat="1" r="459" s="1548" spans="4:25">
      <c r="D459" s="1544"/>
      <c r="E459" s="665"/>
      <c r="F459" s="1556"/>
      <c r="G459" s="665"/>
      <c r="H459" s="1553"/>
      <c r="Q459" s="665"/>
      <c r="Y459" s="1541"/>
    </row>
    <row customFormat="1" r="460" s="1548" spans="4:25">
      <c r="D460" s="1544"/>
      <c r="E460" s="665"/>
      <c r="F460" s="1556"/>
      <c r="G460" s="665"/>
      <c r="H460" s="1553"/>
      <c r="Q460" s="665"/>
      <c r="Y460" s="1541"/>
    </row>
    <row customFormat="1" r="461" s="1548" spans="4:25">
      <c r="D461" s="1544"/>
      <c r="E461" s="665"/>
      <c r="F461" s="1556"/>
      <c r="G461" s="665"/>
      <c r="H461" s="1553"/>
      <c r="Q461" s="665"/>
      <c r="Y461" s="1541"/>
    </row>
    <row customFormat="1" r="462" s="1548" spans="4:25">
      <c r="D462" s="1544"/>
      <c r="E462" s="665"/>
      <c r="F462" s="1556"/>
      <c r="G462" s="665"/>
      <c r="H462" s="1553"/>
      <c r="Q462" s="665"/>
      <c r="Y462" s="1541"/>
    </row>
    <row customFormat="1" r="463" s="1548" spans="4:25">
      <c r="D463" s="1544"/>
      <c r="E463" s="665"/>
      <c r="F463" s="1556"/>
      <c r="G463" s="665"/>
      <c r="H463" s="1553"/>
      <c r="Q463" s="665"/>
      <c r="Y463" s="1541"/>
    </row>
    <row customFormat="1" r="464" s="1548" spans="4:25">
      <c r="D464" s="1544"/>
      <c r="E464" s="665"/>
      <c r="F464" s="1556"/>
      <c r="G464" s="665"/>
      <c r="H464" s="1553"/>
      <c r="Q464" s="665"/>
      <c r="Y464" s="1541"/>
    </row>
    <row customFormat="1" r="465" s="1548" spans="4:25">
      <c r="D465" s="1544"/>
      <c r="E465" s="665"/>
      <c r="F465" s="1556"/>
      <c r="G465" s="665"/>
      <c r="H465" s="1553"/>
      <c r="Q465" s="665"/>
      <c r="Y465" s="1541"/>
    </row>
    <row customFormat="1" r="466" s="1548" spans="4:25">
      <c r="D466" s="1544"/>
      <c r="E466" s="665"/>
      <c r="F466" s="1556"/>
      <c r="G466" s="665"/>
      <c r="H466" s="1553"/>
      <c r="Q466" s="665"/>
      <c r="Y466" s="1541"/>
    </row>
    <row customFormat="1" r="467" s="1548" spans="4:25">
      <c r="D467" s="1544"/>
      <c r="E467" s="665"/>
      <c r="F467" s="1556"/>
      <c r="G467" s="665"/>
      <c r="H467" s="1553"/>
      <c r="Q467" s="665"/>
      <c r="Y467" s="1541"/>
    </row>
    <row customFormat="1" r="468" s="1548" spans="4:25">
      <c r="D468" s="1544"/>
      <c r="E468" s="665"/>
      <c r="F468" s="1556"/>
      <c r="G468" s="665"/>
      <c r="H468" s="1553"/>
      <c r="Q468" s="665"/>
      <c r="Y468" s="1541"/>
    </row>
    <row customFormat="1" r="469" s="1548" spans="4:25">
      <c r="D469" s="1544"/>
      <c r="E469" s="665"/>
      <c r="F469" s="1556"/>
      <c r="G469" s="665"/>
      <c r="H469" s="1553"/>
      <c r="Q469" s="665"/>
      <c r="Y469" s="1541"/>
    </row>
    <row customFormat="1" r="470" s="1548" spans="4:25">
      <c r="D470" s="1544"/>
      <c r="E470" s="665"/>
      <c r="F470" s="1556"/>
      <c r="G470" s="665"/>
      <c r="H470" s="1553"/>
      <c r="Q470" s="665"/>
      <c r="Y470" s="1541"/>
    </row>
    <row customFormat="1" r="471" s="1548" spans="4:25">
      <c r="D471" s="1544"/>
      <c r="E471" s="665"/>
      <c r="F471" s="1556"/>
      <c r="G471" s="665"/>
      <c r="H471" s="1553"/>
      <c r="Q471" s="665"/>
      <c r="Y471" s="1541"/>
    </row>
    <row customFormat="1" r="472" s="1548" spans="4:25">
      <c r="D472" s="1544"/>
      <c r="E472" s="665"/>
      <c r="F472" s="1556"/>
      <c r="G472" s="665"/>
      <c r="H472" s="1553"/>
      <c r="Q472" s="665"/>
      <c r="Y472" s="1541"/>
    </row>
    <row customFormat="1" r="473" s="1548" spans="4:25">
      <c r="D473" s="1544"/>
      <c r="E473" s="665"/>
      <c r="F473" s="1556"/>
      <c r="G473" s="665"/>
      <c r="H473" s="1553"/>
      <c r="Q473" s="665"/>
      <c r="Y473" s="1541"/>
    </row>
    <row customFormat="1" r="474" s="1548" spans="4:25">
      <c r="D474" s="1544"/>
      <c r="E474" s="665"/>
      <c r="F474" s="1556"/>
      <c r="G474" s="665"/>
      <c r="H474" s="1553"/>
      <c r="Q474" s="665"/>
      <c r="Y474" s="1541"/>
    </row>
    <row customFormat="1" r="475" s="1548" spans="4:25">
      <c r="D475" s="1544"/>
      <c r="E475" s="665"/>
      <c r="F475" s="1556"/>
      <c r="G475" s="665"/>
      <c r="H475" s="1553"/>
      <c r="Q475" s="665"/>
      <c r="Y475" s="1541"/>
    </row>
    <row customFormat="1" r="476" s="1548" spans="4:25">
      <c r="D476" s="1544"/>
      <c r="E476" s="665"/>
      <c r="F476" s="1556"/>
      <c r="G476" s="665"/>
      <c r="H476" s="1553"/>
      <c r="Q476" s="665"/>
      <c r="Y476" s="1541"/>
    </row>
    <row customFormat="1" r="477" s="1548" spans="4:25">
      <c r="D477" s="1544"/>
      <c r="E477" s="665"/>
      <c r="F477" s="1556"/>
      <c r="G477" s="665"/>
      <c r="H477" s="1553"/>
      <c r="Q477" s="665"/>
      <c r="Y477" s="1541"/>
    </row>
    <row customFormat="1" r="478" s="1548" spans="4:25">
      <c r="D478" s="1544"/>
      <c r="E478" s="665"/>
      <c r="F478" s="1556"/>
      <c r="G478" s="665"/>
      <c r="H478" s="1553"/>
      <c r="Q478" s="665"/>
      <c r="Y478" s="1541"/>
    </row>
    <row customFormat="1" r="479" s="1548" spans="4:25">
      <c r="D479" s="1544"/>
      <c r="E479" s="665"/>
      <c r="F479" s="1556"/>
      <c r="G479" s="665"/>
      <c r="H479" s="1553"/>
      <c r="Q479" s="665"/>
      <c r="Y479" s="1541"/>
    </row>
    <row customFormat="1" r="480" s="1548" spans="4:25">
      <c r="D480" s="1544"/>
      <c r="E480" s="665"/>
      <c r="F480" s="1556"/>
      <c r="G480" s="665"/>
      <c r="H480" s="1553"/>
      <c r="Q480" s="665"/>
      <c r="Y480" s="1541"/>
    </row>
    <row customFormat="1" r="481" s="1548" spans="4:25">
      <c r="D481" s="1544"/>
      <c r="E481" s="665"/>
      <c r="F481" s="1556"/>
      <c r="G481" s="665"/>
      <c r="H481" s="1553"/>
      <c r="Q481" s="665"/>
      <c r="Y481" s="1541"/>
    </row>
    <row customFormat="1" r="482" s="1548" spans="4:25">
      <c r="D482" s="1544"/>
      <c r="E482" s="665"/>
      <c r="F482" s="1556"/>
      <c r="G482" s="665"/>
      <c r="H482" s="1553"/>
      <c r="Q482" s="665"/>
      <c r="Y482" s="1541"/>
    </row>
    <row customFormat="1" r="483" s="1548" spans="4:25">
      <c r="D483" s="1544"/>
      <c r="E483" s="665"/>
      <c r="F483" s="1556"/>
      <c r="G483" s="665"/>
      <c r="H483" s="1553"/>
      <c r="Q483" s="665"/>
      <c r="Y483" s="1541"/>
    </row>
    <row customFormat="1" r="484" s="1548" spans="4:25">
      <c r="D484" s="1544"/>
      <c r="E484" s="665"/>
      <c r="F484" s="1556"/>
      <c r="G484" s="665"/>
      <c r="H484" s="1553"/>
      <c r="Q484" s="665"/>
      <c r="Y484" s="1541"/>
    </row>
    <row customFormat="1" r="485" s="1548" spans="4:25">
      <c r="D485" s="1544"/>
      <c r="E485" s="665"/>
      <c r="F485" s="1556"/>
      <c r="G485" s="665"/>
      <c r="H485" s="1553"/>
      <c r="Q485" s="665"/>
      <c r="Y485" s="1541"/>
    </row>
    <row customFormat="1" r="486" s="1548" spans="4:25">
      <c r="D486" s="1544"/>
      <c r="E486" s="665"/>
      <c r="F486" s="1556"/>
      <c r="G486" s="665"/>
      <c r="H486" s="1553"/>
      <c r="Q486" s="665"/>
      <c r="Y486" s="1541"/>
    </row>
    <row customFormat="1" r="487" s="1548" spans="4:25">
      <c r="D487" s="1544"/>
      <c r="E487" s="665"/>
      <c r="F487" s="1556"/>
      <c r="G487" s="665"/>
      <c r="H487" s="1553"/>
      <c r="Q487" s="665"/>
      <c r="Y487" s="1541"/>
    </row>
    <row customFormat="1" r="488" s="1548" spans="4:25">
      <c r="D488" s="1544"/>
      <c r="E488" s="665"/>
      <c r="F488" s="1556"/>
      <c r="G488" s="665"/>
      <c r="H488" s="1553"/>
      <c r="Q488" s="665"/>
      <c r="Y488" s="1541"/>
    </row>
    <row customFormat="1" r="489" s="1548" spans="4:25">
      <c r="D489" s="1544"/>
      <c r="E489" s="665"/>
      <c r="F489" s="1556"/>
      <c r="G489" s="665"/>
      <c r="H489" s="1553"/>
      <c r="Q489" s="665"/>
      <c r="Y489" s="1541"/>
    </row>
    <row customFormat="1" r="490" s="1548" spans="4:25">
      <c r="D490" s="1544"/>
      <c r="E490" s="665"/>
      <c r="F490" s="1556"/>
      <c r="G490" s="665"/>
      <c r="H490" s="1553"/>
      <c r="Q490" s="665"/>
      <c r="Y490" s="1541"/>
    </row>
    <row customFormat="1" r="491" s="1548" spans="4:25">
      <c r="D491" s="1544"/>
      <c r="E491" s="665"/>
      <c r="F491" s="1556"/>
      <c r="G491" s="665"/>
      <c r="H491" s="1553"/>
      <c r="Q491" s="665"/>
      <c r="Y491" s="1541"/>
    </row>
    <row customFormat="1" r="492" s="1548" spans="4:25">
      <c r="D492" s="1544"/>
      <c r="E492" s="665"/>
      <c r="F492" s="1556"/>
      <c r="G492" s="665"/>
      <c r="H492" s="1553"/>
      <c r="Q492" s="665"/>
      <c r="Y492" s="1541"/>
    </row>
    <row customFormat="1" r="493" s="1548" spans="4:25">
      <c r="D493" s="1544"/>
      <c r="E493" s="665"/>
      <c r="F493" s="1556"/>
      <c r="G493" s="665"/>
      <c r="H493" s="1553"/>
      <c r="Q493" s="665"/>
      <c r="Y493" s="1541"/>
    </row>
    <row customFormat="1" r="494" s="1548" spans="4:25">
      <c r="D494" s="1544"/>
      <c r="E494" s="665"/>
      <c r="F494" s="1556"/>
      <c r="G494" s="665"/>
      <c r="H494" s="1553"/>
      <c r="Q494" s="665"/>
      <c r="Y494" s="1541"/>
    </row>
    <row customFormat="1" r="495" s="1548" spans="4:25">
      <c r="D495" s="1544"/>
      <c r="E495" s="665"/>
      <c r="F495" s="1556"/>
      <c r="G495" s="665"/>
      <c r="H495" s="1553"/>
      <c r="Q495" s="665"/>
      <c r="Y495" s="1541"/>
    </row>
    <row customFormat="1" r="496" s="1548" spans="4:25">
      <c r="D496" s="1544"/>
      <c r="E496" s="665"/>
      <c r="F496" s="1556"/>
      <c r="G496" s="665"/>
      <c r="H496" s="1553"/>
      <c r="Q496" s="665"/>
      <c r="Y496" s="1541"/>
    </row>
    <row customFormat="1" r="497" s="1548" spans="4:25">
      <c r="D497" s="1544"/>
      <c r="E497" s="665"/>
      <c r="F497" s="1556"/>
      <c r="G497" s="665"/>
      <c r="H497" s="1553"/>
      <c r="Q497" s="665"/>
      <c r="Y497" s="1541"/>
    </row>
    <row customFormat="1" r="498" s="1548" spans="4:25">
      <c r="D498" s="1544"/>
      <c r="E498" s="665"/>
      <c r="F498" s="1556"/>
      <c r="G498" s="665"/>
      <c r="H498" s="1553"/>
      <c r="Q498" s="665"/>
      <c r="Y498" s="1541"/>
    </row>
    <row customFormat="1" r="499" s="1548" spans="4:25">
      <c r="D499" s="1544"/>
      <c r="E499" s="665"/>
      <c r="F499" s="1556"/>
      <c r="G499" s="665"/>
      <c r="H499" s="1553"/>
      <c r="Q499" s="665"/>
      <c r="Y499" s="1541"/>
    </row>
    <row customFormat="1" r="500" s="1548" spans="4:25">
      <c r="D500" s="1544"/>
      <c r="E500" s="665"/>
      <c r="F500" s="1556"/>
      <c r="G500" s="665"/>
      <c r="H500" s="1553"/>
      <c r="Q500" s="665"/>
      <c r="Y500" s="1541"/>
    </row>
    <row customFormat="1" r="501" s="1548" spans="4:25">
      <c r="D501" s="1544"/>
      <c r="E501" s="665"/>
      <c r="F501" s="1556"/>
      <c r="G501" s="665"/>
      <c r="H501" s="1553"/>
      <c r="Q501" s="665"/>
      <c r="Y501" s="1541"/>
    </row>
    <row customFormat="1" r="502" s="1548" spans="4:25">
      <c r="D502" s="1544"/>
      <c r="E502" s="665"/>
      <c r="F502" s="1556"/>
      <c r="G502" s="665"/>
      <c r="H502" s="1553"/>
      <c r="Q502" s="665"/>
      <c r="Y502" s="1541"/>
    </row>
    <row customFormat="1" r="503" s="1548" spans="4:25">
      <c r="D503" s="1544"/>
      <c r="E503" s="665"/>
      <c r="F503" s="1556"/>
      <c r="G503" s="665"/>
      <c r="H503" s="1553"/>
      <c r="Q503" s="665"/>
      <c r="Y503" s="1541"/>
    </row>
    <row customFormat="1" r="504" s="1548" spans="4:25">
      <c r="D504" s="1544"/>
      <c r="E504" s="665"/>
      <c r="F504" s="1556"/>
      <c r="G504" s="665"/>
      <c r="H504" s="1553"/>
      <c r="Q504" s="665"/>
      <c r="Y504" s="1541"/>
    </row>
    <row customFormat="1" r="505" s="1548" spans="4:25">
      <c r="D505" s="1544"/>
      <c r="E505" s="665"/>
      <c r="F505" s="1556"/>
      <c r="G505" s="665"/>
      <c r="H505" s="1553"/>
      <c r="Q505" s="665"/>
      <c r="Y505" s="1541"/>
    </row>
    <row customFormat="1" r="506" s="1548" spans="4:25">
      <c r="D506" s="1544"/>
      <c r="E506" s="665"/>
      <c r="F506" s="1556"/>
      <c r="G506" s="665"/>
      <c r="H506" s="1553"/>
      <c r="Q506" s="665"/>
      <c r="Y506" s="1541"/>
    </row>
    <row customFormat="1" r="507" s="1548" spans="4:25">
      <c r="D507" s="1544"/>
      <c r="E507" s="665"/>
      <c r="F507" s="1556"/>
      <c r="G507" s="665"/>
      <c r="H507" s="1553"/>
      <c r="Q507" s="665"/>
      <c r="Y507" s="1541"/>
    </row>
    <row customFormat="1" r="508" s="1548" spans="4:25">
      <c r="D508" s="1544"/>
      <c r="E508" s="665"/>
      <c r="F508" s="1556"/>
      <c r="G508" s="665"/>
      <c r="H508" s="1553"/>
      <c r="Q508" s="665"/>
      <c r="Y508" s="1541"/>
    </row>
    <row customFormat="1" r="509" s="1548" spans="4:25">
      <c r="D509" s="1544"/>
      <c r="E509" s="665"/>
      <c r="F509" s="1556"/>
      <c r="G509" s="665"/>
      <c r="H509" s="1553"/>
      <c r="Q509" s="665"/>
      <c r="Y509" s="1541"/>
    </row>
    <row customFormat="1" r="510" s="1548" spans="4:25">
      <c r="D510" s="1544"/>
      <c r="E510" s="665"/>
      <c r="F510" s="1556"/>
      <c r="G510" s="665"/>
      <c r="H510" s="1553"/>
      <c r="Q510" s="665"/>
      <c r="Y510" s="1541"/>
    </row>
    <row customFormat="1" r="511" s="1548" spans="4:25">
      <c r="D511" s="1544"/>
      <c r="E511" s="665"/>
      <c r="F511" s="1556"/>
      <c r="G511" s="665"/>
      <c r="H511" s="1553"/>
      <c r="Q511" s="665"/>
      <c r="Y511" s="1541"/>
    </row>
    <row customFormat="1" r="512" s="1548" spans="4:25">
      <c r="D512" s="1544"/>
      <c r="E512" s="665"/>
      <c r="F512" s="1556"/>
      <c r="G512" s="665"/>
      <c r="H512" s="1553"/>
      <c r="Q512" s="665"/>
      <c r="Y512" s="1541"/>
    </row>
    <row customFormat="1" r="513" s="1548" spans="4:25">
      <c r="D513" s="1544"/>
      <c r="E513" s="665"/>
      <c r="F513" s="1556"/>
      <c r="G513" s="665"/>
      <c r="H513" s="1553"/>
      <c r="Q513" s="665"/>
      <c r="Y513" s="1541"/>
    </row>
    <row customFormat="1" r="514" s="1548" spans="4:25">
      <c r="D514" s="1544"/>
      <c r="E514" s="665"/>
      <c r="F514" s="1556"/>
      <c r="G514" s="665"/>
      <c r="H514" s="1553"/>
      <c r="Q514" s="665"/>
      <c r="Y514" s="1541"/>
    </row>
    <row customFormat="1" r="515" s="1548" spans="4:25">
      <c r="D515" s="1544"/>
      <c r="E515" s="665"/>
      <c r="F515" s="1556"/>
      <c r="G515" s="665"/>
      <c r="H515" s="1553"/>
      <c r="Q515" s="665"/>
      <c r="Y515" s="1541"/>
    </row>
    <row customFormat="1" r="516" s="1548" spans="4:25">
      <c r="D516" s="1544"/>
      <c r="E516" s="665"/>
      <c r="F516" s="1556"/>
      <c r="G516" s="665"/>
      <c r="H516" s="1553"/>
      <c r="Q516" s="665"/>
      <c r="Y516" s="1541"/>
    </row>
    <row customFormat="1" r="517" s="1548" spans="4:25">
      <c r="D517" s="1544"/>
      <c r="E517" s="665"/>
      <c r="F517" s="1556"/>
      <c r="G517" s="665"/>
      <c r="H517" s="1553"/>
      <c r="Q517" s="665"/>
      <c r="Y517" s="1541"/>
    </row>
    <row customFormat="1" r="518" s="1548" spans="4:25">
      <c r="D518" s="1544"/>
      <c r="E518" s="665"/>
      <c r="F518" s="1556"/>
      <c r="G518" s="665"/>
      <c r="H518" s="1553"/>
      <c r="Q518" s="665"/>
      <c r="Y518" s="1541"/>
    </row>
    <row customFormat="1" r="519" s="1548" spans="4:25">
      <c r="D519" s="1544"/>
      <c r="E519" s="665"/>
      <c r="F519" s="1556"/>
      <c r="G519" s="665"/>
      <c r="H519" s="1553"/>
      <c r="Q519" s="665"/>
      <c r="Y519" s="1541"/>
    </row>
    <row customFormat="1" r="520" s="1548" spans="4:25">
      <c r="D520" s="1544"/>
      <c r="E520" s="665"/>
      <c r="F520" s="1556"/>
      <c r="G520" s="665"/>
      <c r="H520" s="1553"/>
      <c r="Q520" s="665"/>
      <c r="Y520" s="1541"/>
    </row>
    <row customFormat="1" r="521" s="1548" spans="4:25">
      <c r="D521" s="1544"/>
      <c r="E521" s="665"/>
      <c r="F521" s="1556"/>
      <c r="G521" s="665"/>
      <c r="H521" s="1553"/>
      <c r="Q521" s="665"/>
      <c r="Y521" s="1541"/>
    </row>
    <row customFormat="1" r="522" s="1548" spans="4:25">
      <c r="D522" s="1544"/>
      <c r="E522" s="665"/>
      <c r="F522" s="1556"/>
      <c r="G522" s="665"/>
      <c r="H522" s="1553"/>
      <c r="Q522" s="665"/>
      <c r="Y522" s="1541"/>
    </row>
    <row customFormat="1" r="523" s="1548" spans="4:25">
      <c r="D523" s="1544"/>
      <c r="E523" s="665"/>
      <c r="F523" s="1556"/>
      <c r="G523" s="665"/>
      <c r="H523" s="1553"/>
      <c r="Q523" s="665"/>
      <c r="Y523" s="1541"/>
    </row>
    <row customFormat="1" r="524" s="1548" spans="4:25">
      <c r="D524" s="1544"/>
      <c r="E524" s="665"/>
      <c r="F524" s="1556"/>
      <c r="G524" s="665"/>
      <c r="H524" s="1553"/>
      <c r="Q524" s="665"/>
      <c r="Y524" s="1541"/>
    </row>
    <row customFormat="1" r="525" s="1548" spans="4:25">
      <c r="D525" s="1544"/>
      <c r="E525" s="665"/>
      <c r="F525" s="1556"/>
      <c r="G525" s="665"/>
      <c r="H525" s="1553"/>
      <c r="Q525" s="665"/>
      <c r="Y525" s="1541"/>
    </row>
    <row customFormat="1" r="526" s="1548" spans="4:25">
      <c r="D526" s="1544"/>
      <c r="E526" s="665"/>
      <c r="F526" s="1556"/>
      <c r="G526" s="665"/>
      <c r="H526" s="1553"/>
      <c r="Q526" s="665"/>
      <c r="Y526" s="1541"/>
    </row>
    <row customFormat="1" r="527" s="1548" spans="4:25">
      <c r="D527" s="1544"/>
      <c r="E527" s="665"/>
      <c r="F527" s="1556"/>
      <c r="G527" s="665"/>
      <c r="H527" s="1553"/>
      <c r="Q527" s="665"/>
      <c r="Y527" s="1541"/>
    </row>
    <row customFormat="1" r="528" s="1548" spans="4:25">
      <c r="D528" s="1544"/>
      <c r="E528" s="665"/>
      <c r="F528" s="1556"/>
      <c r="G528" s="665"/>
      <c r="H528" s="1553"/>
      <c r="Q528" s="665"/>
      <c r="Y528" s="1541"/>
    </row>
    <row customFormat="1" r="529" s="1548" spans="4:25">
      <c r="D529" s="1544"/>
      <c r="E529" s="665"/>
      <c r="F529" s="1556"/>
      <c r="G529" s="665"/>
      <c r="H529" s="1553"/>
      <c r="Q529" s="665"/>
      <c r="Y529" s="1541"/>
    </row>
    <row customFormat="1" r="530" s="1548" spans="4:25">
      <c r="D530" s="1544"/>
      <c r="E530" s="665"/>
      <c r="F530" s="1556"/>
      <c r="G530" s="665"/>
      <c r="H530" s="1553"/>
      <c r="Q530" s="665"/>
      <c r="Y530" s="1541"/>
    </row>
    <row customFormat="1" r="531" s="1548" spans="4:25">
      <c r="D531" s="1544"/>
      <c r="E531" s="665"/>
      <c r="F531" s="1556"/>
      <c r="G531" s="665"/>
      <c r="H531" s="1553"/>
      <c r="Q531" s="665"/>
      <c r="Y531" s="1541"/>
    </row>
    <row customFormat="1" r="532" s="1548" spans="4:25">
      <c r="D532" s="1544"/>
      <c r="E532" s="665"/>
      <c r="F532" s="1556"/>
      <c r="G532" s="665"/>
      <c r="H532" s="1553"/>
      <c r="Q532" s="665"/>
      <c r="Y532" s="1541"/>
    </row>
    <row customFormat="1" r="533" s="1548" spans="4:25">
      <c r="D533" s="1544"/>
      <c r="E533" s="665"/>
      <c r="F533" s="1556"/>
      <c r="G533" s="665"/>
      <c r="H533" s="1553"/>
      <c r="Q533" s="665"/>
      <c r="Y533" s="1541"/>
    </row>
    <row customFormat="1" r="534" s="1548" spans="4:25">
      <c r="D534" s="1544"/>
      <c r="E534" s="665"/>
      <c r="F534" s="1556"/>
      <c r="G534" s="665"/>
      <c r="H534" s="1553"/>
      <c r="Q534" s="665"/>
      <c r="Y534" s="1541"/>
    </row>
    <row customFormat="1" r="535" s="1548" spans="4:25">
      <c r="D535" s="1544"/>
      <c r="E535" s="665"/>
      <c r="F535" s="1556"/>
      <c r="G535" s="665"/>
      <c r="H535" s="1553"/>
      <c r="Q535" s="665"/>
      <c r="Y535" s="1541"/>
    </row>
    <row customFormat="1" r="536" s="1548" spans="4:25">
      <c r="D536" s="1544"/>
      <c r="E536" s="665"/>
      <c r="F536" s="1556"/>
      <c r="G536" s="665"/>
      <c r="H536" s="1553"/>
      <c r="Q536" s="665"/>
      <c r="Y536" s="1541"/>
    </row>
    <row customFormat="1" r="537" s="1548" spans="4:25">
      <c r="D537" s="1544"/>
      <c r="E537" s="665"/>
      <c r="F537" s="1556"/>
      <c r="G537" s="665"/>
      <c r="H537" s="1553"/>
      <c r="Q537" s="665"/>
      <c r="Y537" s="1541"/>
    </row>
    <row customFormat="1" r="538" s="1548" spans="4:25">
      <c r="D538" s="1544"/>
      <c r="E538" s="665"/>
      <c r="F538" s="1556"/>
      <c r="G538" s="665"/>
      <c r="H538" s="1553"/>
      <c r="Q538" s="665"/>
      <c r="Y538" s="1541"/>
    </row>
    <row customFormat="1" r="539" s="1548" spans="4:25">
      <c r="D539" s="1544"/>
      <c r="E539" s="665"/>
      <c r="F539" s="1556"/>
      <c r="G539" s="665"/>
      <c r="H539" s="1553"/>
      <c r="Q539" s="665"/>
      <c r="Y539" s="1541"/>
    </row>
    <row customFormat="1" r="540" s="1548" spans="4:25">
      <c r="D540" s="1544"/>
      <c r="E540" s="665"/>
      <c r="F540" s="1556"/>
      <c r="G540" s="665"/>
      <c r="H540" s="1553"/>
      <c r="Q540" s="665"/>
      <c r="Y540" s="1541"/>
    </row>
    <row customFormat="1" r="541" s="1548" spans="4:25">
      <c r="D541" s="1544"/>
      <c r="E541" s="665"/>
      <c r="F541" s="1556"/>
      <c r="G541" s="665"/>
      <c r="H541" s="1553"/>
      <c r="Q541" s="665"/>
      <c r="Y541" s="1541"/>
    </row>
    <row customFormat="1" r="542" s="1548" spans="4:25">
      <c r="D542" s="1544"/>
      <c r="E542" s="665"/>
      <c r="F542" s="1556"/>
      <c r="G542" s="665"/>
      <c r="H542" s="1553"/>
      <c r="Q542" s="665"/>
      <c r="Y542" s="1541"/>
    </row>
    <row customFormat="1" r="543" s="1548" spans="4:25">
      <c r="D543" s="1544"/>
      <c r="E543" s="665"/>
      <c r="F543" s="1556"/>
      <c r="G543" s="665"/>
      <c r="H543" s="1553"/>
      <c r="Q543" s="665"/>
      <c r="Y543" s="1541"/>
    </row>
    <row customFormat="1" r="544" s="1548" spans="4:25">
      <c r="D544" s="1544"/>
      <c r="E544" s="665"/>
      <c r="F544" s="1556"/>
      <c r="G544" s="665"/>
      <c r="H544" s="1553"/>
      <c r="Q544" s="665"/>
      <c r="Y544" s="1541"/>
    </row>
    <row customFormat="1" r="545" s="1548" spans="4:25">
      <c r="D545" s="1544"/>
      <c r="E545" s="665"/>
      <c r="F545" s="1556"/>
      <c r="G545" s="665"/>
      <c r="H545" s="1553"/>
      <c r="Q545" s="665"/>
      <c r="Y545" s="1541"/>
    </row>
    <row customFormat="1" r="546" s="1548" spans="4:25">
      <c r="D546" s="1544"/>
      <c r="E546" s="665"/>
      <c r="F546" s="1556"/>
      <c r="G546" s="665"/>
      <c r="H546" s="1553"/>
      <c r="Q546" s="665"/>
      <c r="Y546" s="1541"/>
    </row>
    <row customFormat="1" r="547" s="1548" spans="4:25">
      <c r="D547" s="1544"/>
      <c r="E547" s="665"/>
      <c r="F547" s="1556"/>
      <c r="G547" s="665"/>
      <c r="H547" s="1553"/>
      <c r="Q547" s="665"/>
      <c r="Y547" s="1541"/>
    </row>
    <row customFormat="1" r="548" s="1548" spans="4:25">
      <c r="D548" s="1544"/>
      <c r="E548" s="665"/>
      <c r="F548" s="1556"/>
      <c r="G548" s="665"/>
      <c r="H548" s="1553"/>
      <c r="Q548" s="665"/>
      <c r="Y548" s="1541"/>
    </row>
    <row customFormat="1" r="549" s="1548" spans="4:25">
      <c r="D549" s="1544"/>
      <c r="E549" s="665"/>
      <c r="F549" s="1556"/>
      <c r="G549" s="665"/>
      <c r="H549" s="1553"/>
      <c r="Q549" s="665"/>
      <c r="Y549" s="1541"/>
    </row>
    <row customFormat="1" r="550" s="1548" spans="4:25">
      <c r="D550" s="1544"/>
      <c r="E550" s="665"/>
      <c r="F550" s="1556"/>
      <c r="G550" s="665"/>
      <c r="H550" s="1553"/>
      <c r="Q550" s="665"/>
      <c r="Y550" s="1541"/>
    </row>
    <row customFormat="1" r="551" s="1548" spans="4:25">
      <c r="D551" s="1544"/>
      <c r="E551" s="665"/>
      <c r="F551" s="1556"/>
      <c r="G551" s="665"/>
      <c r="H551" s="1553"/>
      <c r="Q551" s="665"/>
      <c r="Y551" s="1541"/>
    </row>
    <row customFormat="1" r="552" s="1548" spans="4:25">
      <c r="D552" s="1544"/>
      <c r="E552" s="665"/>
      <c r="F552" s="1556"/>
      <c r="G552" s="665"/>
      <c r="H552" s="1553"/>
      <c r="Q552" s="665"/>
      <c r="Y552" s="1541"/>
    </row>
    <row customFormat="1" r="553" s="1548" spans="4:25">
      <c r="D553" s="1544"/>
      <c r="E553" s="665"/>
      <c r="F553" s="1556"/>
      <c r="G553" s="665"/>
      <c r="H553" s="1553"/>
      <c r="Q553" s="665"/>
      <c r="Y553" s="1541"/>
    </row>
    <row customFormat="1" r="554" s="1548" spans="4:25">
      <c r="D554" s="1544"/>
      <c r="E554" s="665"/>
      <c r="F554" s="1556"/>
      <c r="G554" s="665"/>
      <c r="H554" s="1553"/>
      <c r="Q554" s="665"/>
      <c r="Y554" s="1541"/>
    </row>
    <row customFormat="1" r="555" s="1548" spans="4:25">
      <c r="D555" s="1544"/>
      <c r="E555" s="665"/>
      <c r="F555" s="1556"/>
      <c r="G555" s="665"/>
      <c r="H555" s="1553"/>
      <c r="Q555" s="665"/>
      <c r="Y555" s="1541"/>
    </row>
    <row customFormat="1" r="556" s="1548" spans="4:25">
      <c r="D556" s="1544"/>
      <c r="E556" s="665"/>
      <c r="F556" s="1556"/>
      <c r="G556" s="665"/>
      <c r="H556" s="1553"/>
      <c r="Q556" s="665"/>
      <c r="Y556" s="1541"/>
    </row>
    <row customFormat="1" r="557" s="1548" spans="4:25">
      <c r="D557" s="1544"/>
      <c r="E557" s="665"/>
      <c r="F557" s="1556"/>
      <c r="G557" s="665"/>
      <c r="H557" s="1553"/>
      <c r="Q557" s="665"/>
      <c r="Y557" s="1541"/>
    </row>
    <row customFormat="1" r="558" s="1548" spans="4:25">
      <c r="D558" s="1544"/>
      <c r="E558" s="665"/>
      <c r="F558" s="1556"/>
      <c r="G558" s="665"/>
      <c r="H558" s="1553"/>
      <c r="Q558" s="665"/>
      <c r="Y558" s="1541"/>
    </row>
    <row customFormat="1" r="559" s="1548" spans="4:25">
      <c r="D559" s="1544"/>
      <c r="E559" s="665"/>
      <c r="F559" s="1556"/>
      <c r="G559" s="665"/>
      <c r="H559" s="1553"/>
      <c r="Q559" s="665"/>
      <c r="Y559" s="1541"/>
    </row>
    <row customFormat="1" r="560" s="1548" spans="4:25">
      <c r="D560" s="1544"/>
      <c r="E560" s="665"/>
      <c r="F560" s="1556"/>
      <c r="G560" s="665"/>
      <c r="H560" s="1553"/>
      <c r="Q560" s="665"/>
      <c r="Y560" s="1541"/>
    </row>
    <row customFormat="1" r="561" s="1548" spans="4:25">
      <c r="D561" s="1544"/>
      <c r="E561" s="665"/>
      <c r="F561" s="1556"/>
      <c r="G561" s="665"/>
      <c r="H561" s="1553"/>
      <c r="Q561" s="665"/>
      <c r="Y561" s="1541"/>
    </row>
    <row customFormat="1" r="562" s="1548" spans="4:25">
      <c r="D562" s="1544"/>
      <c r="E562" s="665"/>
      <c r="F562" s="1556"/>
      <c r="G562" s="665"/>
      <c r="H562" s="1553"/>
      <c r="Q562" s="665"/>
      <c r="Y562" s="1541"/>
    </row>
    <row customFormat="1" r="563" s="1548" spans="4:25">
      <c r="D563" s="1544"/>
      <c r="E563" s="665"/>
      <c r="F563" s="1556"/>
      <c r="G563" s="665"/>
      <c r="H563" s="1553"/>
      <c r="Q563" s="665"/>
      <c r="Y563" s="1541"/>
    </row>
    <row customFormat="1" r="564" s="1548" spans="4:25">
      <c r="D564" s="1544"/>
      <c r="E564" s="665"/>
      <c r="F564" s="1556"/>
      <c r="G564" s="665"/>
      <c r="H564" s="1553"/>
      <c r="Q564" s="665"/>
      <c r="Y564" s="1541"/>
    </row>
    <row customFormat="1" r="565" s="1548" spans="4:25">
      <c r="D565" s="1544"/>
      <c r="E565" s="665"/>
      <c r="F565" s="1556"/>
      <c r="G565" s="665"/>
      <c r="H565" s="1553"/>
      <c r="Q565" s="665"/>
      <c r="Y565" s="1541"/>
    </row>
    <row customFormat="1" r="566" s="1548" spans="4:25">
      <c r="D566" s="1544"/>
      <c r="E566" s="665"/>
      <c r="F566" s="1556"/>
      <c r="G566" s="665"/>
      <c r="H566" s="1553"/>
      <c r="Q566" s="665"/>
      <c r="Y566" s="1541"/>
    </row>
    <row customFormat="1" r="567" s="1548" spans="4:25">
      <c r="D567" s="1544"/>
      <c r="E567" s="665"/>
      <c r="F567" s="1556"/>
      <c r="G567" s="665"/>
      <c r="H567" s="1553"/>
      <c r="Q567" s="665"/>
      <c r="Y567" s="1541"/>
    </row>
    <row customFormat="1" r="568" s="1548" spans="4:25">
      <c r="D568" s="1544"/>
      <c r="E568" s="665"/>
      <c r="F568" s="1556"/>
      <c r="G568" s="665"/>
      <c r="H568" s="1553"/>
      <c r="Q568" s="665"/>
      <c r="Y568" s="1541"/>
    </row>
    <row customFormat="1" r="569" s="1548" spans="4:25">
      <c r="D569" s="1544"/>
      <c r="E569" s="665"/>
      <c r="F569" s="1556"/>
      <c r="G569" s="665"/>
      <c r="H569" s="1553"/>
      <c r="Q569" s="665"/>
      <c r="Y569" s="1541"/>
    </row>
    <row customFormat="1" r="570" s="1548" spans="4:25">
      <c r="D570" s="1544"/>
      <c r="E570" s="665"/>
      <c r="F570" s="1556"/>
      <c r="G570" s="665"/>
      <c r="H570" s="1553"/>
      <c r="Q570" s="665"/>
      <c r="Y570" s="1541"/>
    </row>
    <row customFormat="1" r="571" s="1548" spans="4:25">
      <c r="D571" s="1544"/>
      <c r="E571" s="665"/>
      <c r="F571" s="1556"/>
      <c r="G571" s="665"/>
      <c r="H571" s="1553"/>
      <c r="Q571" s="665"/>
      <c r="Y571" s="1541"/>
    </row>
    <row customFormat="1" r="572" s="1548" spans="4:25">
      <c r="D572" s="1544"/>
      <c r="E572" s="665"/>
      <c r="F572" s="1556"/>
      <c r="G572" s="665"/>
      <c r="H572" s="1553"/>
      <c r="Q572" s="665"/>
      <c r="Y572" s="1541"/>
    </row>
    <row customFormat="1" r="573" s="1548" spans="4:25">
      <c r="D573" s="1544"/>
      <c r="E573" s="665"/>
      <c r="F573" s="1556"/>
      <c r="G573" s="665"/>
      <c r="H573" s="1553"/>
      <c r="Q573" s="665"/>
      <c r="Y573" s="1541"/>
    </row>
    <row customFormat="1" r="574" s="1548" spans="4:25">
      <c r="D574" s="1544"/>
      <c r="E574" s="665"/>
      <c r="F574" s="1556"/>
      <c r="G574" s="665"/>
      <c r="H574" s="1553"/>
      <c r="Q574" s="665"/>
      <c r="Y574" s="1541"/>
    </row>
    <row customFormat="1" r="575" s="1548" spans="4:25">
      <c r="D575" s="1544"/>
      <c r="E575" s="665"/>
      <c r="F575" s="1556"/>
      <c r="G575" s="665"/>
      <c r="H575" s="1553"/>
      <c r="Q575" s="665"/>
      <c r="Y575" s="1541"/>
    </row>
    <row customFormat="1" r="576" s="1548" spans="4:25">
      <c r="D576" s="1544"/>
      <c r="E576" s="665"/>
      <c r="F576" s="1556"/>
      <c r="G576" s="665"/>
      <c r="H576" s="1553"/>
      <c r="Q576" s="665"/>
      <c r="Y576" s="1541"/>
    </row>
    <row customFormat="1" r="577" s="1548" spans="4:25">
      <c r="D577" s="1544"/>
      <c r="E577" s="665"/>
      <c r="F577" s="1556"/>
      <c r="G577" s="665"/>
      <c r="H577" s="1553"/>
      <c r="Q577" s="665"/>
      <c r="Y577" s="1541"/>
    </row>
    <row customFormat="1" r="578" s="1548" spans="4:25">
      <c r="D578" s="1544"/>
      <c r="E578" s="665"/>
      <c r="F578" s="1556"/>
      <c r="G578" s="665"/>
      <c r="H578" s="1553"/>
      <c r="Q578" s="665"/>
      <c r="Y578" s="1541"/>
    </row>
    <row customFormat="1" r="579" s="1548" spans="4:25">
      <c r="D579" s="1544"/>
      <c r="E579" s="665"/>
      <c r="F579" s="1556"/>
      <c r="G579" s="665"/>
      <c r="H579" s="1553"/>
      <c r="Q579" s="665"/>
      <c r="Y579" s="1541"/>
    </row>
    <row customFormat="1" r="580" s="1548" spans="4:25">
      <c r="D580" s="1544"/>
      <c r="E580" s="665"/>
      <c r="F580" s="1556"/>
      <c r="G580" s="665"/>
      <c r="H580" s="1553"/>
      <c r="Q580" s="665"/>
      <c r="Y580" s="1541"/>
    </row>
    <row customFormat="1" r="581" s="1548" spans="4:25">
      <c r="D581" s="1544"/>
      <c r="E581" s="665"/>
      <c r="F581" s="1556"/>
      <c r="G581" s="665"/>
      <c r="H581" s="1553"/>
      <c r="Q581" s="665"/>
      <c r="Y581" s="1541"/>
    </row>
    <row customFormat="1" r="582" s="1548" spans="4:25">
      <c r="D582" s="1544"/>
      <c r="E582" s="665"/>
      <c r="F582" s="1556"/>
      <c r="G582" s="665"/>
      <c r="H582" s="1553"/>
      <c r="Q582" s="665"/>
      <c r="Y582" s="1541"/>
    </row>
    <row customFormat="1" r="583" s="1548" spans="4:25">
      <c r="D583" s="1544"/>
      <c r="E583" s="665"/>
      <c r="F583" s="1556"/>
      <c r="G583" s="665"/>
      <c r="H583" s="1553"/>
      <c r="Q583" s="665"/>
      <c r="Y583" s="1541"/>
    </row>
    <row customFormat="1" r="584" s="1548" spans="4:25">
      <c r="D584" s="1544"/>
      <c r="E584" s="665"/>
      <c r="F584" s="1556"/>
      <c r="G584" s="665"/>
      <c r="H584" s="1553"/>
      <c r="Q584" s="665"/>
      <c r="Y584" s="1541"/>
    </row>
    <row customFormat="1" r="585" s="1548" spans="4:25">
      <c r="D585" s="1544"/>
      <c r="E585" s="665"/>
      <c r="F585" s="1556"/>
      <c r="G585" s="665"/>
      <c r="H585" s="1553"/>
      <c r="Q585" s="665"/>
      <c r="Y585" s="1541"/>
    </row>
    <row customFormat="1" r="586" s="1548" spans="4:25">
      <c r="D586" s="1544"/>
      <c r="E586" s="665"/>
      <c r="F586" s="1556"/>
      <c r="G586" s="665"/>
      <c r="H586" s="1553"/>
      <c r="Q586" s="665"/>
      <c r="Y586" s="1541"/>
    </row>
    <row customFormat="1" r="587" s="1548" spans="4:25">
      <c r="D587" s="1544"/>
      <c r="E587" s="665"/>
      <c r="F587" s="1556"/>
      <c r="G587" s="665"/>
      <c r="H587" s="1553"/>
      <c r="Q587" s="665"/>
      <c r="Y587" s="1541"/>
    </row>
    <row customFormat="1" r="588" s="1548" spans="4:25">
      <c r="D588" s="1544"/>
      <c r="E588" s="665"/>
      <c r="F588" s="1556"/>
      <c r="G588" s="665"/>
      <c r="H588" s="1553"/>
      <c r="Q588" s="665"/>
      <c r="Y588" s="1541"/>
    </row>
    <row customFormat="1" r="589" s="1548" spans="4:25">
      <c r="D589" s="1544"/>
      <c r="E589" s="665"/>
      <c r="F589" s="1556"/>
      <c r="G589" s="665"/>
      <c r="H589" s="1553"/>
      <c r="Q589" s="665"/>
      <c r="Y589" s="1541"/>
    </row>
    <row customFormat="1" r="590" s="1548" spans="4:25">
      <c r="D590" s="1544"/>
      <c r="E590" s="665"/>
      <c r="F590" s="1556"/>
      <c r="G590" s="665"/>
      <c r="H590" s="1553"/>
      <c r="Q590" s="665"/>
      <c r="Y590" s="1541"/>
    </row>
    <row customFormat="1" r="591" s="1548" spans="4:25">
      <c r="D591" s="1544"/>
      <c r="E591" s="665"/>
      <c r="F591" s="1556"/>
      <c r="G591" s="665"/>
      <c r="H591" s="1553"/>
      <c r="Q591" s="665"/>
      <c r="Y591" s="1541"/>
    </row>
    <row customFormat="1" r="592" s="1548" spans="4:25">
      <c r="D592" s="1544"/>
      <c r="E592" s="665"/>
      <c r="F592" s="1556"/>
      <c r="G592" s="665"/>
      <c r="H592" s="1553"/>
      <c r="Q592" s="665"/>
      <c r="Y592" s="1541"/>
    </row>
    <row customFormat="1" r="593" s="1548" spans="4:25">
      <c r="D593" s="1544"/>
      <c r="E593" s="665"/>
      <c r="F593" s="1556"/>
      <c r="G593" s="665"/>
      <c r="H593" s="1553"/>
      <c r="Q593" s="665"/>
      <c r="Y593" s="1541"/>
    </row>
    <row customFormat="1" r="594" s="1548" spans="4:25">
      <c r="D594" s="1544"/>
      <c r="E594" s="665"/>
      <c r="F594" s="1556"/>
      <c r="G594" s="665"/>
      <c r="H594" s="1553"/>
      <c r="Q594" s="665"/>
      <c r="Y594" s="1541"/>
    </row>
    <row customFormat="1" r="595" s="1548" spans="4:25">
      <c r="D595" s="1544"/>
      <c r="E595" s="665"/>
      <c r="F595" s="1556"/>
      <c r="G595" s="665"/>
      <c r="H595" s="1553"/>
      <c r="Q595" s="665"/>
      <c r="Y595" s="1541"/>
    </row>
    <row customFormat="1" r="596" s="1548" spans="4:25">
      <c r="D596" s="1544"/>
      <c r="E596" s="665"/>
      <c r="F596" s="1556"/>
      <c r="G596" s="665"/>
      <c r="H596" s="1553"/>
      <c r="Q596" s="665"/>
      <c r="Y596" s="1541"/>
    </row>
    <row customFormat="1" r="597" s="1548" spans="4:25">
      <c r="D597" s="1544"/>
      <c r="E597" s="665"/>
      <c r="F597" s="1556"/>
      <c r="G597" s="665"/>
      <c r="H597" s="1553"/>
      <c r="Q597" s="665"/>
      <c r="Y597" s="1541"/>
    </row>
    <row customFormat="1" r="598" s="1548" spans="4:25">
      <c r="D598" s="1544"/>
      <c r="E598" s="665"/>
      <c r="F598" s="1556"/>
      <c r="G598" s="665"/>
      <c r="H598" s="1553"/>
      <c r="Q598" s="665"/>
      <c r="Y598" s="1541"/>
    </row>
    <row customFormat="1" r="599" s="1548" spans="4:25">
      <c r="D599" s="1544"/>
      <c r="E599" s="665"/>
      <c r="F599" s="1556"/>
      <c r="G599" s="665"/>
      <c r="H599" s="1553"/>
      <c r="Q599" s="665"/>
      <c r="Y599" s="1541"/>
    </row>
    <row customFormat="1" r="600" s="1548" spans="4:25">
      <c r="D600" s="1544"/>
      <c r="E600" s="665"/>
      <c r="F600" s="1556"/>
      <c r="G600" s="665"/>
      <c r="H600" s="1553"/>
      <c r="Q600" s="665"/>
      <c r="Y600" s="1541"/>
    </row>
    <row customFormat="1" r="601" s="1548" spans="4:25">
      <c r="D601" s="1544"/>
      <c r="E601" s="665"/>
      <c r="F601" s="1556"/>
      <c r="G601" s="665"/>
      <c r="H601" s="1553"/>
      <c r="Q601" s="665"/>
      <c r="Y601" s="1541"/>
    </row>
    <row customFormat="1" r="602" s="1548" spans="4:25">
      <c r="D602" s="1544"/>
      <c r="E602" s="665"/>
      <c r="F602" s="1556"/>
      <c r="G602" s="665"/>
      <c r="H602" s="1553"/>
      <c r="Q602" s="665"/>
      <c r="Y602" s="1541"/>
    </row>
    <row customFormat="1" r="603" s="1548" spans="4:25">
      <c r="D603" s="1544"/>
      <c r="E603" s="665"/>
      <c r="F603" s="1556"/>
      <c r="G603" s="665"/>
      <c r="H603" s="1553"/>
      <c r="Q603" s="665"/>
      <c r="Y603" s="1541"/>
    </row>
    <row customFormat="1" r="604" s="1548" spans="4:25">
      <c r="D604" s="1544"/>
      <c r="E604" s="665"/>
      <c r="F604" s="1556"/>
      <c r="G604" s="665"/>
      <c r="H604" s="1553"/>
      <c r="Q604" s="665"/>
      <c r="Y604" s="1541"/>
    </row>
    <row customFormat="1" r="605" s="1548" spans="4:25">
      <c r="D605" s="1544"/>
      <c r="E605" s="665"/>
      <c r="F605" s="1556"/>
      <c r="G605" s="665"/>
      <c r="H605" s="1553"/>
      <c r="Q605" s="665"/>
      <c r="Y605" s="1541"/>
    </row>
    <row customFormat="1" r="606" s="1548" spans="4:25">
      <c r="D606" s="1544"/>
      <c r="E606" s="665"/>
      <c r="F606" s="1556"/>
      <c r="G606" s="665"/>
      <c r="H606" s="1553"/>
      <c r="Q606" s="665"/>
      <c r="Y606" s="1541"/>
    </row>
    <row customFormat="1" r="607" s="1548" spans="4:25">
      <c r="D607" s="1544"/>
      <c r="E607" s="665"/>
      <c r="F607" s="1556"/>
      <c r="G607" s="665"/>
      <c r="H607" s="1553"/>
      <c r="Q607" s="665"/>
      <c r="Y607" s="1541"/>
    </row>
    <row customFormat="1" r="608" s="1548" spans="4:25">
      <c r="D608" s="1544"/>
      <c r="E608" s="665"/>
      <c r="F608" s="1556"/>
      <c r="G608" s="665"/>
      <c r="H608" s="1553"/>
      <c r="Q608" s="665"/>
      <c r="Y608" s="1541"/>
    </row>
    <row customFormat="1" r="609" s="1548" spans="4:25">
      <c r="D609" s="1544"/>
      <c r="E609" s="665"/>
      <c r="F609" s="1556"/>
      <c r="G609" s="665"/>
      <c r="H609" s="1553"/>
      <c r="Q609" s="665"/>
      <c r="Y609" s="1541"/>
    </row>
    <row customFormat="1" r="610" s="1548" spans="4:25">
      <c r="D610" s="1544"/>
      <c r="E610" s="665"/>
      <c r="F610" s="1556"/>
      <c r="G610" s="665"/>
      <c r="H610" s="1553"/>
      <c r="Q610" s="665"/>
      <c r="Y610" s="1541"/>
    </row>
    <row customFormat="1" r="611" s="1548" spans="4:25">
      <c r="D611" s="1544"/>
      <c r="E611" s="665"/>
      <c r="F611" s="1556"/>
      <c r="G611" s="665"/>
      <c r="H611" s="1553"/>
      <c r="Q611" s="665"/>
      <c r="Y611" s="1541"/>
    </row>
    <row customFormat="1" r="612" s="1548" spans="4:25">
      <c r="D612" s="1544"/>
      <c r="E612" s="665"/>
      <c r="F612" s="1556"/>
      <c r="G612" s="665"/>
      <c r="H612" s="1553"/>
      <c r="Q612" s="665"/>
      <c r="Y612" s="1541"/>
    </row>
    <row customFormat="1" r="613" s="1548" spans="4:25">
      <c r="D613" s="1544"/>
      <c r="E613" s="665"/>
      <c r="F613" s="1556"/>
      <c r="G613" s="665"/>
      <c r="H613" s="1553"/>
      <c r="Q613" s="665"/>
      <c r="Y613" s="1541"/>
    </row>
    <row customFormat="1" r="614" s="1548" spans="4:25">
      <c r="D614" s="1544"/>
      <c r="E614" s="665"/>
      <c r="F614" s="1556"/>
      <c r="G614" s="665"/>
      <c r="H614" s="1553"/>
      <c r="Q614" s="665"/>
      <c r="Y614" s="1541"/>
    </row>
    <row customFormat="1" r="615" s="1548" spans="4:25">
      <c r="D615" s="1544"/>
      <c r="E615" s="665"/>
      <c r="F615" s="1556"/>
      <c r="G615" s="665"/>
      <c r="H615" s="1553"/>
      <c r="Q615" s="665"/>
      <c r="Y615" s="1541"/>
    </row>
    <row customFormat="1" r="616" s="1548" spans="4:25">
      <c r="D616" s="1544"/>
      <c r="E616" s="665"/>
      <c r="F616" s="1556"/>
      <c r="G616" s="665"/>
      <c r="H616" s="1553"/>
      <c r="Q616" s="665"/>
      <c r="Y616" s="1541"/>
    </row>
    <row customFormat="1" r="617" s="1548" spans="4:25">
      <c r="D617" s="1544"/>
      <c r="E617" s="665"/>
      <c r="F617" s="1556"/>
      <c r="G617" s="665"/>
      <c r="H617" s="1553"/>
      <c r="Q617" s="665"/>
      <c r="Y617" s="1541"/>
    </row>
    <row customFormat="1" r="618" s="1548" spans="4:25">
      <c r="D618" s="1544"/>
      <c r="E618" s="665"/>
      <c r="F618" s="1556"/>
      <c r="G618" s="665"/>
      <c r="H618" s="1553"/>
      <c r="Q618" s="665"/>
      <c r="Y618" s="1541"/>
    </row>
    <row customFormat="1" r="619" s="1548" spans="4:25">
      <c r="D619" s="1544"/>
      <c r="E619" s="665"/>
      <c r="F619" s="1556"/>
      <c r="G619" s="665"/>
      <c r="H619" s="1553"/>
      <c r="Q619" s="665"/>
      <c r="Y619" s="1541"/>
    </row>
    <row customFormat="1" r="620" s="1548" spans="4:25">
      <c r="D620" s="1544"/>
      <c r="E620" s="665"/>
      <c r="F620" s="1556"/>
      <c r="G620" s="665"/>
      <c r="H620" s="1553"/>
      <c r="Q620" s="665"/>
      <c r="Y620" s="1541"/>
    </row>
    <row customFormat="1" r="621" s="1548" spans="4:25">
      <c r="D621" s="1544"/>
      <c r="E621" s="665"/>
      <c r="F621" s="1556"/>
      <c r="G621" s="665"/>
      <c r="H621" s="1553"/>
      <c r="Q621" s="665"/>
      <c r="Y621" s="1541"/>
    </row>
    <row customFormat="1" r="622" s="1548" spans="4:25">
      <c r="D622" s="1544"/>
      <c r="E622" s="665"/>
      <c r="F622" s="1556"/>
      <c r="G622" s="665"/>
      <c r="H622" s="1553"/>
      <c r="Q622" s="665"/>
      <c r="Y622" s="1541"/>
    </row>
    <row customFormat="1" r="623" s="1548" spans="4:25">
      <c r="D623" s="1544"/>
      <c r="E623" s="665"/>
      <c r="F623" s="1556"/>
      <c r="G623" s="665"/>
      <c r="H623" s="1553"/>
      <c r="Q623" s="665"/>
      <c r="Y623" s="1541"/>
    </row>
    <row customFormat="1" r="624" s="1548" spans="4:25">
      <c r="D624" s="1544"/>
      <c r="E624" s="665"/>
      <c r="F624" s="1556"/>
      <c r="G624" s="665"/>
      <c r="H624" s="1553"/>
      <c r="Q624" s="665"/>
      <c r="Y624" s="1541"/>
    </row>
    <row customFormat="1" r="625" s="1548" spans="4:25">
      <c r="D625" s="1544"/>
      <c r="E625" s="665"/>
      <c r="F625" s="1556"/>
      <c r="G625" s="665"/>
      <c r="H625" s="1553"/>
      <c r="Q625" s="665"/>
      <c r="Y625" s="1541"/>
    </row>
    <row customFormat="1" r="626" s="1548" spans="4:25">
      <c r="D626" s="1544"/>
      <c r="E626" s="665"/>
      <c r="F626" s="1556"/>
      <c r="G626" s="665"/>
      <c r="H626" s="1553"/>
      <c r="Q626" s="665"/>
      <c r="Y626" s="1541"/>
    </row>
    <row customFormat="1" r="627" s="1548" spans="4:25">
      <c r="D627" s="1544"/>
      <c r="E627" s="665"/>
      <c r="F627" s="1556"/>
      <c r="G627" s="665"/>
      <c r="H627" s="1553"/>
      <c r="Q627" s="665"/>
      <c r="Y627" s="1541"/>
    </row>
    <row customFormat="1" r="628" s="1548" spans="4:25">
      <c r="D628" s="1544"/>
      <c r="E628" s="665"/>
      <c r="F628" s="1556"/>
      <c r="G628" s="665"/>
      <c r="H628" s="1553"/>
      <c r="Q628" s="665"/>
      <c r="Y628" s="1541"/>
    </row>
    <row customFormat="1" r="629" s="1548" spans="4:25">
      <c r="D629" s="1544"/>
      <c r="E629" s="665"/>
      <c r="F629" s="1556"/>
      <c r="G629" s="665"/>
      <c r="H629" s="1553"/>
      <c r="Q629" s="665"/>
      <c r="Y629" s="1541"/>
    </row>
    <row customFormat="1" r="630" s="1548" spans="4:25">
      <c r="D630" s="1544"/>
      <c r="E630" s="665"/>
      <c r="F630" s="1556"/>
      <c r="G630" s="665"/>
      <c r="H630" s="1553"/>
      <c r="Q630" s="665"/>
      <c r="Y630" s="1541"/>
    </row>
    <row customFormat="1" r="631" s="1548" spans="4:25">
      <c r="D631" s="1544"/>
      <c r="E631" s="665"/>
      <c r="F631" s="1556"/>
      <c r="G631" s="665"/>
      <c r="H631" s="1553"/>
      <c r="Q631" s="665"/>
      <c r="Y631" s="1541"/>
    </row>
    <row customFormat="1" r="632" s="1548" spans="4:25">
      <c r="D632" s="1544"/>
      <c r="E632" s="665"/>
      <c r="F632" s="1556"/>
      <c r="G632" s="665"/>
      <c r="H632" s="1553"/>
      <c r="Q632" s="665"/>
      <c r="Y632" s="1541"/>
    </row>
    <row customFormat="1" r="633" s="1548" spans="4:25">
      <c r="D633" s="1544"/>
      <c r="E633" s="665"/>
      <c r="F633" s="1556"/>
      <c r="G633" s="665"/>
      <c r="H633" s="1553"/>
      <c r="Q633" s="665"/>
      <c r="Y633" s="1541"/>
    </row>
    <row customFormat="1" r="634" s="1548" spans="4:25">
      <c r="D634" s="1544"/>
      <c r="E634" s="665"/>
      <c r="F634" s="1556"/>
      <c r="G634" s="665"/>
      <c r="H634" s="1553"/>
      <c r="Q634" s="665"/>
      <c r="Y634" s="1541"/>
    </row>
    <row customFormat="1" r="635" s="1548" spans="4:25">
      <c r="D635" s="1544"/>
      <c r="E635" s="665"/>
      <c r="F635" s="1556"/>
      <c r="G635" s="665"/>
      <c r="H635" s="1553"/>
      <c r="Q635" s="665"/>
      <c r="Y635" s="1541"/>
    </row>
    <row customFormat="1" r="636" s="1548" spans="4:25">
      <c r="D636" s="1544"/>
      <c r="E636" s="665"/>
      <c r="F636" s="1556"/>
      <c r="G636" s="665"/>
      <c r="H636" s="1553"/>
      <c r="Q636" s="665"/>
      <c r="Y636" s="1541"/>
    </row>
    <row customFormat="1" r="637" s="1548" spans="4:25">
      <c r="D637" s="1544"/>
      <c r="E637" s="665"/>
      <c r="F637" s="1556"/>
      <c r="G637" s="665"/>
      <c r="H637" s="1553"/>
      <c r="Q637" s="665"/>
      <c r="Y637" s="1541"/>
    </row>
    <row customFormat="1" r="638" s="1548" spans="4:25">
      <c r="D638" s="1544"/>
      <c r="E638" s="665"/>
      <c r="F638" s="1556"/>
      <c r="G638" s="665"/>
      <c r="H638" s="1553"/>
      <c r="Q638" s="665"/>
      <c r="Y638" s="1541"/>
    </row>
    <row customFormat="1" r="639" s="1548" spans="4:25">
      <c r="D639" s="1544"/>
      <c r="E639" s="665"/>
      <c r="F639" s="1556"/>
      <c r="G639" s="665"/>
      <c r="H639" s="1553"/>
      <c r="Q639" s="665"/>
      <c r="Y639" s="1541"/>
    </row>
    <row customFormat="1" r="640" s="1548" spans="4:25">
      <c r="D640" s="1544"/>
      <c r="E640" s="665"/>
      <c r="F640" s="1556"/>
      <c r="G640" s="665"/>
      <c r="H640" s="1553"/>
      <c r="Q640" s="665"/>
      <c r="Y640" s="1541"/>
    </row>
    <row customFormat="1" r="641" s="1548" spans="4:25">
      <c r="D641" s="1544"/>
      <c r="E641" s="665"/>
      <c r="F641" s="1556"/>
      <c r="G641" s="665"/>
      <c r="H641" s="1553"/>
      <c r="Q641" s="665"/>
      <c r="Y641" s="1541"/>
    </row>
    <row customFormat="1" r="642" s="1548" spans="4:25">
      <c r="D642" s="1544"/>
      <c r="E642" s="665"/>
      <c r="F642" s="1556"/>
      <c r="G642" s="665"/>
      <c r="H642" s="1553"/>
      <c r="Q642" s="665"/>
      <c r="Y642" s="1541"/>
    </row>
    <row customFormat="1" r="643" s="1548" spans="4:25">
      <c r="D643" s="1544"/>
      <c r="E643" s="665"/>
      <c r="F643" s="1556"/>
      <c r="G643" s="665"/>
      <c r="H643" s="1553"/>
      <c r="Q643" s="665"/>
      <c r="Y643" s="1541"/>
    </row>
    <row customFormat="1" r="644" s="1548" spans="4:25">
      <c r="D644" s="1544"/>
      <c r="E644" s="665"/>
      <c r="F644" s="1556"/>
      <c r="G644" s="665"/>
      <c r="H644" s="1553"/>
      <c r="Q644" s="665"/>
      <c r="Y644" s="1541"/>
    </row>
    <row customFormat="1" r="645" s="1548" spans="4:25">
      <c r="D645" s="1544"/>
      <c r="E645" s="665"/>
      <c r="F645" s="1556"/>
      <c r="G645" s="665"/>
      <c r="H645" s="1553"/>
      <c r="Q645" s="665"/>
      <c r="Y645" s="1541"/>
    </row>
    <row customFormat="1" r="646" s="1548" spans="4:25">
      <c r="D646" s="1544"/>
      <c r="E646" s="665"/>
      <c r="F646" s="1556"/>
      <c r="G646" s="665"/>
      <c r="H646" s="1553"/>
      <c r="Q646" s="665"/>
      <c r="Y646" s="1541"/>
    </row>
    <row customFormat="1" r="647" s="1548" spans="4:25">
      <c r="D647" s="1544"/>
      <c r="E647" s="665"/>
      <c r="F647" s="1556"/>
      <c r="G647" s="665"/>
      <c r="H647" s="1553"/>
      <c r="Q647" s="665"/>
      <c r="Y647" s="1541"/>
    </row>
    <row customFormat="1" r="648" s="1548" spans="4:25">
      <c r="D648" s="1544"/>
      <c r="E648" s="665"/>
      <c r="F648" s="1556"/>
      <c r="G648" s="665"/>
      <c r="H648" s="1553"/>
      <c r="Q648" s="665"/>
      <c r="Y648" s="1541"/>
    </row>
    <row customFormat="1" r="649" s="1548" spans="4:25">
      <c r="D649" s="1544"/>
      <c r="E649" s="665"/>
      <c r="F649" s="1556"/>
      <c r="G649" s="665"/>
      <c r="H649" s="1553"/>
      <c r="Q649" s="665"/>
      <c r="Y649" s="1541"/>
    </row>
    <row customFormat="1" r="650" s="1548" spans="4:25">
      <c r="D650" s="1544"/>
      <c r="E650" s="665"/>
      <c r="F650" s="1556"/>
      <c r="G650" s="665"/>
      <c r="H650" s="1553"/>
      <c r="Q650" s="665"/>
      <c r="Y650" s="1541"/>
    </row>
    <row customFormat="1" r="651" s="1548" spans="4:25">
      <c r="D651" s="1544"/>
      <c r="E651" s="665"/>
      <c r="F651" s="1556"/>
      <c r="G651" s="665"/>
      <c r="H651" s="1553"/>
      <c r="Q651" s="665"/>
      <c r="Y651" s="1541"/>
    </row>
    <row customFormat="1" r="652" s="1548" spans="4:25">
      <c r="D652" s="1544"/>
      <c r="E652" s="665"/>
      <c r="F652" s="1556"/>
      <c r="G652" s="665"/>
      <c r="H652" s="1553"/>
      <c r="Q652" s="665"/>
      <c r="Y652" s="1541"/>
    </row>
    <row customFormat="1" r="653" s="1548" spans="4:25">
      <c r="D653" s="1544"/>
      <c r="E653" s="665"/>
      <c r="F653" s="1556"/>
      <c r="G653" s="665"/>
      <c r="H653" s="1553"/>
      <c r="Q653" s="665"/>
      <c r="Y653" s="1541"/>
    </row>
    <row customFormat="1" r="654" s="1548" spans="4:25">
      <c r="D654" s="1544"/>
      <c r="E654" s="665"/>
      <c r="F654" s="1556"/>
      <c r="G654" s="665"/>
      <c r="H654" s="1553"/>
      <c r="Q654" s="665"/>
      <c r="Y654" s="1541"/>
    </row>
    <row customFormat="1" r="655" s="1548" spans="4:25">
      <c r="D655" s="1544"/>
      <c r="E655" s="665"/>
      <c r="F655" s="1556"/>
      <c r="G655" s="665"/>
      <c r="H655" s="1553"/>
      <c r="Q655" s="665"/>
      <c r="Y655" s="1541"/>
    </row>
    <row customFormat="1" r="656" s="1548" spans="4:25">
      <c r="D656" s="1544"/>
      <c r="E656" s="665"/>
      <c r="F656" s="1556"/>
      <c r="G656" s="665"/>
      <c r="H656" s="1553"/>
      <c r="Q656" s="665"/>
      <c r="Y656" s="1541"/>
    </row>
    <row customFormat="1" r="657" s="1548" spans="4:25">
      <c r="D657" s="1544"/>
      <c r="E657" s="665"/>
      <c r="F657" s="1556"/>
      <c r="G657" s="665"/>
      <c r="H657" s="1553"/>
      <c r="Q657" s="665"/>
      <c r="Y657" s="1541"/>
    </row>
    <row customFormat="1" r="658" s="1548" spans="4:25">
      <c r="D658" s="1544"/>
      <c r="E658" s="665"/>
      <c r="F658" s="1556"/>
      <c r="G658" s="665"/>
      <c r="H658" s="1553"/>
      <c r="Q658" s="665"/>
      <c r="Y658" s="1541"/>
    </row>
    <row customFormat="1" r="659" s="1548" spans="4:25">
      <c r="D659" s="1544"/>
      <c r="E659" s="665"/>
      <c r="F659" s="1556"/>
      <c r="G659" s="665"/>
      <c r="H659" s="1553"/>
      <c r="Q659" s="665"/>
      <c r="Y659" s="1541"/>
    </row>
    <row customFormat="1" r="660" s="1548" spans="4:25">
      <c r="D660" s="1544"/>
      <c r="E660" s="665"/>
      <c r="F660" s="1556"/>
      <c r="G660" s="665"/>
      <c r="H660" s="1553"/>
      <c r="Q660" s="665"/>
      <c r="Y660" s="1541"/>
    </row>
    <row customFormat="1" r="661" s="1548" spans="4:25">
      <c r="D661" s="1544"/>
      <c r="E661" s="665"/>
      <c r="F661" s="1556"/>
      <c r="G661" s="665"/>
      <c r="H661" s="1553"/>
      <c r="Q661" s="665"/>
      <c r="Y661" s="1541"/>
    </row>
    <row customFormat="1" r="662" s="1548" spans="4:25">
      <c r="D662" s="1544"/>
      <c r="E662" s="665"/>
      <c r="F662" s="1556"/>
      <c r="G662" s="665"/>
      <c r="H662" s="1553"/>
      <c r="Q662" s="665"/>
      <c r="Y662" s="1541"/>
    </row>
    <row customFormat="1" r="663" s="1548" spans="4:25">
      <c r="D663" s="1544"/>
      <c r="E663" s="665"/>
      <c r="F663" s="1556"/>
      <c r="G663" s="665"/>
      <c r="H663" s="1553"/>
      <c r="Q663" s="665"/>
      <c r="Y663" s="1541"/>
    </row>
    <row customFormat="1" r="664" s="1548" spans="4:25">
      <c r="D664" s="1544"/>
      <c r="E664" s="665"/>
      <c r="F664" s="1556"/>
      <c r="G664" s="665"/>
      <c r="H664" s="1553"/>
      <c r="Q664" s="665"/>
      <c r="Y664" s="1541"/>
    </row>
    <row customFormat="1" r="665" s="1548" spans="4:25">
      <c r="D665" s="1544"/>
      <c r="E665" s="665"/>
      <c r="F665" s="1556"/>
      <c r="G665" s="665"/>
      <c r="H665" s="1553"/>
      <c r="Q665" s="665"/>
      <c r="Y665" s="1541"/>
    </row>
    <row customFormat="1" r="666" s="1548" spans="4:25">
      <c r="D666" s="1544"/>
      <c r="E666" s="665"/>
      <c r="F666" s="1556"/>
      <c r="G666" s="665"/>
      <c r="H666" s="1553"/>
      <c r="Q666" s="665"/>
      <c r="Y666" s="1541"/>
    </row>
    <row customFormat="1" r="667" s="1548" spans="4:25">
      <c r="D667" s="1544"/>
      <c r="E667" s="665"/>
      <c r="F667" s="1556"/>
      <c r="G667" s="665"/>
      <c r="H667" s="1553"/>
      <c r="Q667" s="665"/>
      <c r="Y667" s="1541"/>
    </row>
    <row customFormat="1" r="668" s="1548" spans="4:25">
      <c r="D668" s="1544"/>
      <c r="E668" s="665"/>
      <c r="F668" s="1556"/>
      <c r="G668" s="665"/>
      <c r="H668" s="1553"/>
      <c r="Q668" s="665"/>
      <c r="Y668" s="1541"/>
    </row>
    <row customFormat="1" r="669" s="1548" spans="4:25">
      <c r="D669" s="1544"/>
      <c r="E669" s="665"/>
      <c r="F669" s="1556"/>
      <c r="G669" s="665"/>
      <c r="H669" s="1553"/>
      <c r="Q669" s="665"/>
      <c r="Y669" s="1541"/>
    </row>
    <row customFormat="1" r="670" s="1548" spans="4:25">
      <c r="D670" s="1544"/>
      <c r="E670" s="665"/>
      <c r="F670" s="1556"/>
      <c r="G670" s="665"/>
      <c r="H670" s="1553"/>
      <c r="Q670" s="665"/>
      <c r="Y670" s="1541"/>
    </row>
    <row customFormat="1" r="671" s="1548" spans="4:25">
      <c r="D671" s="1544"/>
      <c r="E671" s="665"/>
      <c r="F671" s="1556"/>
      <c r="G671" s="665"/>
      <c r="H671" s="1553"/>
      <c r="Q671" s="665"/>
      <c r="Y671" s="1541"/>
    </row>
    <row customFormat="1" r="672" s="1548" spans="4:25">
      <c r="D672" s="1544"/>
      <c r="E672" s="665"/>
      <c r="F672" s="1556"/>
      <c r="G672" s="665"/>
      <c r="H672" s="1553"/>
      <c r="Q672" s="665"/>
      <c r="Y672" s="1541"/>
    </row>
    <row customFormat="1" r="673" s="1548" spans="4:25">
      <c r="D673" s="1544"/>
      <c r="E673" s="665"/>
      <c r="F673" s="1556"/>
      <c r="G673" s="665"/>
      <c r="H673" s="1553"/>
      <c r="Q673" s="665"/>
      <c r="Y673" s="1541"/>
    </row>
    <row customFormat="1" r="674" s="1548" spans="4:25">
      <c r="D674" s="1544"/>
      <c r="E674" s="665"/>
      <c r="F674" s="1556"/>
      <c r="G674" s="665"/>
      <c r="H674" s="1553"/>
      <c r="Q674" s="665"/>
      <c r="Y674" s="1541"/>
    </row>
    <row customFormat="1" r="675" s="1548" spans="4:25">
      <c r="D675" s="1544"/>
      <c r="E675" s="665"/>
      <c r="F675" s="1556"/>
      <c r="G675" s="665"/>
      <c r="H675" s="1553"/>
      <c r="Q675" s="665"/>
      <c r="Y675" s="1541"/>
    </row>
    <row customFormat="1" r="676" s="1548" spans="4:25">
      <c r="D676" s="1544"/>
      <c r="E676" s="665"/>
      <c r="F676" s="1556"/>
      <c r="G676" s="665"/>
      <c r="H676" s="1553"/>
      <c r="Q676" s="665"/>
      <c r="Y676" s="1541"/>
    </row>
    <row customFormat="1" r="677" s="1548" spans="4:25">
      <c r="D677" s="1544"/>
      <c r="E677" s="665"/>
      <c r="F677" s="1556"/>
      <c r="G677" s="665"/>
      <c r="H677" s="1553"/>
      <c r="Q677" s="665"/>
      <c r="Y677" s="1541"/>
    </row>
    <row customFormat="1" r="678" s="1548" spans="4:25">
      <c r="D678" s="1544"/>
      <c r="E678" s="665"/>
      <c r="F678" s="1556"/>
      <c r="G678" s="665"/>
      <c r="H678" s="1553"/>
      <c r="Q678" s="665"/>
      <c r="Y678" s="1541"/>
    </row>
    <row customFormat="1" r="679" s="1548" spans="4:25">
      <c r="D679" s="1544"/>
      <c r="E679" s="665"/>
      <c r="F679" s="1556"/>
      <c r="G679" s="665"/>
      <c r="H679" s="1553"/>
      <c r="Q679" s="665"/>
      <c r="Y679" s="1541"/>
    </row>
    <row customFormat="1" r="680" s="1548" spans="4:25">
      <c r="D680" s="1544"/>
      <c r="E680" s="665"/>
      <c r="F680" s="1556"/>
      <c r="G680" s="665"/>
      <c r="H680" s="1553"/>
      <c r="Q680" s="665"/>
      <c r="Y680" s="1541"/>
    </row>
    <row customFormat="1" r="681" s="1548" spans="4:25">
      <c r="D681" s="1544"/>
      <c r="E681" s="665"/>
      <c r="F681" s="1556"/>
      <c r="G681" s="665"/>
      <c r="H681" s="1553"/>
      <c r="Q681" s="665"/>
      <c r="Y681" s="1541"/>
    </row>
    <row customFormat="1" r="682" s="1548" spans="4:25">
      <c r="D682" s="1544"/>
      <c r="E682" s="665"/>
      <c r="F682" s="1556"/>
      <c r="G682" s="665"/>
      <c r="H682" s="1553"/>
      <c r="Q682" s="665"/>
      <c r="Y682" s="1541"/>
    </row>
    <row customFormat="1" r="683" s="1548" spans="4:25">
      <c r="D683" s="1544"/>
      <c r="E683" s="665"/>
      <c r="F683" s="1556"/>
      <c r="G683" s="665"/>
      <c r="H683" s="1553"/>
      <c r="Q683" s="665"/>
      <c r="Y683" s="1541"/>
    </row>
    <row customFormat="1" r="684" s="1548" spans="4:25">
      <c r="D684" s="1544"/>
      <c r="E684" s="665"/>
      <c r="F684" s="1556"/>
      <c r="G684" s="665"/>
      <c r="H684" s="1553"/>
      <c r="Q684" s="665"/>
      <c r="Y684" s="1541"/>
    </row>
    <row customFormat="1" r="685" s="1548" spans="4:25">
      <c r="D685" s="1544"/>
      <c r="E685" s="665"/>
      <c r="F685" s="1556"/>
      <c r="G685" s="665"/>
      <c r="H685" s="1553"/>
      <c r="Q685" s="665"/>
      <c r="Y685" s="1541"/>
    </row>
    <row customFormat="1" r="686" s="1548" spans="4:25">
      <c r="D686" s="1544"/>
      <c r="E686" s="665"/>
      <c r="F686" s="1556"/>
      <c r="G686" s="665"/>
      <c r="H686" s="1553"/>
      <c r="Q686" s="665"/>
      <c r="Y686" s="1541"/>
    </row>
    <row customFormat="1" r="687" s="1548" spans="4:25">
      <c r="D687" s="1544"/>
      <c r="E687" s="665"/>
      <c r="F687" s="1556"/>
      <c r="G687" s="665"/>
      <c r="H687" s="1553"/>
      <c r="Q687" s="665"/>
      <c r="Y687" s="1541"/>
    </row>
    <row customFormat="1" r="688" s="1548" spans="4:25">
      <c r="D688" s="1544"/>
      <c r="E688" s="665"/>
      <c r="F688" s="1556"/>
      <c r="G688" s="665"/>
      <c r="H688" s="1553"/>
      <c r="Q688" s="665"/>
      <c r="Y688" s="1541"/>
    </row>
    <row customFormat="1" r="689" s="1548" spans="4:25">
      <c r="D689" s="1544"/>
      <c r="E689" s="665"/>
      <c r="F689" s="1556"/>
      <c r="G689" s="665"/>
      <c r="H689" s="1553"/>
      <c r="Q689" s="665"/>
      <c r="Y689" s="1541"/>
    </row>
    <row customFormat="1" r="690" s="1548" spans="4:25">
      <c r="D690" s="1544"/>
      <c r="E690" s="665"/>
      <c r="F690" s="1556"/>
      <c r="G690" s="665"/>
      <c r="H690" s="1553"/>
      <c r="Q690" s="665"/>
      <c r="Y690" s="1541"/>
    </row>
    <row customFormat="1" r="691" s="1548" spans="4:25">
      <c r="D691" s="1544"/>
      <c r="E691" s="665"/>
      <c r="F691" s="1556"/>
      <c r="G691" s="665"/>
      <c r="H691" s="1553"/>
      <c r="Q691" s="665"/>
      <c r="Y691" s="1541"/>
    </row>
    <row customFormat="1" r="692" s="1548" spans="4:25">
      <c r="D692" s="1544"/>
      <c r="E692" s="665"/>
      <c r="F692" s="1556"/>
      <c r="G692" s="665"/>
      <c r="H692" s="1553"/>
      <c r="Q692" s="665"/>
      <c r="Y692" s="1541"/>
    </row>
    <row customFormat="1" r="693" s="1548" spans="4:25">
      <c r="D693" s="1544"/>
      <c r="E693" s="665"/>
      <c r="F693" s="1556"/>
      <c r="G693" s="665"/>
      <c r="H693" s="1553"/>
      <c r="Q693" s="665"/>
      <c r="Y693" s="1541"/>
    </row>
    <row customFormat="1" r="694" s="1548" spans="4:25">
      <c r="D694" s="1544"/>
      <c r="E694" s="665"/>
      <c r="F694" s="1556"/>
      <c r="G694" s="665"/>
      <c r="H694" s="1553"/>
      <c r="Q694" s="665"/>
      <c r="Y694" s="1541"/>
    </row>
    <row customFormat="1" r="695" s="1548" spans="4:25">
      <c r="D695" s="1544"/>
      <c r="E695" s="665"/>
      <c r="F695" s="1556"/>
      <c r="G695" s="665"/>
      <c r="H695" s="1553"/>
      <c r="Q695" s="665"/>
      <c r="Y695" s="1541"/>
    </row>
    <row customFormat="1" r="696" s="1548" spans="4:25">
      <c r="D696" s="1544"/>
      <c r="E696" s="665"/>
      <c r="F696" s="1556"/>
      <c r="G696" s="665"/>
      <c r="H696" s="1553"/>
      <c r="Q696" s="665"/>
      <c r="Y696" s="1541"/>
    </row>
    <row customFormat="1" r="697" s="1548" spans="4:25">
      <c r="D697" s="1544"/>
      <c r="E697" s="665"/>
      <c r="F697" s="1556"/>
      <c r="G697" s="665"/>
      <c r="H697" s="1553"/>
      <c r="Q697" s="665"/>
      <c r="Y697" s="1541"/>
    </row>
    <row customFormat="1" r="698" s="1548" spans="4:25">
      <c r="D698" s="1544"/>
      <c r="E698" s="665"/>
      <c r="F698" s="1556"/>
      <c r="G698" s="665"/>
      <c r="H698" s="1553"/>
      <c r="Q698" s="665"/>
      <c r="Y698" s="1541"/>
    </row>
    <row customFormat="1" r="699" s="1548" spans="4:25">
      <c r="D699" s="1544"/>
      <c r="E699" s="665"/>
      <c r="F699" s="1556"/>
      <c r="G699" s="665"/>
      <c r="H699" s="1553"/>
      <c r="Q699" s="665"/>
      <c r="Y699" s="1541"/>
    </row>
    <row customFormat="1" r="700" s="1548" spans="4:25">
      <c r="D700" s="1544"/>
      <c r="E700" s="665"/>
      <c r="F700" s="1556"/>
      <c r="G700" s="665"/>
      <c r="H700" s="1553"/>
      <c r="Q700" s="665"/>
      <c r="Y700" s="1541"/>
    </row>
    <row customFormat="1" r="701" s="1548" spans="4:25">
      <c r="D701" s="1544"/>
      <c r="E701" s="665"/>
      <c r="F701" s="1556"/>
      <c r="G701" s="665"/>
      <c r="H701" s="1553"/>
      <c r="Q701" s="665"/>
      <c r="Y701" s="1541"/>
    </row>
    <row customFormat="1" r="702" s="1548" spans="4:25">
      <c r="D702" s="1544"/>
      <c r="E702" s="665"/>
      <c r="F702" s="1556"/>
      <c r="G702" s="665"/>
      <c r="H702" s="1553"/>
      <c r="Q702" s="665"/>
      <c r="Y702" s="1541"/>
    </row>
    <row customFormat="1" r="703" s="1548" spans="4:25">
      <c r="D703" s="1544"/>
      <c r="E703" s="665"/>
      <c r="F703" s="1556"/>
      <c r="G703" s="665"/>
      <c r="H703" s="1553"/>
      <c r="Q703" s="665"/>
      <c r="Y703" s="1541"/>
    </row>
    <row customFormat="1" r="704" s="1548" spans="4:25">
      <c r="D704" s="1544"/>
      <c r="E704" s="665"/>
      <c r="F704" s="1556"/>
      <c r="G704" s="665"/>
      <c r="H704" s="1553"/>
      <c r="Q704" s="665"/>
      <c r="Y704" s="1541"/>
    </row>
    <row customFormat="1" r="705" s="1548" spans="4:25">
      <c r="D705" s="1544"/>
      <c r="E705" s="665"/>
      <c r="F705" s="1556"/>
      <c r="G705" s="665"/>
      <c r="H705" s="1553"/>
      <c r="Q705" s="665"/>
      <c r="Y705" s="1541"/>
    </row>
    <row customFormat="1" r="706" s="1548" spans="4:25">
      <c r="D706" s="1544"/>
      <c r="E706" s="665"/>
      <c r="F706" s="1556"/>
      <c r="G706" s="665"/>
      <c r="H706" s="1553"/>
      <c r="Q706" s="665"/>
      <c r="Y706" s="1541"/>
    </row>
    <row customFormat="1" r="707" s="1548" spans="4:25">
      <c r="D707" s="1544"/>
      <c r="E707" s="665"/>
      <c r="F707" s="1556"/>
      <c r="G707" s="665"/>
      <c r="H707" s="1553"/>
      <c r="Q707" s="665"/>
      <c r="Y707" s="1541"/>
    </row>
    <row customFormat="1" r="708" s="1548" spans="4:25">
      <c r="D708" s="1544"/>
      <c r="E708" s="665"/>
      <c r="F708" s="1556"/>
      <c r="G708" s="665"/>
      <c r="H708" s="1553"/>
      <c r="Q708" s="665"/>
      <c r="Y708" s="1541"/>
    </row>
    <row customFormat="1" r="709" s="1548" spans="4:25">
      <c r="D709" s="1544"/>
      <c r="E709" s="665"/>
      <c r="F709" s="1556"/>
      <c r="G709" s="665"/>
      <c r="H709" s="1553"/>
      <c r="Q709" s="665"/>
      <c r="Y709" s="1541"/>
    </row>
    <row customFormat="1" r="710" s="1548" spans="4:25">
      <c r="D710" s="1544"/>
      <c r="E710" s="665"/>
      <c r="F710" s="1556"/>
      <c r="G710" s="665"/>
      <c r="H710" s="1553"/>
      <c r="Q710" s="665"/>
      <c r="Y710" s="1541"/>
    </row>
    <row customFormat="1" r="711" s="1548" spans="4:25">
      <c r="D711" s="1544"/>
      <c r="E711" s="665"/>
      <c r="F711" s="1556"/>
      <c r="G711" s="665"/>
      <c r="H711" s="1553"/>
      <c r="Q711" s="665"/>
      <c r="Y711" s="1541"/>
    </row>
    <row customFormat="1" r="712" s="1548" spans="4:25">
      <c r="D712" s="1544"/>
      <c r="E712" s="665"/>
      <c r="F712" s="1556"/>
      <c r="G712" s="665"/>
      <c r="H712" s="1553"/>
      <c r="Q712" s="665"/>
      <c r="Y712" s="1541"/>
    </row>
    <row customFormat="1" r="713" s="1548" spans="4:25">
      <c r="D713" s="1544"/>
      <c r="E713" s="665"/>
      <c r="F713" s="1556"/>
      <c r="G713" s="665"/>
      <c r="H713" s="1553"/>
      <c r="Q713" s="665"/>
      <c r="Y713" s="1541"/>
    </row>
    <row customFormat="1" r="714" s="1548" spans="4:25">
      <c r="D714" s="1544"/>
      <c r="E714" s="665"/>
      <c r="F714" s="1556"/>
      <c r="G714" s="665"/>
      <c r="H714" s="1553"/>
      <c r="Q714" s="665"/>
      <c r="Y714" s="1541"/>
    </row>
    <row customFormat="1" r="715" s="1548" spans="4:25">
      <c r="D715" s="1544"/>
      <c r="E715" s="665"/>
      <c r="F715" s="1556"/>
      <c r="G715" s="665"/>
      <c r="H715" s="1553"/>
      <c r="Q715" s="665"/>
      <c r="Y715" s="1541"/>
    </row>
    <row customFormat="1" r="716" s="1548" spans="4:25">
      <c r="D716" s="1544"/>
      <c r="E716" s="665"/>
      <c r="F716" s="1556"/>
      <c r="G716" s="665"/>
      <c r="H716" s="1553"/>
      <c r="Q716" s="665"/>
      <c r="Y716" s="1541"/>
    </row>
    <row customFormat="1" r="717" s="1548" spans="4:25">
      <c r="D717" s="1544"/>
      <c r="E717" s="665"/>
      <c r="F717" s="1556"/>
      <c r="G717" s="665"/>
      <c r="H717" s="1553"/>
      <c r="Q717" s="665"/>
      <c r="Y717" s="1541"/>
    </row>
    <row customFormat="1" r="718" s="1548" spans="4:25">
      <c r="D718" s="1544"/>
      <c r="E718" s="665"/>
      <c r="F718" s="1556"/>
      <c r="G718" s="665"/>
      <c r="H718" s="1553"/>
      <c r="Q718" s="665"/>
      <c r="Y718" s="1541"/>
    </row>
    <row customFormat="1" r="719" s="1548" spans="4:25">
      <c r="D719" s="1544"/>
      <c r="E719" s="665"/>
      <c r="F719" s="1556"/>
      <c r="G719" s="665"/>
      <c r="H719" s="1553"/>
      <c r="Q719" s="665"/>
      <c r="Y719" s="1541"/>
    </row>
    <row customFormat="1" r="720" s="1548" spans="4:25">
      <c r="D720" s="1544"/>
      <c r="E720" s="665"/>
      <c r="F720" s="1556"/>
      <c r="G720" s="665"/>
      <c r="H720" s="1553"/>
      <c r="Q720" s="665"/>
      <c r="Y720" s="1541"/>
    </row>
    <row customFormat="1" r="721" s="1548" spans="4:25">
      <c r="D721" s="1544"/>
      <c r="E721" s="665"/>
      <c r="F721" s="1556"/>
      <c r="G721" s="665"/>
      <c r="H721" s="1553"/>
      <c r="Q721" s="665"/>
      <c r="Y721" s="1541"/>
    </row>
    <row customFormat="1" r="722" s="1548" spans="4:25">
      <c r="D722" s="1544"/>
      <c r="E722" s="665"/>
      <c r="F722" s="1556"/>
      <c r="G722" s="665"/>
      <c r="H722" s="1553"/>
      <c r="Q722" s="665"/>
      <c r="Y722" s="1541"/>
    </row>
    <row customFormat="1" r="723" s="1548" spans="4:25">
      <c r="D723" s="1544"/>
      <c r="E723" s="665"/>
      <c r="F723" s="1556"/>
      <c r="G723" s="665"/>
      <c r="H723" s="1553"/>
      <c r="Q723" s="665"/>
      <c r="Y723" s="1541"/>
    </row>
    <row customFormat="1" r="724" s="1548" spans="4:25">
      <c r="D724" s="1544"/>
      <c r="E724" s="665"/>
      <c r="F724" s="1556"/>
      <c r="G724" s="665"/>
      <c r="H724" s="1553"/>
      <c r="Q724" s="665"/>
      <c r="Y724" s="1541"/>
    </row>
    <row customFormat="1" r="725" s="1548" spans="4:25">
      <c r="D725" s="1544"/>
      <c r="E725" s="665"/>
      <c r="F725" s="1556"/>
      <c r="G725" s="665"/>
      <c r="H725" s="1553"/>
      <c r="Q725" s="665"/>
      <c r="Y725" s="1541"/>
    </row>
    <row customFormat="1" r="726" s="1548" spans="4:25">
      <c r="D726" s="1544"/>
      <c r="E726" s="665"/>
      <c r="F726" s="1556"/>
      <c r="G726" s="665"/>
      <c r="H726" s="1553"/>
      <c r="Q726" s="665"/>
      <c r="Y726" s="1541"/>
    </row>
    <row customFormat="1" r="727" s="1548" spans="4:25">
      <c r="D727" s="1544"/>
      <c r="E727" s="665"/>
      <c r="F727" s="1556"/>
      <c r="G727" s="665"/>
      <c r="H727" s="1553"/>
      <c r="Q727" s="665"/>
      <c r="Y727" s="1541"/>
    </row>
    <row customFormat="1" r="728" s="1548" spans="4:25">
      <c r="D728" s="1544"/>
      <c r="E728" s="665"/>
      <c r="F728" s="1556"/>
      <c r="G728" s="665"/>
      <c r="H728" s="1553"/>
      <c r="Q728" s="665"/>
      <c r="Y728" s="1541"/>
    </row>
    <row customFormat="1" r="729" s="1548" spans="4:25">
      <c r="D729" s="1544"/>
      <c r="E729" s="665"/>
      <c r="F729" s="1556"/>
      <c r="G729" s="665"/>
      <c r="H729" s="1553"/>
      <c r="Q729" s="665"/>
      <c r="Y729" s="1541"/>
    </row>
    <row customFormat="1" r="730" s="1548" spans="4:25">
      <c r="D730" s="1544"/>
      <c r="E730" s="665"/>
      <c r="F730" s="1556"/>
      <c r="G730" s="665"/>
      <c r="H730" s="1553"/>
      <c r="Q730" s="665"/>
      <c r="Y730" s="1541"/>
    </row>
    <row customFormat="1" r="731" s="1548" spans="4:25">
      <c r="D731" s="1544"/>
      <c r="E731" s="665"/>
      <c r="F731" s="1556"/>
      <c r="G731" s="665"/>
      <c r="H731" s="1553"/>
      <c r="Q731" s="665"/>
      <c r="Y731" s="1541"/>
    </row>
    <row customFormat="1" r="732" s="1548" spans="4:25">
      <c r="D732" s="1544"/>
      <c r="E732" s="665"/>
      <c r="F732" s="1556"/>
      <c r="G732" s="665"/>
      <c r="H732" s="1553"/>
      <c r="Q732" s="665"/>
      <c r="Y732" s="1541"/>
    </row>
    <row customFormat="1" r="733" s="1548" spans="4:25">
      <c r="D733" s="1544"/>
      <c r="E733" s="665"/>
      <c r="F733" s="1556"/>
      <c r="G733" s="665"/>
      <c r="H733" s="1553"/>
      <c r="Q733" s="665"/>
      <c r="Y733" s="1541"/>
    </row>
    <row customFormat="1" r="734" s="1548" spans="4:25">
      <c r="D734" s="1544"/>
      <c r="E734" s="665"/>
      <c r="F734" s="1556"/>
      <c r="G734" s="665"/>
      <c r="H734" s="1553"/>
      <c r="Q734" s="665"/>
      <c r="Y734" s="1541"/>
    </row>
    <row customFormat="1" r="735" s="1548" spans="4:25">
      <c r="D735" s="1544"/>
      <c r="E735" s="665"/>
      <c r="F735" s="1556"/>
      <c r="G735" s="665"/>
      <c r="H735" s="1553"/>
      <c r="Q735" s="665"/>
      <c r="Y735" s="1541"/>
    </row>
    <row customFormat="1" r="736" s="1548" spans="4:25">
      <c r="D736" s="1544"/>
      <c r="E736" s="665"/>
      <c r="F736" s="1556"/>
      <c r="G736" s="665"/>
      <c r="H736" s="1553"/>
      <c r="Q736" s="665"/>
      <c r="Y736" s="1541"/>
    </row>
    <row customFormat="1" r="737" s="1548" spans="4:25">
      <c r="D737" s="1544"/>
      <c r="E737" s="665"/>
      <c r="F737" s="1556"/>
      <c r="G737" s="665"/>
      <c r="H737" s="1553"/>
      <c r="Q737" s="665"/>
      <c r="Y737" s="1541"/>
    </row>
    <row customFormat="1" r="738" s="1548" spans="4:25">
      <c r="D738" s="1544"/>
      <c r="E738" s="665"/>
      <c r="F738" s="1556"/>
      <c r="G738" s="665"/>
      <c r="H738" s="1553"/>
      <c r="Q738" s="665"/>
      <c r="Y738" s="1541"/>
    </row>
    <row customFormat="1" r="739" s="1548" spans="4:25">
      <c r="D739" s="1544"/>
      <c r="E739" s="665"/>
      <c r="F739" s="1556"/>
      <c r="G739" s="665"/>
      <c r="H739" s="1553"/>
      <c r="Q739" s="665"/>
      <c r="Y739" s="1541"/>
    </row>
    <row customFormat="1" r="740" s="1548" spans="4:25">
      <c r="D740" s="1544"/>
      <c r="E740" s="665"/>
      <c r="F740" s="1556"/>
      <c r="G740" s="665"/>
      <c r="H740" s="1553"/>
      <c r="Q740" s="665"/>
      <c r="Y740" s="1541"/>
    </row>
    <row customFormat="1" r="741" s="1548" spans="4:25">
      <c r="D741" s="1544"/>
      <c r="E741" s="665"/>
      <c r="F741" s="1556"/>
      <c r="G741" s="665"/>
      <c r="H741" s="1553"/>
      <c r="Q741" s="665"/>
      <c r="Y741" s="1541"/>
    </row>
    <row customFormat="1" r="742" s="1548" spans="4:25">
      <c r="D742" s="1544"/>
      <c r="E742" s="665"/>
      <c r="F742" s="1556"/>
      <c r="G742" s="665"/>
      <c r="H742" s="1553"/>
      <c r="Q742" s="665"/>
      <c r="Y742" s="1541"/>
    </row>
    <row customFormat="1" r="743" s="1548" spans="4:25">
      <c r="D743" s="1544"/>
      <c r="E743" s="665"/>
      <c r="F743" s="1556"/>
      <c r="G743" s="665"/>
      <c r="H743" s="1553"/>
      <c r="Q743" s="665"/>
      <c r="Y743" s="1541"/>
    </row>
    <row customFormat="1" r="744" s="1548" spans="4:25">
      <c r="D744" s="1544"/>
      <c r="E744" s="665"/>
      <c r="F744" s="1556"/>
      <c r="G744" s="665"/>
      <c r="H744" s="1553"/>
      <c r="Q744" s="665"/>
      <c r="Y744" s="1541"/>
    </row>
    <row customFormat="1" r="745" s="1548" spans="4:25">
      <c r="D745" s="1544"/>
      <c r="E745" s="665"/>
      <c r="F745" s="1556"/>
      <c r="G745" s="665"/>
      <c r="H745" s="1553"/>
      <c r="Q745" s="665"/>
      <c r="Y745" s="1541"/>
    </row>
    <row customFormat="1" r="746" s="1548" spans="4:25">
      <c r="D746" s="1544"/>
      <c r="E746" s="665"/>
      <c r="F746" s="1556"/>
      <c r="G746" s="665"/>
      <c r="H746" s="1553"/>
      <c r="Q746" s="665"/>
      <c r="Y746" s="1541"/>
    </row>
    <row customFormat="1" r="747" s="1548" spans="4:25">
      <c r="D747" s="1544"/>
      <c r="E747" s="665"/>
      <c r="F747" s="1556"/>
      <c r="G747" s="665"/>
      <c r="H747" s="1553"/>
      <c r="Q747" s="665"/>
      <c r="Y747" s="1541"/>
    </row>
    <row customFormat="1" r="748" s="1548" spans="4:25">
      <c r="D748" s="1544"/>
      <c r="E748" s="665"/>
      <c r="F748" s="1556"/>
      <c r="G748" s="665"/>
      <c r="H748" s="1553"/>
      <c r="Q748" s="665"/>
      <c r="Y748" s="1541"/>
    </row>
    <row customFormat="1" r="749" s="1548" spans="4:25">
      <c r="D749" s="1544"/>
      <c r="E749" s="665"/>
      <c r="F749" s="1556"/>
      <c r="G749" s="665"/>
      <c r="H749" s="1553"/>
      <c r="Q749" s="665"/>
      <c r="Y749" s="1541"/>
    </row>
    <row customFormat="1" r="750" s="1548" spans="4:25">
      <c r="D750" s="1544"/>
      <c r="E750" s="665"/>
      <c r="F750" s="1556"/>
      <c r="G750" s="665"/>
      <c r="H750" s="1553"/>
      <c r="Q750" s="665"/>
      <c r="Y750" s="1541"/>
    </row>
    <row customFormat="1" r="751" s="1548" spans="4:25">
      <c r="D751" s="1544"/>
      <c r="E751" s="665"/>
      <c r="F751" s="1556"/>
      <c r="G751" s="665"/>
      <c r="H751" s="1553"/>
      <c r="Q751" s="665"/>
      <c r="Y751" s="1541"/>
    </row>
    <row customFormat="1" r="752" s="1548" spans="4:25">
      <c r="D752" s="1544"/>
      <c r="E752" s="665"/>
      <c r="F752" s="1556"/>
      <c r="G752" s="665"/>
      <c r="H752" s="1553"/>
      <c r="Q752" s="665"/>
      <c r="Y752" s="1541"/>
    </row>
    <row customFormat="1" r="753" s="1548" spans="4:25">
      <c r="D753" s="1544"/>
      <c r="E753" s="665"/>
      <c r="F753" s="1556"/>
      <c r="G753" s="665"/>
      <c r="H753" s="1553"/>
      <c r="Q753" s="665"/>
      <c r="Y753" s="1541"/>
    </row>
    <row customFormat="1" r="754" s="1548" spans="4:25">
      <c r="D754" s="1544"/>
      <c r="E754" s="665"/>
      <c r="F754" s="1556"/>
      <c r="G754" s="665"/>
      <c r="H754" s="1553"/>
      <c r="Q754" s="665"/>
      <c r="Y754" s="1541"/>
    </row>
    <row customFormat="1" r="755" s="1548" spans="4:25">
      <c r="D755" s="1544"/>
      <c r="E755" s="665"/>
      <c r="F755" s="1556"/>
      <c r="G755" s="665"/>
      <c r="H755" s="1553"/>
      <c r="Q755" s="665"/>
      <c r="Y755" s="1541"/>
    </row>
    <row customFormat="1" r="756" s="1548" spans="4:25">
      <c r="D756" s="1544"/>
      <c r="E756" s="665"/>
      <c r="F756" s="1556"/>
      <c r="G756" s="665"/>
      <c r="H756" s="1553"/>
      <c r="Q756" s="665"/>
      <c r="Y756" s="1541"/>
    </row>
    <row customFormat="1" r="757" s="1548" spans="4:25">
      <c r="D757" s="1544"/>
      <c r="E757" s="665"/>
      <c r="F757" s="1556"/>
      <c r="G757" s="665"/>
      <c r="H757" s="1553"/>
      <c r="Q757" s="665"/>
      <c r="Y757" s="1541"/>
    </row>
    <row customFormat="1" r="758" s="1548" spans="4:25">
      <c r="D758" s="1544"/>
      <c r="E758" s="665"/>
      <c r="F758" s="1556"/>
      <c r="G758" s="665"/>
      <c r="H758" s="1553"/>
      <c r="Q758" s="665"/>
      <c r="Y758" s="1541"/>
    </row>
    <row customFormat="1" r="759" s="1548" spans="4:25">
      <c r="D759" s="1544"/>
      <c r="E759" s="665"/>
      <c r="F759" s="1556"/>
      <c r="G759" s="665"/>
      <c r="H759" s="1553"/>
      <c r="Q759" s="665"/>
      <c r="Y759" s="1541"/>
    </row>
    <row customFormat="1" r="760" s="1548" spans="4:25">
      <c r="D760" s="1544"/>
      <c r="E760" s="665"/>
      <c r="F760" s="1556"/>
      <c r="G760" s="665"/>
      <c r="H760" s="1553"/>
      <c r="Q760" s="665"/>
      <c r="Y760" s="1541"/>
    </row>
    <row customFormat="1" r="761" s="1548" spans="4:25">
      <c r="D761" s="1544"/>
      <c r="E761" s="665"/>
      <c r="F761" s="1556"/>
      <c r="G761" s="665"/>
      <c r="H761" s="1553"/>
      <c r="Q761" s="665"/>
      <c r="Y761" s="1541"/>
    </row>
    <row customFormat="1" r="762" s="1548" spans="4:25">
      <c r="D762" s="1544"/>
      <c r="E762" s="665"/>
      <c r="F762" s="1556"/>
      <c r="G762" s="665"/>
      <c r="H762" s="1553"/>
      <c r="Q762" s="665"/>
      <c r="Y762" s="1541"/>
    </row>
    <row customFormat="1" r="763" s="1548" spans="4:25">
      <c r="D763" s="1544"/>
      <c r="E763" s="665"/>
      <c r="F763" s="1556"/>
      <c r="G763" s="665"/>
      <c r="H763" s="1553"/>
      <c r="Q763" s="665"/>
      <c r="Y763" s="1541"/>
    </row>
    <row customFormat="1" r="764" s="1548" spans="4:25">
      <c r="D764" s="1544"/>
      <c r="E764" s="665"/>
      <c r="F764" s="1556"/>
      <c r="G764" s="665"/>
      <c r="H764" s="1553"/>
      <c r="Q764" s="665"/>
      <c r="Y764" s="1541"/>
    </row>
    <row customFormat="1" r="765" s="1548" spans="4:25">
      <c r="D765" s="1544"/>
      <c r="E765" s="665"/>
      <c r="F765" s="1556"/>
      <c r="G765" s="665"/>
      <c r="H765" s="1553"/>
      <c r="Q765" s="665"/>
      <c r="Y765" s="1541"/>
    </row>
    <row customFormat="1" r="766" s="1548" spans="4:25">
      <c r="D766" s="1544"/>
      <c r="E766" s="665"/>
      <c r="F766" s="1556"/>
      <c r="G766" s="665"/>
      <c r="H766" s="1553"/>
      <c r="Q766" s="665"/>
      <c r="Y766" s="1541"/>
    </row>
    <row customFormat="1" r="767" s="1548" spans="4:25">
      <c r="D767" s="1544"/>
      <c r="E767" s="665"/>
      <c r="F767" s="1556"/>
      <c r="G767" s="665"/>
      <c r="H767" s="1553"/>
      <c r="Q767" s="665"/>
      <c r="Y767" s="1541"/>
    </row>
    <row customFormat="1" r="768" s="1548" spans="4:25">
      <c r="D768" s="1544"/>
      <c r="E768" s="665"/>
      <c r="F768" s="1556"/>
      <c r="G768" s="665"/>
      <c r="H768" s="1553"/>
      <c r="Q768" s="665"/>
      <c r="Y768" s="1541"/>
    </row>
    <row customFormat="1" r="769" s="1548" spans="4:25">
      <c r="D769" s="1544"/>
      <c r="E769" s="665"/>
      <c r="F769" s="1556"/>
      <c r="G769" s="665"/>
      <c r="H769" s="1553"/>
      <c r="Q769" s="665"/>
      <c r="Y769" s="1541"/>
    </row>
    <row customFormat="1" r="770" s="1548" spans="4:25">
      <c r="D770" s="1544"/>
      <c r="E770" s="665"/>
      <c r="F770" s="1556"/>
      <c r="G770" s="665"/>
      <c r="H770" s="1553"/>
      <c r="Q770" s="665"/>
      <c r="Y770" s="1541"/>
    </row>
    <row customFormat="1" r="771" s="1548" spans="4:25">
      <c r="D771" s="1544"/>
      <c r="E771" s="665"/>
      <c r="F771" s="1556"/>
      <c r="G771" s="665"/>
      <c r="H771" s="1553"/>
      <c r="Q771" s="665"/>
      <c r="Y771" s="1541"/>
    </row>
    <row customFormat="1" r="772" s="1548" spans="4:25">
      <c r="D772" s="1544"/>
      <c r="E772" s="665"/>
      <c r="F772" s="1556"/>
      <c r="G772" s="665"/>
      <c r="H772" s="1553"/>
      <c r="Q772" s="665"/>
      <c r="Y772" s="1541"/>
    </row>
    <row customFormat="1" r="773" s="1548" spans="4:25">
      <c r="D773" s="1544"/>
      <c r="E773" s="665"/>
      <c r="F773" s="1556"/>
      <c r="G773" s="665"/>
      <c r="H773" s="1553"/>
      <c r="Q773" s="665"/>
      <c r="Y773" s="1541"/>
    </row>
    <row customFormat="1" r="774" s="1548" spans="4:25">
      <c r="D774" s="1544"/>
      <c r="E774" s="665"/>
      <c r="F774" s="1556"/>
      <c r="G774" s="665"/>
      <c r="H774" s="1553"/>
      <c r="Q774" s="665"/>
      <c r="Y774" s="1541"/>
    </row>
    <row customFormat="1" r="775" s="1548" spans="4:25">
      <c r="D775" s="1544"/>
      <c r="E775" s="665"/>
      <c r="F775" s="1556"/>
      <c r="G775" s="665"/>
      <c r="H775" s="1553"/>
      <c r="Q775" s="665"/>
      <c r="Y775" s="1541"/>
    </row>
    <row customFormat="1" r="776" s="1548" spans="4:25">
      <c r="D776" s="1544"/>
      <c r="E776" s="665"/>
      <c r="F776" s="1556"/>
      <c r="G776" s="665"/>
      <c r="H776" s="1553"/>
      <c r="Q776" s="665"/>
      <c r="Y776" s="1541"/>
    </row>
    <row customFormat="1" r="777" s="1548" spans="4:25">
      <c r="D777" s="1544"/>
      <c r="E777" s="665"/>
      <c r="F777" s="1556"/>
      <c r="G777" s="665"/>
      <c r="H777" s="1553"/>
      <c r="Q777" s="665"/>
      <c r="Y777" s="1541"/>
    </row>
    <row customFormat="1" r="778" s="1548" spans="4:25">
      <c r="D778" s="1544"/>
      <c r="E778" s="665"/>
      <c r="F778" s="1556"/>
      <c r="G778" s="665"/>
      <c r="H778" s="1553"/>
      <c r="Q778" s="665"/>
      <c r="Y778" s="1541"/>
    </row>
    <row customFormat="1" r="779" s="1548" spans="4:25">
      <c r="D779" s="1544"/>
      <c r="E779" s="665"/>
      <c r="F779" s="1556"/>
      <c r="G779" s="665"/>
      <c r="H779" s="1553"/>
      <c r="Q779" s="665"/>
      <c r="Y779" s="1541"/>
    </row>
    <row customFormat="1" r="780" s="1548" spans="4:25">
      <c r="D780" s="1544"/>
      <c r="E780" s="665"/>
      <c r="F780" s="1556"/>
      <c r="G780" s="665"/>
      <c r="H780" s="1553"/>
      <c r="Q780" s="665"/>
      <c r="Y780" s="1541"/>
    </row>
    <row customFormat="1" r="781" s="1548" spans="4:25">
      <c r="D781" s="1544"/>
      <c r="E781" s="665"/>
      <c r="F781" s="1556"/>
      <c r="G781" s="665"/>
      <c r="H781" s="1553"/>
      <c r="Q781" s="665"/>
      <c r="Y781" s="1541"/>
    </row>
    <row customFormat="1" r="782" s="1548" spans="4:25">
      <c r="D782" s="1544"/>
      <c r="E782" s="665"/>
      <c r="F782" s="1556"/>
      <c r="G782" s="665"/>
      <c r="H782" s="1553"/>
      <c r="Q782" s="665"/>
      <c r="Y782" s="1541"/>
    </row>
    <row customFormat="1" r="783" s="1548" spans="4:25">
      <c r="D783" s="1544"/>
      <c r="E783" s="665"/>
      <c r="F783" s="1556"/>
      <c r="G783" s="665"/>
      <c r="H783" s="1553"/>
      <c r="Q783" s="665"/>
      <c r="Y783" s="1541"/>
    </row>
    <row customFormat="1" r="784" s="1548" spans="4:25">
      <c r="D784" s="1544"/>
      <c r="E784" s="665"/>
      <c r="F784" s="1556"/>
      <c r="G784" s="665"/>
      <c r="H784" s="1553"/>
      <c r="Q784" s="665"/>
      <c r="Y784" s="1541"/>
    </row>
    <row customFormat="1" r="785" s="1548" spans="4:25">
      <c r="D785" s="1544"/>
      <c r="E785" s="665"/>
      <c r="F785" s="1556"/>
      <c r="G785" s="665"/>
      <c r="H785" s="1553"/>
      <c r="Q785" s="665"/>
      <c r="Y785" s="1541"/>
    </row>
    <row customFormat="1" r="786" s="1548" spans="4:25">
      <c r="D786" s="1544"/>
      <c r="E786" s="665"/>
      <c r="F786" s="1556"/>
      <c r="G786" s="665"/>
      <c r="H786" s="1553"/>
      <c r="Q786" s="665"/>
      <c r="Y786" s="1541"/>
    </row>
    <row customFormat="1" r="787" s="1548" spans="4:25">
      <c r="D787" s="1544"/>
      <c r="E787" s="665"/>
      <c r="F787" s="1556"/>
      <c r="G787" s="665"/>
      <c r="H787" s="1553"/>
      <c r="Q787" s="665"/>
      <c r="Y787" s="1541"/>
    </row>
    <row customFormat="1" r="788" s="1548" spans="4:25">
      <c r="D788" s="1544"/>
      <c r="E788" s="665"/>
      <c r="F788" s="1556"/>
      <c r="G788" s="665"/>
      <c r="H788" s="1553"/>
      <c r="Q788" s="665"/>
      <c r="Y788" s="1541"/>
    </row>
    <row customFormat="1" r="789" s="1548" spans="4:25">
      <c r="D789" s="1544"/>
      <c r="E789" s="665"/>
      <c r="F789" s="1556"/>
      <c r="G789" s="665"/>
      <c r="H789" s="1553"/>
      <c r="Q789" s="665"/>
      <c r="Y789" s="1541"/>
    </row>
    <row customFormat="1" r="790" s="1548" spans="4:25">
      <c r="D790" s="1544"/>
      <c r="E790" s="665"/>
      <c r="F790" s="1556"/>
      <c r="G790" s="665"/>
      <c r="H790" s="1553"/>
      <c r="Q790" s="665"/>
      <c r="Y790" s="1541"/>
    </row>
    <row customFormat="1" r="791" s="1548" spans="4:25">
      <c r="D791" s="1544"/>
      <c r="E791" s="665"/>
      <c r="F791" s="1556"/>
      <c r="G791" s="665"/>
      <c r="H791" s="1553"/>
      <c r="Q791" s="665"/>
      <c r="Y791" s="1541"/>
    </row>
    <row customFormat="1" r="792" s="1548" spans="4:25">
      <c r="D792" s="1544"/>
      <c r="E792" s="665"/>
      <c r="F792" s="1556"/>
      <c r="G792" s="665"/>
      <c r="H792" s="1553"/>
      <c r="Q792" s="665"/>
      <c r="Y792" s="1541"/>
    </row>
    <row customFormat="1" r="793" s="1548" spans="4:25">
      <c r="D793" s="1544"/>
      <c r="E793" s="665"/>
      <c r="F793" s="1556"/>
      <c r="G793" s="665"/>
      <c r="H793" s="1553"/>
      <c r="Q793" s="665"/>
      <c r="Y793" s="1541"/>
    </row>
    <row customFormat="1" r="794" s="1548" spans="4:25">
      <c r="D794" s="1544"/>
      <c r="E794" s="665"/>
      <c r="F794" s="1556"/>
      <c r="G794" s="665"/>
      <c r="H794" s="1553"/>
      <c r="Q794" s="665"/>
      <c r="Y794" s="1541"/>
    </row>
    <row customFormat="1" r="795" s="1548" spans="4:25">
      <c r="D795" s="1544"/>
      <c r="E795" s="665"/>
      <c r="F795" s="1556"/>
      <c r="G795" s="665"/>
      <c r="H795" s="1553"/>
      <c r="Q795" s="665"/>
      <c r="Y795" s="1541"/>
    </row>
    <row customFormat="1" r="796" s="1548" spans="4:25">
      <c r="D796" s="1544"/>
      <c r="E796" s="665"/>
      <c r="F796" s="1556"/>
      <c r="G796" s="665"/>
      <c r="H796" s="1553"/>
      <c r="Q796" s="665"/>
      <c r="Y796" s="1541"/>
    </row>
    <row customFormat="1" r="797" s="1548" spans="4:25">
      <c r="D797" s="1544"/>
      <c r="E797" s="665"/>
      <c r="F797" s="1556"/>
      <c r="G797" s="665"/>
      <c r="H797" s="1553"/>
      <c r="Q797" s="665"/>
      <c r="Y797" s="1541"/>
    </row>
    <row customFormat="1" r="798" s="1548" spans="4:25">
      <c r="D798" s="1544"/>
      <c r="E798" s="665"/>
      <c r="F798" s="1556"/>
      <c r="G798" s="665"/>
      <c r="H798" s="1553"/>
      <c r="Q798" s="665"/>
      <c r="Y798" s="1541"/>
    </row>
    <row customFormat="1" r="799" s="1548" spans="4:25">
      <c r="D799" s="1544"/>
      <c r="E799" s="665"/>
      <c r="F799" s="1556"/>
      <c r="G799" s="665"/>
      <c r="H799" s="1553"/>
      <c r="Q799" s="665"/>
      <c r="Y799" s="1541"/>
    </row>
    <row customFormat="1" r="800" s="1548" spans="4:25">
      <c r="D800" s="1544"/>
      <c r="E800" s="665"/>
      <c r="F800" s="1556"/>
      <c r="G800" s="665"/>
      <c r="H800" s="1553"/>
      <c r="Q800" s="665"/>
      <c r="Y800" s="1541"/>
    </row>
    <row customFormat="1" r="801" s="1548" spans="4:25">
      <c r="D801" s="1544"/>
      <c r="E801" s="665"/>
      <c r="F801" s="1556"/>
      <c r="G801" s="665"/>
      <c r="H801" s="1553"/>
      <c r="Q801" s="665"/>
      <c r="Y801" s="1541"/>
    </row>
    <row customFormat="1" r="802" s="1548" spans="4:25">
      <c r="D802" s="1544"/>
      <c r="E802" s="665"/>
      <c r="F802" s="1556"/>
      <c r="G802" s="665"/>
      <c r="H802" s="1553"/>
      <c r="Q802" s="665"/>
      <c r="Y802" s="1541"/>
    </row>
    <row customFormat="1" r="803" s="1548" spans="4:25">
      <c r="D803" s="1544"/>
      <c r="E803" s="665"/>
      <c r="F803" s="1556"/>
      <c r="G803" s="665"/>
      <c r="H803" s="1553"/>
      <c r="Q803" s="665"/>
      <c r="Y803" s="1541"/>
    </row>
    <row customFormat="1" r="804" s="1548" spans="4:25">
      <c r="D804" s="1544"/>
      <c r="E804" s="665"/>
      <c r="F804" s="1556"/>
      <c r="G804" s="665"/>
      <c r="H804" s="1553"/>
      <c r="Q804" s="665"/>
      <c r="Y804" s="1541"/>
    </row>
    <row customFormat="1" r="805" s="1548" spans="4:25">
      <c r="D805" s="1544"/>
      <c r="E805" s="665"/>
      <c r="F805" s="1556"/>
      <c r="G805" s="665"/>
      <c r="H805" s="1553"/>
      <c r="Q805" s="665"/>
      <c r="Y805" s="1541"/>
    </row>
    <row customFormat="1" r="806" s="1548" spans="4:25">
      <c r="D806" s="1544"/>
      <c r="E806" s="665"/>
      <c r="F806" s="1556"/>
      <c r="G806" s="665"/>
      <c r="H806" s="1553"/>
      <c r="Q806" s="665"/>
      <c r="Y806" s="1541"/>
    </row>
    <row customFormat="1" r="807" s="1548" spans="4:25">
      <c r="D807" s="1544"/>
      <c r="E807" s="665"/>
      <c r="F807" s="1556"/>
      <c r="G807" s="665"/>
      <c r="H807" s="1553"/>
      <c r="Q807" s="665"/>
      <c r="Y807" s="1541"/>
    </row>
    <row customFormat="1" r="808" s="1548" spans="4:25">
      <c r="D808" s="1544"/>
      <c r="E808" s="665"/>
      <c r="F808" s="1556"/>
      <c r="G808" s="665"/>
      <c r="H808" s="1553"/>
      <c r="Q808" s="665"/>
      <c r="Y808" s="1541"/>
    </row>
    <row customFormat="1" r="809" s="1548" spans="4:25">
      <c r="D809" s="1544"/>
      <c r="E809" s="665"/>
      <c r="F809" s="1556"/>
      <c r="G809" s="665"/>
      <c r="H809" s="1553"/>
      <c r="Q809" s="665"/>
      <c r="Y809" s="1541"/>
    </row>
    <row customFormat="1" r="810" s="1548" spans="4:25">
      <c r="D810" s="1544"/>
      <c r="E810" s="665"/>
      <c r="F810" s="1556"/>
      <c r="G810" s="665"/>
      <c r="H810" s="1553"/>
      <c r="Q810" s="665"/>
      <c r="Y810" s="1541"/>
    </row>
    <row customFormat="1" r="811" s="1548" spans="4:25">
      <c r="D811" s="1544"/>
      <c r="E811" s="665"/>
      <c r="F811" s="1556"/>
      <c r="G811" s="665"/>
      <c r="H811" s="1553"/>
      <c r="Q811" s="665"/>
      <c r="Y811" s="1541"/>
    </row>
    <row customFormat="1" r="812" s="1548" spans="4:25">
      <c r="D812" s="1544"/>
      <c r="E812" s="665"/>
      <c r="F812" s="1556"/>
      <c r="G812" s="665"/>
      <c r="H812" s="1553"/>
      <c r="Q812" s="665"/>
      <c r="Y812" s="1541"/>
    </row>
    <row customFormat="1" r="813" s="1548" spans="4:25">
      <c r="D813" s="1544"/>
      <c r="E813" s="665"/>
      <c r="F813" s="1556"/>
      <c r="G813" s="665"/>
      <c r="H813" s="1553"/>
      <c r="Q813" s="665"/>
      <c r="Y813" s="1541"/>
    </row>
    <row customFormat="1" r="814" s="1548" spans="4:25">
      <c r="D814" s="1544"/>
      <c r="E814" s="665"/>
      <c r="F814" s="1556"/>
      <c r="G814" s="665"/>
      <c r="H814" s="1553"/>
      <c r="Q814" s="665"/>
      <c r="Y814" s="1541"/>
    </row>
    <row customFormat="1" r="815" s="1548" spans="4:25">
      <c r="D815" s="1544"/>
      <c r="E815" s="665"/>
      <c r="F815" s="1556"/>
      <c r="G815" s="665"/>
      <c r="H815" s="1553"/>
      <c r="Q815" s="665"/>
      <c r="Y815" s="1541"/>
    </row>
    <row customFormat="1" r="816" s="1548" spans="4:25">
      <c r="D816" s="1544"/>
      <c r="E816" s="665"/>
      <c r="F816" s="1556"/>
      <c r="G816" s="665"/>
      <c r="H816" s="1553"/>
      <c r="Q816" s="665"/>
      <c r="Y816" s="1541"/>
    </row>
    <row customFormat="1" r="817" s="1548" spans="3:25">
      <c r="C817" s="1542"/>
      <c r="D817" s="1544"/>
      <c r="E817" s="665"/>
      <c r="F817" s="1556"/>
      <c r="G817" s="665"/>
      <c r="H817" s="1553"/>
      <c r="Q817" s="665"/>
      <c r="Y817" s="1541"/>
    </row>
    <row customFormat="1" r="818" s="1548" spans="3:25">
      <c r="C818" s="1542"/>
      <c r="D818" s="1544"/>
      <c r="E818" s="665"/>
      <c r="F818" s="1556"/>
      <c r="G818" s="665"/>
      <c r="H818" s="1553"/>
      <c r="Q818" s="665"/>
      <c r="Y818" s="1541"/>
    </row>
    <row customFormat="1" r="819" s="1548" spans="3:25">
      <c r="C819" s="1542"/>
      <c r="D819" s="1544"/>
      <c r="E819" s="665"/>
      <c r="F819" s="1556"/>
      <c r="G819" s="665"/>
      <c r="H819" s="1553"/>
      <c r="Q819" s="665"/>
      <c r="Y819" s="1541"/>
    </row>
    <row customFormat="1" r="820" s="1548" spans="3:25">
      <c r="D820" s="1544"/>
      <c r="E820" s="665"/>
      <c r="F820" s="1556"/>
      <c r="G820" s="665"/>
      <c r="H820" s="1553"/>
      <c r="Q820" s="665"/>
      <c r="Y820" s="1541"/>
    </row>
    <row customFormat="1" r="821" s="1548" spans="3:25">
      <c r="D821" s="1544"/>
      <c r="E821" s="665"/>
      <c r="F821" s="1556"/>
      <c r="G821" s="665"/>
      <c r="H821" s="1553"/>
      <c r="Q821" s="665"/>
      <c r="Y821" s="1541"/>
    </row>
    <row customFormat="1" r="822" s="1548" spans="3:25">
      <c r="D822" s="1544"/>
      <c r="E822" s="665"/>
      <c r="F822" s="1556"/>
      <c r="G822" s="665"/>
      <c r="H822" s="1553"/>
      <c r="Q822" s="665"/>
      <c r="Y822" s="1541"/>
    </row>
    <row customFormat="1" r="823" s="1548" spans="3:25">
      <c r="D823" s="1544"/>
      <c r="E823" s="665"/>
      <c r="F823" s="1556"/>
      <c r="G823" s="665"/>
      <c r="H823" s="1553"/>
      <c r="Q823" s="665"/>
      <c r="Y823" s="1541"/>
    </row>
    <row customFormat="1" r="824" s="1548" spans="3:25">
      <c r="D824" s="1544"/>
      <c r="E824" s="665"/>
      <c r="F824" s="1556"/>
      <c r="G824" s="665"/>
      <c r="H824" s="1553"/>
      <c r="Q824" s="665"/>
      <c r="Y824" s="1541"/>
    </row>
    <row customFormat="1" r="825" s="1548" spans="3:25">
      <c r="D825" s="1544"/>
      <c r="E825" s="665"/>
      <c r="F825" s="1556"/>
      <c r="G825" s="665"/>
      <c r="H825" s="1553"/>
      <c r="Q825" s="665"/>
      <c r="Y825" s="1541"/>
    </row>
    <row customFormat="1" r="826" s="1548" spans="3:25">
      <c r="D826" s="1544"/>
      <c r="E826" s="665"/>
      <c r="F826" s="1556"/>
      <c r="G826" s="665"/>
      <c r="H826" s="1553"/>
      <c r="Q826" s="665"/>
      <c r="Y826" s="1541"/>
    </row>
    <row customFormat="1" r="827" s="1548" spans="3:25">
      <c r="D827" s="1544"/>
      <c r="E827" s="665"/>
      <c r="F827" s="1556"/>
      <c r="G827" s="665"/>
      <c r="H827" s="1553"/>
      <c r="Q827" s="665"/>
      <c r="Y827" s="1541"/>
    </row>
    <row customFormat="1" r="828" s="1548" spans="3:25">
      <c r="D828" s="1544"/>
      <c r="E828" s="665"/>
      <c r="F828" s="1556"/>
      <c r="G828" s="665"/>
      <c r="H828" s="1553"/>
      <c r="Q828" s="665"/>
      <c r="Y828" s="1541"/>
    </row>
    <row customFormat="1" r="829" s="1548" spans="3:25">
      <c r="D829" s="1544"/>
      <c r="E829" s="665"/>
      <c r="F829" s="1556"/>
      <c r="G829" s="665"/>
      <c r="H829" s="1553"/>
      <c r="Q829" s="665"/>
      <c r="Y829" s="1541"/>
    </row>
    <row customFormat="1" r="830" s="1548" spans="3:25">
      <c r="D830" s="1544"/>
      <c r="E830" s="665"/>
      <c r="F830" s="1556"/>
      <c r="G830" s="665"/>
      <c r="H830" s="1553"/>
      <c r="Q830" s="665"/>
      <c r="Y830" s="1541"/>
    </row>
    <row customFormat="1" r="831" s="1548" spans="3:25">
      <c r="D831" s="1544"/>
      <c r="E831" s="665"/>
      <c r="F831" s="1556"/>
      <c r="G831" s="665"/>
      <c r="H831" s="1553"/>
      <c r="Q831" s="665"/>
      <c r="Y831" s="1541"/>
    </row>
    <row customFormat="1" r="832" s="1548" spans="3:25">
      <c r="D832" s="1544"/>
      <c r="E832" s="665"/>
      <c r="F832" s="1556"/>
      <c r="G832" s="665"/>
      <c r="H832" s="1553"/>
      <c r="Q832" s="665"/>
      <c r="Y832" s="1541"/>
    </row>
    <row customFormat="1" r="833" s="1548" spans="1:25">
      <c r="D833" s="1544"/>
      <c r="E833" s="665"/>
      <c r="F833" s="1556"/>
      <c r="G833" s="665"/>
      <c r="H833" s="1553"/>
      <c r="Q833" s="665"/>
      <c r="Y833" s="1541"/>
    </row>
    <row customFormat="1" r="834" s="1548" spans="1:25">
      <c r="D834" s="1544"/>
      <c r="E834" s="665"/>
      <c r="F834" s="1556"/>
      <c r="G834" s="665"/>
      <c r="H834" s="1553"/>
      <c r="Q834" s="665"/>
      <c r="Y834" s="1541"/>
    </row>
    <row customFormat="1" r="835" s="1548" spans="1:25">
      <c r="D835" s="1544"/>
      <c r="E835" s="665"/>
      <c r="F835" s="1556"/>
      <c r="G835" s="665"/>
      <c r="H835" s="1553"/>
      <c r="Q835" s="665"/>
      <c r="Y835" s="1541"/>
    </row>
    <row customFormat="1" r="836" s="1548" spans="1:25">
      <c r="D836" s="1544"/>
      <c r="E836" s="665"/>
      <c r="F836" s="1556"/>
      <c r="G836" s="665"/>
      <c r="H836" s="1553"/>
      <c r="Q836" s="665"/>
      <c r="Y836" s="1541"/>
    </row>
    <row r="837" spans="1:25">
      <c r="A837" s="1548"/>
      <c r="B837" s="1548"/>
      <c r="C837" s="1548"/>
      <c r="D837" s="1520"/>
      <c r="E837" s="665"/>
      <c r="F837" s="1121"/>
      <c r="G837" s="665"/>
      <c r="H837" s="1553"/>
    </row>
    <row r="838" spans="1:25">
      <c r="A838" s="1548"/>
      <c r="B838" s="1548"/>
      <c r="C838" s="1548"/>
      <c r="D838" s="1520"/>
      <c r="E838" s="665"/>
      <c r="F838" s="1121"/>
      <c r="G838" s="665"/>
      <c r="H838" s="1553"/>
    </row>
    <row r="839" spans="1:25">
      <c r="A839" s="1548"/>
      <c r="B839" s="1548"/>
      <c r="C839" s="1548"/>
      <c r="D839" s="1520"/>
      <c r="E839" s="665"/>
      <c r="F839" s="1121"/>
      <c r="G839" s="665"/>
      <c r="H839" s="1553"/>
    </row>
    <row r="840" spans="1:25">
      <c r="A840" s="1548"/>
      <c r="B840" s="1548"/>
      <c r="C840" s="1548"/>
      <c r="D840" s="1520"/>
      <c r="E840" s="665"/>
      <c r="F840" s="1121"/>
      <c r="G840" s="665"/>
      <c r="H840" s="1553"/>
    </row>
    <row r="841" spans="1:25">
      <c r="A841" s="1548"/>
      <c r="B841" s="1548"/>
      <c r="C841" s="1548"/>
      <c r="D841" s="1520"/>
      <c r="E841" s="665"/>
      <c r="F841" s="1121"/>
      <c r="G841" s="665"/>
      <c r="H841" s="1553"/>
    </row>
    <row r="842" spans="1:25">
      <c r="A842" s="1548"/>
      <c r="B842" s="1548"/>
      <c r="C842" s="1548"/>
      <c r="D842" s="1520"/>
      <c r="E842" s="665"/>
      <c r="F842" s="1121"/>
      <c r="G842" s="665"/>
      <c r="H842" s="1553"/>
    </row>
    <row r="843" spans="1:25">
      <c r="A843" s="1548"/>
      <c r="B843" s="1548"/>
      <c r="C843" s="1548"/>
      <c r="D843" s="1520"/>
      <c r="E843" s="665"/>
      <c r="F843" s="1121"/>
      <c r="G843" s="665"/>
      <c r="H843" s="1553"/>
    </row>
    <row r="844" spans="1:25">
      <c r="A844" s="1548"/>
      <c r="B844" s="1548"/>
      <c r="C844" s="1548"/>
      <c r="D844" s="1520"/>
      <c r="E844" s="665"/>
      <c r="F844" s="1121"/>
      <c r="G844" s="665"/>
      <c r="H844" s="1553"/>
    </row>
    <row r="845" spans="1:25">
      <c r="A845" s="1548"/>
      <c r="B845" s="1548"/>
      <c r="C845" s="1548"/>
      <c r="D845" s="1520"/>
      <c r="E845" s="665"/>
      <c r="F845" s="1121"/>
      <c r="G845" s="665"/>
      <c r="H845" s="1553"/>
    </row>
    <row r="846" spans="1:25">
      <c r="A846" s="1548"/>
      <c r="B846" s="1548"/>
      <c r="C846" s="1548"/>
      <c r="D846" s="1520"/>
      <c r="E846" s="665"/>
      <c r="F846" s="1121"/>
      <c r="G846" s="665"/>
      <c r="H846" s="1553"/>
    </row>
    <row r="847" spans="1:25">
      <c r="A847" s="1548"/>
      <c r="B847" s="1548"/>
      <c r="C847" s="1548"/>
      <c r="D847" s="1520"/>
      <c r="E847" s="665"/>
      <c r="F847" s="1121"/>
      <c r="G847" s="665"/>
      <c r="H847" s="1553"/>
    </row>
    <row r="848" spans="1:25">
      <c r="A848" s="1548"/>
      <c r="B848" s="1548"/>
      <c r="C848" s="1548"/>
      <c r="D848" s="1520"/>
      <c r="E848" s="665"/>
      <c r="F848" s="1121"/>
      <c r="G848" s="665"/>
      <c r="H848" s="1553"/>
    </row>
    <row r="849" spans="1:8">
      <c r="A849" s="1548"/>
      <c r="B849" s="1548"/>
      <c r="C849" s="1548"/>
      <c r="D849" s="1520"/>
      <c r="E849" s="665"/>
      <c r="F849" s="1121"/>
      <c r="G849" s="665"/>
      <c r="H849" s="1553"/>
    </row>
    <row r="850" spans="1:8">
      <c r="A850" s="1548"/>
      <c r="B850" s="1548"/>
      <c r="C850" s="1548"/>
      <c r="D850" s="1520"/>
      <c r="E850" s="665"/>
      <c r="F850" s="1121"/>
      <c r="G850" s="665"/>
      <c r="H850" s="1553"/>
    </row>
    <row r="851" spans="1:8">
      <c r="A851" s="1548"/>
      <c r="B851" s="1548"/>
      <c r="C851" s="1548"/>
      <c r="D851" s="1520"/>
      <c r="E851" s="665"/>
      <c r="F851" s="1121"/>
      <c r="G851" s="665"/>
      <c r="H851" s="1553"/>
    </row>
    <row r="852" spans="1:8">
      <c r="A852" s="1548"/>
      <c r="B852" s="1548"/>
      <c r="C852" s="1548"/>
      <c r="D852" s="1520"/>
      <c r="E852" s="665"/>
      <c r="F852" s="1121"/>
      <c r="G852" s="665"/>
      <c r="H852" s="1553"/>
    </row>
    <row r="853" spans="1:8">
      <c r="A853" s="1548"/>
      <c r="B853" s="1548"/>
      <c r="C853" s="1548"/>
      <c r="D853" s="1520"/>
      <c r="E853" s="665"/>
      <c r="F853" s="1121"/>
      <c r="G853" s="665"/>
      <c r="H853" s="1553"/>
    </row>
    <row r="854" spans="1:8">
      <c r="A854" s="1548"/>
      <c r="B854" s="1548"/>
      <c r="C854" s="1548"/>
      <c r="D854" s="1520"/>
      <c r="E854" s="665"/>
      <c r="F854" s="1121"/>
      <c r="G854" s="665"/>
      <c r="H854" s="1553"/>
    </row>
    <row r="855" spans="1:8">
      <c r="A855" s="1548"/>
      <c r="B855" s="1548"/>
      <c r="C855" s="1548"/>
      <c r="D855" s="1520"/>
      <c r="E855" s="665"/>
      <c r="F855" s="1121"/>
      <c r="G855" s="665"/>
      <c r="H855" s="1553"/>
    </row>
    <row r="856" spans="1:8">
      <c r="A856" s="1548"/>
      <c r="B856" s="1548"/>
      <c r="C856" s="1548"/>
      <c r="D856" s="1520"/>
      <c r="E856" s="665"/>
      <c r="F856" s="1121"/>
      <c r="G856" s="665"/>
      <c r="H856" s="1553"/>
    </row>
    <row r="857" spans="1:8">
      <c r="A857" s="1548"/>
      <c r="B857" s="1548"/>
      <c r="C857" s="1548"/>
      <c r="D857" s="1520"/>
      <c r="E857" s="665"/>
      <c r="F857" s="1121"/>
      <c r="G857" s="665"/>
      <c r="H857" s="1553"/>
    </row>
    <row r="858" spans="1:8">
      <c r="A858" s="1548"/>
      <c r="B858" s="1548"/>
      <c r="C858" s="1548"/>
      <c r="D858" s="1520"/>
      <c r="E858" s="665"/>
      <c r="F858" s="1121"/>
      <c r="G858" s="665"/>
      <c r="H858" s="1553"/>
    </row>
    <row r="859" spans="1:8">
      <c r="A859" s="1548"/>
      <c r="B859" s="1548"/>
      <c r="C859" s="1548"/>
      <c r="D859" s="1520"/>
      <c r="E859" s="665"/>
      <c r="F859" s="1121"/>
      <c r="G859" s="665"/>
      <c r="H859" s="1553"/>
    </row>
    <row r="860" spans="1:8">
      <c r="A860" s="1548"/>
      <c r="B860" s="1548"/>
      <c r="C860" s="1548"/>
      <c r="D860" s="1520"/>
      <c r="E860" s="665"/>
      <c r="F860" s="1121"/>
      <c r="G860" s="665"/>
      <c r="H860" s="1553"/>
    </row>
    <row r="861" spans="1:8">
      <c r="A861" s="1548"/>
      <c r="B861" s="1548"/>
      <c r="C861" s="1548"/>
      <c r="D861" s="1520"/>
      <c r="E861" s="665"/>
      <c r="F861" s="1121"/>
      <c r="G861" s="665"/>
      <c r="H861" s="1553"/>
    </row>
    <row r="862" spans="1:8">
      <c r="A862" s="1548"/>
      <c r="B862" s="1548"/>
      <c r="C862" s="1548"/>
      <c r="D862" s="1520"/>
      <c r="E862" s="665"/>
      <c r="F862" s="1121"/>
      <c r="G862" s="665"/>
      <c r="H862" s="1553"/>
    </row>
    <row r="863" spans="1:8">
      <c r="A863" s="1548"/>
      <c r="B863" s="1548"/>
      <c r="C863" s="1548"/>
      <c r="D863" s="1520"/>
      <c r="E863" s="665"/>
      <c r="F863" s="1121"/>
      <c r="G863" s="665"/>
      <c r="H863" s="1553"/>
    </row>
    <row r="864" spans="1:8">
      <c r="A864" s="1548"/>
      <c r="B864" s="1548"/>
      <c r="C864" s="1548"/>
      <c r="D864" s="1520"/>
      <c r="E864" s="665"/>
      <c r="F864" s="1121"/>
      <c r="G864" s="665"/>
      <c r="H864" s="1553"/>
    </row>
    <row r="865" spans="1:8">
      <c r="A865" s="1548"/>
      <c r="B865" s="1548"/>
      <c r="C865" s="1548"/>
      <c r="D865" s="1520"/>
      <c r="E865" s="665"/>
      <c r="F865" s="1121"/>
      <c r="G865" s="665"/>
      <c r="H865" s="1553"/>
    </row>
    <row r="866" spans="1:8">
      <c r="A866" s="1548"/>
      <c r="B866" s="1548"/>
      <c r="C866" s="1548"/>
      <c r="D866" s="1520"/>
      <c r="E866" s="665"/>
      <c r="F866" s="1121"/>
      <c r="G866" s="665"/>
      <c r="H866" s="1553"/>
    </row>
    <row r="867" spans="1:8">
      <c r="A867" s="1548"/>
      <c r="B867" s="1548"/>
      <c r="C867" s="1548"/>
      <c r="D867" s="1520"/>
      <c r="E867" s="665"/>
      <c r="F867" s="1121"/>
      <c r="G867" s="665"/>
      <c r="H867" s="1553"/>
    </row>
    <row r="868" spans="1:8">
      <c r="A868" s="1548"/>
      <c r="B868" s="1548"/>
      <c r="C868" s="1548"/>
      <c r="D868" s="1520"/>
      <c r="E868" s="665"/>
      <c r="F868" s="1121"/>
      <c r="G868" s="665"/>
      <c r="H868" s="1553"/>
    </row>
    <row r="869" spans="1:8">
      <c r="A869" s="1548"/>
      <c r="B869" s="1548"/>
      <c r="C869" s="1548"/>
      <c r="D869" s="1520"/>
      <c r="E869" s="665"/>
      <c r="F869" s="1121"/>
      <c r="G869" s="665"/>
      <c r="H869" s="1553"/>
    </row>
    <row r="870" spans="1:8">
      <c r="A870" s="1548"/>
      <c r="B870" s="1548"/>
      <c r="C870" s="1548"/>
      <c r="D870" s="1520"/>
      <c r="E870" s="665"/>
      <c r="F870" s="1121"/>
      <c r="G870" s="665"/>
      <c r="H870" s="1553"/>
    </row>
    <row r="871" spans="1:8">
      <c r="A871" s="1548"/>
      <c r="B871" s="1548"/>
      <c r="C871" s="1548"/>
      <c r="D871" s="1520"/>
      <c r="E871" s="665"/>
      <c r="F871" s="1121"/>
      <c r="G871" s="665"/>
      <c r="H871" s="1553"/>
    </row>
    <row r="872" spans="1:8">
      <c r="A872" s="1548"/>
      <c r="B872" s="1548"/>
      <c r="C872" s="1548"/>
      <c r="D872" s="1520"/>
      <c r="E872" s="665"/>
      <c r="F872" s="1121"/>
      <c r="G872" s="665"/>
      <c r="H872" s="1553"/>
    </row>
    <row r="873" spans="1:8">
      <c r="A873" s="1548"/>
      <c r="B873" s="1548"/>
      <c r="C873" s="1548"/>
      <c r="D873" s="1520"/>
      <c r="E873" s="665"/>
      <c r="F873" s="1121"/>
      <c r="G873" s="665"/>
      <c r="H873" s="1553"/>
    </row>
    <row r="874" spans="1:8">
      <c r="A874" s="1548"/>
      <c r="B874" s="1548"/>
      <c r="C874" s="1548"/>
      <c r="D874" s="1520"/>
      <c r="E874" s="665"/>
      <c r="F874" s="1121"/>
      <c r="G874" s="665"/>
      <c r="H874" s="1553"/>
    </row>
    <row r="875" spans="1:8">
      <c r="A875" s="1548"/>
      <c r="B875" s="1548"/>
      <c r="C875" s="1548"/>
      <c r="D875" s="1520"/>
      <c r="E875" s="665"/>
      <c r="F875" s="1121"/>
      <c r="G875" s="665"/>
      <c r="H875" s="1553"/>
    </row>
    <row r="876" spans="1:8">
      <c r="A876" s="1548"/>
      <c r="B876" s="1548"/>
      <c r="C876" s="1548"/>
      <c r="D876" s="1520"/>
      <c r="E876" s="665"/>
      <c r="F876" s="1121"/>
      <c r="G876" s="665"/>
      <c r="H876" s="1553"/>
    </row>
    <row r="877" spans="1:8">
      <c r="A877" s="1548"/>
      <c r="B877" s="1548"/>
      <c r="C877" s="1548"/>
      <c r="D877" s="1520"/>
      <c r="E877" s="665"/>
      <c r="F877" s="1121"/>
      <c r="G877" s="665"/>
      <c r="H877" s="1553"/>
    </row>
    <row r="878" spans="1:8">
      <c r="A878" s="1548"/>
      <c r="B878" s="1548"/>
      <c r="C878" s="1548"/>
      <c r="D878" s="1520"/>
      <c r="E878" s="665"/>
      <c r="F878" s="1121"/>
      <c r="G878" s="665"/>
      <c r="H878" s="1553"/>
    </row>
    <row r="879" spans="1:8">
      <c r="A879" s="1548"/>
      <c r="B879" s="1548"/>
      <c r="C879" s="1548"/>
      <c r="D879" s="1520"/>
      <c r="E879" s="665"/>
      <c r="F879" s="1121"/>
      <c r="G879" s="665"/>
      <c r="H879" s="1553"/>
    </row>
    <row r="880" spans="1:8">
      <c r="A880" s="1548"/>
      <c r="B880" s="1548"/>
      <c r="C880" s="1548"/>
      <c r="D880" s="1520"/>
      <c r="E880" s="665"/>
      <c r="F880" s="1121"/>
      <c r="G880" s="665"/>
      <c r="H880" s="1553"/>
    </row>
    <row r="881" spans="1:8">
      <c r="A881" s="1548"/>
      <c r="B881" s="1548"/>
      <c r="C881" s="1548"/>
      <c r="D881" s="1520"/>
      <c r="E881" s="665"/>
      <c r="F881" s="1121"/>
      <c r="G881" s="665"/>
      <c r="H881" s="1553"/>
    </row>
    <row r="882" spans="1:8">
      <c r="A882" s="1548"/>
      <c r="B882" s="1548"/>
      <c r="C882" s="1548"/>
      <c r="D882" s="1520"/>
      <c r="E882" s="665"/>
      <c r="F882" s="1121"/>
      <c r="G882" s="665"/>
      <c r="H882" s="1553"/>
    </row>
    <row r="883" spans="1:8">
      <c r="A883" s="1548"/>
      <c r="B883" s="1548"/>
      <c r="C883" s="1548"/>
      <c r="D883" s="1520"/>
      <c r="E883" s="665"/>
      <c r="F883" s="1121"/>
      <c r="G883" s="665"/>
      <c r="H883" s="1553"/>
    </row>
    <row r="884" spans="1:8">
      <c r="A884" s="1548"/>
      <c r="B884" s="1548"/>
      <c r="C884" s="1548"/>
      <c r="D884" s="1520"/>
      <c r="E884" s="665"/>
      <c r="F884" s="1121"/>
      <c r="G884" s="665"/>
      <c r="H884" s="1553"/>
    </row>
    <row r="885" spans="1:8">
      <c r="A885" s="1548"/>
      <c r="B885" s="1548"/>
      <c r="C885" s="1548"/>
      <c r="D885" s="1520"/>
      <c r="E885" s="665"/>
      <c r="F885" s="1121"/>
      <c r="G885" s="665"/>
      <c r="H885" s="1553"/>
    </row>
    <row r="886" spans="1:8">
      <c r="A886" s="1548"/>
      <c r="B886" s="1548"/>
      <c r="C886" s="1548"/>
      <c r="D886" s="1520"/>
      <c r="E886" s="665"/>
      <c r="F886" s="1121"/>
      <c r="G886" s="665"/>
      <c r="H886" s="1553"/>
    </row>
    <row r="887" spans="1:8">
      <c r="A887" s="1548"/>
      <c r="B887" s="1548"/>
      <c r="C887" s="1548"/>
      <c r="D887" s="1520"/>
      <c r="E887" s="665"/>
      <c r="F887" s="1121"/>
      <c r="G887" s="665"/>
      <c r="H887" s="1553"/>
    </row>
    <row r="888" spans="1:8">
      <c r="A888" s="1548"/>
      <c r="B888" s="1548"/>
      <c r="C888" s="1548"/>
      <c r="D888" s="1520"/>
      <c r="E888" s="665"/>
      <c r="F888" s="1121"/>
      <c r="G888" s="665"/>
      <c r="H888" s="1553"/>
    </row>
    <row r="889" spans="1:8">
      <c r="A889" s="1548"/>
      <c r="B889" s="1548"/>
      <c r="C889" s="1548"/>
      <c r="D889" s="1520"/>
      <c r="E889" s="665"/>
      <c r="F889" s="1121"/>
      <c r="G889" s="665"/>
      <c r="H889" s="1553"/>
    </row>
    <row r="890" spans="1:8">
      <c r="A890" s="1548"/>
      <c r="B890" s="1548"/>
      <c r="C890" s="1548"/>
      <c r="D890" s="1520"/>
      <c r="E890" s="665"/>
      <c r="F890" s="1121"/>
      <c r="G890" s="665"/>
      <c r="H890" s="1553"/>
    </row>
    <row r="891" spans="1:8">
      <c r="A891" s="1548"/>
      <c r="B891" s="1548"/>
      <c r="C891" s="1548"/>
      <c r="D891" s="1520"/>
      <c r="E891" s="665"/>
      <c r="F891" s="1121"/>
      <c r="G891" s="665"/>
      <c r="H891" s="1553"/>
    </row>
    <row r="892" spans="1:8">
      <c r="A892" s="1548"/>
      <c r="B892" s="1548"/>
      <c r="C892" s="1548"/>
      <c r="D892" s="1520"/>
      <c r="E892" s="665"/>
      <c r="F892" s="1121"/>
      <c r="G892" s="665"/>
      <c r="H892" s="1553"/>
    </row>
    <row r="893" spans="1:8">
      <c r="A893" s="1548"/>
      <c r="B893" s="1548"/>
      <c r="C893" s="1548"/>
      <c r="D893" s="1520"/>
      <c r="E893" s="665"/>
      <c r="F893" s="1121"/>
      <c r="G893" s="665"/>
      <c r="H893" s="1553"/>
    </row>
    <row r="894" spans="1:8">
      <c r="A894" s="1548"/>
      <c r="B894" s="1548"/>
      <c r="C894" s="1548"/>
      <c r="D894" s="1520"/>
      <c r="E894" s="665"/>
      <c r="F894" s="1121"/>
      <c r="G894" s="665"/>
      <c r="H894" s="1553"/>
    </row>
    <row r="895" spans="1:8">
      <c r="A895" s="1548"/>
      <c r="B895" s="1548"/>
      <c r="C895" s="1548"/>
      <c r="D895" s="1520"/>
      <c r="E895" s="665"/>
      <c r="F895" s="1121"/>
      <c r="G895" s="665"/>
      <c r="H895" s="1553"/>
    </row>
    <row r="896" spans="1:8">
      <c r="A896" s="1548"/>
      <c r="B896" s="1548"/>
      <c r="C896" s="1548"/>
      <c r="D896" s="1520"/>
      <c r="E896" s="665"/>
      <c r="F896" s="1121"/>
      <c r="G896" s="665"/>
      <c r="H896" s="1553"/>
    </row>
    <row r="897" spans="1:8">
      <c r="A897" s="1548"/>
      <c r="B897" s="1548"/>
      <c r="C897" s="1548"/>
      <c r="D897" s="1520"/>
      <c r="E897" s="665"/>
      <c r="F897" s="1121"/>
      <c r="G897" s="665"/>
      <c r="H897" s="1553"/>
    </row>
    <row r="898" spans="1:8">
      <c r="A898" s="1548"/>
      <c r="B898" s="1548"/>
      <c r="C898" s="1548"/>
      <c r="D898" s="1520"/>
      <c r="E898" s="665"/>
      <c r="F898" s="1121"/>
      <c r="G898" s="665"/>
      <c r="H898" s="1553"/>
    </row>
    <row r="899" spans="1:8">
      <c r="A899" s="1539"/>
      <c r="B899" s="1539"/>
      <c r="C899" s="1539"/>
      <c r="D899" s="1520"/>
      <c r="E899" s="665"/>
      <c r="F899" s="1121"/>
      <c r="G899" s="665"/>
      <c r="H899" s="1553"/>
    </row>
    <row r="900" spans="1:8">
      <c r="A900" s="1548"/>
      <c r="B900" s="1548"/>
      <c r="C900" s="1548"/>
      <c r="D900" s="1520"/>
      <c r="E900" s="665"/>
      <c r="F900" s="1121"/>
      <c r="G900" s="665"/>
      <c r="H900" s="1553"/>
    </row>
    <row r="901" spans="1:8">
      <c r="A901" s="1548"/>
      <c r="B901" s="1548"/>
      <c r="C901" s="1548"/>
      <c r="D901" s="1520"/>
      <c r="E901" s="665"/>
      <c r="F901" s="1121"/>
      <c r="G901" s="665"/>
      <c r="H901" s="1553"/>
    </row>
    <row r="902" spans="1:8">
      <c r="A902" s="1548"/>
      <c r="B902" s="1548"/>
      <c r="C902" s="1548"/>
      <c r="D902" s="1520"/>
      <c r="E902" s="665"/>
      <c r="F902" s="1121"/>
      <c r="G902" s="665"/>
      <c r="H902" s="1553"/>
    </row>
    <row r="903" spans="1:8">
      <c r="A903" s="1539"/>
      <c r="B903" s="1539"/>
      <c r="C903" s="1539"/>
      <c r="D903" s="1520"/>
      <c r="E903" s="665"/>
      <c r="F903" s="1121"/>
      <c r="G903" s="665"/>
      <c r="H903" s="1553"/>
    </row>
    <row r="904" spans="1:8">
      <c r="A904" s="1548"/>
      <c r="B904" s="1548"/>
      <c r="C904" s="1548"/>
      <c r="D904" s="1520"/>
      <c r="E904" s="665"/>
      <c r="F904" s="1121"/>
      <c r="G904" s="665"/>
      <c r="H904" s="1553"/>
    </row>
    <row r="905" spans="1:8">
      <c r="A905" s="1548"/>
      <c r="B905" s="1548"/>
      <c r="C905" s="1548"/>
      <c r="D905" s="1520"/>
      <c r="E905" s="665"/>
      <c r="F905" s="1121"/>
      <c r="G905" s="665"/>
      <c r="H905" s="1553"/>
    </row>
    <row r="906" spans="1:8">
      <c r="A906" s="1548"/>
      <c r="B906" s="1548"/>
      <c r="C906" s="1548"/>
      <c r="D906" s="1520"/>
      <c r="E906" s="665"/>
      <c r="F906" s="1121"/>
      <c r="G906" s="665"/>
      <c r="H906" s="1553"/>
    </row>
    <row r="907" spans="1:8">
      <c r="A907" s="1539"/>
      <c r="B907" s="1539"/>
      <c r="C907" s="1539"/>
      <c r="D907" s="1520"/>
      <c r="E907" s="665"/>
      <c r="F907" s="1121"/>
      <c r="G907" s="665"/>
      <c r="H907" s="1553"/>
    </row>
    <row r="908" spans="1:8">
      <c r="A908" s="1548"/>
      <c r="B908" s="1548"/>
      <c r="C908" s="1548"/>
      <c r="D908" s="1520"/>
      <c r="E908" s="665"/>
      <c r="F908" s="1121"/>
      <c r="G908" s="665"/>
      <c r="H908" s="1553"/>
    </row>
    <row r="909" spans="1:8">
      <c r="A909" s="1548"/>
      <c r="B909" s="1548"/>
      <c r="C909" s="1548"/>
      <c r="D909" s="1520"/>
      <c r="E909" s="665"/>
      <c r="F909" s="1121"/>
      <c r="G909" s="665"/>
      <c r="H909" s="1553"/>
    </row>
    <row r="910" spans="1:8">
      <c r="A910" s="1539"/>
      <c r="B910" s="1539"/>
      <c r="C910" s="1539"/>
      <c r="D910" s="1520"/>
      <c r="E910" s="665"/>
      <c r="F910" s="1121"/>
      <c r="G910" s="665"/>
      <c r="H910" s="1553"/>
    </row>
    <row r="911" spans="1:8">
      <c r="A911" s="1548"/>
      <c r="B911" s="1548"/>
      <c r="C911" s="1548"/>
      <c r="D911" s="1520"/>
      <c r="E911" s="665"/>
      <c r="F911" s="1121"/>
      <c r="G911" s="665"/>
      <c r="H911" s="1553"/>
    </row>
    <row r="912" spans="1:8">
      <c r="A912" s="1548"/>
      <c r="B912" s="1548"/>
      <c r="C912" s="1548"/>
      <c r="D912" s="1520"/>
      <c r="E912" s="665"/>
      <c r="F912" s="1121"/>
      <c r="G912" s="665"/>
      <c r="H912" s="1553"/>
    </row>
    <row r="913" spans="1:8">
      <c r="A913" s="1548"/>
      <c r="B913" s="1548"/>
      <c r="C913" s="1548"/>
      <c r="D913" s="1520"/>
      <c r="E913" s="665"/>
      <c r="F913" s="1121"/>
      <c r="G913" s="665"/>
      <c r="H913" s="1553"/>
    </row>
    <row r="914" spans="1:8">
      <c r="A914" s="1548"/>
      <c r="B914" s="1548"/>
      <c r="C914" s="1548"/>
      <c r="D914" s="1520"/>
      <c r="E914" s="665"/>
      <c r="F914" s="1121"/>
      <c r="G914" s="665"/>
      <c r="H914" s="1553"/>
    </row>
    <row r="915" spans="1:8">
      <c r="A915" s="1548"/>
      <c r="B915" s="1548"/>
      <c r="C915" s="1548"/>
      <c r="D915" s="1520"/>
      <c r="E915" s="665"/>
      <c r="F915" s="1121"/>
      <c r="G915" s="665"/>
      <c r="H915" s="1553"/>
    </row>
    <row r="916" spans="1:8">
      <c r="A916" s="1548"/>
      <c r="B916" s="1548"/>
      <c r="C916" s="1548"/>
      <c r="D916" s="1520"/>
      <c r="E916" s="665"/>
      <c r="F916" s="1121"/>
      <c r="G916" s="665"/>
      <c r="H916" s="1553"/>
    </row>
    <row r="917" spans="1:8">
      <c r="A917" s="1548"/>
      <c r="B917" s="1548"/>
      <c r="C917" s="1548"/>
      <c r="D917" s="1520"/>
      <c r="E917" s="665"/>
      <c r="F917" s="1121"/>
      <c r="G917" s="665"/>
      <c r="H917" s="1553"/>
    </row>
    <row r="918" spans="1:8">
      <c r="A918" s="1548"/>
      <c r="B918" s="1548"/>
      <c r="C918" s="1548"/>
      <c r="D918" s="1520"/>
      <c r="E918" s="665"/>
      <c r="F918" s="1121"/>
      <c r="G918" s="665"/>
      <c r="H918" s="1553"/>
    </row>
    <row r="919" spans="1:8">
      <c r="A919" s="1548"/>
      <c r="B919" s="1548"/>
      <c r="C919" s="1548"/>
      <c r="D919" s="1520"/>
      <c r="E919" s="665"/>
      <c r="F919" s="1121"/>
      <c r="G919" s="665"/>
      <c r="H919" s="1553"/>
    </row>
    <row r="920" spans="1:8">
      <c r="A920" s="1548"/>
      <c r="B920" s="1548"/>
      <c r="C920" s="1548"/>
      <c r="D920" s="1520"/>
      <c r="E920" s="665"/>
      <c r="F920" s="1121"/>
      <c r="G920" s="665"/>
      <c r="H920" s="1553"/>
    </row>
    <row r="921" spans="1:8">
      <c r="A921" s="1548"/>
      <c r="B921" s="1548"/>
      <c r="C921" s="1548"/>
      <c r="D921" s="1520"/>
      <c r="E921" s="665"/>
      <c r="F921" s="1121"/>
      <c r="G921" s="665"/>
      <c r="H921" s="1553"/>
    </row>
    <row r="922" spans="1:8">
      <c r="A922" s="1548"/>
      <c r="B922" s="1548"/>
      <c r="C922" s="1548"/>
      <c r="D922" s="1520"/>
      <c r="E922" s="665"/>
      <c r="F922" s="1121"/>
      <c r="G922" s="665"/>
      <c r="H922" s="1553"/>
    </row>
    <row r="923" spans="1:8">
      <c r="A923" s="1548"/>
      <c r="B923" s="1548"/>
      <c r="C923" s="1548"/>
      <c r="D923" s="1520"/>
      <c r="E923" s="665"/>
      <c r="F923" s="1121"/>
      <c r="G923" s="665"/>
      <c r="H923" s="1553"/>
    </row>
    <row r="924" spans="1:8">
      <c r="A924" s="1548"/>
      <c r="B924" s="1548"/>
      <c r="C924" s="1548"/>
      <c r="D924" s="1520"/>
      <c r="E924" s="665"/>
      <c r="F924" s="1121"/>
      <c r="G924" s="665"/>
      <c r="H924" s="1553"/>
    </row>
    <row r="925" spans="1:8">
      <c r="A925" s="1548"/>
      <c r="B925" s="1548"/>
      <c r="C925" s="1548"/>
      <c r="D925" s="1520"/>
      <c r="E925" s="665"/>
      <c r="F925" s="1121"/>
      <c r="G925" s="665"/>
      <c r="H925" s="1553"/>
    </row>
    <row r="926" spans="1:8">
      <c r="A926" s="1548"/>
      <c r="B926" s="1548"/>
      <c r="C926" s="1548"/>
      <c r="D926" s="1520"/>
      <c r="E926" s="665"/>
      <c r="F926" s="1121"/>
      <c r="G926" s="665"/>
      <c r="H926" s="1553"/>
    </row>
    <row r="927" spans="1:8">
      <c r="A927" s="1548"/>
      <c r="B927" s="1548"/>
      <c r="C927" s="1548"/>
      <c r="D927" s="1520"/>
      <c r="E927" s="665"/>
      <c r="F927" s="1121"/>
      <c r="G927" s="665"/>
      <c r="H927" s="1553"/>
    </row>
    <row r="928" spans="1:8">
      <c r="A928" s="1548"/>
      <c r="B928" s="1548"/>
      <c r="C928" s="1548"/>
      <c r="D928" s="1520"/>
      <c r="E928" s="665"/>
      <c r="F928" s="1121"/>
      <c r="G928" s="665"/>
      <c r="H928" s="1553"/>
    </row>
    <row r="929" spans="1:8">
      <c r="A929" s="1548"/>
      <c r="B929" s="1548"/>
      <c r="C929" s="1548"/>
      <c r="D929" s="1520"/>
      <c r="E929" s="665"/>
      <c r="F929" s="1121"/>
      <c r="G929" s="665"/>
      <c r="H929" s="1553"/>
    </row>
    <row r="930" spans="1:8">
      <c r="A930" s="1548"/>
      <c r="B930" s="1548"/>
      <c r="C930" s="1548"/>
      <c r="D930" s="1520"/>
      <c r="E930" s="665"/>
      <c r="F930" s="1121"/>
      <c r="G930" s="665"/>
      <c r="H930" s="1553"/>
    </row>
    <row r="931" spans="1:8">
      <c r="A931" s="1548"/>
      <c r="B931" s="1548"/>
      <c r="C931" s="1548"/>
      <c r="D931" s="1520"/>
      <c r="E931" s="665"/>
      <c r="F931" s="1121"/>
      <c r="G931" s="665"/>
      <c r="H931" s="1553"/>
    </row>
    <row r="932" spans="1:8">
      <c r="A932" s="1548"/>
      <c r="B932" s="1548"/>
      <c r="C932" s="1548"/>
      <c r="D932" s="1520"/>
      <c r="E932" s="665"/>
      <c r="F932" s="1121"/>
      <c r="G932" s="665"/>
      <c r="H932" s="1553"/>
    </row>
    <row r="933" spans="1:8">
      <c r="A933" s="1548"/>
      <c r="B933" s="1548"/>
      <c r="C933" s="1548"/>
      <c r="D933" s="1520"/>
      <c r="E933" s="665"/>
      <c r="F933" s="1121"/>
      <c r="G933" s="665"/>
      <c r="H933" s="1553"/>
    </row>
    <row r="934" spans="1:8">
      <c r="A934" s="1548"/>
      <c r="B934" s="1548"/>
      <c r="C934" s="1548"/>
      <c r="D934" s="1520"/>
      <c r="E934" s="665"/>
      <c r="F934" s="1121"/>
      <c r="G934" s="665"/>
      <c r="H934" s="1553"/>
    </row>
    <row r="935" spans="1:8">
      <c r="A935" s="1548"/>
      <c r="B935" s="1548"/>
      <c r="C935" s="1548"/>
      <c r="D935" s="1520"/>
      <c r="E935" s="665"/>
      <c r="F935" s="1121"/>
      <c r="G935" s="665"/>
      <c r="H935" s="1553"/>
    </row>
    <row r="936" spans="1:8">
      <c r="A936" s="1548"/>
      <c r="B936" s="1548"/>
      <c r="C936" s="1548"/>
      <c r="D936" s="1520"/>
      <c r="E936" s="665"/>
      <c r="F936" s="1121"/>
      <c r="G936" s="665"/>
      <c r="H936" s="1553"/>
    </row>
    <row r="937" spans="1:8">
      <c r="A937" s="1548"/>
      <c r="B937" s="1548"/>
      <c r="C937" s="1548"/>
      <c r="D937" s="1520"/>
      <c r="E937" s="665"/>
      <c r="F937" s="1121"/>
      <c r="G937" s="665"/>
      <c r="H937" s="1553"/>
    </row>
    <row r="938" spans="1:8">
      <c r="A938" s="1548"/>
      <c r="B938" s="1548"/>
      <c r="C938" s="1548"/>
      <c r="D938" s="1520"/>
      <c r="E938" s="665"/>
      <c r="F938" s="1121"/>
      <c r="G938" s="665"/>
      <c r="H938" s="1553"/>
    </row>
    <row r="939" spans="1:8">
      <c r="A939" s="1548"/>
      <c r="B939" s="1548"/>
      <c r="C939" s="1548"/>
      <c r="D939" s="1520"/>
      <c r="E939" s="665"/>
      <c r="F939" s="1121"/>
      <c r="G939" s="665"/>
      <c r="H939" s="1553"/>
    </row>
    <row r="940" spans="1:8">
      <c r="A940" s="1548"/>
      <c r="B940" s="1548"/>
      <c r="C940" s="1548"/>
      <c r="D940" s="1520"/>
      <c r="E940" s="665"/>
      <c r="F940" s="1121"/>
      <c r="G940" s="665"/>
      <c r="H940" s="1553"/>
    </row>
    <row r="941" spans="1:8">
      <c r="A941" s="1548"/>
      <c r="B941" s="1548"/>
      <c r="C941" s="1548"/>
      <c r="D941" s="1520"/>
      <c r="E941" s="665"/>
      <c r="F941" s="1121"/>
      <c r="G941" s="665"/>
      <c r="H941" s="1553"/>
    </row>
    <row r="942" spans="1:8">
      <c r="A942" s="1548"/>
      <c r="B942" s="1548"/>
      <c r="C942" s="1548"/>
      <c r="D942" s="1520"/>
      <c r="E942" s="665"/>
      <c r="F942" s="1121"/>
      <c r="G942" s="665"/>
      <c r="H942" s="1553"/>
    </row>
    <row r="943" spans="1:8">
      <c r="A943" s="1548"/>
      <c r="B943" s="1548"/>
      <c r="C943" s="1548"/>
      <c r="D943" s="1520"/>
      <c r="E943" s="665"/>
      <c r="F943" s="1121"/>
      <c r="G943" s="665"/>
      <c r="H943" s="1553"/>
    </row>
    <row r="944" spans="1:8">
      <c r="A944" s="1548"/>
      <c r="B944" s="1548"/>
      <c r="C944" s="1548"/>
      <c r="D944" s="1520"/>
      <c r="E944" s="665"/>
      <c r="F944" s="1121"/>
      <c r="G944" s="665"/>
      <c r="H944" s="1553"/>
    </row>
    <row r="945" spans="1:8">
      <c r="A945" s="1548"/>
      <c r="B945" s="1548"/>
      <c r="C945" s="1548"/>
      <c r="D945" s="1520"/>
      <c r="E945" s="665"/>
      <c r="F945" s="1121"/>
      <c r="G945" s="665"/>
      <c r="H945" s="1553"/>
    </row>
    <row r="946" spans="1:8">
      <c r="A946" s="1548"/>
      <c r="B946" s="1548"/>
      <c r="C946" s="1548"/>
      <c r="D946" s="1520"/>
      <c r="E946" s="665"/>
      <c r="F946" s="1121"/>
      <c r="G946" s="665"/>
      <c r="H946" s="1553"/>
    </row>
    <row r="947" spans="1:8">
      <c r="A947" s="1548"/>
      <c r="B947" s="1548"/>
      <c r="C947" s="1548"/>
      <c r="D947" s="1520"/>
      <c r="E947" s="665"/>
      <c r="F947" s="1121"/>
      <c r="G947" s="665"/>
      <c r="H947" s="1553"/>
    </row>
    <row r="948" spans="1:8">
      <c r="A948" s="1548"/>
      <c r="B948" s="1548"/>
      <c r="C948" s="1548"/>
      <c r="D948" s="1520"/>
      <c r="E948" s="665"/>
      <c r="F948" s="1121"/>
      <c r="G948" s="665"/>
      <c r="H948" s="1553"/>
    </row>
    <row r="949" spans="1:8">
      <c r="A949" s="1548"/>
      <c r="B949" s="1548"/>
      <c r="C949" s="1548"/>
      <c r="D949" s="1520"/>
      <c r="E949" s="665"/>
      <c r="F949" s="1121"/>
      <c r="G949" s="665"/>
      <c r="H949" s="1553"/>
    </row>
    <row r="950" spans="1:8">
      <c r="A950" s="1548"/>
      <c r="B950" s="1548"/>
      <c r="C950" s="1548"/>
      <c r="D950" s="1520"/>
      <c r="E950" s="665"/>
      <c r="F950" s="1121"/>
      <c r="G950" s="665"/>
      <c r="H950" s="1553"/>
    </row>
    <row r="951" spans="1:8">
      <c r="A951" s="1548"/>
      <c r="B951" s="1548"/>
      <c r="C951" s="1548"/>
      <c r="D951" s="1520"/>
      <c r="E951" s="665"/>
      <c r="F951" s="1121"/>
      <c r="G951" s="665"/>
      <c r="H951" s="1553"/>
    </row>
    <row r="952" spans="1:8">
      <c r="A952" s="1548"/>
      <c r="B952" s="1548"/>
      <c r="C952" s="1548"/>
      <c r="D952" s="1520"/>
      <c r="E952" s="665"/>
      <c r="F952" s="1121"/>
      <c r="G952" s="665"/>
      <c r="H952" s="1553"/>
    </row>
    <row r="953" spans="1:8">
      <c r="A953" s="1548"/>
      <c r="B953" s="1548"/>
      <c r="C953" s="1548"/>
      <c r="D953" s="1520"/>
      <c r="E953" s="665"/>
      <c r="F953" s="1121"/>
      <c r="G953" s="665"/>
      <c r="H953" s="1553"/>
    </row>
    <row r="954" spans="1:8">
      <c r="A954" s="1548"/>
      <c r="B954" s="1548"/>
      <c r="C954" s="1548"/>
      <c r="D954" s="1520"/>
      <c r="E954" s="665"/>
      <c r="F954" s="1121"/>
      <c r="G954" s="665"/>
      <c r="H954" s="1553"/>
    </row>
    <row r="955" spans="1:8">
      <c r="A955" s="1548"/>
      <c r="B955" s="1548"/>
      <c r="C955" s="1548"/>
      <c r="D955" s="1520"/>
      <c r="E955" s="665"/>
      <c r="F955" s="1121"/>
      <c r="G955" s="665"/>
      <c r="H955" s="1553"/>
    </row>
    <row r="956" spans="1:8">
      <c r="A956" s="1548"/>
      <c r="B956" s="1548"/>
      <c r="C956" s="1548"/>
      <c r="D956" s="1520"/>
      <c r="E956" s="665"/>
      <c r="F956" s="1121"/>
      <c r="G956" s="665"/>
      <c r="H956" s="1553"/>
    </row>
    <row r="957" spans="1:8">
      <c r="A957" s="1548"/>
      <c r="B957" s="1548"/>
      <c r="C957" s="1548"/>
      <c r="D957" s="1520"/>
      <c r="E957" s="665"/>
      <c r="F957" s="1121"/>
      <c r="G957" s="665"/>
      <c r="H957" s="1553"/>
    </row>
    <row r="958" spans="1:8">
      <c r="A958" s="1548"/>
      <c r="B958" s="1548"/>
      <c r="C958" s="1548"/>
      <c r="D958" s="1520"/>
      <c r="E958" s="665"/>
      <c r="F958" s="1121"/>
      <c r="G958" s="665"/>
      <c r="H958" s="1553"/>
    </row>
    <row r="959" spans="1:8">
      <c r="A959" s="1548"/>
      <c r="B959" s="1548"/>
      <c r="C959" s="1548"/>
      <c r="D959" s="1520"/>
      <c r="E959" s="665"/>
      <c r="F959" s="1121"/>
      <c r="G959" s="665"/>
      <c r="H959" s="1553"/>
    </row>
    <row r="960" spans="1:8">
      <c r="A960" s="1548"/>
      <c r="B960" s="1548"/>
      <c r="C960" s="1548"/>
      <c r="D960" s="1520"/>
      <c r="E960" s="665"/>
      <c r="F960" s="1121"/>
      <c r="G960" s="665"/>
      <c r="H960" s="1553"/>
    </row>
    <row r="961" spans="1:8">
      <c r="A961" s="1548"/>
      <c r="B961" s="1548"/>
      <c r="C961" s="1548"/>
      <c r="D961" s="1520"/>
      <c r="E961" s="665"/>
      <c r="F961" s="1121"/>
      <c r="G961" s="665"/>
      <c r="H961" s="1553"/>
    </row>
    <row r="962" spans="1:8">
      <c r="A962" s="1548"/>
      <c r="B962" s="1548"/>
      <c r="C962" s="1548"/>
      <c r="D962" s="1520"/>
      <c r="E962" s="665"/>
      <c r="F962" s="1121"/>
      <c r="G962" s="665"/>
      <c r="H962" s="1553"/>
    </row>
    <row r="963" spans="1:8">
      <c r="A963" s="1548"/>
      <c r="B963" s="1548"/>
      <c r="C963" s="1548"/>
      <c r="D963" s="1520"/>
      <c r="E963" s="665"/>
      <c r="F963" s="1121"/>
      <c r="G963" s="665"/>
      <c r="H963" s="1553"/>
    </row>
    <row r="964" spans="1:8">
      <c r="A964" s="1548"/>
      <c r="B964" s="1548"/>
      <c r="C964" s="1548"/>
      <c r="D964" s="1520"/>
      <c r="E964" s="665"/>
      <c r="F964" s="1121"/>
      <c r="G964" s="665"/>
      <c r="H964" s="1553"/>
    </row>
    <row r="965" spans="1:8">
      <c r="A965" s="1548"/>
      <c r="B965" s="1548"/>
      <c r="C965" s="1548"/>
      <c r="D965" s="1520"/>
      <c r="E965" s="665"/>
      <c r="F965" s="1121"/>
      <c r="G965" s="665"/>
      <c r="H965" s="1553"/>
    </row>
    <row r="966" spans="1:8">
      <c r="A966" s="1548"/>
      <c r="B966" s="1548"/>
      <c r="C966" s="1548"/>
      <c r="D966" s="1520"/>
      <c r="E966" s="665"/>
      <c r="F966" s="1121"/>
      <c r="G966" s="665"/>
      <c r="H966" s="1553"/>
    </row>
    <row r="967" spans="1:8">
      <c r="A967" s="1548"/>
      <c r="B967" s="1548"/>
      <c r="C967" s="1548"/>
      <c r="D967" s="1520"/>
      <c r="E967" s="665"/>
      <c r="F967" s="1121"/>
      <c r="G967" s="665"/>
      <c r="H967" s="1553"/>
    </row>
    <row r="968" spans="1:8">
      <c r="A968" s="1548"/>
      <c r="B968" s="1548"/>
      <c r="C968" s="1548"/>
      <c r="D968" s="1520"/>
      <c r="E968" s="665"/>
      <c r="F968" s="1121"/>
      <c r="G968" s="665"/>
      <c r="H968" s="1553"/>
    </row>
    <row r="969" spans="1:8">
      <c r="A969" s="1548"/>
      <c r="B969" s="1548"/>
      <c r="C969" s="1548"/>
      <c r="D969" s="1520"/>
      <c r="E969" s="665"/>
      <c r="F969" s="1121"/>
      <c r="G969" s="665"/>
      <c r="H969" s="1553"/>
    </row>
    <row r="970" spans="1:8">
      <c r="A970" s="1548"/>
      <c r="B970" s="1548"/>
      <c r="C970" s="1548"/>
      <c r="D970" s="1520"/>
      <c r="E970" s="665"/>
      <c r="F970" s="1121"/>
      <c r="G970" s="665"/>
      <c r="H970" s="1553"/>
    </row>
    <row r="971" spans="1:8">
      <c r="A971" s="1548"/>
      <c r="B971" s="1548"/>
      <c r="C971" s="1548"/>
      <c r="D971" s="1520"/>
      <c r="E971" s="665"/>
      <c r="F971" s="1121"/>
      <c r="G971" s="665"/>
      <c r="H971" s="1553"/>
    </row>
    <row r="972" spans="1:8">
      <c r="A972" s="1548"/>
      <c r="B972" s="1548"/>
      <c r="C972" s="1548"/>
      <c r="D972" s="1520"/>
      <c r="E972" s="665"/>
      <c r="F972" s="1121"/>
      <c r="G972" s="665"/>
      <c r="H972" s="1553"/>
    </row>
    <row r="973" spans="1:8">
      <c r="A973" s="1548"/>
      <c r="B973" s="1548"/>
      <c r="C973" s="1548"/>
      <c r="D973" s="1520"/>
      <c r="E973" s="665"/>
      <c r="F973" s="1121"/>
      <c r="G973" s="665"/>
      <c r="H973" s="1553"/>
    </row>
    <row r="974" spans="1:8">
      <c r="A974" s="1548"/>
      <c r="B974" s="1548"/>
      <c r="C974" s="1548"/>
      <c r="D974" s="1520"/>
      <c r="E974" s="665"/>
      <c r="F974" s="1121"/>
      <c r="G974" s="665"/>
      <c r="H974" s="1553"/>
    </row>
    <row r="975" spans="1:8">
      <c r="A975" s="1548"/>
      <c r="B975" s="1548"/>
      <c r="C975" s="1548"/>
      <c r="D975" s="1520"/>
      <c r="E975" s="665"/>
      <c r="F975" s="1121"/>
      <c r="G975" s="665"/>
      <c r="H975" s="1553"/>
    </row>
    <row r="976" spans="1:8">
      <c r="A976" s="1548"/>
      <c r="B976" s="1548"/>
      <c r="C976" s="1548"/>
      <c r="D976" s="1520"/>
      <c r="E976" s="665"/>
      <c r="F976" s="1121"/>
      <c r="G976" s="665"/>
      <c r="H976" s="1553"/>
    </row>
    <row r="977" spans="1:8">
      <c r="A977" s="1548"/>
      <c r="B977" s="1548"/>
      <c r="C977" s="1548"/>
      <c r="D977" s="1520"/>
      <c r="E977" s="665"/>
      <c r="F977" s="1121"/>
      <c r="G977" s="665"/>
      <c r="H977" s="1553"/>
    </row>
    <row r="978" spans="1:8">
      <c r="A978" s="1548"/>
      <c r="B978" s="1548"/>
      <c r="C978" s="1548"/>
      <c r="D978" s="1520"/>
      <c r="E978" s="665"/>
      <c r="F978" s="1121"/>
      <c r="G978" s="665"/>
      <c r="H978" s="1553"/>
    </row>
    <row r="979" spans="1:8">
      <c r="A979" s="1548"/>
      <c r="B979" s="1548"/>
      <c r="C979" s="1548"/>
      <c r="D979" s="1520"/>
      <c r="E979" s="665"/>
      <c r="F979" s="1121"/>
      <c r="G979" s="665"/>
      <c r="H979" s="1553"/>
    </row>
    <row r="980" spans="1:8">
      <c r="A980" s="1548"/>
      <c r="B980" s="1548"/>
      <c r="C980" s="1548"/>
      <c r="D980" s="1520"/>
      <c r="E980" s="665"/>
      <c r="F980" s="1121"/>
      <c r="G980" s="665"/>
      <c r="H980" s="1553"/>
    </row>
    <row r="981" spans="1:8">
      <c r="A981" s="1548"/>
      <c r="B981" s="1548"/>
      <c r="C981" s="1548"/>
      <c r="D981" s="1520"/>
      <c r="E981" s="665"/>
      <c r="F981" s="1121"/>
      <c r="G981" s="665"/>
      <c r="H981" s="1553"/>
    </row>
    <row r="982" spans="1:8">
      <c r="A982" s="1548"/>
      <c r="B982" s="1548"/>
      <c r="C982" s="1548"/>
      <c r="D982" s="1520"/>
      <c r="E982" s="665"/>
      <c r="F982" s="1121"/>
      <c r="G982" s="665"/>
      <c r="H982" s="1553"/>
    </row>
    <row r="983" spans="1:8">
      <c r="A983" s="1548"/>
      <c r="B983" s="1548"/>
      <c r="C983" s="1548"/>
      <c r="D983" s="1520"/>
      <c r="E983" s="665"/>
      <c r="F983" s="1121"/>
      <c r="G983" s="665"/>
      <c r="H983" s="1553"/>
    </row>
    <row r="984" spans="1:8">
      <c r="A984" s="1548"/>
      <c r="B984" s="1548"/>
      <c r="C984" s="1548"/>
      <c r="D984" s="1520"/>
      <c r="E984" s="665"/>
      <c r="F984" s="1121"/>
      <c r="G984" s="665"/>
      <c r="H984" s="1553"/>
    </row>
    <row r="985" spans="1:8">
      <c r="A985" s="1548"/>
      <c r="B985" s="1548"/>
      <c r="C985" s="1548"/>
      <c r="D985" s="1520"/>
      <c r="E985" s="665"/>
      <c r="F985" s="1121"/>
      <c r="G985" s="665"/>
      <c r="H985" s="1553"/>
    </row>
    <row r="986" spans="1:8">
      <c r="A986" s="1548"/>
      <c r="B986" s="1548"/>
      <c r="C986" s="1548"/>
      <c r="D986" s="1520"/>
      <c r="E986" s="665"/>
      <c r="F986" s="1121"/>
      <c r="G986" s="665"/>
      <c r="H986" s="1553"/>
    </row>
    <row r="987" spans="1:8">
      <c r="A987" s="1548"/>
      <c r="B987" s="1548"/>
      <c r="C987" s="1548"/>
      <c r="D987" s="1520"/>
      <c r="E987" s="665"/>
      <c r="F987" s="1121"/>
      <c r="G987" s="665"/>
      <c r="H987" s="1553"/>
    </row>
    <row r="988" spans="1:8">
      <c r="A988" s="1548"/>
      <c r="B988" s="1548"/>
      <c r="C988" s="1548"/>
      <c r="D988" s="1520"/>
      <c r="E988" s="665"/>
      <c r="F988" s="1121"/>
      <c r="G988" s="665"/>
      <c r="H988" s="1553"/>
    </row>
    <row r="989" spans="1:8">
      <c r="A989" s="1548"/>
      <c r="B989" s="1548"/>
      <c r="C989" s="1548"/>
      <c r="D989" s="1520"/>
      <c r="E989" s="665"/>
      <c r="F989" s="1121"/>
      <c r="G989" s="665"/>
      <c r="H989" s="1553"/>
    </row>
    <row r="990" spans="1:8">
      <c r="A990" s="1548"/>
      <c r="B990" s="1548"/>
      <c r="C990" s="1548"/>
      <c r="D990" s="1520"/>
      <c r="E990" s="665"/>
      <c r="F990" s="1121"/>
      <c r="G990" s="665"/>
      <c r="H990" s="1553"/>
    </row>
    <row r="991" spans="1:8">
      <c r="A991" s="1548"/>
      <c r="B991" s="1548"/>
      <c r="C991" s="1548"/>
      <c r="D991" s="1520"/>
      <c r="E991" s="665"/>
      <c r="F991" s="1121"/>
      <c r="G991" s="665"/>
      <c r="H991" s="1553"/>
    </row>
    <row r="992" spans="1:8">
      <c r="A992" s="1548"/>
      <c r="B992" s="1548"/>
      <c r="C992" s="1548"/>
      <c r="D992" s="1520"/>
      <c r="E992" s="665"/>
      <c r="F992" s="1121"/>
      <c r="G992" s="665"/>
      <c r="H992" s="1553"/>
    </row>
    <row r="993" spans="1:8">
      <c r="A993" s="1548"/>
      <c r="B993" s="1548"/>
      <c r="C993" s="1548"/>
      <c r="D993" s="1520"/>
      <c r="E993" s="665"/>
      <c r="F993" s="1121"/>
      <c r="G993" s="665"/>
      <c r="H993" s="1553"/>
    </row>
    <row r="994" spans="1:8">
      <c r="A994" s="1548"/>
      <c r="B994" s="1548"/>
      <c r="C994" s="1548"/>
      <c r="D994" s="1520"/>
      <c r="E994" s="665"/>
      <c r="F994" s="1121"/>
      <c r="G994" s="665"/>
      <c r="H994" s="1553"/>
    </row>
    <row r="995" spans="1:8">
      <c r="A995" s="1548"/>
      <c r="B995" s="1548"/>
      <c r="C995" s="1548"/>
      <c r="D995" s="1520"/>
      <c r="E995" s="665"/>
      <c r="F995" s="1121"/>
      <c r="G995" s="665"/>
      <c r="H995" s="1553"/>
    </row>
    <row r="996" spans="1:8">
      <c r="A996" s="1548"/>
      <c r="B996" s="1548"/>
      <c r="C996" s="1548"/>
      <c r="D996" s="1520"/>
      <c r="E996" s="665"/>
      <c r="F996" s="1121"/>
      <c r="G996" s="665"/>
      <c r="H996" s="1553"/>
    </row>
    <row r="997" spans="1:8">
      <c r="A997" s="1548"/>
      <c r="B997" s="1548"/>
      <c r="C997" s="1548"/>
      <c r="D997" s="1520"/>
      <c r="E997" s="665"/>
      <c r="F997" s="1121"/>
      <c r="G997" s="665"/>
      <c r="H997" s="1553"/>
    </row>
    <row r="998" spans="1:8">
      <c r="A998" s="1548"/>
      <c r="B998" s="1548"/>
      <c r="C998" s="1548"/>
      <c r="D998" s="1520"/>
      <c r="E998" s="665"/>
      <c r="F998" s="1121"/>
      <c r="G998" s="665"/>
      <c r="H998" s="1553"/>
    </row>
    <row r="999" spans="1:8">
      <c r="A999" s="1548"/>
      <c r="B999" s="1548"/>
      <c r="C999" s="1548"/>
      <c r="D999" s="1520"/>
      <c r="E999" s="665"/>
      <c r="F999" s="1121"/>
      <c r="G999" s="665"/>
      <c r="H999" s="1553"/>
    </row>
    <row r="1000" spans="1:8">
      <c r="A1000" s="1548"/>
      <c r="B1000" s="1548"/>
      <c r="C1000" s="1548"/>
      <c r="D1000" s="1520"/>
      <c r="E1000" s="665"/>
      <c r="F1000" s="1121"/>
      <c r="G1000" s="665"/>
      <c r="H1000" s="1553"/>
    </row>
    <row r="1001" spans="1:8">
      <c r="A1001" s="1548"/>
      <c r="B1001" s="1548"/>
      <c r="C1001" s="1548"/>
      <c r="D1001" s="1520"/>
      <c r="E1001" s="665"/>
      <c r="F1001" s="1121"/>
      <c r="G1001" s="665"/>
      <c r="H1001" s="1553"/>
    </row>
    <row r="1002" spans="1:8">
      <c r="A1002" s="1548"/>
      <c r="B1002" s="1548"/>
      <c r="C1002" s="1548"/>
      <c r="D1002" s="1520"/>
      <c r="E1002" s="665"/>
      <c r="F1002" s="1121"/>
      <c r="G1002" s="665"/>
      <c r="H1002" s="1553"/>
    </row>
    <row r="1003" spans="1:8">
      <c r="A1003" s="1548"/>
      <c r="B1003" s="1548"/>
      <c r="C1003" s="1548"/>
      <c r="D1003" s="1520"/>
      <c r="E1003" s="665"/>
      <c r="F1003" s="1121"/>
      <c r="G1003" s="665"/>
      <c r="H1003" s="1553"/>
    </row>
    <row r="1004" spans="1:8">
      <c r="A1004" s="1548"/>
      <c r="B1004" s="1548"/>
      <c r="C1004" s="1548"/>
      <c r="D1004" s="1520"/>
      <c r="E1004" s="665"/>
      <c r="F1004" s="1121"/>
      <c r="G1004" s="665"/>
      <c r="H1004" s="1553"/>
    </row>
    <row r="1005" spans="1:8">
      <c r="A1005" s="1548"/>
      <c r="B1005" s="1548"/>
      <c r="C1005" s="1548"/>
      <c r="D1005" s="1520"/>
      <c r="E1005" s="665"/>
      <c r="F1005" s="1121"/>
      <c r="G1005" s="665"/>
      <c r="H1005" s="1553"/>
    </row>
    <row r="1006" spans="1:8">
      <c r="A1006" s="1548"/>
      <c r="B1006" s="1548"/>
      <c r="C1006" s="1548"/>
      <c r="D1006" s="1520"/>
      <c r="E1006" s="665"/>
      <c r="F1006" s="1121"/>
      <c r="G1006" s="665"/>
      <c r="H1006" s="1553"/>
    </row>
    <row r="1007" spans="1:8">
      <c r="A1007" s="1548"/>
      <c r="B1007" s="1548"/>
      <c r="C1007" s="1548"/>
      <c r="D1007" s="1520"/>
      <c r="E1007" s="665"/>
      <c r="F1007" s="1121"/>
      <c r="G1007" s="665"/>
      <c r="H1007" s="1553"/>
    </row>
    <row r="1008" spans="1:8">
      <c r="A1008" s="1548"/>
      <c r="B1008" s="1548"/>
      <c r="C1008" s="1548"/>
      <c r="D1008" s="1520"/>
      <c r="E1008" s="665"/>
      <c r="F1008" s="1121"/>
      <c r="G1008" s="665"/>
      <c r="H1008" s="1553"/>
    </row>
    <row r="1009" spans="1:8">
      <c r="A1009" s="1548"/>
      <c r="B1009" s="1548"/>
      <c r="C1009" s="1548"/>
      <c r="D1009" s="1520"/>
      <c r="E1009" s="665"/>
      <c r="F1009" s="1121"/>
      <c r="G1009" s="665"/>
      <c r="H1009" s="1553"/>
    </row>
    <row r="1010" spans="1:8">
      <c r="A1010" s="1548"/>
      <c r="B1010" s="1548"/>
      <c r="C1010" s="1548"/>
      <c r="D1010" s="1520"/>
      <c r="E1010" s="665"/>
      <c r="F1010" s="1121"/>
      <c r="G1010" s="665"/>
      <c r="H1010" s="1553"/>
    </row>
    <row r="1011" spans="1:8">
      <c r="A1011" s="1548"/>
      <c r="B1011" s="1548"/>
      <c r="C1011" s="1548"/>
      <c r="D1011" s="1520"/>
      <c r="E1011" s="665"/>
      <c r="F1011" s="1121"/>
      <c r="G1011" s="665"/>
      <c r="H1011" s="1553"/>
    </row>
    <row r="1012" spans="1:8">
      <c r="A1012" s="1548"/>
      <c r="B1012" s="1548"/>
      <c r="C1012" s="1548"/>
      <c r="D1012" s="1520"/>
      <c r="E1012" s="665"/>
      <c r="F1012" s="1121"/>
      <c r="G1012" s="665"/>
      <c r="H1012" s="1553"/>
    </row>
    <row r="1013" spans="1:8">
      <c r="A1013" s="1548"/>
      <c r="B1013" s="1548"/>
      <c r="C1013" s="1548"/>
      <c r="D1013" s="1520"/>
      <c r="E1013" s="665"/>
      <c r="F1013" s="1121"/>
      <c r="G1013" s="665"/>
      <c r="H1013" s="1553"/>
    </row>
    <row r="1014" spans="1:8">
      <c r="A1014" s="1548"/>
      <c r="B1014" s="1548"/>
      <c r="C1014" s="1548"/>
      <c r="D1014" s="1520"/>
      <c r="E1014" s="665"/>
      <c r="F1014" s="1121"/>
      <c r="G1014" s="665"/>
      <c r="H1014" s="1553"/>
    </row>
    <row r="1015" spans="1:8">
      <c r="A1015" s="1548"/>
      <c r="B1015" s="1548"/>
      <c r="C1015" s="1548"/>
      <c r="D1015" s="1520"/>
      <c r="E1015" s="665"/>
      <c r="F1015" s="1121"/>
      <c r="G1015" s="665"/>
      <c r="H1015" s="1553"/>
    </row>
    <row r="1016" spans="1:8">
      <c r="A1016" s="1548"/>
      <c r="B1016" s="1548"/>
      <c r="C1016" s="1548"/>
      <c r="D1016" s="1520"/>
      <c r="E1016" s="665"/>
      <c r="F1016" s="1121"/>
      <c r="G1016" s="665"/>
      <c r="H1016" s="1553"/>
    </row>
    <row r="1017" spans="1:8">
      <c r="A1017" s="1548"/>
      <c r="B1017" s="1548"/>
      <c r="C1017" s="1548"/>
      <c r="D1017" s="1520"/>
      <c r="E1017" s="665"/>
      <c r="F1017" s="1121"/>
      <c r="G1017" s="665"/>
      <c r="H1017" s="1553"/>
    </row>
    <row r="1018" spans="1:8">
      <c r="A1018" s="1548"/>
      <c r="B1018" s="1548"/>
      <c r="C1018" s="1548"/>
      <c r="D1018" s="1520"/>
      <c r="E1018" s="665"/>
      <c r="F1018" s="1121"/>
      <c r="G1018" s="665"/>
      <c r="H1018" s="1553"/>
    </row>
    <row r="1019" spans="1:8">
      <c r="A1019" s="1548"/>
      <c r="B1019" s="1548"/>
      <c r="C1019" s="1548"/>
      <c r="D1019" s="1520"/>
      <c r="E1019" s="665"/>
      <c r="F1019" s="1121"/>
      <c r="G1019" s="665"/>
      <c r="H1019" s="1553"/>
    </row>
    <row r="1020" spans="1:8">
      <c r="A1020" s="1548"/>
      <c r="B1020" s="1548"/>
      <c r="C1020" s="1548"/>
      <c r="D1020" s="1520"/>
      <c r="E1020" s="665"/>
      <c r="F1020" s="1121"/>
      <c r="G1020" s="665"/>
      <c r="H1020" s="1553"/>
    </row>
    <row r="1021" spans="1:8">
      <c r="A1021" s="1548"/>
      <c r="B1021" s="1548"/>
      <c r="C1021" s="1548"/>
      <c r="D1021" s="1520"/>
      <c r="E1021" s="665"/>
      <c r="F1021" s="1121"/>
      <c r="G1021" s="665"/>
      <c r="H1021" s="1553"/>
    </row>
    <row r="1022" spans="1:8">
      <c r="A1022" s="1548"/>
      <c r="B1022" s="1548"/>
      <c r="C1022" s="1548"/>
      <c r="D1022" s="1520"/>
      <c r="E1022" s="665"/>
      <c r="F1022" s="1121"/>
      <c r="G1022" s="665"/>
      <c r="H1022" s="1553"/>
    </row>
    <row r="1023" spans="1:8">
      <c r="A1023" s="1548"/>
      <c r="B1023" s="1548"/>
      <c r="C1023" s="1548"/>
      <c r="D1023" s="1520"/>
      <c r="E1023" s="665"/>
      <c r="F1023" s="1121"/>
      <c r="G1023" s="665"/>
      <c r="H1023" s="1553"/>
    </row>
    <row r="1024" spans="1:8">
      <c r="A1024" s="1548"/>
      <c r="B1024" s="1548"/>
      <c r="C1024" s="1548"/>
      <c r="D1024" s="1520"/>
      <c r="E1024" s="665"/>
      <c r="F1024" s="1121"/>
      <c r="G1024" s="665"/>
      <c r="H1024" s="1553"/>
    </row>
    <row r="1025" spans="1:8">
      <c r="A1025" s="1548"/>
      <c r="B1025" s="1548"/>
      <c r="C1025" s="1548"/>
      <c r="D1025" s="1520"/>
      <c r="E1025" s="665"/>
      <c r="F1025" s="1121"/>
      <c r="G1025" s="665"/>
      <c r="H1025" s="1553"/>
    </row>
    <row r="1026" spans="1:8">
      <c r="A1026" s="1548"/>
      <c r="B1026" s="1548"/>
      <c r="C1026" s="1548"/>
      <c r="D1026" s="1520"/>
      <c r="E1026" s="665"/>
      <c r="F1026" s="1121"/>
      <c r="G1026" s="665"/>
      <c r="H1026" s="1553"/>
    </row>
    <row r="1027" spans="1:8">
      <c r="A1027" s="1548"/>
      <c r="B1027" s="1548"/>
      <c r="C1027" s="1548"/>
      <c r="D1027" s="1520"/>
      <c r="E1027" s="665"/>
      <c r="F1027" s="1121"/>
      <c r="G1027" s="665"/>
      <c r="H1027" s="1553"/>
    </row>
    <row r="1028" spans="1:8">
      <c r="A1028" s="1548"/>
      <c r="B1028" s="1548"/>
      <c r="C1028" s="1548"/>
      <c r="D1028" s="1520"/>
      <c r="E1028" s="665"/>
      <c r="F1028" s="1121"/>
      <c r="G1028" s="665"/>
      <c r="H1028" s="1553"/>
    </row>
    <row r="1029" spans="1:8">
      <c r="A1029" s="1548"/>
      <c r="B1029" s="1548"/>
      <c r="C1029" s="1548"/>
      <c r="D1029" s="1520"/>
      <c r="E1029" s="665"/>
      <c r="F1029" s="1121"/>
      <c r="G1029" s="665"/>
      <c r="H1029" s="1553"/>
    </row>
    <row r="1030" spans="1:8">
      <c r="A1030" s="1548"/>
      <c r="B1030" s="1548"/>
      <c r="C1030" s="1548"/>
      <c r="D1030" s="1520"/>
      <c r="E1030" s="665"/>
      <c r="F1030" s="1121"/>
      <c r="G1030" s="665"/>
      <c r="H1030" s="1553"/>
    </row>
    <row r="1031" spans="1:8">
      <c r="A1031" s="1548"/>
      <c r="B1031" s="1548"/>
      <c r="C1031" s="1548"/>
      <c r="D1031" s="1520"/>
      <c r="E1031" s="665"/>
      <c r="F1031" s="1121"/>
      <c r="G1031" s="665"/>
      <c r="H1031" s="1553"/>
    </row>
    <row r="1032" spans="1:8">
      <c r="A1032" s="1548"/>
      <c r="B1032" s="1548"/>
      <c r="C1032" s="1548"/>
      <c r="D1032" s="1520"/>
      <c r="E1032" s="665"/>
      <c r="F1032" s="1121"/>
      <c r="G1032" s="665"/>
      <c r="H1032" s="1553"/>
    </row>
    <row r="1033" spans="1:8">
      <c r="A1033" s="1548"/>
      <c r="B1033" s="1548"/>
      <c r="C1033" s="1548"/>
      <c r="D1033" s="1520"/>
      <c r="E1033" s="665"/>
      <c r="F1033" s="1121"/>
      <c r="G1033" s="665"/>
      <c r="H1033" s="1553"/>
    </row>
    <row r="1034" spans="1:8">
      <c r="A1034" s="1548"/>
      <c r="B1034" s="1548"/>
      <c r="C1034" s="1548"/>
      <c r="D1034" s="1520"/>
      <c r="E1034" s="665"/>
      <c r="F1034" s="1121"/>
      <c r="G1034" s="665"/>
      <c r="H1034" s="1553"/>
    </row>
    <row r="1035" spans="1:8">
      <c r="A1035" s="1548"/>
      <c r="B1035" s="1548"/>
      <c r="C1035" s="1548"/>
      <c r="D1035" s="1520"/>
      <c r="E1035" s="665"/>
      <c r="F1035" s="1121"/>
      <c r="G1035" s="665"/>
      <c r="H1035" s="1553"/>
    </row>
    <row r="1036" spans="1:8">
      <c r="A1036" s="1548"/>
      <c r="B1036" s="1548"/>
      <c r="C1036" s="1548"/>
      <c r="D1036" s="1520"/>
      <c r="E1036" s="665"/>
      <c r="F1036" s="1121"/>
      <c r="G1036" s="665"/>
      <c r="H1036" s="1553"/>
    </row>
    <row r="1037" spans="1:8">
      <c r="A1037" s="1548"/>
      <c r="B1037" s="1548"/>
      <c r="C1037" s="1548"/>
      <c r="D1037" s="1520"/>
      <c r="E1037" s="665"/>
      <c r="F1037" s="1121"/>
      <c r="G1037" s="665"/>
      <c r="H1037" s="1553"/>
    </row>
    <row r="1038" spans="1:8">
      <c r="A1038" s="1548"/>
      <c r="B1038" s="1548"/>
      <c r="C1038" s="1548"/>
      <c r="D1038" s="1520"/>
      <c r="E1038" s="665"/>
      <c r="F1038" s="1121"/>
      <c r="G1038" s="665"/>
      <c r="H1038" s="1553"/>
    </row>
    <row r="1039" spans="1:8">
      <c r="A1039" s="1548"/>
      <c r="B1039" s="1548"/>
      <c r="C1039" s="1548"/>
      <c r="D1039" s="1520"/>
      <c r="E1039" s="665"/>
      <c r="F1039" s="1121"/>
      <c r="G1039" s="665"/>
      <c r="H1039" s="1553"/>
    </row>
    <row r="1040" spans="1:8">
      <c r="A1040" s="1548"/>
      <c r="B1040" s="1548"/>
      <c r="C1040" s="1548"/>
      <c r="D1040" s="1520"/>
      <c r="E1040" s="665"/>
      <c r="F1040" s="1121"/>
      <c r="G1040" s="665"/>
      <c r="H1040" s="1553"/>
    </row>
    <row r="1041" spans="1:8">
      <c r="A1041" s="1548"/>
      <c r="B1041" s="1548"/>
      <c r="C1041" s="1548"/>
      <c r="D1041" s="1520"/>
      <c r="E1041" s="665"/>
      <c r="F1041" s="1121"/>
      <c r="G1041" s="665"/>
      <c r="H1041" s="1553"/>
    </row>
    <row r="1042" spans="1:8">
      <c r="A1042" s="1548"/>
      <c r="B1042" s="1548"/>
      <c r="C1042" s="1548"/>
      <c r="D1042" s="1520"/>
      <c r="E1042" s="665"/>
      <c r="F1042" s="1121"/>
      <c r="G1042" s="665"/>
      <c r="H1042" s="1553"/>
    </row>
    <row r="1043" spans="1:8">
      <c r="A1043" s="1548"/>
      <c r="B1043" s="1548"/>
      <c r="C1043" s="1548"/>
      <c r="D1043" s="1520"/>
      <c r="E1043" s="665"/>
      <c r="F1043" s="1121"/>
      <c r="G1043" s="665"/>
      <c r="H1043" s="1553"/>
    </row>
    <row r="1044" spans="1:8">
      <c r="A1044" s="1548"/>
      <c r="B1044" s="1548"/>
      <c r="C1044" s="1548"/>
      <c r="D1044" s="1520"/>
      <c r="E1044" s="665"/>
      <c r="F1044" s="1121"/>
      <c r="G1044" s="665"/>
      <c r="H1044" s="1553"/>
    </row>
    <row r="1045" spans="1:8">
      <c r="A1045" s="1548"/>
      <c r="B1045" s="1548"/>
      <c r="C1045" s="1540"/>
      <c r="D1045" s="1520"/>
      <c r="E1045" s="665"/>
      <c r="F1045" s="1121"/>
      <c r="G1045" s="665"/>
      <c r="H1045" s="1553"/>
    </row>
    <row r="1046" spans="1:8">
      <c r="A1046" s="1548"/>
      <c r="B1046" s="1548"/>
      <c r="C1046" s="1540"/>
      <c r="D1046" s="1520"/>
      <c r="E1046" s="665"/>
      <c r="F1046" s="1121"/>
      <c r="G1046" s="665"/>
      <c r="H1046" s="1553"/>
    </row>
    <row r="1047" spans="1:8">
      <c r="A1047" s="1548"/>
      <c r="B1047" s="1548"/>
      <c r="C1047" s="1540"/>
      <c r="D1047" s="1520"/>
      <c r="E1047" s="665"/>
      <c r="F1047" s="1121"/>
      <c r="G1047" s="665"/>
      <c r="H1047" s="1553"/>
    </row>
    <row r="1048" spans="1:8">
      <c r="A1048" s="1548"/>
      <c r="B1048" s="1548"/>
      <c r="C1048" s="1540"/>
      <c r="D1048" s="1520"/>
      <c r="E1048" s="665"/>
      <c r="F1048" s="1121"/>
      <c r="G1048" s="665"/>
      <c r="H1048" s="1553"/>
    </row>
    <row r="1049" spans="1:8">
      <c r="A1049" s="1548"/>
      <c r="B1049" s="1548"/>
      <c r="C1049" s="1540"/>
      <c r="D1049" s="1520"/>
      <c r="E1049" s="665"/>
      <c r="F1049" s="1121"/>
      <c r="G1049" s="665"/>
      <c r="H1049" s="1553"/>
    </row>
    <row r="1050" spans="1:8">
      <c r="A1050" s="1548"/>
      <c r="B1050" s="1548"/>
      <c r="C1050" s="1548"/>
      <c r="D1050" s="1520"/>
      <c r="E1050" s="665"/>
      <c r="F1050" s="1121"/>
      <c r="G1050" s="665"/>
      <c r="H1050" s="1553"/>
    </row>
    <row r="1051" spans="1:8">
      <c r="A1051" s="1548"/>
      <c r="B1051" s="1548"/>
      <c r="C1051" s="1548"/>
      <c r="D1051" s="1520"/>
      <c r="E1051" s="665"/>
      <c r="F1051" s="1121"/>
      <c r="G1051" s="665"/>
      <c r="H1051" s="1553"/>
    </row>
    <row r="1052" spans="1:8">
      <c r="A1052" s="1548"/>
      <c r="B1052" s="1548"/>
      <c r="C1052" s="1548"/>
      <c r="D1052" s="1520"/>
      <c r="E1052" s="665"/>
      <c r="F1052" s="1121"/>
      <c r="G1052" s="665"/>
      <c r="H1052" s="1553"/>
    </row>
    <row r="1053" spans="1:8">
      <c r="A1053" s="1548"/>
      <c r="B1053" s="1548"/>
      <c r="C1053" s="1548"/>
      <c r="D1053" s="1520"/>
      <c r="E1053" s="665"/>
      <c r="F1053" s="1121"/>
      <c r="G1053" s="665"/>
      <c r="H1053" s="1553"/>
    </row>
    <row r="1054" spans="1:8">
      <c r="A1054" s="1548"/>
      <c r="B1054" s="1548"/>
      <c r="C1054" s="1548"/>
      <c r="D1054" s="1520"/>
      <c r="E1054" s="665"/>
      <c r="F1054" s="1121"/>
      <c r="G1054" s="665"/>
      <c r="H1054" s="1553"/>
    </row>
    <row r="1055" spans="1:8">
      <c r="A1055" s="1548"/>
      <c r="B1055" s="1548"/>
      <c r="C1055" s="1548"/>
      <c r="D1055" s="1520"/>
      <c r="E1055" s="665"/>
      <c r="F1055" s="1121"/>
      <c r="G1055" s="665"/>
      <c r="H1055" s="1553"/>
    </row>
    <row r="1056" spans="1:8">
      <c r="A1056" s="1548"/>
      <c r="B1056" s="1548"/>
      <c r="C1056" s="1548"/>
      <c r="D1056" s="1520"/>
      <c r="E1056" s="665"/>
      <c r="F1056" s="1121"/>
      <c r="G1056" s="665"/>
      <c r="H1056" s="1553"/>
    </row>
    <row r="1057" spans="1:8">
      <c r="A1057" s="1548"/>
      <c r="B1057" s="1548"/>
      <c r="C1057" s="1548"/>
      <c r="D1057" s="1520"/>
      <c r="E1057" s="665"/>
      <c r="F1057" s="1121"/>
      <c r="G1057" s="665"/>
      <c r="H1057" s="1553"/>
    </row>
    <row r="1058" spans="1:8">
      <c r="A1058" s="1548"/>
      <c r="B1058" s="1548"/>
      <c r="C1058" s="1548"/>
      <c r="D1058" s="1520"/>
      <c r="E1058" s="665"/>
      <c r="F1058" s="1121"/>
      <c r="G1058" s="665"/>
      <c r="H1058" s="1553"/>
    </row>
    <row r="1059" spans="1:8">
      <c r="A1059" s="1548"/>
      <c r="B1059" s="1548"/>
      <c r="C1059" s="1548"/>
      <c r="D1059" s="1520"/>
      <c r="E1059" s="665"/>
      <c r="F1059" s="1121"/>
      <c r="G1059" s="665"/>
      <c r="H1059" s="1553"/>
    </row>
    <row r="1060" spans="1:8">
      <c r="A1060" s="1548"/>
      <c r="B1060" s="1548"/>
      <c r="C1060" s="1548"/>
      <c r="D1060" s="1520"/>
      <c r="E1060" s="665"/>
      <c r="F1060" s="1121"/>
      <c r="G1060" s="665"/>
      <c r="H1060" s="1553"/>
    </row>
    <row r="1061" spans="1:8">
      <c r="A1061" s="1548"/>
      <c r="B1061" s="1548"/>
      <c r="C1061" s="1548"/>
      <c r="D1061" s="1520"/>
      <c r="E1061" s="665"/>
      <c r="F1061" s="1121"/>
      <c r="G1061" s="665"/>
      <c r="H1061" s="1553"/>
    </row>
    <row r="1062" spans="1:8">
      <c r="A1062" s="1548"/>
      <c r="B1062" s="1548"/>
      <c r="C1062" s="1548"/>
      <c r="D1062" s="1520"/>
      <c r="E1062" s="665"/>
      <c r="F1062" s="1121"/>
      <c r="G1062" s="665"/>
      <c r="H1062" s="1553"/>
    </row>
    <row r="1063" spans="1:8">
      <c r="A1063" s="1548"/>
      <c r="B1063" s="1548"/>
      <c r="C1063" s="1548"/>
      <c r="D1063" s="1520"/>
      <c r="E1063" s="665"/>
      <c r="F1063" s="1121"/>
      <c r="G1063" s="665"/>
      <c r="H1063" s="1553"/>
    </row>
    <row r="1064" spans="1:8">
      <c r="A1064" s="1548"/>
      <c r="B1064" s="1548"/>
      <c r="C1064" s="1548"/>
      <c r="D1064" s="1520"/>
      <c r="E1064" s="665"/>
      <c r="F1064" s="1121"/>
      <c r="G1064" s="665"/>
      <c r="H1064" s="1553"/>
    </row>
    <row r="1065" spans="1:8">
      <c r="A1065" s="1548"/>
      <c r="B1065" s="1548"/>
      <c r="C1065" s="1548"/>
      <c r="D1065" s="1520"/>
      <c r="E1065" s="665"/>
      <c r="F1065" s="1121"/>
      <c r="G1065" s="665"/>
      <c r="H1065" s="1553"/>
    </row>
    <row r="1066" spans="1:8">
      <c r="A1066" s="1548"/>
      <c r="B1066" s="1548"/>
      <c r="C1066" s="1548"/>
      <c r="D1066" s="1520"/>
      <c r="E1066" s="665"/>
      <c r="F1066" s="1121"/>
      <c r="G1066" s="665"/>
      <c r="H1066" s="1553"/>
    </row>
    <row r="1067" spans="1:8">
      <c r="A1067" s="1548"/>
      <c r="B1067" s="1548"/>
      <c r="C1067" s="1548"/>
      <c r="D1067" s="1520"/>
      <c r="E1067" s="665"/>
      <c r="F1067" s="1121"/>
      <c r="G1067" s="1552"/>
      <c r="H1067" s="1553"/>
    </row>
    <row r="1068" spans="1:8">
      <c r="A1068" s="1548"/>
      <c r="B1068" s="1548"/>
      <c r="C1068" s="1548"/>
      <c r="D1068" s="1520"/>
      <c r="E1068" s="665"/>
      <c r="F1068" s="1121"/>
      <c r="G1068" s="665"/>
      <c r="H1068" s="1553"/>
    </row>
    <row r="1069" spans="1:8">
      <c r="A1069" s="1548"/>
      <c r="B1069" s="1548"/>
      <c r="C1069" s="1548"/>
      <c r="D1069" s="1520"/>
      <c r="E1069" s="665"/>
      <c r="F1069" s="1121"/>
      <c r="G1069" s="665"/>
      <c r="H1069" s="1553"/>
    </row>
    <row r="1070" spans="1:8">
      <c r="A1070" s="1548"/>
      <c r="B1070" s="1548"/>
      <c r="C1070" s="1548"/>
      <c r="D1070" s="1520"/>
      <c r="E1070" s="665"/>
      <c r="F1070" s="1121"/>
      <c r="G1070" s="665"/>
      <c r="H1070" s="1553"/>
    </row>
    <row r="1071" spans="1:8">
      <c r="A1071" s="1548"/>
      <c r="B1071" s="1548"/>
      <c r="C1071" s="1548"/>
      <c r="D1071" s="1520"/>
      <c r="E1071" s="665"/>
      <c r="F1071" s="1121"/>
      <c r="G1071" s="665"/>
      <c r="H1071" s="1553"/>
    </row>
    <row r="1072" spans="1:8">
      <c r="A1072" s="1548"/>
      <c r="B1072" s="1548"/>
      <c r="C1072" s="1548"/>
      <c r="D1072" s="1520"/>
      <c r="E1072" s="665"/>
      <c r="F1072" s="1121"/>
      <c r="G1072" s="665"/>
      <c r="H1072" s="1553"/>
    </row>
    <row r="1073" spans="1:8">
      <c r="A1073" s="1548"/>
      <c r="B1073" s="1548"/>
      <c r="C1073" s="1548"/>
      <c r="D1073" s="1520"/>
      <c r="E1073" s="665"/>
      <c r="F1073" s="1121"/>
      <c r="G1073" s="665"/>
      <c r="H1073" s="1553"/>
    </row>
    <row r="1074" spans="1:8">
      <c r="A1074" s="1548"/>
      <c r="B1074" s="1548"/>
      <c r="C1074" s="1548"/>
      <c r="D1074" s="1520"/>
      <c r="E1074" s="665"/>
      <c r="F1074" s="1121"/>
      <c r="G1074" s="665"/>
      <c r="H1074" s="1553"/>
    </row>
    <row r="1075" spans="1:8">
      <c r="A1075" s="1548"/>
      <c r="B1075" s="1548"/>
      <c r="C1075" s="1548"/>
      <c r="D1075" s="1520"/>
      <c r="E1075" s="665"/>
      <c r="F1075" s="1121"/>
      <c r="G1075" s="665"/>
      <c r="H1075" s="1553"/>
    </row>
    <row r="1076" spans="1:8">
      <c r="A1076" s="1548"/>
      <c r="B1076" s="1548"/>
      <c r="C1076" s="556"/>
      <c r="D1076" s="1520"/>
      <c r="E1076" s="665"/>
      <c r="F1076" s="1121"/>
      <c r="G1076" s="665"/>
      <c r="H1076" s="1553"/>
    </row>
    <row r="1077" spans="1:8">
      <c r="A1077" s="1548"/>
      <c r="B1077" s="1548"/>
      <c r="C1077" s="1548"/>
      <c r="D1077" s="1520"/>
      <c r="E1077" s="665"/>
      <c r="F1077" s="1121"/>
      <c r="G1077" s="665"/>
      <c r="H1077" s="1553"/>
    </row>
    <row r="1078" spans="1:8">
      <c r="A1078" s="1548"/>
      <c r="B1078" s="1548"/>
      <c r="C1078" s="1548"/>
      <c r="D1078" s="1520"/>
      <c r="E1078" s="665"/>
      <c r="F1078" s="1121"/>
      <c r="G1078" s="665"/>
      <c r="H1078" s="1553"/>
    </row>
    <row r="1079" spans="1:8">
      <c r="A1079" s="1548"/>
      <c r="B1079" s="1548"/>
      <c r="C1079" s="1548"/>
      <c r="D1079" s="1520"/>
      <c r="E1079" s="665"/>
      <c r="F1079" s="1121"/>
      <c r="G1079" s="665"/>
      <c r="H1079" s="1553"/>
    </row>
    <row r="1080" spans="1:8">
      <c r="A1080" s="1548"/>
      <c r="B1080" s="1548"/>
      <c r="C1080" s="1548"/>
      <c r="D1080" s="1520"/>
      <c r="E1080" s="665"/>
      <c r="F1080" s="1121"/>
      <c r="G1080" s="665"/>
      <c r="H1080" s="1553"/>
    </row>
    <row r="1081" spans="1:8">
      <c r="A1081" s="1548"/>
      <c r="B1081" s="1548"/>
      <c r="C1081" s="1548"/>
      <c r="D1081" s="1520"/>
      <c r="E1081" s="665"/>
      <c r="F1081" s="1121"/>
      <c r="G1081" s="665"/>
      <c r="H1081" s="1553"/>
    </row>
    <row r="1082" spans="1:8">
      <c r="A1082" s="1548"/>
      <c r="B1082" s="1548"/>
      <c r="C1082" s="1548"/>
      <c r="D1082" s="1520"/>
      <c r="E1082" s="665"/>
      <c r="F1082" s="1121"/>
      <c r="G1082" s="665"/>
      <c r="H1082" s="1553"/>
    </row>
    <row r="1083" spans="1:8">
      <c r="A1083" s="1548"/>
      <c r="B1083" s="1548"/>
      <c r="C1083" s="1548"/>
      <c r="D1083" s="1520"/>
      <c r="E1083" s="665"/>
      <c r="F1083" s="1121"/>
      <c r="G1083" s="665"/>
      <c r="H1083" s="1553"/>
    </row>
    <row r="1084" spans="1:8">
      <c r="A1084" s="1548"/>
      <c r="B1084" s="1548"/>
      <c r="C1084" s="1548"/>
      <c r="D1084" s="1520"/>
      <c r="E1084" s="665"/>
      <c r="F1084" s="1121"/>
      <c r="G1084" s="665"/>
      <c r="H1084" s="1553"/>
    </row>
    <row r="1085" spans="1:8">
      <c r="A1085" s="1548"/>
      <c r="B1085" s="1548"/>
      <c r="C1085" s="1548"/>
      <c r="D1085" s="1520"/>
      <c r="E1085" s="665"/>
      <c r="F1085" s="1121"/>
      <c r="G1085" s="665"/>
      <c r="H1085" s="1553"/>
    </row>
    <row r="1086" spans="1:8">
      <c r="A1086" s="1548"/>
      <c r="B1086" s="1548"/>
      <c r="C1086" s="1548"/>
      <c r="D1086" s="1520"/>
      <c r="E1086" s="665"/>
      <c r="F1086" s="1121"/>
      <c r="G1086" s="665"/>
      <c r="H1086" s="1553"/>
    </row>
    <row r="1087" spans="1:8">
      <c r="A1087" s="1548"/>
      <c r="B1087" s="1548"/>
      <c r="C1087" s="1548"/>
      <c r="D1087" s="1520"/>
      <c r="E1087" s="665"/>
      <c r="F1087" s="1121"/>
      <c r="G1087" s="665"/>
      <c r="H1087" s="1553"/>
    </row>
    <row r="1088" spans="1:8">
      <c r="A1088" s="1548"/>
      <c r="B1088" s="1548"/>
      <c r="C1088" s="1548"/>
      <c r="D1088" s="1520"/>
      <c r="E1088" s="665"/>
      <c r="F1088" s="1121"/>
      <c r="G1088" s="665"/>
      <c r="H1088" s="1553"/>
    </row>
    <row r="1089" spans="1:8">
      <c r="A1089" s="1548"/>
      <c r="B1089" s="1548"/>
      <c r="C1089" s="1548"/>
      <c r="D1089" s="1520"/>
      <c r="E1089" s="665"/>
      <c r="F1089" s="1121"/>
      <c r="G1089" s="665"/>
      <c r="H1089" s="1553"/>
    </row>
    <row r="1090" spans="1:8">
      <c r="A1090" s="1548"/>
      <c r="B1090" s="1548"/>
      <c r="C1090" s="1548"/>
      <c r="D1090" s="1520"/>
      <c r="E1090" s="665"/>
      <c r="F1090" s="1121"/>
      <c r="G1090" s="665"/>
      <c r="H1090" s="1553"/>
    </row>
    <row r="1091" spans="1:8">
      <c r="A1091" s="1548"/>
      <c r="B1091" s="1548"/>
      <c r="C1091" s="1548"/>
      <c r="D1091" s="1520"/>
      <c r="E1091" s="665"/>
      <c r="F1091" s="1121"/>
      <c r="G1091" s="665"/>
      <c r="H1091" s="1553"/>
    </row>
    <row r="1092" spans="1:8">
      <c r="A1092" s="1548"/>
      <c r="B1092" s="1548"/>
      <c r="C1092" s="1548"/>
      <c r="D1092" s="1520"/>
      <c r="E1092" s="665"/>
      <c r="F1092" s="1121"/>
      <c r="G1092" s="665"/>
      <c r="H1092" s="1553"/>
    </row>
    <row r="1093" spans="1:8">
      <c r="A1093" s="1548"/>
      <c r="B1093" s="1548"/>
      <c r="C1093" s="1548"/>
      <c r="D1093" s="1520"/>
      <c r="E1093" s="665"/>
      <c r="F1093" s="1121"/>
      <c r="G1093" s="665"/>
      <c r="H1093" s="1553"/>
    </row>
    <row r="1094" spans="1:8">
      <c r="A1094" s="1548"/>
      <c r="B1094" s="1548"/>
      <c r="C1094" s="1548"/>
      <c r="D1094" s="1520"/>
      <c r="E1094" s="665"/>
      <c r="F1094" s="1121"/>
      <c r="G1094" s="665"/>
      <c r="H1094" s="1553"/>
    </row>
    <row r="1095" spans="1:8">
      <c r="A1095" s="1548"/>
      <c r="B1095" s="1548"/>
      <c r="C1095" s="1548"/>
      <c r="D1095" s="1520"/>
      <c r="E1095" s="665"/>
      <c r="F1095" s="1121"/>
      <c r="G1095" s="665"/>
      <c r="H1095" s="1553"/>
    </row>
    <row r="1096" spans="1:8">
      <c r="A1096" s="1548"/>
      <c r="B1096" s="1548"/>
      <c r="C1096" s="1548"/>
      <c r="D1096" s="1520"/>
      <c r="E1096" s="665"/>
      <c r="F1096" s="1121"/>
      <c r="G1096" s="665"/>
      <c r="H1096" s="1553"/>
    </row>
    <row r="1097" spans="1:8">
      <c r="A1097" s="1548"/>
      <c r="B1097" s="1548"/>
      <c r="C1097" s="1548"/>
      <c r="D1097" s="1520"/>
      <c r="E1097" s="665"/>
      <c r="F1097" s="1121"/>
      <c r="G1097" s="665"/>
      <c r="H1097" s="1553"/>
    </row>
    <row r="1098" spans="1:8">
      <c r="A1098" s="1548"/>
      <c r="B1098" s="1548"/>
      <c r="C1098" s="1548"/>
      <c r="D1098" s="1520"/>
      <c r="E1098" s="665"/>
      <c r="F1098" s="1121"/>
      <c r="G1098" s="665"/>
      <c r="H1098" s="1553"/>
    </row>
    <row r="1099" spans="1:8">
      <c r="A1099" s="1548"/>
      <c r="B1099" s="1548"/>
      <c r="C1099" s="1548"/>
      <c r="D1099" s="1520"/>
      <c r="E1099" s="665"/>
      <c r="F1099" s="1121"/>
      <c r="G1099" s="665"/>
      <c r="H1099" s="1553"/>
    </row>
    <row r="1100" spans="1:8">
      <c r="A1100" s="1548"/>
      <c r="B1100" s="1548"/>
      <c r="C1100" s="1548"/>
      <c r="D1100" s="1520"/>
      <c r="E1100" s="665"/>
      <c r="F1100" s="1121"/>
      <c r="G1100" s="665"/>
      <c r="H1100" s="1553"/>
    </row>
    <row r="1101" spans="1:8">
      <c r="A1101" s="1548"/>
      <c r="B1101" s="1548"/>
      <c r="C1101" s="1548"/>
      <c r="D1101" s="1520"/>
      <c r="E1101" s="665"/>
      <c r="F1101" s="1121"/>
      <c r="G1101" s="665"/>
      <c r="H1101" s="1553"/>
    </row>
    <row r="1102" spans="1:8">
      <c r="A1102" s="1548"/>
      <c r="B1102" s="1548"/>
      <c r="C1102" s="1548"/>
      <c r="D1102" s="1520"/>
      <c r="E1102" s="665"/>
      <c r="F1102" s="1121"/>
      <c r="G1102" s="665"/>
      <c r="H1102" s="1553"/>
    </row>
    <row r="1103" spans="1:8">
      <c r="A1103" s="1548"/>
      <c r="B1103" s="1548"/>
      <c r="C1103" s="1548"/>
      <c r="D1103" s="1520"/>
      <c r="E1103" s="665"/>
      <c r="F1103" s="1121"/>
      <c r="G1103" s="665"/>
      <c r="H1103" s="1553"/>
    </row>
    <row r="1104" spans="1:8">
      <c r="A1104" s="1548"/>
      <c r="B1104" s="1548"/>
      <c r="C1104" s="1548"/>
      <c r="D1104" s="1520"/>
      <c r="E1104" s="665"/>
      <c r="F1104" s="1121"/>
      <c r="G1104" s="665"/>
      <c r="H1104" s="1553"/>
    </row>
    <row r="1105" spans="1:8">
      <c r="A1105" s="1548"/>
      <c r="B1105" s="1548"/>
      <c r="C1105" s="1548"/>
      <c r="D1105" s="1520"/>
      <c r="E1105" s="665"/>
      <c r="F1105" s="1121"/>
      <c r="G1105" s="665"/>
      <c r="H1105" s="1553"/>
    </row>
    <row r="1106" spans="1:8">
      <c r="A1106" s="1548"/>
      <c r="B1106" s="1548"/>
      <c r="C1106" s="1548"/>
      <c r="D1106" s="1520"/>
      <c r="E1106" s="665"/>
      <c r="F1106" s="1121"/>
      <c r="G1106" s="665"/>
      <c r="H1106" s="1553"/>
    </row>
    <row r="1107" spans="1:8">
      <c r="A1107" s="1548"/>
      <c r="B1107" s="1548"/>
      <c r="C1107" s="1548"/>
      <c r="D1107" s="1520"/>
      <c r="E1107" s="665"/>
      <c r="F1107" s="1121"/>
      <c r="G1107" s="665"/>
      <c r="H1107" s="1553"/>
    </row>
    <row r="1108" spans="1:8">
      <c r="A1108" s="1548"/>
      <c r="B1108" s="1548"/>
      <c r="C1108" s="1548"/>
      <c r="D1108" s="1520"/>
      <c r="E1108" s="665"/>
      <c r="F1108" s="1121"/>
      <c r="G1108" s="665"/>
      <c r="H1108" s="1553"/>
    </row>
    <row r="1109" spans="1:8">
      <c r="A1109" s="1548"/>
      <c r="B1109" s="1548"/>
      <c r="C1109" s="1548"/>
      <c r="D1109" s="1520"/>
      <c r="E1109" s="665"/>
      <c r="F1109" s="1121"/>
      <c r="G1109" s="665"/>
      <c r="H1109" s="1553"/>
    </row>
    <row r="1110" spans="1:8">
      <c r="A1110" s="1548"/>
      <c r="B1110" s="1548"/>
      <c r="C1110" s="1548"/>
      <c r="D1110" s="1520"/>
      <c r="E1110" s="665"/>
      <c r="F1110" s="1121"/>
      <c r="G1110" s="665"/>
      <c r="H1110" s="1553"/>
    </row>
    <row r="1111" spans="1:8">
      <c r="A1111" s="1548"/>
      <c r="B1111" s="1548"/>
      <c r="C1111" s="1548"/>
      <c r="D1111" s="1520"/>
      <c r="E1111" s="665"/>
      <c r="F1111" s="1121"/>
      <c r="G1111" s="665"/>
      <c r="H1111" s="1553"/>
    </row>
    <row r="1112" spans="1:8">
      <c r="A1112" s="1548"/>
      <c r="B1112" s="1548"/>
      <c r="C1112" s="1548"/>
      <c r="D1112" s="1520"/>
      <c r="E1112" s="665"/>
      <c r="F1112" s="1121"/>
      <c r="G1112" s="665"/>
      <c r="H1112" s="1553"/>
    </row>
    <row r="1113" spans="1:8">
      <c r="A1113" s="1548"/>
      <c r="B1113" s="1548"/>
      <c r="C1113" s="1548"/>
      <c r="D1113" s="1520"/>
      <c r="E1113" s="665"/>
      <c r="F1113" s="1121"/>
      <c r="G1113" s="665"/>
      <c r="H1113" s="1553"/>
    </row>
    <row r="1114" spans="1:8">
      <c r="A1114" s="1548"/>
      <c r="B1114" s="1548"/>
      <c r="C1114" s="1548"/>
      <c r="D1114" s="1520"/>
      <c r="E1114" s="665"/>
      <c r="F1114" s="1121"/>
      <c r="G1114" s="665"/>
      <c r="H1114" s="1553"/>
    </row>
    <row r="1115" spans="1:8">
      <c r="A1115" s="1548"/>
      <c r="B1115" s="1548"/>
      <c r="C1115" s="1548"/>
      <c r="D1115" s="1520"/>
      <c r="E1115" s="665"/>
      <c r="F1115" s="1121"/>
      <c r="G1115" s="665"/>
      <c r="H1115" s="1553"/>
    </row>
    <row r="1116" spans="1:8">
      <c r="A1116" s="1548"/>
      <c r="B1116" s="1548"/>
      <c r="C1116" s="1548"/>
      <c r="D1116" s="1520"/>
      <c r="E1116" s="665"/>
      <c r="F1116" s="1121"/>
      <c r="G1116" s="665"/>
      <c r="H1116" s="1553"/>
    </row>
    <row r="1117" spans="1:8">
      <c r="A1117" s="1548"/>
      <c r="B1117" s="1548"/>
      <c r="C1117" s="1548"/>
      <c r="D1117" s="1520"/>
      <c r="E1117" s="665"/>
      <c r="F1117" s="1121"/>
      <c r="G1117" s="665"/>
      <c r="H1117" s="1553"/>
    </row>
    <row r="1118" spans="1:8">
      <c r="A1118" s="1548"/>
      <c r="B1118" s="1548"/>
      <c r="C1118" s="1548"/>
      <c r="D1118" s="1520"/>
      <c r="E1118" s="665"/>
      <c r="F1118" s="1121"/>
      <c r="G1118" s="665"/>
      <c r="H1118" s="1553"/>
    </row>
    <row r="1119" spans="1:8">
      <c r="A1119" s="1548"/>
      <c r="B1119" s="1548"/>
      <c r="C1119" s="1548"/>
      <c r="D1119" s="1520"/>
      <c r="E1119" s="665"/>
      <c r="F1119" s="1121"/>
      <c r="G1119" s="665"/>
      <c r="H1119" s="1553"/>
    </row>
    <row r="1120" spans="1:8">
      <c r="A1120" s="1548"/>
      <c r="B1120" s="1548"/>
      <c r="C1120" s="1548"/>
      <c r="D1120" s="1520"/>
      <c r="E1120" s="665"/>
      <c r="F1120" s="1121"/>
      <c r="G1120" s="665"/>
      <c r="H1120" s="1553"/>
    </row>
    <row r="1121" spans="1:8">
      <c r="A1121" s="1548"/>
      <c r="B1121" s="1548"/>
      <c r="C1121" s="1548"/>
      <c r="D1121" s="1520"/>
      <c r="E1121" s="665"/>
      <c r="F1121" s="1121"/>
      <c r="G1121" s="665"/>
      <c r="H1121" s="1553"/>
    </row>
    <row r="1122" spans="1:8">
      <c r="A1122" s="1548"/>
      <c r="B1122" s="1548"/>
      <c r="C1122" s="1548"/>
      <c r="D1122" s="1520"/>
      <c r="E1122" s="665"/>
      <c r="F1122" s="1121"/>
      <c r="G1122" s="665"/>
      <c r="H1122" s="1553"/>
    </row>
    <row r="1123" spans="1:8">
      <c r="A1123" s="1548"/>
      <c r="B1123" s="1548"/>
      <c r="C1123" s="1548"/>
      <c r="D1123" s="1520"/>
      <c r="E1123" s="665"/>
      <c r="F1123" s="1121"/>
      <c r="G1123" s="665"/>
      <c r="H1123" s="1553"/>
    </row>
    <row r="1124" spans="1:8">
      <c r="A1124" s="1548"/>
      <c r="B1124" s="1548"/>
      <c r="C1124" s="1548"/>
      <c r="D1124" s="1520"/>
      <c r="E1124" s="665"/>
      <c r="F1124" s="1121"/>
      <c r="G1124" s="665"/>
      <c r="H1124" s="1553"/>
    </row>
    <row r="1125" spans="1:8">
      <c r="A1125" s="1548"/>
      <c r="B1125" s="1548"/>
      <c r="C1125" s="1548"/>
      <c r="D1125" s="1520"/>
      <c r="E1125" s="665"/>
      <c r="F1125" s="1121"/>
      <c r="G1125" s="665"/>
      <c r="H1125" s="1553"/>
    </row>
    <row r="1126" spans="1:8">
      <c r="A1126" s="1548"/>
      <c r="B1126" s="1548"/>
      <c r="C1126" s="1548"/>
      <c r="D1126" s="1520"/>
      <c r="E1126" s="665"/>
      <c r="F1126" s="1121"/>
      <c r="G1126" s="665"/>
      <c r="H1126" s="1553"/>
    </row>
    <row r="1127" spans="1:8">
      <c r="A1127" s="1548"/>
      <c r="B1127" s="1548"/>
      <c r="C1127" s="1548"/>
      <c r="D1127" s="1520"/>
      <c r="E1127" s="665"/>
      <c r="F1127" s="1121"/>
      <c r="G1127" s="665"/>
      <c r="H1127" s="1553"/>
    </row>
    <row r="1128" spans="1:8">
      <c r="A1128" s="1548"/>
      <c r="B1128" s="1548"/>
      <c r="C1128" s="1548"/>
      <c r="D1128" s="1520"/>
      <c r="E1128" s="665"/>
      <c r="F1128" s="1121"/>
      <c r="G1128" s="665"/>
      <c r="H1128" s="1553"/>
    </row>
    <row r="1129" spans="1:8">
      <c r="A1129" s="1548"/>
      <c r="B1129" s="1548"/>
      <c r="C1129" s="1548"/>
      <c r="D1129" s="1520"/>
      <c r="E1129" s="665"/>
      <c r="F1129" s="1121"/>
      <c r="G1129" s="665"/>
      <c r="H1129" s="1553"/>
    </row>
    <row r="1130" spans="1:8">
      <c r="A1130" s="1548"/>
      <c r="B1130" s="1548"/>
      <c r="C1130" s="1548"/>
      <c r="D1130" s="1520"/>
      <c r="E1130" s="665"/>
      <c r="F1130" s="1121"/>
      <c r="G1130" s="665"/>
      <c r="H1130" s="1553"/>
    </row>
    <row r="1131" spans="1:8">
      <c r="A1131" s="1548"/>
      <c r="B1131" s="1548"/>
      <c r="C1131" s="1548"/>
      <c r="D1131" s="1520"/>
      <c r="E1131" s="665"/>
      <c r="F1131" s="1121"/>
      <c r="G1131" s="665"/>
      <c r="H1131" s="1553"/>
    </row>
    <row r="1132" spans="1:8">
      <c r="A1132" s="1548"/>
      <c r="B1132" s="1548"/>
      <c r="C1132" s="1548"/>
      <c r="D1132" s="1520"/>
      <c r="E1132" s="665"/>
      <c r="F1132" s="1121"/>
      <c r="G1132" s="665"/>
      <c r="H1132" s="1553"/>
    </row>
    <row r="1133" spans="1:8">
      <c r="A1133" s="1548"/>
      <c r="B1133" s="1548"/>
      <c r="C1133" s="1548"/>
      <c r="D1133" s="1520"/>
      <c r="E1133" s="665"/>
      <c r="F1133" s="1121"/>
      <c r="G1133" s="665"/>
      <c r="H1133" s="1553"/>
    </row>
    <row r="1134" spans="1:8">
      <c r="A1134" s="1548"/>
      <c r="B1134" s="1548"/>
      <c r="C1134" s="1548"/>
      <c r="D1134" s="1520"/>
      <c r="E1134" s="665"/>
      <c r="F1134" s="1121"/>
      <c r="G1134" s="665"/>
      <c r="H1134" s="1553"/>
    </row>
    <row r="1135" spans="1:8">
      <c r="A1135" s="1548"/>
      <c r="B1135" s="1548"/>
      <c r="C1135" s="1548"/>
      <c r="D1135" s="1520"/>
      <c r="E1135" s="665"/>
      <c r="F1135" s="1121"/>
      <c r="G1135" s="665"/>
      <c r="H1135" s="1553"/>
    </row>
    <row r="1136" spans="1:8">
      <c r="A1136" s="1548"/>
      <c r="B1136" s="1548"/>
      <c r="C1136" s="1548"/>
      <c r="D1136" s="1520"/>
      <c r="E1136" s="665"/>
      <c r="F1136" s="1121"/>
      <c r="G1136" s="665"/>
      <c r="H1136" s="1553"/>
    </row>
    <row r="1137" spans="1:8">
      <c r="A1137" s="1548"/>
      <c r="B1137" s="1548"/>
      <c r="C1137" s="1548"/>
      <c r="D1137" s="1520"/>
      <c r="E1137" s="665"/>
      <c r="F1137" s="1121"/>
      <c r="G1137" s="665"/>
      <c r="H1137" s="1553"/>
    </row>
    <row r="1138" spans="1:8">
      <c r="A1138" s="1548"/>
      <c r="B1138" s="1548"/>
      <c r="C1138" s="1548"/>
      <c r="D1138" s="1520"/>
      <c r="E1138" s="665"/>
      <c r="F1138" s="1121"/>
      <c r="G1138" s="665"/>
      <c r="H1138" s="1553"/>
    </row>
    <row r="1139" spans="1:8">
      <c r="A1139" s="1548"/>
      <c r="B1139" s="1548"/>
      <c r="C1139" s="1548"/>
      <c r="D1139" s="1520"/>
      <c r="E1139" s="665"/>
      <c r="F1139" s="1121"/>
      <c r="G1139" s="665"/>
      <c r="H1139" s="1553"/>
    </row>
    <row r="1140" spans="1:8">
      <c r="A1140" s="1548"/>
      <c r="B1140" s="1548"/>
      <c r="C1140" s="1548"/>
      <c r="D1140" s="1520"/>
      <c r="E1140" s="665"/>
      <c r="F1140" s="1121"/>
      <c r="G1140" s="665"/>
      <c r="H1140" s="1553"/>
    </row>
    <row r="1141" spans="1:8">
      <c r="A1141" s="1548"/>
      <c r="B1141" s="1548"/>
      <c r="C1141" s="1548"/>
      <c r="D1141" s="1520"/>
      <c r="E1141" s="665"/>
      <c r="F1141" s="1121"/>
      <c r="G1141" s="665"/>
      <c r="H1141" s="1553"/>
    </row>
    <row r="1142" spans="1:8">
      <c r="A1142" s="1548"/>
      <c r="B1142" s="1548"/>
      <c r="C1142" s="1548"/>
      <c r="D1142" s="1520"/>
      <c r="E1142" s="665"/>
      <c r="F1142" s="1121"/>
      <c r="G1142" s="665"/>
      <c r="H1142" s="1553"/>
    </row>
    <row r="1143" spans="1:8">
      <c r="A1143" s="1548"/>
      <c r="B1143" s="1548"/>
      <c r="C1143" s="1548"/>
      <c r="D1143" s="1520"/>
      <c r="E1143" s="665"/>
      <c r="F1143" s="1121"/>
      <c r="G1143" s="665"/>
      <c r="H1143" s="1553"/>
    </row>
    <row r="1144" spans="1:8">
      <c r="A1144" s="1548"/>
      <c r="B1144" s="1548"/>
      <c r="C1144" s="1548"/>
      <c r="D1144" s="1520"/>
      <c r="E1144" s="665"/>
      <c r="F1144" s="1121"/>
      <c r="G1144" s="665"/>
      <c r="H1144" s="1553"/>
    </row>
    <row r="1145" spans="1:8">
      <c r="A1145" s="1548"/>
      <c r="B1145" s="1548"/>
      <c r="C1145" s="1548"/>
      <c r="D1145" s="1520"/>
      <c r="E1145" s="665"/>
      <c r="F1145" s="1121"/>
      <c r="G1145" s="665"/>
      <c r="H1145" s="1553"/>
    </row>
    <row r="1146" spans="1:8">
      <c r="A1146" s="1548"/>
      <c r="B1146" s="1548"/>
      <c r="C1146" s="1548"/>
      <c r="D1146" s="1520"/>
      <c r="E1146" s="665"/>
      <c r="F1146" s="1121"/>
      <c r="G1146" s="665"/>
      <c r="H1146" s="1553"/>
    </row>
    <row r="1147" spans="1:8">
      <c r="A1147" s="1548"/>
      <c r="B1147" s="1548"/>
      <c r="C1147" s="1548"/>
      <c r="D1147" s="1520"/>
      <c r="E1147" s="665"/>
      <c r="F1147" s="1121"/>
      <c r="G1147" s="665"/>
      <c r="H1147" s="1553"/>
    </row>
    <row r="1148" spans="1:8">
      <c r="A1148" s="1548"/>
      <c r="B1148" s="1548"/>
      <c r="C1148" s="1548"/>
      <c r="D1148" s="1520"/>
      <c r="E1148" s="665"/>
      <c r="F1148" s="1121"/>
      <c r="G1148" s="665"/>
      <c r="H1148" s="1553"/>
    </row>
    <row r="1149" spans="1:8">
      <c r="A1149" s="1548"/>
      <c r="B1149" s="1548"/>
      <c r="C1149" s="1548"/>
      <c r="D1149" s="1520"/>
      <c r="E1149" s="665"/>
      <c r="F1149" s="1121"/>
      <c r="G1149" s="665"/>
      <c r="H1149" s="1553"/>
    </row>
    <row r="1150" spans="1:8">
      <c r="A1150" s="1548"/>
      <c r="B1150" s="1548"/>
      <c r="C1150" s="1548"/>
      <c r="D1150" s="1520"/>
      <c r="E1150" s="665"/>
      <c r="F1150" s="1121"/>
      <c r="G1150" s="665"/>
      <c r="H1150" s="1553"/>
    </row>
    <row r="1151" spans="1:8">
      <c r="A1151" s="1548"/>
      <c r="B1151" s="1548"/>
      <c r="C1151" s="1548"/>
      <c r="D1151" s="1520"/>
      <c r="E1151" s="665"/>
      <c r="F1151" s="1121"/>
      <c r="G1151" s="665"/>
      <c r="H1151" s="1553"/>
    </row>
    <row r="1152" spans="1:8">
      <c r="A1152" s="1548"/>
      <c r="B1152" s="1548"/>
      <c r="C1152" s="1548"/>
      <c r="D1152" s="1520"/>
      <c r="E1152" s="665"/>
      <c r="F1152" s="1121"/>
      <c r="G1152" s="665"/>
      <c r="H1152" s="1553"/>
    </row>
    <row r="1153" spans="1:8">
      <c r="A1153" s="1548"/>
      <c r="B1153" s="1548"/>
      <c r="C1153" s="1548"/>
      <c r="D1153" s="1520"/>
      <c r="E1153" s="665"/>
      <c r="F1153" s="1121"/>
      <c r="G1153" s="665"/>
      <c r="H1153" s="1553"/>
    </row>
    <row r="1154" spans="1:8">
      <c r="A1154" s="1548"/>
      <c r="B1154" s="1548"/>
      <c r="C1154" s="1548"/>
      <c r="D1154" s="1520"/>
      <c r="E1154" s="665"/>
      <c r="F1154" s="1121"/>
      <c r="G1154" s="665"/>
      <c r="H1154" s="1553"/>
    </row>
    <row r="1155" spans="1:8">
      <c r="A1155" s="1548"/>
      <c r="B1155" s="1548"/>
      <c r="C1155" s="1548"/>
      <c r="D1155" s="1520"/>
      <c r="E1155" s="665"/>
      <c r="F1155" s="1121"/>
      <c r="G1155" s="665"/>
      <c r="H1155" s="1553"/>
    </row>
    <row r="1156" spans="1:8">
      <c r="A1156" s="1548"/>
      <c r="B1156" s="1548"/>
      <c r="C1156" s="1548"/>
      <c r="D1156" s="1520"/>
      <c r="E1156" s="665"/>
      <c r="F1156" s="1121"/>
      <c r="G1156" s="665"/>
      <c r="H1156" s="1553"/>
    </row>
    <row r="1157" spans="1:8">
      <c r="A1157" s="1548"/>
      <c r="B1157" s="1548"/>
      <c r="C1157" s="1548"/>
      <c r="D1157" s="1520"/>
      <c r="E1157" s="665"/>
      <c r="F1157" s="1121"/>
      <c r="G1157" s="665"/>
      <c r="H1157" s="1553"/>
    </row>
    <row r="1158" spans="1:8">
      <c r="A1158" s="1548"/>
      <c r="B1158" s="1548"/>
      <c r="C1158" s="1548"/>
      <c r="D1158" s="1520"/>
      <c r="E1158" s="665"/>
      <c r="F1158" s="1121"/>
      <c r="G1158" s="665"/>
      <c r="H1158" s="1553"/>
    </row>
    <row r="1159" spans="1:8">
      <c r="A1159" s="1548"/>
      <c r="B1159" s="1548"/>
      <c r="C1159" s="1548"/>
      <c r="D1159" s="1520"/>
      <c r="E1159" s="665"/>
      <c r="F1159" s="1121"/>
      <c r="G1159" s="665"/>
      <c r="H1159" s="1553"/>
    </row>
    <row r="1160" spans="1:8">
      <c r="A1160" s="1548"/>
      <c r="B1160" s="1548"/>
      <c r="C1160" s="1548"/>
      <c r="D1160" s="1520"/>
      <c r="E1160" s="665"/>
      <c r="F1160" s="1121"/>
      <c r="G1160" s="665"/>
      <c r="H1160" s="1553"/>
    </row>
    <row r="1161" spans="1:8">
      <c r="A1161" s="1548"/>
      <c r="B1161" s="1548"/>
      <c r="C1161" s="1548"/>
      <c r="D1161" s="1520"/>
      <c r="E1161" s="665"/>
      <c r="F1161" s="1121"/>
      <c r="G1161" s="665"/>
      <c r="H1161" s="1553"/>
    </row>
    <row r="1162" spans="1:8">
      <c r="A1162" s="1548"/>
      <c r="B1162" s="1548"/>
      <c r="C1162" s="1548"/>
      <c r="D1162" s="1520"/>
      <c r="E1162" s="665"/>
      <c r="F1162" s="1121"/>
      <c r="G1162" s="665"/>
      <c r="H1162" s="1553"/>
    </row>
    <row r="1163" spans="1:8">
      <c r="A1163" s="1548"/>
      <c r="B1163" s="1548"/>
      <c r="C1163" s="1548"/>
      <c r="D1163" s="1520"/>
      <c r="E1163" s="665"/>
      <c r="F1163" s="1121"/>
      <c r="G1163" s="665"/>
      <c r="H1163" s="1553"/>
    </row>
    <row r="1164" spans="1:8">
      <c r="A1164" s="1548"/>
      <c r="B1164" s="1548"/>
      <c r="C1164" s="1548"/>
      <c r="D1164" s="1520"/>
      <c r="E1164" s="665"/>
      <c r="F1164" s="1121"/>
      <c r="G1164" s="665"/>
      <c r="H1164" s="1553"/>
    </row>
    <row r="1165" spans="1:8">
      <c r="A1165" s="1548"/>
      <c r="B1165" s="1548"/>
      <c r="C1165" s="1548"/>
      <c r="D1165" s="1520"/>
      <c r="E1165" s="665"/>
      <c r="F1165" s="1121"/>
      <c r="G1165" s="665"/>
      <c r="H1165" s="1553"/>
    </row>
    <row r="1166" spans="1:8">
      <c r="A1166" s="1548"/>
      <c r="B1166" s="1548"/>
      <c r="C1166" s="1548"/>
      <c r="D1166" s="1520"/>
      <c r="E1166" s="665"/>
      <c r="F1166" s="1121"/>
      <c r="G1166" s="665"/>
      <c r="H1166" s="1553"/>
    </row>
    <row r="1167" spans="1:8">
      <c r="A1167" s="1548"/>
      <c r="B1167" s="1548"/>
      <c r="C1167" s="1548"/>
      <c r="D1167" s="1520"/>
      <c r="E1167" s="665"/>
      <c r="F1167" s="1121"/>
      <c r="G1167" s="665"/>
      <c r="H1167" s="1553"/>
    </row>
    <row r="1168" spans="1:8">
      <c r="A1168" s="1548"/>
      <c r="B1168" s="1548"/>
      <c r="C1168" s="1548"/>
      <c r="D1168" s="1520"/>
      <c r="E1168" s="665"/>
      <c r="F1168" s="1121"/>
      <c r="G1168" s="665"/>
      <c r="H1168" s="1553"/>
    </row>
    <row r="1169" spans="1:8">
      <c r="A1169" s="1548"/>
      <c r="B1169" s="1548"/>
      <c r="C1169" s="1548"/>
      <c r="D1169" s="1520"/>
      <c r="E1169" s="665"/>
      <c r="F1169" s="1121"/>
      <c r="G1169" s="665"/>
      <c r="H1169" s="1553"/>
    </row>
    <row r="1170" spans="1:8">
      <c r="A1170" s="1548"/>
      <c r="B1170" s="1548"/>
      <c r="C1170" s="1548"/>
      <c r="D1170" s="1520"/>
      <c r="E1170" s="665"/>
      <c r="F1170" s="1121"/>
      <c r="G1170" s="665"/>
      <c r="H1170" s="1553"/>
    </row>
    <row r="1171" spans="1:8">
      <c r="A1171" s="1548"/>
      <c r="B1171" s="1548"/>
      <c r="C1171" s="1548"/>
      <c r="D1171" s="1520"/>
      <c r="E1171" s="665"/>
      <c r="F1171" s="1121"/>
      <c r="G1171" s="665"/>
      <c r="H1171" s="1553"/>
    </row>
    <row r="1172" spans="1:8">
      <c r="A1172" s="1548"/>
      <c r="B1172" s="1548"/>
      <c r="C1172" s="1548"/>
      <c r="D1172" s="1520"/>
      <c r="E1172" s="665"/>
      <c r="F1172" s="1121"/>
      <c r="G1172" s="665"/>
      <c r="H1172" s="1553"/>
    </row>
    <row r="1173" spans="1:8">
      <c r="A1173" s="1548"/>
      <c r="B1173" s="1548"/>
      <c r="C1173" s="1548"/>
      <c r="D1173" s="1520"/>
      <c r="E1173" s="665"/>
      <c r="F1173" s="1121"/>
      <c r="G1173" s="665"/>
      <c r="H1173" s="1553"/>
    </row>
    <row r="1174" spans="1:8">
      <c r="A1174" s="1548"/>
      <c r="B1174" s="1548"/>
      <c r="C1174" s="1548"/>
      <c r="D1174" s="1520"/>
      <c r="E1174" s="665"/>
      <c r="F1174" s="1121"/>
      <c r="G1174" s="665"/>
      <c r="H1174" s="1553"/>
    </row>
    <row r="1175" spans="1:8">
      <c r="A1175" s="1548"/>
      <c r="B1175" s="1548"/>
      <c r="C1175" s="1548"/>
      <c r="D1175" s="1520"/>
      <c r="E1175" s="665"/>
      <c r="F1175" s="1121"/>
      <c r="G1175" s="665"/>
      <c r="H1175" s="1553"/>
    </row>
    <row r="1176" spans="1:8">
      <c r="A1176" s="1548"/>
      <c r="B1176" s="1548"/>
      <c r="C1176" s="1548"/>
      <c r="D1176" s="1520"/>
      <c r="E1176" s="665"/>
      <c r="F1176" s="1121"/>
      <c r="G1176" s="665"/>
      <c r="H1176" s="1553"/>
    </row>
    <row r="1177" spans="1:8">
      <c r="A1177" s="1548"/>
      <c r="B1177" s="1548"/>
      <c r="C1177" s="1548"/>
      <c r="D1177" s="1520"/>
      <c r="E1177" s="665"/>
      <c r="F1177" s="1121"/>
      <c r="G1177" s="665"/>
      <c r="H1177" s="1553"/>
    </row>
    <row r="1178" spans="1:8">
      <c r="A1178" s="1548"/>
      <c r="B1178" s="1548"/>
      <c r="C1178" s="1548"/>
      <c r="D1178" s="1520"/>
      <c r="E1178" s="665"/>
      <c r="F1178" s="1121"/>
      <c r="G1178" s="665"/>
      <c r="H1178" s="1553"/>
    </row>
    <row r="1179" spans="1:8">
      <c r="A1179" s="1548"/>
      <c r="B1179" s="1548"/>
      <c r="C1179" s="1548"/>
      <c r="D1179" s="1520"/>
      <c r="E1179" s="665"/>
      <c r="F1179" s="1121"/>
      <c r="G1179" s="665"/>
      <c r="H1179" s="1553"/>
    </row>
    <row r="1180" spans="1:8">
      <c r="A1180" s="1548"/>
      <c r="B1180" s="1548"/>
      <c r="C1180" s="1548"/>
      <c r="D1180" s="1520"/>
      <c r="E1180" s="665"/>
      <c r="F1180" s="1121"/>
      <c r="G1180" s="665"/>
      <c r="H1180" s="1553"/>
    </row>
    <row r="1181" spans="1:8">
      <c r="A1181" s="1548"/>
      <c r="B1181" s="1548"/>
      <c r="C1181" s="1548"/>
      <c r="D1181" s="1520"/>
      <c r="E1181" s="665"/>
      <c r="F1181" s="1121"/>
      <c r="G1181" s="665"/>
      <c r="H1181" s="1553"/>
    </row>
    <row r="1182" spans="1:8">
      <c r="A1182" s="1548"/>
      <c r="B1182" s="1548"/>
      <c r="C1182" s="1548"/>
      <c r="D1182" s="1520"/>
      <c r="E1182" s="665"/>
      <c r="F1182" s="1121"/>
      <c r="G1182" s="665"/>
      <c r="H1182" s="1553"/>
    </row>
    <row r="1183" spans="1:8">
      <c r="A1183" s="1548"/>
      <c r="B1183" s="1548"/>
      <c r="C1183" s="1548"/>
      <c r="D1183" s="1520"/>
      <c r="E1183" s="665"/>
      <c r="F1183" s="1121"/>
      <c r="G1183" s="665"/>
      <c r="H1183" s="1553"/>
    </row>
    <row r="1184" spans="1:8">
      <c r="A1184" s="1548"/>
      <c r="B1184" s="1548"/>
      <c r="C1184" s="1548"/>
      <c r="D1184" s="1520"/>
      <c r="E1184" s="665"/>
      <c r="F1184" s="1121"/>
      <c r="G1184" s="665"/>
      <c r="H1184" s="1553"/>
    </row>
    <row r="1185" spans="1:8">
      <c r="A1185" s="1548"/>
      <c r="B1185" s="1548"/>
      <c r="C1185" s="1548"/>
      <c r="D1185" s="1520"/>
      <c r="E1185" s="665"/>
      <c r="F1185" s="1121"/>
      <c r="G1185" s="665"/>
      <c r="H1185" s="1553"/>
    </row>
    <row r="1186" spans="1:8">
      <c r="A1186" s="1548"/>
      <c r="B1186" s="1548"/>
      <c r="C1186" s="1548"/>
      <c r="D1186" s="1520"/>
      <c r="E1186" s="665"/>
      <c r="F1186" s="1121"/>
      <c r="G1186" s="665"/>
      <c r="H1186" s="1553"/>
    </row>
    <row r="1187" spans="1:8">
      <c r="A1187" s="1548"/>
      <c r="B1187" s="1548"/>
      <c r="C1187" s="1548"/>
      <c r="D1187" s="1520"/>
      <c r="E1187" s="665"/>
      <c r="F1187" s="1121"/>
      <c r="G1187" s="665"/>
      <c r="H1187" s="1553"/>
    </row>
    <row r="1188" spans="1:8">
      <c r="A1188" s="1548"/>
      <c r="B1188" s="1548"/>
      <c r="C1188" s="1548"/>
      <c r="D1188" s="1520"/>
      <c r="E1188" s="665"/>
      <c r="F1188" s="1121"/>
      <c r="G1188" s="665"/>
      <c r="H1188" s="1553"/>
    </row>
    <row r="1189" spans="1:8">
      <c r="A1189" s="1548"/>
      <c r="B1189" s="1548"/>
      <c r="C1189" s="1548"/>
      <c r="D1189" s="1520"/>
      <c r="E1189" s="665"/>
      <c r="F1189" s="1121"/>
      <c r="G1189" s="665"/>
      <c r="H1189" s="1553"/>
    </row>
    <row r="1190" spans="1:8">
      <c r="A1190" s="1548"/>
      <c r="B1190" s="1548"/>
      <c r="C1190" s="1548"/>
      <c r="D1190" s="1520"/>
      <c r="E1190" s="665"/>
      <c r="F1190" s="1121"/>
      <c r="G1190" s="665"/>
      <c r="H1190" s="1553"/>
    </row>
    <row r="1191" spans="1:8">
      <c r="A1191" s="1548"/>
      <c r="B1191" s="1548"/>
      <c r="C1191" s="1548"/>
      <c r="D1191" s="1520"/>
      <c r="E1191" s="665"/>
      <c r="F1191" s="1121"/>
      <c r="G1191" s="665"/>
      <c r="H1191" s="1553"/>
    </row>
    <row r="1192" spans="1:8">
      <c r="A1192" s="1548"/>
      <c r="B1192" s="1548"/>
      <c r="C1192" s="1548"/>
      <c r="D1192" s="1520"/>
      <c r="E1192" s="665"/>
      <c r="F1192" s="1121"/>
      <c r="G1192" s="665"/>
      <c r="H1192" s="1553"/>
    </row>
    <row r="1193" spans="1:8">
      <c r="A1193" s="1548"/>
      <c r="B1193" s="1548"/>
      <c r="C1193" s="1548"/>
      <c r="D1193" s="1520"/>
      <c r="E1193" s="665"/>
      <c r="F1193" s="1121"/>
      <c r="G1193" s="665"/>
      <c r="H1193" s="1553"/>
    </row>
    <row r="1194" spans="1:8">
      <c r="A1194" s="1548"/>
      <c r="B1194" s="1548"/>
      <c r="C1194" s="1548"/>
      <c r="D1194" s="1520"/>
      <c r="E1194" s="665"/>
      <c r="F1194" s="1121"/>
      <c r="G1194" s="665"/>
      <c r="H1194" s="1553"/>
    </row>
    <row r="1195" spans="1:8">
      <c r="A1195" s="1548"/>
      <c r="B1195" s="1548"/>
      <c r="C1195" s="1548"/>
      <c r="D1195" s="1520"/>
      <c r="E1195" s="665"/>
      <c r="F1195" s="1121"/>
      <c r="G1195" s="665"/>
      <c r="H1195" s="1553"/>
    </row>
    <row r="1196" spans="1:8">
      <c r="A1196" s="1548"/>
      <c r="B1196" s="1548"/>
      <c r="C1196" s="1548"/>
      <c r="D1196" s="1520"/>
      <c r="E1196" s="665"/>
      <c r="F1196" s="1121"/>
      <c r="G1196" s="665"/>
      <c r="H1196" s="1553"/>
    </row>
    <row r="1197" spans="1:8">
      <c r="A1197" s="1548"/>
      <c r="B1197" s="1548"/>
      <c r="C1197" s="1548"/>
      <c r="D1197" s="1520"/>
      <c r="E1197" s="665"/>
      <c r="F1197" s="1121"/>
      <c r="G1197" s="665"/>
      <c r="H1197" s="1553"/>
    </row>
    <row r="1198" spans="1:8">
      <c r="A1198" s="1548"/>
      <c r="B1198" s="1548"/>
      <c r="C1198" s="1548"/>
      <c r="D1198" s="1520"/>
      <c r="E1198" s="665"/>
      <c r="F1198" s="1121"/>
      <c r="G1198" s="665"/>
      <c r="H1198" s="1553"/>
    </row>
    <row r="1199" spans="1:8">
      <c r="A1199" s="1548"/>
      <c r="B1199" s="1548"/>
      <c r="C1199" s="1548"/>
      <c r="D1199" s="1520"/>
      <c r="E1199" s="665"/>
      <c r="F1199" s="1121"/>
      <c r="G1199" s="665"/>
      <c r="H1199" s="1553"/>
    </row>
    <row r="1200" spans="1:8">
      <c r="A1200" s="1548"/>
      <c r="B1200" s="1548"/>
      <c r="C1200" s="1548"/>
      <c r="D1200" s="1520"/>
      <c r="E1200" s="665"/>
      <c r="F1200" s="1121"/>
      <c r="G1200" s="665"/>
      <c r="H1200" s="1553"/>
    </row>
    <row r="1201" spans="1:8">
      <c r="A1201" s="1548"/>
      <c r="B1201" s="1548"/>
      <c r="C1201" s="1548"/>
      <c r="D1201" s="1520"/>
      <c r="E1201" s="665"/>
      <c r="F1201" s="1121"/>
      <c r="G1201" s="665"/>
      <c r="H1201" s="1553"/>
    </row>
    <row r="1202" spans="1:8">
      <c r="A1202" s="1548"/>
      <c r="B1202" s="1548"/>
      <c r="C1202" s="1548"/>
      <c r="D1202" s="1520"/>
      <c r="E1202" s="665"/>
      <c r="F1202" s="1121"/>
      <c r="G1202" s="665"/>
      <c r="H1202" s="1553"/>
    </row>
    <row r="1203" spans="1:8">
      <c r="A1203" s="1548"/>
      <c r="B1203" s="1548"/>
      <c r="C1203" s="1548"/>
      <c r="D1203" s="1520"/>
      <c r="E1203" s="665"/>
      <c r="F1203" s="1121"/>
      <c r="G1203" s="665"/>
      <c r="H1203" s="1553"/>
    </row>
    <row r="1204" spans="1:8">
      <c r="A1204" s="1548"/>
      <c r="B1204" s="1548"/>
      <c r="C1204" s="1548"/>
      <c r="D1204" s="1520"/>
      <c r="E1204" s="665"/>
      <c r="F1204" s="1121"/>
      <c r="G1204" s="665"/>
      <c r="H1204" s="1553"/>
    </row>
    <row r="1205" spans="1:8">
      <c r="A1205" s="1548"/>
      <c r="B1205" s="1548"/>
      <c r="C1205" s="1548"/>
      <c r="D1205" s="1520"/>
      <c r="E1205" s="665"/>
      <c r="F1205" s="1121"/>
      <c r="G1205" s="665"/>
      <c r="H1205" s="1553"/>
    </row>
    <row r="1206" spans="1:8">
      <c r="A1206" s="1548"/>
      <c r="B1206" s="1548"/>
      <c r="C1206" s="1548"/>
      <c r="D1206" s="1520"/>
      <c r="E1206" s="665"/>
      <c r="F1206" s="1121"/>
      <c r="G1206" s="665"/>
      <c r="H1206" s="1553"/>
    </row>
    <row r="1207" spans="1:8">
      <c r="A1207" s="1548"/>
      <c r="B1207" s="1548"/>
      <c r="C1207" s="1548"/>
      <c r="D1207" s="1520"/>
      <c r="E1207" s="665"/>
      <c r="F1207" s="1121"/>
      <c r="G1207" s="665"/>
      <c r="H1207" s="1553"/>
    </row>
    <row r="1208" spans="1:8">
      <c r="A1208" s="1548"/>
      <c r="B1208" s="1548"/>
      <c r="C1208" s="1548"/>
      <c r="D1208" s="1520"/>
      <c r="E1208" s="665"/>
      <c r="F1208" s="1121"/>
      <c r="G1208" s="665"/>
      <c r="H1208" s="1553"/>
    </row>
    <row r="1209" spans="1:8">
      <c r="A1209" s="1548"/>
      <c r="B1209" s="1548"/>
      <c r="C1209" s="1548"/>
      <c r="D1209" s="1520"/>
      <c r="E1209" s="665"/>
      <c r="F1209" s="1121"/>
      <c r="G1209" s="665"/>
      <c r="H1209" s="1553"/>
    </row>
    <row r="1210" spans="1:8">
      <c r="A1210" s="1548"/>
      <c r="B1210" s="1548"/>
      <c r="C1210" s="1548"/>
      <c r="D1210" s="1520"/>
      <c r="E1210" s="665"/>
      <c r="F1210" s="1121"/>
      <c r="G1210" s="665"/>
      <c r="H1210" s="1553"/>
    </row>
    <row r="1211" spans="1:8">
      <c r="A1211" s="1548"/>
      <c r="B1211" s="1548"/>
      <c r="C1211" s="1548"/>
      <c r="D1211" s="1520"/>
      <c r="E1211" s="665"/>
      <c r="F1211" s="1121"/>
      <c r="G1211" s="665"/>
      <c r="H1211" s="1553"/>
    </row>
    <row r="1212" spans="1:8">
      <c r="A1212" s="1548"/>
      <c r="B1212" s="1548"/>
      <c r="C1212" s="1548"/>
      <c r="D1212" s="1520"/>
      <c r="E1212" s="665"/>
      <c r="F1212" s="1121"/>
      <c r="G1212" s="665"/>
      <c r="H1212" s="1553"/>
    </row>
    <row r="1213" spans="1:8">
      <c r="A1213" s="1548"/>
      <c r="B1213" s="1548"/>
      <c r="C1213" s="1548"/>
      <c r="D1213" s="1520"/>
      <c r="E1213" s="665"/>
      <c r="F1213" s="1121"/>
      <c r="G1213" s="665"/>
      <c r="H1213" s="1553"/>
    </row>
    <row r="1214" spans="1:8">
      <c r="A1214" s="1548"/>
      <c r="B1214" s="1548"/>
      <c r="C1214" s="1548"/>
      <c r="D1214" s="1520"/>
      <c r="E1214" s="665"/>
      <c r="F1214" s="1121"/>
      <c r="G1214" s="665"/>
      <c r="H1214" s="1553"/>
    </row>
    <row r="1215" spans="1:8">
      <c r="A1215" s="1548"/>
      <c r="B1215" s="1548"/>
      <c r="C1215" s="1548"/>
      <c r="D1215" s="1520"/>
      <c r="E1215" s="665"/>
      <c r="F1215" s="1121"/>
      <c r="G1215" s="665"/>
      <c r="H1215" s="1553"/>
    </row>
    <row r="1216" spans="1:8">
      <c r="A1216" s="1548"/>
      <c r="B1216" s="1548"/>
      <c r="C1216" s="1548"/>
      <c r="D1216" s="1520"/>
      <c r="E1216" s="665"/>
      <c r="F1216" s="1121"/>
      <c r="G1216" s="665"/>
      <c r="H1216" s="1553"/>
    </row>
    <row r="1217" spans="1:8">
      <c r="A1217" s="1548"/>
      <c r="B1217" s="1548"/>
      <c r="C1217" s="1548"/>
      <c r="D1217" s="1520"/>
      <c r="E1217" s="665"/>
      <c r="F1217" s="1121"/>
      <c r="G1217" s="665"/>
      <c r="H1217" s="1553"/>
    </row>
    <row r="1218" spans="1:8">
      <c r="A1218" s="1548"/>
      <c r="B1218" s="1548"/>
      <c r="C1218" s="1548"/>
      <c r="D1218" s="1520"/>
      <c r="E1218" s="665"/>
      <c r="F1218" s="1121"/>
      <c r="G1218" s="665"/>
      <c r="H1218" s="1553"/>
    </row>
    <row r="1219" spans="1:8">
      <c r="A1219" s="1548"/>
      <c r="B1219" s="1548"/>
      <c r="C1219" s="1548"/>
      <c r="D1219" s="1520"/>
      <c r="E1219" s="665"/>
      <c r="F1219" s="1121"/>
      <c r="G1219" s="665"/>
      <c r="H1219" s="1553"/>
    </row>
    <row r="1220" spans="1:8">
      <c r="A1220" s="1548"/>
      <c r="B1220" s="1548"/>
      <c r="C1220" s="1548"/>
      <c r="D1220" s="1520"/>
      <c r="E1220" s="665"/>
      <c r="F1220" s="1121"/>
      <c r="G1220" s="665"/>
      <c r="H1220" s="1553"/>
    </row>
    <row r="1221" spans="1:8">
      <c r="A1221" s="1548"/>
      <c r="B1221" s="1548"/>
      <c r="C1221" s="1548"/>
      <c r="D1221" s="1520"/>
      <c r="E1221" s="665"/>
      <c r="F1221" s="1121"/>
      <c r="G1221" s="665"/>
      <c r="H1221" s="1553"/>
    </row>
    <row r="1222" spans="1:8">
      <c r="A1222" s="1548"/>
      <c r="B1222" s="1548"/>
      <c r="C1222" s="1548"/>
      <c r="D1222" s="1520"/>
      <c r="E1222" s="665"/>
      <c r="F1222" s="1121"/>
      <c r="G1222" s="665"/>
      <c r="H1222" s="1553"/>
    </row>
    <row r="1223" spans="1:8">
      <c r="A1223" s="1548"/>
      <c r="B1223" s="1548"/>
      <c r="C1223" s="1548"/>
      <c r="D1223" s="1520"/>
      <c r="E1223" s="665"/>
      <c r="F1223" s="1121"/>
      <c r="G1223" s="665"/>
      <c r="H1223" s="1553"/>
    </row>
    <row r="1224" spans="1:8">
      <c r="A1224" s="1548"/>
      <c r="B1224" s="1548"/>
      <c r="C1224" s="1548"/>
      <c r="D1224" s="1520"/>
      <c r="E1224" s="665"/>
      <c r="F1224" s="1121"/>
      <c r="G1224" s="665"/>
      <c r="H1224" s="1553"/>
    </row>
    <row r="1225" spans="1:8">
      <c r="A1225" s="1548"/>
      <c r="B1225" s="1548"/>
      <c r="C1225" s="1548"/>
      <c r="D1225" s="1520"/>
      <c r="E1225" s="665"/>
      <c r="F1225" s="1121"/>
      <c r="G1225" s="665"/>
      <c r="H1225" s="1553"/>
    </row>
    <row r="1226" spans="1:8">
      <c r="A1226" s="1548"/>
      <c r="B1226" s="1548"/>
      <c r="C1226" s="1548"/>
      <c r="D1226" s="1520"/>
      <c r="E1226" s="665"/>
      <c r="F1226" s="1121"/>
      <c r="G1226" s="665"/>
      <c r="H1226" s="1553"/>
    </row>
    <row r="1227" spans="1:8">
      <c r="A1227" s="1548"/>
      <c r="B1227" s="1548"/>
      <c r="C1227" s="1548"/>
      <c r="D1227" s="1520"/>
      <c r="E1227" s="665"/>
      <c r="F1227" s="1121"/>
      <c r="G1227" s="665"/>
      <c r="H1227" s="1553"/>
    </row>
    <row r="1228" spans="1:8">
      <c r="A1228" s="1548"/>
      <c r="B1228" s="1548"/>
      <c r="C1228" s="1548"/>
      <c r="D1228" s="1520"/>
      <c r="E1228" s="665"/>
      <c r="F1228" s="1121"/>
      <c r="G1228" s="665"/>
      <c r="H1228" s="1553"/>
    </row>
    <row r="1229" spans="1:8">
      <c r="A1229" s="1548"/>
      <c r="B1229" s="1548"/>
      <c r="C1229" s="1548"/>
      <c r="D1229" s="1520"/>
      <c r="E1229" s="665"/>
      <c r="F1229" s="1121"/>
      <c r="G1229" s="665"/>
      <c r="H1229" s="1553"/>
    </row>
    <row r="1230" spans="1:8">
      <c r="A1230" s="1548"/>
      <c r="B1230" s="1548"/>
      <c r="C1230" s="1548"/>
      <c r="D1230" s="1520"/>
      <c r="E1230" s="665"/>
      <c r="F1230" s="1121"/>
      <c r="G1230" s="665"/>
      <c r="H1230" s="1553"/>
    </row>
    <row r="1231" spans="1:8">
      <c r="A1231" s="1548"/>
      <c r="B1231" s="1548"/>
      <c r="C1231" s="1548"/>
      <c r="D1231" s="1520"/>
      <c r="E1231" s="665"/>
      <c r="F1231" s="1121"/>
      <c r="G1231" s="665"/>
      <c r="H1231" s="1553"/>
    </row>
    <row r="1232" spans="1:8">
      <c r="A1232" s="1548"/>
      <c r="B1232" s="1548"/>
      <c r="C1232" s="1548"/>
      <c r="D1232" s="1520"/>
      <c r="E1232" s="665"/>
      <c r="F1232" s="1121"/>
      <c r="G1232" s="665"/>
      <c r="H1232" s="1553"/>
    </row>
    <row r="1233" spans="1:8">
      <c r="A1233" s="1548"/>
      <c r="B1233" s="1548"/>
      <c r="C1233" s="1548"/>
      <c r="D1233" s="1520"/>
      <c r="E1233" s="665"/>
      <c r="F1233" s="1121"/>
      <c r="G1233" s="665"/>
      <c r="H1233" s="1553"/>
    </row>
    <row r="1234" spans="1:8">
      <c r="A1234" s="1548"/>
      <c r="B1234" s="1548"/>
      <c r="C1234" s="1548"/>
      <c r="D1234" s="1520"/>
      <c r="E1234" s="665"/>
      <c r="F1234" s="1121"/>
      <c r="G1234" s="665"/>
      <c r="H1234" s="1553"/>
    </row>
    <row r="1235" spans="1:8">
      <c r="A1235" s="1548"/>
      <c r="B1235" s="1548"/>
      <c r="C1235" s="1548"/>
      <c r="D1235" s="1520"/>
      <c r="E1235" s="665"/>
      <c r="F1235" s="1121"/>
      <c r="G1235" s="665"/>
      <c r="H1235" s="1553"/>
    </row>
    <row r="1236" spans="1:8">
      <c r="A1236" s="1548"/>
      <c r="B1236" s="1548"/>
      <c r="C1236" s="1548"/>
      <c r="D1236" s="1520"/>
      <c r="E1236" s="665"/>
      <c r="F1236" s="1121"/>
      <c r="G1236" s="665"/>
      <c r="H1236" s="1553"/>
    </row>
    <row r="1237" spans="1:8">
      <c r="A1237" s="1548"/>
      <c r="B1237" s="1548"/>
      <c r="C1237" s="1548"/>
      <c r="D1237" s="1520"/>
      <c r="E1237" s="665"/>
      <c r="F1237" s="1121"/>
      <c r="G1237" s="665"/>
      <c r="H1237" s="1553"/>
    </row>
    <row r="1238" spans="1:8">
      <c r="A1238" s="1548"/>
      <c r="B1238" s="1548"/>
      <c r="C1238" s="1548"/>
      <c r="D1238" s="1520"/>
      <c r="E1238" s="665"/>
      <c r="F1238" s="1121"/>
      <c r="G1238" s="665"/>
      <c r="H1238" s="1553"/>
    </row>
    <row r="1239" spans="1:8">
      <c r="A1239" s="1548"/>
      <c r="B1239" s="1548"/>
      <c r="C1239" s="1548"/>
      <c r="D1239" s="1520"/>
      <c r="E1239" s="665"/>
      <c r="F1239" s="1121"/>
      <c r="G1239" s="665"/>
      <c r="H1239" s="1553"/>
    </row>
    <row r="1240" spans="1:8">
      <c r="A1240" s="1548"/>
      <c r="B1240" s="1548"/>
      <c r="C1240" s="1548"/>
      <c r="D1240" s="1520"/>
      <c r="E1240" s="665"/>
      <c r="F1240" s="1121"/>
      <c r="G1240" s="665"/>
      <c r="H1240" s="1553"/>
    </row>
    <row r="1241" spans="1:8">
      <c r="A1241" s="1548"/>
      <c r="B1241" s="1548"/>
      <c r="C1241" s="1548"/>
      <c r="D1241" s="1520"/>
      <c r="E1241" s="665"/>
      <c r="F1241" s="1121"/>
      <c r="G1241" s="665"/>
      <c r="H1241" s="1553"/>
    </row>
    <row r="1242" spans="1:8">
      <c r="A1242" s="1548"/>
      <c r="B1242" s="1548"/>
      <c r="C1242" s="1548"/>
      <c r="D1242" s="1520"/>
      <c r="E1242" s="665"/>
      <c r="F1242" s="1121"/>
      <c r="G1242" s="665"/>
      <c r="H1242" s="1553"/>
    </row>
    <row r="1243" spans="1:8">
      <c r="A1243" s="1548"/>
      <c r="B1243" s="1548"/>
      <c r="C1243" s="1548"/>
      <c r="D1243" s="1520"/>
      <c r="E1243" s="665"/>
      <c r="F1243" s="1121"/>
      <c r="G1243" s="665"/>
      <c r="H1243" s="1553"/>
    </row>
    <row r="1244" spans="1:8">
      <c r="A1244" s="1548"/>
      <c r="B1244" s="1548"/>
      <c r="C1244" s="1548"/>
      <c r="D1244" s="1520"/>
      <c r="E1244" s="665"/>
      <c r="F1244" s="1121"/>
      <c r="G1244" s="665"/>
      <c r="H1244" s="1553"/>
    </row>
    <row r="1245" spans="1:8">
      <c r="A1245" s="1548"/>
      <c r="B1245" s="1548"/>
      <c r="C1245" s="1548"/>
      <c r="D1245" s="1520"/>
      <c r="E1245" s="665"/>
      <c r="F1245" s="1121"/>
      <c r="G1245" s="665"/>
      <c r="H1245" s="1553"/>
    </row>
    <row r="1246" spans="1:8">
      <c r="A1246" s="1548"/>
      <c r="B1246" s="1548"/>
      <c r="C1246" s="1548"/>
      <c r="D1246" s="1520"/>
      <c r="E1246" s="665"/>
      <c r="F1246" s="1121"/>
      <c r="G1246" s="665"/>
      <c r="H1246" s="1553"/>
    </row>
    <row r="1247" spans="1:8">
      <c r="A1247" s="1548"/>
      <c r="B1247" s="1548"/>
      <c r="C1247" s="1548"/>
      <c r="D1247" s="1520"/>
      <c r="E1247" s="665"/>
      <c r="F1247" s="1121"/>
      <c r="G1247" s="665"/>
      <c r="H1247" s="1553"/>
    </row>
    <row r="1248" spans="1:8">
      <c r="A1248" s="1548"/>
      <c r="B1248" s="1548"/>
      <c r="C1248" s="1548"/>
      <c r="D1248" s="1520"/>
      <c r="E1248" s="665"/>
      <c r="F1248" s="1121"/>
      <c r="G1248" s="665"/>
      <c r="H1248" s="1553"/>
    </row>
    <row r="1249" spans="1:8">
      <c r="A1249" s="1548"/>
      <c r="B1249" s="1548"/>
      <c r="C1249" s="1548"/>
      <c r="D1249" s="1520"/>
      <c r="E1249" s="665"/>
      <c r="F1249" s="1121"/>
      <c r="G1249" s="665"/>
      <c r="H1249" s="1553"/>
    </row>
    <row r="1250" spans="1:8">
      <c r="A1250" s="1548"/>
      <c r="B1250" s="1548"/>
      <c r="C1250" s="1548"/>
      <c r="D1250" s="1520"/>
      <c r="E1250" s="665"/>
      <c r="F1250" s="1121"/>
      <c r="G1250" s="665"/>
      <c r="H1250" s="1553"/>
    </row>
    <row r="1251" spans="1:8">
      <c r="A1251" s="1548"/>
      <c r="B1251" s="1548"/>
      <c r="C1251" s="1548"/>
      <c r="D1251" s="1520"/>
      <c r="E1251" s="665"/>
      <c r="F1251" s="1121"/>
      <c r="G1251" s="665"/>
      <c r="H1251" s="1553"/>
    </row>
    <row r="1252" spans="1:8">
      <c r="A1252" s="1548"/>
      <c r="B1252" s="1548"/>
      <c r="C1252" s="1548"/>
      <c r="D1252" s="1520"/>
      <c r="E1252" s="665"/>
      <c r="F1252" s="1121"/>
      <c r="G1252" s="665"/>
      <c r="H1252" s="1553"/>
    </row>
    <row r="1253" spans="1:8">
      <c r="A1253" s="1548"/>
      <c r="B1253" s="1548"/>
      <c r="C1253" s="1548"/>
      <c r="D1253" s="1520"/>
      <c r="E1253" s="665"/>
      <c r="F1253" s="1121"/>
      <c r="G1253" s="665"/>
      <c r="H1253" s="1553"/>
    </row>
    <row r="1254" spans="1:8">
      <c r="A1254" s="1548"/>
      <c r="B1254" s="1548"/>
      <c r="C1254" s="1548"/>
      <c r="D1254" s="1520"/>
      <c r="E1254" s="665"/>
      <c r="F1254" s="1121"/>
      <c r="G1254" s="665"/>
      <c r="H1254" s="1553"/>
    </row>
    <row r="1255" spans="1:8">
      <c r="A1255" s="1548"/>
      <c r="B1255" s="1548"/>
      <c r="C1255" s="1548"/>
      <c r="D1255" s="1520"/>
      <c r="E1255" s="665"/>
      <c r="F1255" s="1121"/>
      <c r="G1255" s="665"/>
      <c r="H1255" s="1553"/>
    </row>
    <row r="1256" spans="1:8">
      <c r="A1256" s="1548"/>
      <c r="B1256" s="1548"/>
      <c r="C1256" s="1548"/>
      <c r="D1256" s="1520"/>
      <c r="E1256" s="665"/>
      <c r="F1256" s="1121"/>
      <c r="G1256" s="665"/>
      <c r="H1256" s="1553"/>
    </row>
    <row r="1257" spans="1:8">
      <c r="A1257" s="1548"/>
      <c r="B1257" s="1548"/>
      <c r="C1257" s="1548"/>
      <c r="D1257" s="1520"/>
      <c r="E1257" s="665"/>
      <c r="F1257" s="1121"/>
      <c r="G1257" s="665"/>
      <c r="H1257" s="1553"/>
    </row>
    <row r="1258" spans="1:8">
      <c r="A1258" s="1548"/>
      <c r="B1258" s="1548"/>
      <c r="C1258" s="1548"/>
      <c r="D1258" s="1520"/>
      <c r="E1258" s="665"/>
      <c r="F1258" s="1121"/>
      <c r="G1258" s="665"/>
      <c r="H1258" s="1553"/>
    </row>
    <row r="1259" spans="1:8">
      <c r="A1259" s="1548"/>
      <c r="B1259" s="1548"/>
      <c r="C1259" s="1548"/>
      <c r="D1259" s="1520"/>
      <c r="E1259" s="665"/>
      <c r="F1259" s="1121"/>
      <c r="G1259" s="665"/>
      <c r="H1259" s="1553"/>
    </row>
    <row r="1260" spans="1:8">
      <c r="A1260" s="1548"/>
      <c r="B1260" s="1548"/>
      <c r="C1260" s="1548"/>
      <c r="D1260" s="1520"/>
      <c r="E1260" s="665"/>
      <c r="F1260" s="1121"/>
      <c r="G1260" s="665"/>
      <c r="H1260" s="1553"/>
    </row>
    <row r="1261" spans="1:8">
      <c r="A1261" s="1548"/>
      <c r="B1261" s="1548"/>
      <c r="C1261" s="1548"/>
      <c r="D1261" s="1520"/>
      <c r="E1261" s="665"/>
      <c r="F1261" s="1121"/>
      <c r="G1261" s="665"/>
      <c r="H1261" s="1553"/>
    </row>
    <row r="1262" spans="1:8">
      <c r="A1262" s="1548"/>
      <c r="B1262" s="1548"/>
      <c r="C1262" s="1548"/>
      <c r="D1262" s="1520"/>
      <c r="E1262" s="665"/>
      <c r="F1262" s="1121"/>
      <c r="G1262" s="665"/>
      <c r="H1262" s="1553"/>
    </row>
    <row r="1263" spans="1:8">
      <c r="A1263" s="1548"/>
      <c r="B1263" s="1548"/>
      <c r="C1263" s="1548"/>
      <c r="D1263" s="1520"/>
      <c r="E1263" s="665"/>
      <c r="F1263" s="1121"/>
      <c r="G1263" s="665"/>
      <c r="H1263" s="1553"/>
    </row>
    <row r="1264" spans="1:8">
      <c r="A1264" s="1548"/>
      <c r="B1264" s="1548"/>
      <c r="C1264" s="1548"/>
      <c r="D1264" s="1520"/>
      <c r="E1264" s="665"/>
      <c r="F1264" s="1121"/>
      <c r="G1264" s="665"/>
      <c r="H1264" s="1553"/>
    </row>
    <row r="1265" spans="1:8">
      <c r="A1265" s="1548"/>
      <c r="B1265" s="1548"/>
      <c r="C1265" s="1548"/>
      <c r="D1265" s="1520"/>
      <c r="E1265" s="665"/>
      <c r="F1265" s="1121"/>
      <c r="G1265" s="665"/>
      <c r="H1265" s="1553"/>
    </row>
    <row r="1266" spans="1:8">
      <c r="A1266" s="1548"/>
      <c r="B1266" s="1548"/>
      <c r="C1266" s="1548"/>
      <c r="D1266" s="1520"/>
      <c r="E1266" s="665"/>
      <c r="F1266" s="1121"/>
      <c r="G1266" s="665"/>
      <c r="H1266" s="1553"/>
    </row>
    <row r="1267" spans="1:8">
      <c r="A1267" s="1548"/>
      <c r="B1267" s="1548"/>
      <c r="C1267" s="1548"/>
      <c r="D1267" s="1520"/>
      <c r="E1267" s="665"/>
      <c r="F1267" s="1121"/>
      <c r="G1267" s="665"/>
      <c r="H1267" s="1553"/>
    </row>
    <row r="1268" spans="1:8">
      <c r="A1268" s="1548"/>
      <c r="B1268" s="1548"/>
      <c r="C1268" s="1548"/>
      <c r="D1268" s="1520"/>
      <c r="E1268" s="665"/>
      <c r="F1268" s="1121"/>
      <c r="G1268" s="665"/>
      <c r="H1268" s="1553"/>
    </row>
    <row r="1269" spans="1:8">
      <c r="A1269" s="1548"/>
      <c r="B1269" s="1548"/>
      <c r="C1269" s="1548"/>
      <c r="D1269" s="1520"/>
      <c r="E1269" s="665"/>
      <c r="F1269" s="1121"/>
      <c r="G1269" s="665"/>
      <c r="H1269" s="1553"/>
    </row>
    <row r="1270" spans="1:8">
      <c r="A1270" s="1548"/>
      <c r="B1270" s="1548"/>
      <c r="C1270" s="1548"/>
      <c r="D1270" s="1520"/>
      <c r="E1270" s="665"/>
      <c r="F1270" s="1121"/>
      <c r="G1270" s="665"/>
      <c r="H1270" s="1553"/>
    </row>
    <row r="1271" spans="1:8">
      <c r="A1271" s="1548"/>
      <c r="B1271" s="1548"/>
      <c r="C1271" s="1548"/>
      <c r="D1271" s="1520"/>
      <c r="E1271" s="665"/>
      <c r="F1271" s="1121"/>
      <c r="G1271" s="665"/>
      <c r="H1271" s="1553"/>
    </row>
    <row r="1272" spans="1:8">
      <c r="A1272" s="1548"/>
      <c r="B1272" s="1548"/>
      <c r="C1272" s="1548"/>
      <c r="D1272" s="1520"/>
      <c r="E1272" s="665"/>
      <c r="F1272" s="1121"/>
      <c r="G1272" s="665"/>
      <c r="H1272" s="1553"/>
    </row>
    <row r="1273" spans="1:8">
      <c r="A1273" s="1548"/>
      <c r="B1273" s="1548"/>
      <c r="C1273" s="1548"/>
      <c r="D1273" s="1520"/>
      <c r="E1273" s="665"/>
      <c r="F1273" s="1121"/>
      <c r="G1273" s="665"/>
      <c r="H1273" s="1553"/>
    </row>
    <row r="1274" spans="1:8">
      <c r="A1274" s="1548"/>
      <c r="B1274" s="1548"/>
      <c r="C1274" s="1548"/>
      <c r="D1274" s="1520"/>
      <c r="E1274" s="665"/>
      <c r="F1274" s="1121"/>
      <c r="G1274" s="665"/>
      <c r="H1274" s="1553"/>
    </row>
    <row r="1275" spans="1:8">
      <c r="A1275" s="1548"/>
      <c r="B1275" s="1548"/>
      <c r="C1275" s="1548"/>
      <c r="D1275" s="1520"/>
      <c r="E1275" s="665"/>
      <c r="F1275" s="1121"/>
      <c r="G1275" s="665"/>
      <c r="H1275" s="1553"/>
    </row>
    <row r="1276" spans="1:8">
      <c r="A1276" s="1548"/>
      <c r="B1276" s="1548"/>
      <c r="C1276" s="1548"/>
      <c r="D1276" s="1520"/>
      <c r="E1276" s="665"/>
      <c r="F1276" s="1121"/>
      <c r="G1276" s="665"/>
      <c r="H1276" s="1553"/>
    </row>
    <row r="1277" spans="1:8">
      <c r="A1277" s="1548"/>
      <c r="B1277" s="1548"/>
      <c r="C1277" s="1548"/>
      <c r="D1277" s="1520"/>
      <c r="E1277" s="665"/>
      <c r="F1277" s="1121"/>
      <c r="G1277" s="665"/>
      <c r="H1277" s="1553"/>
    </row>
    <row r="1278" spans="1:8">
      <c r="A1278" s="1548"/>
      <c r="B1278" s="1548"/>
      <c r="C1278" s="1548"/>
      <c r="D1278" s="1520"/>
      <c r="E1278" s="665"/>
      <c r="F1278" s="1121"/>
      <c r="G1278" s="665"/>
      <c r="H1278" s="1553"/>
    </row>
    <row r="1279" spans="1:8">
      <c r="A1279" s="1548"/>
      <c r="B1279" s="1548"/>
      <c r="C1279" s="1548"/>
      <c r="D1279" s="1520"/>
      <c r="E1279" s="665"/>
      <c r="F1279" s="1121"/>
      <c r="G1279" s="665"/>
      <c r="H1279" s="1553"/>
    </row>
    <row r="1280" spans="1:8">
      <c r="A1280" s="1548"/>
      <c r="B1280" s="1548"/>
      <c r="C1280" s="1548"/>
      <c r="D1280" s="1520"/>
      <c r="E1280" s="665"/>
      <c r="F1280" s="1121"/>
      <c r="G1280" s="665"/>
      <c r="H1280" s="1553"/>
    </row>
    <row r="1281" spans="1:8">
      <c r="A1281" s="1548"/>
      <c r="B1281" s="1548"/>
      <c r="C1281" s="1548"/>
      <c r="D1281" s="1520"/>
      <c r="E1281" s="665"/>
      <c r="F1281" s="1121"/>
      <c r="G1281" s="665"/>
      <c r="H1281" s="1553"/>
    </row>
    <row r="1282" spans="1:8">
      <c r="A1282" s="1548"/>
      <c r="B1282" s="1548"/>
      <c r="C1282" s="1548"/>
      <c r="D1282" s="1520"/>
      <c r="E1282" s="665"/>
      <c r="F1282" s="1121"/>
      <c r="G1282" s="665"/>
      <c r="H1282" s="1553"/>
    </row>
    <row r="1283" spans="1:8">
      <c r="A1283" s="1548"/>
      <c r="B1283" s="1548"/>
      <c r="C1283" s="1548"/>
      <c r="D1283" s="1520"/>
      <c r="E1283" s="665"/>
      <c r="F1283" s="1121"/>
      <c r="G1283" s="665"/>
      <c r="H1283" s="1553"/>
    </row>
    <row r="1284" spans="1:8">
      <c r="A1284" s="1548"/>
      <c r="B1284" s="1548"/>
      <c r="C1284" s="1548"/>
      <c r="D1284" s="1520"/>
      <c r="E1284" s="665"/>
      <c r="F1284" s="1121"/>
      <c r="G1284" s="665"/>
      <c r="H1284" s="1553"/>
    </row>
    <row r="1285" spans="1:8">
      <c r="A1285" s="1548"/>
      <c r="B1285" s="1548"/>
      <c r="C1285" s="1548"/>
      <c r="D1285" s="1520"/>
      <c r="E1285" s="665"/>
      <c r="F1285" s="1121"/>
      <c r="G1285" s="665"/>
      <c r="H1285" s="1553"/>
    </row>
    <row r="1286" spans="1:8">
      <c r="A1286" s="1548"/>
      <c r="B1286" s="1548"/>
      <c r="C1286" s="1548"/>
      <c r="D1286" s="1520"/>
      <c r="E1286" s="665"/>
      <c r="F1286" s="1121"/>
      <c r="G1286" s="665"/>
      <c r="H1286" s="1553"/>
    </row>
    <row r="1287" spans="1:8">
      <c r="A1287" s="1548"/>
      <c r="B1287" s="1548"/>
      <c r="C1287" s="1548"/>
      <c r="D1287" s="1520"/>
      <c r="E1287" s="665"/>
      <c r="F1287" s="1121"/>
      <c r="G1287" s="665"/>
      <c r="H1287" s="1553"/>
    </row>
    <row r="1288" spans="1:8">
      <c r="A1288" s="1548"/>
      <c r="B1288" s="1548"/>
      <c r="C1288" s="1548"/>
      <c r="D1288" s="1520"/>
      <c r="E1288" s="665"/>
      <c r="F1288" s="1121"/>
      <c r="G1288" s="665"/>
      <c r="H1288" s="1553"/>
    </row>
    <row r="1289" spans="1:8">
      <c r="A1289" s="1548"/>
      <c r="B1289" s="1548"/>
      <c r="C1289" s="1548"/>
      <c r="D1289" s="1520"/>
      <c r="E1289" s="665"/>
      <c r="F1289" s="1121"/>
      <c r="G1289" s="665"/>
      <c r="H1289" s="1553"/>
    </row>
    <row r="1290" spans="1:8">
      <c r="A1290" s="1548"/>
      <c r="B1290" s="1548"/>
      <c r="C1290" s="1548"/>
      <c r="D1290" s="1520"/>
      <c r="E1290" s="665"/>
      <c r="F1290" s="1121"/>
      <c r="G1290" s="665"/>
      <c r="H1290" s="1553"/>
    </row>
    <row r="1291" spans="1:8">
      <c r="A1291" s="1548"/>
      <c r="B1291" s="1548"/>
      <c r="C1291" s="1548"/>
      <c r="D1291" s="1520"/>
      <c r="E1291" s="665"/>
      <c r="F1291" s="1121"/>
      <c r="G1291" s="665"/>
      <c r="H1291" s="1553"/>
    </row>
    <row r="1292" spans="1:8">
      <c r="A1292" s="1548"/>
      <c r="B1292" s="1548"/>
      <c r="C1292" s="1548"/>
      <c r="D1292" s="1520"/>
      <c r="E1292" s="665"/>
      <c r="F1292" s="1121"/>
      <c r="G1292" s="665"/>
      <c r="H1292" s="1553"/>
    </row>
    <row r="1293" spans="1:8">
      <c r="A1293" s="1548"/>
      <c r="B1293" s="1548"/>
      <c r="C1293" s="1548"/>
      <c r="D1293" s="1520"/>
      <c r="E1293" s="665"/>
      <c r="F1293" s="1121"/>
      <c r="G1293" s="665"/>
      <c r="H1293" s="1553"/>
    </row>
    <row r="1294" spans="1:8">
      <c r="A1294" s="1548"/>
      <c r="B1294" s="1548"/>
      <c r="C1294" s="1548"/>
      <c r="D1294" s="1520"/>
      <c r="E1294" s="665"/>
      <c r="F1294" s="1121"/>
      <c r="G1294" s="665"/>
      <c r="H1294" s="1553"/>
    </row>
    <row r="1295" spans="1:8">
      <c r="A1295" s="1548"/>
      <c r="B1295" s="1548"/>
      <c r="C1295" s="1548"/>
      <c r="D1295" s="1520"/>
      <c r="E1295" s="665"/>
      <c r="F1295" s="1121"/>
      <c r="G1295" s="665"/>
      <c r="H1295" s="1553"/>
    </row>
    <row r="1296" spans="1:8">
      <c r="A1296" s="1548"/>
      <c r="B1296" s="1548"/>
      <c r="C1296" s="1548"/>
      <c r="D1296" s="1520"/>
      <c r="E1296" s="665"/>
      <c r="F1296" s="1121"/>
      <c r="G1296" s="665"/>
      <c r="H1296" s="1553"/>
    </row>
    <row r="1297" spans="1:8">
      <c r="A1297" s="1548"/>
      <c r="B1297" s="1548"/>
      <c r="C1297" s="1548"/>
      <c r="D1297" s="1520"/>
      <c r="E1297" s="665"/>
      <c r="F1297" s="1121"/>
      <c r="G1297" s="665"/>
      <c r="H1297" s="1553"/>
    </row>
    <row r="1298" spans="1:8">
      <c r="A1298" s="1548"/>
      <c r="B1298" s="1548"/>
      <c r="C1298" s="1548"/>
      <c r="D1298" s="1520"/>
      <c r="E1298" s="665"/>
      <c r="F1298" s="1121"/>
      <c r="G1298" s="665"/>
      <c r="H1298" s="1553"/>
    </row>
    <row r="1299" spans="1:8">
      <c r="A1299" s="1548"/>
      <c r="B1299" s="1548"/>
      <c r="C1299" s="1548"/>
      <c r="D1299" s="1520"/>
      <c r="E1299" s="665"/>
      <c r="F1299" s="1121"/>
      <c r="G1299" s="665"/>
      <c r="H1299" s="1553"/>
    </row>
    <row r="1300" spans="1:8">
      <c r="A1300" s="1548"/>
      <c r="B1300" s="1548"/>
      <c r="C1300" s="1548"/>
      <c r="D1300" s="1520"/>
      <c r="E1300" s="665"/>
      <c r="F1300" s="1121"/>
      <c r="G1300" s="665"/>
      <c r="H1300" s="1553"/>
    </row>
    <row r="1301" spans="1:8">
      <c r="A1301" s="1548"/>
      <c r="B1301" s="1548"/>
      <c r="C1301" s="1548"/>
      <c r="D1301" s="1520"/>
      <c r="E1301" s="665"/>
      <c r="F1301" s="1121"/>
      <c r="G1301" s="665"/>
      <c r="H1301" s="1553"/>
    </row>
    <row r="1302" spans="1:8">
      <c r="A1302" s="1548"/>
      <c r="B1302" s="1548"/>
      <c r="C1302" s="1548"/>
      <c r="D1302" s="1520"/>
      <c r="E1302" s="665"/>
      <c r="F1302" s="1121"/>
      <c r="G1302" s="665"/>
      <c r="H1302" s="1553"/>
    </row>
    <row r="1303" spans="1:8">
      <c r="A1303" s="1548"/>
      <c r="B1303" s="1548"/>
      <c r="C1303" s="1548"/>
      <c r="D1303" s="1520"/>
      <c r="E1303" s="665"/>
      <c r="F1303" s="1121"/>
      <c r="G1303" s="665"/>
      <c r="H1303" s="1553"/>
    </row>
    <row r="1304" spans="1:8">
      <c r="A1304" s="1548"/>
      <c r="B1304" s="1548"/>
      <c r="C1304" s="1548"/>
      <c r="D1304" s="1520"/>
      <c r="E1304" s="665"/>
      <c r="F1304" s="1121"/>
      <c r="G1304" s="665"/>
      <c r="H1304" s="1553"/>
    </row>
    <row r="1305" spans="1:8">
      <c r="A1305" s="1548"/>
      <c r="B1305" s="1548"/>
      <c r="C1305" s="1548"/>
      <c r="D1305" s="1520"/>
      <c r="E1305" s="665"/>
      <c r="F1305" s="1121"/>
      <c r="G1305" s="665"/>
      <c r="H1305" s="1553"/>
    </row>
    <row r="1306" spans="1:8">
      <c r="A1306" s="1548"/>
      <c r="B1306" s="1548"/>
      <c r="C1306" s="1548"/>
      <c r="D1306" s="1520"/>
      <c r="E1306" s="665"/>
      <c r="F1306" s="1121"/>
      <c r="G1306" s="665"/>
      <c r="H1306" s="1553"/>
    </row>
    <row r="1307" spans="1:8">
      <c r="A1307" s="1548"/>
      <c r="B1307" s="1548"/>
      <c r="C1307" s="1548"/>
      <c r="D1307" s="1520"/>
      <c r="E1307" s="665"/>
      <c r="F1307" s="1121"/>
      <c r="G1307" s="665"/>
      <c r="H1307" s="1553"/>
    </row>
    <row r="1308" spans="1:8">
      <c r="A1308" s="1548"/>
      <c r="B1308" s="1548"/>
      <c r="C1308" s="1548"/>
      <c r="D1308" s="1520"/>
      <c r="E1308" s="665"/>
      <c r="F1308" s="1121"/>
      <c r="G1308" s="665"/>
      <c r="H1308" s="1553"/>
    </row>
    <row r="1309" spans="1:8">
      <c r="A1309" s="1548"/>
      <c r="B1309" s="1548"/>
      <c r="C1309" s="1548"/>
      <c r="D1309" s="1520"/>
      <c r="E1309" s="665"/>
      <c r="F1309" s="1121"/>
      <c r="G1309" s="665"/>
      <c r="H1309" s="1553"/>
    </row>
    <row r="1310" spans="1:8">
      <c r="A1310" s="1548"/>
      <c r="B1310" s="1548"/>
      <c r="C1310" s="1548"/>
      <c r="D1310" s="1520"/>
      <c r="E1310" s="665"/>
      <c r="F1310" s="1121"/>
      <c r="G1310" s="665"/>
      <c r="H1310" s="1553"/>
    </row>
    <row r="1311" spans="1:8">
      <c r="A1311" s="1548"/>
      <c r="B1311" s="1548"/>
      <c r="C1311" s="1548"/>
      <c r="D1311" s="1520"/>
      <c r="E1311" s="665"/>
      <c r="F1311" s="1121"/>
      <c r="G1311" s="665"/>
      <c r="H1311" s="1553"/>
    </row>
    <row r="1312" spans="1:8">
      <c r="A1312" s="1548"/>
      <c r="B1312" s="1548"/>
      <c r="C1312" s="1548"/>
      <c r="D1312" s="1520"/>
      <c r="E1312" s="665"/>
      <c r="F1312" s="1121"/>
      <c r="G1312" s="665"/>
      <c r="H1312" s="1553"/>
    </row>
    <row r="1313" spans="1:8">
      <c r="A1313" s="1548"/>
      <c r="B1313" s="1548"/>
      <c r="C1313" s="1548"/>
      <c r="D1313" s="1520"/>
      <c r="E1313" s="665"/>
      <c r="F1313" s="1121"/>
      <c r="G1313" s="665"/>
      <c r="H1313" s="1553"/>
    </row>
    <row r="1314" spans="1:8">
      <c r="A1314" s="1548"/>
      <c r="B1314" s="1548"/>
      <c r="C1314" s="1548"/>
      <c r="D1314" s="1520"/>
      <c r="E1314" s="665"/>
      <c r="F1314" s="1121"/>
      <c r="G1314" s="665"/>
      <c r="H1314" s="1553"/>
    </row>
    <row r="1315" spans="1:8">
      <c r="A1315" s="1548"/>
      <c r="B1315" s="1548"/>
      <c r="C1315" s="1548"/>
      <c r="D1315" s="1520"/>
      <c r="E1315" s="665"/>
      <c r="F1315" s="1121"/>
      <c r="G1315" s="665"/>
      <c r="H1315" s="1553"/>
    </row>
    <row r="1316" spans="1:8">
      <c r="A1316" s="1548"/>
      <c r="B1316" s="1548"/>
      <c r="C1316" s="1548"/>
      <c r="D1316" s="1520"/>
      <c r="E1316" s="665"/>
      <c r="F1316" s="1121"/>
      <c r="G1316" s="665"/>
      <c r="H1316" s="1553"/>
    </row>
    <row r="1317" spans="1:8">
      <c r="A1317" s="1548"/>
      <c r="B1317" s="1548"/>
      <c r="C1317" s="1548"/>
      <c r="D1317" s="1520"/>
      <c r="E1317" s="665"/>
      <c r="F1317" s="1121"/>
      <c r="G1317" s="665"/>
      <c r="H1317" s="1553"/>
    </row>
    <row r="1318" spans="1:8">
      <c r="A1318" s="1548"/>
      <c r="B1318" s="1548"/>
      <c r="C1318" s="1548"/>
      <c r="D1318" s="1520"/>
      <c r="E1318" s="665"/>
      <c r="F1318" s="1121"/>
      <c r="G1318" s="665"/>
      <c r="H1318" s="1553"/>
    </row>
    <row r="1319" spans="1:8">
      <c r="A1319" s="1548"/>
      <c r="B1319" s="1548"/>
      <c r="C1319" s="1548"/>
      <c r="D1319" s="1520"/>
      <c r="E1319" s="665"/>
      <c r="F1319" s="1121"/>
      <c r="G1319" s="665"/>
      <c r="H1319" s="1553"/>
    </row>
    <row r="1320" spans="1:8">
      <c r="A1320" s="1548"/>
      <c r="B1320" s="1548"/>
      <c r="C1320" s="1548"/>
      <c r="D1320" s="1520"/>
      <c r="E1320" s="665"/>
      <c r="F1320" s="1121"/>
      <c r="G1320" s="665"/>
      <c r="H1320" s="1553"/>
    </row>
    <row r="1321" spans="1:8">
      <c r="A1321" s="1548"/>
      <c r="B1321" s="1548"/>
      <c r="C1321" s="1548"/>
      <c r="D1321" s="1520"/>
      <c r="E1321" s="665"/>
      <c r="F1321" s="1121"/>
      <c r="G1321" s="665"/>
      <c r="H1321" s="1553"/>
    </row>
    <row r="1322" spans="1:8">
      <c r="A1322" s="1548"/>
      <c r="B1322" s="1548"/>
      <c r="C1322" s="1548"/>
      <c r="D1322" s="1520"/>
      <c r="E1322" s="665"/>
      <c r="F1322" s="1121"/>
      <c r="G1322" s="665"/>
      <c r="H1322" s="1553"/>
    </row>
    <row r="1323" spans="1:8">
      <c r="A1323" s="1548"/>
      <c r="B1323" s="1548"/>
      <c r="C1323" s="1548"/>
      <c r="D1323" s="1520"/>
      <c r="E1323" s="665"/>
      <c r="F1323" s="1121"/>
      <c r="G1323" s="665"/>
      <c r="H1323" s="1553"/>
    </row>
    <row r="1324" spans="1:8">
      <c r="A1324" s="1548"/>
      <c r="B1324" s="1548"/>
      <c r="C1324" s="1548"/>
      <c r="D1324" s="1520"/>
      <c r="E1324" s="665"/>
      <c r="F1324" s="1121"/>
      <c r="G1324" s="665"/>
      <c r="H1324" s="1553"/>
    </row>
    <row r="1325" spans="1:8">
      <c r="A1325" s="1548"/>
      <c r="B1325" s="1548"/>
      <c r="C1325" s="1548"/>
      <c r="D1325" s="1520"/>
      <c r="E1325" s="665"/>
      <c r="F1325" s="1121"/>
      <c r="G1325" s="665"/>
      <c r="H1325" s="1553"/>
    </row>
    <row r="1326" spans="1:8">
      <c r="A1326" s="1548"/>
      <c r="B1326" s="1548"/>
      <c r="C1326" s="1548"/>
      <c r="D1326" s="1520"/>
      <c r="E1326" s="665"/>
      <c r="F1326" s="1121"/>
      <c r="G1326" s="665"/>
      <c r="H1326" s="1553"/>
    </row>
    <row r="1327" spans="1:8">
      <c r="A1327" s="1548"/>
      <c r="B1327" s="1548"/>
      <c r="C1327" s="1548"/>
      <c r="D1327" s="1520"/>
      <c r="E1327" s="665"/>
      <c r="F1327" s="1121"/>
      <c r="G1327" s="665"/>
      <c r="H1327" s="1553"/>
    </row>
    <row r="1328" spans="1:8">
      <c r="A1328" s="1548"/>
      <c r="B1328" s="1548"/>
      <c r="C1328" s="1548"/>
      <c r="D1328" s="1520"/>
      <c r="E1328" s="665"/>
      <c r="F1328" s="1121"/>
      <c r="G1328" s="665"/>
      <c r="H1328" s="1553"/>
    </row>
    <row r="1329" spans="1:8">
      <c r="A1329" s="1548"/>
      <c r="B1329" s="1548"/>
      <c r="C1329" s="1548"/>
      <c r="D1329" s="1520"/>
      <c r="E1329" s="665"/>
      <c r="F1329" s="1121"/>
      <c r="G1329" s="665"/>
      <c r="H1329" s="1553"/>
    </row>
    <row r="1330" spans="1:8">
      <c r="A1330" s="1548"/>
      <c r="B1330" s="1548"/>
      <c r="C1330" s="1548"/>
      <c r="D1330" s="1520"/>
      <c r="E1330" s="665"/>
      <c r="F1330" s="1121"/>
      <c r="G1330" s="665"/>
      <c r="H1330" s="1553"/>
    </row>
    <row r="1331" spans="1:8">
      <c r="A1331" s="1548"/>
      <c r="B1331" s="1548"/>
      <c r="C1331" s="1548"/>
      <c r="D1331" s="1520"/>
      <c r="E1331" s="665"/>
      <c r="F1331" s="1121"/>
      <c r="G1331" s="665"/>
      <c r="H1331" s="1553"/>
    </row>
    <row r="1332" spans="1:8">
      <c r="A1332" s="1548"/>
      <c r="B1332" s="1548"/>
      <c r="C1332" s="1548"/>
      <c r="D1332" s="1520"/>
      <c r="E1332" s="665"/>
      <c r="F1332" s="1121"/>
      <c r="G1332" s="665"/>
      <c r="H1332" s="1553"/>
    </row>
    <row r="1333" spans="1:8">
      <c r="A1333" s="1548"/>
      <c r="B1333" s="1548"/>
      <c r="C1333" s="1548"/>
      <c r="D1333" s="1520"/>
      <c r="E1333" s="665"/>
      <c r="F1333" s="1121"/>
      <c r="G1333" s="665"/>
      <c r="H1333" s="1553"/>
    </row>
    <row r="1334" spans="1:8">
      <c r="A1334" s="1548"/>
      <c r="B1334" s="1548"/>
      <c r="C1334" s="1548"/>
      <c r="D1334" s="1520"/>
      <c r="E1334" s="665"/>
      <c r="F1334" s="1121"/>
      <c r="G1334" s="665"/>
      <c r="H1334" s="1553"/>
    </row>
    <row r="1335" spans="1:8">
      <c r="A1335" s="1548"/>
      <c r="B1335" s="1548"/>
      <c r="C1335" s="1548"/>
      <c r="D1335" s="1520"/>
      <c r="E1335" s="665"/>
      <c r="F1335" s="1121"/>
      <c r="G1335" s="665"/>
      <c r="H1335" s="1553"/>
    </row>
    <row r="1336" spans="1:8">
      <c r="A1336" s="1548"/>
      <c r="B1336" s="1548"/>
      <c r="C1336" s="1548"/>
      <c r="D1336" s="1520"/>
      <c r="E1336" s="665"/>
      <c r="F1336" s="1121"/>
      <c r="G1336" s="665"/>
      <c r="H1336" s="1553"/>
    </row>
    <row r="1337" spans="1:8">
      <c r="A1337" s="1548"/>
      <c r="B1337" s="1548"/>
      <c r="C1337" s="1548"/>
      <c r="D1337" s="1520"/>
      <c r="E1337" s="665"/>
      <c r="F1337" s="1121"/>
      <c r="G1337" s="665"/>
      <c r="H1337" s="1553"/>
    </row>
    <row r="1338" spans="1:8">
      <c r="A1338" s="1548"/>
      <c r="B1338" s="1548"/>
      <c r="C1338" s="1548"/>
      <c r="D1338" s="1520"/>
      <c r="E1338" s="665"/>
      <c r="F1338" s="1121"/>
      <c r="G1338" s="665"/>
      <c r="H1338" s="1553"/>
    </row>
    <row r="1339" spans="1:8">
      <c r="A1339" s="1548"/>
      <c r="B1339" s="1548"/>
      <c r="C1339" s="1548"/>
      <c r="D1339" s="1520"/>
      <c r="E1339" s="665"/>
      <c r="F1339" s="1121"/>
      <c r="G1339" s="665"/>
      <c r="H1339" s="1553"/>
    </row>
    <row r="1340" spans="1:8">
      <c r="A1340" s="1548"/>
      <c r="B1340" s="1548"/>
      <c r="C1340" s="1548"/>
      <c r="D1340" s="1520"/>
      <c r="E1340" s="665"/>
      <c r="F1340" s="1121"/>
      <c r="G1340" s="665"/>
      <c r="H1340" s="1553"/>
    </row>
    <row r="1341" spans="1:8">
      <c r="A1341" s="1548"/>
      <c r="B1341" s="1548"/>
      <c r="C1341" s="1548"/>
      <c r="D1341" s="1520"/>
      <c r="E1341" s="665"/>
      <c r="F1341" s="1121"/>
      <c r="G1341" s="665"/>
      <c r="H1341" s="1553"/>
    </row>
    <row r="1342" spans="1:8">
      <c r="A1342" s="1548"/>
      <c r="B1342" s="1548"/>
      <c r="C1342" s="1548"/>
      <c r="D1342" s="1520"/>
      <c r="E1342" s="665"/>
      <c r="F1342" s="1121"/>
      <c r="G1342" s="665"/>
      <c r="H1342" s="1553"/>
    </row>
    <row r="1343" spans="1:8">
      <c r="A1343" s="1548"/>
      <c r="B1343" s="1548"/>
      <c r="C1343" s="1548"/>
      <c r="D1343" s="1520"/>
      <c r="E1343" s="665"/>
      <c r="F1343" s="1121"/>
      <c r="G1343" s="665"/>
      <c r="H1343" s="1553"/>
    </row>
    <row r="1344" spans="1:8">
      <c r="A1344" s="1548"/>
      <c r="B1344" s="1548"/>
      <c r="C1344" s="1548"/>
      <c r="D1344" s="1520"/>
      <c r="E1344" s="665"/>
      <c r="F1344" s="1121"/>
      <c r="G1344" s="665"/>
      <c r="H1344" s="1553"/>
    </row>
    <row r="1345" spans="1:8">
      <c r="A1345" s="1548"/>
      <c r="B1345" s="1548"/>
      <c r="C1345" s="1548"/>
      <c r="D1345" s="1520"/>
      <c r="E1345" s="665"/>
      <c r="F1345" s="1121"/>
      <c r="G1345" s="665"/>
      <c r="H1345" s="1553"/>
    </row>
    <row r="1346" spans="1:8">
      <c r="A1346" s="1548"/>
      <c r="B1346" s="1548"/>
      <c r="C1346" s="1548"/>
      <c r="D1346" s="1520"/>
      <c r="E1346" s="665"/>
      <c r="F1346" s="1121"/>
      <c r="G1346" s="665"/>
      <c r="H1346" s="1553"/>
    </row>
    <row r="1347" spans="1:8">
      <c r="A1347" s="1548"/>
      <c r="B1347" s="1548"/>
      <c r="C1347" s="1548"/>
      <c r="D1347" s="1520"/>
      <c r="E1347" s="665"/>
      <c r="F1347" s="1121"/>
      <c r="G1347" s="665"/>
      <c r="H1347" s="1553"/>
    </row>
    <row r="1348" spans="1:8">
      <c r="A1348" s="1548"/>
      <c r="B1348" s="1548"/>
      <c r="C1348" s="1548"/>
      <c r="D1348" s="1520"/>
      <c r="E1348" s="665"/>
      <c r="F1348" s="1121"/>
      <c r="G1348" s="665"/>
      <c r="H1348" s="1553"/>
    </row>
    <row r="1349" spans="1:8">
      <c r="A1349" s="1548"/>
      <c r="B1349" s="1548"/>
      <c r="C1349" s="1548"/>
      <c r="D1349" s="1520"/>
      <c r="E1349" s="665"/>
      <c r="F1349" s="1121"/>
      <c r="G1349" s="665"/>
      <c r="H1349" s="1553"/>
    </row>
    <row r="1350" spans="1:8">
      <c r="A1350" s="1548"/>
      <c r="B1350" s="1548"/>
      <c r="C1350" s="1548"/>
      <c r="D1350" s="1520"/>
      <c r="E1350" s="665"/>
      <c r="F1350" s="1121"/>
      <c r="G1350" s="665"/>
      <c r="H1350" s="1553"/>
    </row>
    <row r="1351" spans="1:8">
      <c r="A1351" s="1548"/>
      <c r="B1351" s="1548"/>
      <c r="C1351" s="1548"/>
      <c r="D1351" s="1520"/>
      <c r="E1351" s="665"/>
      <c r="F1351" s="1121"/>
      <c r="G1351" s="665"/>
      <c r="H1351" s="1553"/>
    </row>
    <row r="1352" spans="1:8">
      <c r="A1352" s="1548"/>
      <c r="B1352" s="1548"/>
      <c r="C1352" s="1548"/>
      <c r="D1352" s="1520"/>
      <c r="E1352" s="665"/>
      <c r="F1352" s="1121"/>
      <c r="G1352" s="665"/>
      <c r="H1352" s="1553"/>
    </row>
    <row r="1353" spans="1:8">
      <c r="A1353" s="1548"/>
      <c r="B1353" s="1548"/>
      <c r="C1353" s="1548"/>
      <c r="D1353" s="1520"/>
      <c r="E1353" s="665"/>
      <c r="F1353" s="1121"/>
      <c r="G1353" s="665"/>
      <c r="H1353" s="1553"/>
    </row>
    <row r="1354" spans="1:8">
      <c r="A1354" s="1548"/>
      <c r="B1354" s="1548"/>
      <c r="C1354" s="1548"/>
      <c r="D1354" s="1520"/>
      <c r="E1354" s="665"/>
      <c r="F1354" s="1121"/>
      <c r="G1354" s="665"/>
      <c r="H1354" s="1553"/>
    </row>
    <row r="1355" spans="1:8">
      <c r="A1355" s="1548"/>
      <c r="B1355" s="1548"/>
      <c r="C1355" s="1548"/>
      <c r="D1355" s="1520"/>
      <c r="E1355" s="665"/>
      <c r="F1355" s="1121"/>
      <c r="G1355" s="665"/>
      <c r="H1355" s="1553"/>
    </row>
    <row r="1356" spans="1:8">
      <c r="A1356" s="1548"/>
      <c r="B1356" s="1548"/>
      <c r="C1356" s="1548"/>
      <c r="D1356" s="1520"/>
      <c r="E1356" s="665"/>
      <c r="F1356" s="1121"/>
      <c r="G1356" s="665"/>
      <c r="H1356" s="1553"/>
    </row>
    <row r="1357" spans="1:8">
      <c r="A1357" s="1548"/>
      <c r="B1357" s="1548"/>
      <c r="C1357" s="1548"/>
      <c r="D1357" s="1520"/>
      <c r="E1357" s="665"/>
      <c r="F1357" s="1121"/>
      <c r="G1357" s="665"/>
      <c r="H1357" s="1553"/>
    </row>
    <row r="1358" spans="1:8">
      <c r="A1358" s="1548"/>
      <c r="B1358" s="1548"/>
      <c r="C1358" s="1548"/>
      <c r="D1358" s="1520"/>
      <c r="E1358" s="665"/>
      <c r="F1358" s="1121"/>
      <c r="G1358" s="665"/>
      <c r="H1358" s="1553"/>
    </row>
    <row r="1359" spans="1:8">
      <c r="A1359" s="1548"/>
      <c r="B1359" s="1548"/>
      <c r="C1359" s="1548"/>
      <c r="D1359" s="1520"/>
      <c r="E1359" s="665"/>
      <c r="F1359" s="1121"/>
      <c r="G1359" s="665"/>
      <c r="H1359" s="1553"/>
    </row>
    <row r="1360" spans="1:8">
      <c r="A1360" s="1548"/>
      <c r="B1360" s="1548"/>
      <c r="C1360" s="1548"/>
      <c r="D1360" s="1520"/>
      <c r="E1360" s="665"/>
      <c r="F1360" s="1121"/>
      <c r="G1360" s="665"/>
      <c r="H1360" s="1553"/>
    </row>
    <row r="1361" spans="1:8">
      <c r="A1361" s="1548"/>
      <c r="B1361" s="1548"/>
      <c r="C1361" s="1548"/>
      <c r="D1361" s="1520"/>
      <c r="E1361" s="665"/>
      <c r="F1361" s="1121"/>
      <c r="G1361" s="665"/>
      <c r="H1361" s="1553"/>
    </row>
    <row r="1362" spans="1:8">
      <c r="A1362" s="1548"/>
      <c r="B1362" s="1548"/>
      <c r="C1362" s="1548"/>
      <c r="D1362" s="1520"/>
      <c r="E1362" s="665"/>
      <c r="F1362" s="1121"/>
      <c r="G1362" s="665"/>
      <c r="H1362" s="1553"/>
    </row>
    <row r="1363" spans="1:8">
      <c r="A1363" s="1548"/>
      <c r="B1363" s="1548"/>
      <c r="C1363" s="1548"/>
      <c r="D1363" s="1520"/>
      <c r="E1363" s="665"/>
      <c r="F1363" s="1121"/>
      <c r="G1363" s="665"/>
      <c r="H1363" s="1553"/>
    </row>
    <row r="1364" spans="1:8">
      <c r="A1364" s="1548"/>
      <c r="B1364" s="1548"/>
      <c r="C1364" s="1548"/>
      <c r="D1364" s="1520"/>
      <c r="E1364" s="665"/>
      <c r="F1364" s="1121"/>
      <c r="G1364" s="665"/>
      <c r="H1364" s="1553"/>
    </row>
    <row r="1365" spans="1:8">
      <c r="A1365" s="1548"/>
      <c r="B1365" s="1548"/>
      <c r="C1365" s="1548"/>
      <c r="D1365" s="1520"/>
      <c r="E1365" s="665"/>
      <c r="F1365" s="1121"/>
      <c r="G1365" s="665"/>
      <c r="H1365" s="1553"/>
    </row>
    <row r="1366" spans="1:8">
      <c r="A1366" s="1548"/>
      <c r="B1366" s="1548"/>
      <c r="C1366" s="1548"/>
      <c r="D1366" s="1520"/>
      <c r="E1366" s="665"/>
      <c r="F1366" s="1121"/>
      <c r="G1366" s="665"/>
      <c r="H1366" s="1553"/>
    </row>
    <row r="1367" spans="1:8">
      <c r="A1367" s="1548"/>
      <c r="B1367" s="1548"/>
      <c r="C1367" s="1548"/>
      <c r="D1367" s="1520"/>
      <c r="E1367" s="665"/>
      <c r="F1367" s="1121"/>
      <c r="G1367" s="665"/>
      <c r="H1367" s="1553"/>
    </row>
    <row r="1368" spans="1:8">
      <c r="A1368" s="1548"/>
      <c r="B1368" s="1548"/>
      <c r="C1368" s="1548"/>
      <c r="D1368" s="1520"/>
      <c r="E1368" s="665"/>
      <c r="F1368" s="1121"/>
      <c r="G1368" s="665"/>
      <c r="H1368" s="1553"/>
    </row>
    <row r="1369" spans="1:8">
      <c r="A1369" s="1548"/>
      <c r="B1369" s="1548"/>
      <c r="C1369" s="1548"/>
      <c r="D1369" s="1520"/>
      <c r="E1369" s="665"/>
      <c r="F1369" s="1121"/>
      <c r="G1369" s="665"/>
      <c r="H1369" s="1553"/>
    </row>
    <row r="1370" spans="1:8">
      <c r="A1370" s="1548"/>
      <c r="B1370" s="1548"/>
      <c r="C1370" s="1548"/>
      <c r="D1370" s="1520"/>
      <c r="E1370" s="665"/>
      <c r="F1370" s="1121"/>
      <c r="G1370" s="665"/>
      <c r="H1370" s="1553"/>
    </row>
    <row r="1371" spans="1:8">
      <c r="A1371" s="1548"/>
      <c r="B1371" s="1548"/>
      <c r="C1371" s="1548"/>
      <c r="D1371" s="1520"/>
      <c r="E1371" s="665"/>
      <c r="F1371" s="1121"/>
      <c r="G1371" s="665"/>
      <c r="H1371" s="1553"/>
    </row>
    <row r="1372" spans="1:8">
      <c r="A1372" s="1548"/>
      <c r="B1372" s="1548"/>
      <c r="C1372" s="1548"/>
      <c r="D1372" s="1520"/>
      <c r="E1372" s="665"/>
      <c r="F1372" s="1121"/>
      <c r="G1372" s="665"/>
      <c r="H1372" s="1553"/>
    </row>
    <row r="1373" spans="1:8">
      <c r="A1373" s="1548"/>
      <c r="B1373" s="1548"/>
      <c r="C1373" s="1548"/>
      <c r="D1373" s="1520"/>
      <c r="E1373" s="665"/>
      <c r="F1373" s="1121"/>
      <c r="G1373" s="665"/>
      <c r="H1373" s="1553"/>
    </row>
    <row r="1374" spans="1:8">
      <c r="A1374" s="1548"/>
      <c r="B1374" s="1548"/>
      <c r="C1374" s="1548"/>
      <c r="D1374" s="1520"/>
      <c r="E1374" s="665"/>
      <c r="F1374" s="1121"/>
      <c r="G1374" s="665"/>
      <c r="H1374" s="1553"/>
    </row>
    <row r="1375" spans="1:8">
      <c r="A1375" s="1548"/>
      <c r="B1375" s="1548"/>
      <c r="C1375" s="1548"/>
      <c r="D1375" s="1520"/>
      <c r="E1375" s="665"/>
      <c r="F1375" s="1121"/>
      <c r="G1375" s="665"/>
      <c r="H1375" s="1553"/>
    </row>
    <row r="1376" spans="1:8">
      <c r="A1376" s="1548"/>
      <c r="B1376" s="1548"/>
      <c r="C1376" s="1548"/>
      <c r="D1376" s="1520"/>
      <c r="E1376" s="665"/>
      <c r="F1376" s="1121"/>
      <c r="G1376" s="665"/>
      <c r="H1376" s="1553"/>
    </row>
    <row r="1377" spans="1:8">
      <c r="A1377" s="1548"/>
      <c r="B1377" s="1548"/>
      <c r="C1377" s="1548"/>
      <c r="D1377" s="1520"/>
      <c r="E1377" s="665"/>
      <c r="F1377" s="1121"/>
      <c r="G1377" s="665"/>
      <c r="H1377" s="1553"/>
    </row>
    <row r="1378" spans="1:8">
      <c r="A1378" s="1548"/>
      <c r="B1378" s="1548"/>
      <c r="C1378" s="1548"/>
      <c r="D1378" s="1520"/>
      <c r="E1378" s="665"/>
      <c r="F1378" s="1121"/>
      <c r="G1378" s="665"/>
      <c r="H1378" s="1553"/>
    </row>
    <row r="1379" spans="1:8">
      <c r="A1379" s="1548"/>
      <c r="B1379" s="1548"/>
      <c r="C1379" s="1548"/>
      <c r="D1379" s="1520"/>
      <c r="E1379" s="665"/>
      <c r="F1379" s="1121"/>
      <c r="G1379" s="665"/>
      <c r="H1379" s="1553"/>
    </row>
    <row r="1380" spans="1:8">
      <c r="A1380" s="1548"/>
      <c r="B1380" s="1548"/>
      <c r="C1380" s="1548"/>
      <c r="D1380" s="1520"/>
      <c r="E1380" s="665"/>
      <c r="F1380" s="1121"/>
      <c r="G1380" s="665"/>
      <c r="H1380" s="1553"/>
    </row>
    <row r="1381" spans="1:8">
      <c r="A1381" s="1548"/>
      <c r="B1381" s="1548"/>
      <c r="C1381" s="1548"/>
      <c r="D1381" s="1520"/>
      <c r="E1381" s="665"/>
      <c r="F1381" s="1121"/>
      <c r="G1381" s="665"/>
      <c r="H1381" s="1553"/>
    </row>
    <row r="1382" spans="1:8">
      <c r="A1382" s="1548"/>
      <c r="B1382" s="1548"/>
      <c r="C1382" s="1548"/>
      <c r="D1382" s="1520"/>
      <c r="E1382" s="665"/>
      <c r="F1382" s="1121"/>
      <c r="G1382" s="665"/>
      <c r="H1382" s="1553"/>
    </row>
    <row r="1383" spans="1:8">
      <c r="A1383" s="1548"/>
      <c r="B1383" s="1548"/>
      <c r="C1383" s="1548"/>
      <c r="D1383" s="1520"/>
      <c r="E1383" s="665"/>
      <c r="F1383" s="1121"/>
      <c r="G1383" s="665"/>
      <c r="H1383" s="1553"/>
    </row>
    <row r="1384" spans="1:8">
      <c r="A1384" s="1548"/>
      <c r="B1384" s="1548"/>
      <c r="C1384" s="1548"/>
      <c r="D1384" s="1520"/>
      <c r="E1384" s="665"/>
      <c r="F1384" s="1121"/>
      <c r="G1384" s="665"/>
      <c r="H1384" s="1553"/>
    </row>
    <row r="1385" spans="1:8">
      <c r="A1385" s="1548"/>
      <c r="B1385" s="1548"/>
      <c r="C1385" s="1548"/>
      <c r="D1385" s="1520"/>
      <c r="E1385" s="665"/>
      <c r="F1385" s="1121"/>
      <c r="G1385" s="665"/>
      <c r="H1385" s="1553"/>
    </row>
    <row r="1386" spans="1:8">
      <c r="A1386" s="1548"/>
      <c r="B1386" s="1548"/>
      <c r="C1386" s="1548"/>
      <c r="D1386" s="1520"/>
      <c r="E1386" s="665"/>
      <c r="F1386" s="1121"/>
      <c r="G1386" s="665"/>
      <c r="H1386" s="1553"/>
    </row>
    <row r="1387" spans="1:8">
      <c r="A1387" s="1548"/>
      <c r="B1387" s="1548"/>
      <c r="C1387" s="1548"/>
      <c r="D1387" s="1520"/>
      <c r="E1387" s="665"/>
      <c r="F1387" s="1121"/>
      <c r="G1387" s="665"/>
      <c r="H1387" s="1553"/>
    </row>
    <row r="1388" spans="1:8">
      <c r="A1388" s="1548"/>
      <c r="B1388" s="1548"/>
      <c r="C1388" s="1548"/>
      <c r="D1388" s="1520"/>
      <c r="E1388" s="665"/>
      <c r="F1388" s="1121"/>
      <c r="G1388" s="665"/>
      <c r="H1388" s="1553"/>
    </row>
    <row r="1389" spans="1:8">
      <c r="A1389" s="1548"/>
      <c r="B1389" s="1548"/>
      <c r="C1389" s="1548"/>
      <c r="D1389" s="1520"/>
      <c r="E1389" s="665"/>
      <c r="F1389" s="1121"/>
      <c r="G1389" s="665"/>
      <c r="H1389" s="1553"/>
    </row>
    <row r="1390" spans="1:8">
      <c r="A1390" s="1548"/>
      <c r="B1390" s="1548"/>
      <c r="C1390" s="1548"/>
      <c r="D1390" s="1520"/>
      <c r="E1390" s="665"/>
      <c r="F1390" s="1121"/>
      <c r="G1390" s="665"/>
      <c r="H1390" s="1553"/>
    </row>
    <row r="1391" spans="1:8">
      <c r="A1391" s="1548"/>
      <c r="B1391" s="1548"/>
      <c r="C1391" s="1548"/>
      <c r="D1391" s="1520"/>
      <c r="E1391" s="665"/>
      <c r="F1391" s="1121"/>
      <c r="G1391" s="665"/>
      <c r="H1391" s="1553"/>
    </row>
    <row r="1392" spans="1:8">
      <c r="A1392" s="1548"/>
      <c r="B1392" s="1548"/>
      <c r="C1392" s="1548"/>
      <c r="D1392" s="1520"/>
      <c r="E1392" s="665"/>
      <c r="F1392" s="1121"/>
      <c r="G1392" s="665"/>
      <c r="H1392" s="1553"/>
    </row>
    <row r="1393" spans="1:8">
      <c r="A1393" s="1548"/>
      <c r="B1393" s="1548"/>
      <c r="C1393" s="1548"/>
      <c r="D1393" s="1520"/>
      <c r="E1393" s="665"/>
      <c r="F1393" s="1121"/>
      <c r="G1393" s="665"/>
      <c r="H1393" s="1553"/>
    </row>
    <row r="1394" spans="1:8">
      <c r="A1394" s="1548"/>
      <c r="B1394" s="1548"/>
      <c r="C1394" s="1548"/>
      <c r="D1394" s="1520"/>
      <c r="E1394" s="665"/>
      <c r="F1394" s="1121"/>
      <c r="G1394" s="665"/>
      <c r="H1394" s="1553"/>
    </row>
    <row r="1395" spans="1:8">
      <c r="A1395" s="1548"/>
      <c r="B1395" s="1548"/>
      <c r="C1395" s="1548"/>
      <c r="D1395" s="1520"/>
      <c r="E1395" s="665"/>
      <c r="F1395" s="1121"/>
      <c r="G1395" s="665"/>
      <c r="H1395" s="1553"/>
    </row>
    <row r="1396" spans="1:8">
      <c r="A1396" s="1548"/>
      <c r="B1396" s="1548"/>
      <c r="C1396" s="1548"/>
      <c r="D1396" s="1520"/>
      <c r="E1396" s="665"/>
      <c r="F1396" s="1121"/>
      <c r="G1396" s="665"/>
      <c r="H1396" s="1553"/>
    </row>
    <row r="1397" spans="1:8">
      <c r="A1397" s="1548"/>
      <c r="B1397" s="1548"/>
      <c r="C1397" s="1548"/>
      <c r="D1397" s="1520"/>
      <c r="E1397" s="665"/>
      <c r="F1397" s="1121"/>
      <c r="G1397" s="665"/>
      <c r="H1397" s="1553"/>
    </row>
    <row r="1398" spans="1:8">
      <c r="A1398" s="1548"/>
      <c r="B1398" s="1548"/>
      <c r="C1398" s="1548"/>
      <c r="D1398" s="1520"/>
      <c r="E1398" s="665"/>
      <c r="F1398" s="1121"/>
      <c r="G1398" s="665"/>
      <c r="H1398" s="1553"/>
    </row>
    <row r="1399" spans="1:8">
      <c r="A1399" s="1548"/>
      <c r="B1399" s="1548"/>
      <c r="C1399" s="1548"/>
      <c r="D1399" s="1520"/>
      <c r="E1399" s="665"/>
      <c r="F1399" s="1121"/>
      <c r="G1399" s="665"/>
      <c r="H1399" s="1553"/>
    </row>
    <row r="1400" spans="1:8">
      <c r="A1400" s="1548"/>
      <c r="B1400" s="1548"/>
      <c r="C1400" s="1548"/>
      <c r="D1400" s="1520"/>
      <c r="E1400" s="665"/>
      <c r="F1400" s="1121"/>
      <c r="G1400" s="665"/>
      <c r="H1400" s="1553"/>
    </row>
    <row r="1401" spans="1:8">
      <c r="A1401" s="1548"/>
      <c r="B1401" s="1548"/>
      <c r="C1401" s="1548"/>
      <c r="D1401" s="1520"/>
      <c r="E1401" s="665"/>
      <c r="F1401" s="1121"/>
      <c r="G1401" s="665"/>
      <c r="H1401" s="1553"/>
    </row>
    <row r="1402" spans="1:8">
      <c r="A1402" s="1548"/>
      <c r="B1402" s="1548"/>
      <c r="C1402" s="1548"/>
      <c r="D1402" s="1520"/>
      <c r="E1402" s="665"/>
      <c r="F1402" s="1121"/>
      <c r="G1402" s="665"/>
      <c r="H1402" s="1553"/>
    </row>
    <row r="1403" spans="1:8">
      <c r="A1403" s="1548"/>
      <c r="B1403" s="1548"/>
      <c r="C1403" s="1548"/>
      <c r="D1403" s="1520"/>
      <c r="E1403" s="665"/>
      <c r="F1403" s="1121"/>
      <c r="G1403" s="665"/>
      <c r="H1403" s="1553"/>
    </row>
    <row r="1404" spans="1:8">
      <c r="A1404" s="1548"/>
      <c r="B1404" s="1548"/>
      <c r="C1404" s="1548"/>
      <c r="D1404" s="1520"/>
      <c r="E1404" s="665"/>
      <c r="F1404" s="1121"/>
      <c r="G1404" s="665"/>
      <c r="H1404" s="1553"/>
    </row>
    <row r="1405" spans="1:8">
      <c r="A1405" s="1548"/>
      <c r="B1405" s="1548"/>
      <c r="C1405" s="1548"/>
      <c r="D1405" s="1520"/>
      <c r="E1405" s="665"/>
      <c r="F1405" s="1121"/>
      <c r="G1405" s="665"/>
      <c r="H1405" s="1553"/>
    </row>
    <row r="1406" spans="1:8">
      <c r="A1406" s="1548"/>
      <c r="B1406" s="1548"/>
      <c r="C1406" s="1548"/>
      <c r="D1406" s="1520"/>
      <c r="E1406" s="665"/>
      <c r="F1406" s="1121"/>
      <c r="G1406" s="665"/>
      <c r="H1406" s="1553"/>
    </row>
    <row r="1407" spans="1:8">
      <c r="A1407" s="1548"/>
      <c r="B1407" s="1548"/>
      <c r="C1407" s="1548"/>
      <c r="D1407" s="1520"/>
      <c r="E1407" s="665"/>
      <c r="F1407" s="1121"/>
      <c r="G1407" s="665"/>
      <c r="H1407" s="1553"/>
    </row>
    <row r="1408" spans="1:8">
      <c r="A1408" s="1548"/>
      <c r="B1408" s="1548"/>
      <c r="C1408" s="1548"/>
      <c r="D1408" s="1520"/>
      <c r="E1408" s="665"/>
      <c r="F1408" s="1121"/>
      <c r="G1408" s="665"/>
      <c r="H1408" s="1553"/>
    </row>
    <row r="1409" spans="1:8">
      <c r="A1409" s="1548"/>
      <c r="B1409" s="1548"/>
      <c r="C1409" s="1548"/>
      <c r="D1409" s="1520"/>
      <c r="E1409" s="665"/>
      <c r="F1409" s="1121"/>
      <c r="G1409" s="665"/>
      <c r="H1409" s="1553"/>
    </row>
    <row r="1410" spans="1:8">
      <c r="A1410" s="1548"/>
      <c r="B1410" s="1548"/>
      <c r="C1410" s="1548"/>
      <c r="D1410" s="1520"/>
      <c r="E1410" s="665"/>
      <c r="F1410" s="1121"/>
      <c r="G1410" s="665"/>
      <c r="H1410" s="1553"/>
    </row>
    <row r="1411" spans="1:8">
      <c r="A1411" s="1548"/>
      <c r="B1411" s="1548"/>
      <c r="C1411" s="1548"/>
      <c r="D1411" s="1520"/>
      <c r="E1411" s="665"/>
      <c r="F1411" s="1121"/>
      <c r="G1411" s="665"/>
      <c r="H1411" s="1553"/>
    </row>
    <row r="1412" spans="1:8">
      <c r="A1412" s="1548"/>
      <c r="B1412" s="1548"/>
      <c r="C1412" s="1548"/>
      <c r="D1412" s="1520"/>
      <c r="E1412" s="665"/>
      <c r="F1412" s="1121"/>
      <c r="G1412" s="665"/>
      <c r="H1412" s="1553"/>
    </row>
    <row r="1413" spans="1:8">
      <c r="A1413" s="1548"/>
      <c r="B1413" s="1548"/>
      <c r="C1413" s="1548"/>
      <c r="D1413" s="1520"/>
      <c r="E1413" s="665"/>
      <c r="F1413" s="1121"/>
      <c r="G1413" s="665"/>
      <c r="H1413" s="1553"/>
    </row>
    <row r="1414" spans="1:8">
      <c r="A1414" s="1548"/>
      <c r="B1414" s="1548"/>
      <c r="C1414" s="1548"/>
      <c r="D1414" s="1520"/>
      <c r="E1414" s="665"/>
      <c r="F1414" s="1121"/>
      <c r="G1414" s="665"/>
      <c r="H1414" s="1553"/>
    </row>
    <row r="1415" spans="1:8">
      <c r="A1415" s="1548"/>
      <c r="B1415" s="1548"/>
      <c r="C1415" s="1548"/>
      <c r="D1415" s="1520"/>
      <c r="E1415" s="665"/>
      <c r="F1415" s="1121"/>
      <c r="G1415" s="665"/>
      <c r="H1415" s="1553"/>
    </row>
    <row r="1416" spans="1:8">
      <c r="A1416" s="1548"/>
      <c r="B1416" s="1548"/>
      <c r="C1416" s="1548"/>
      <c r="D1416" s="1520"/>
      <c r="E1416" s="665"/>
      <c r="F1416" s="1121"/>
      <c r="G1416" s="665"/>
      <c r="H1416" s="1553"/>
    </row>
    <row r="1417" spans="1:8">
      <c r="A1417" s="1548"/>
      <c r="B1417" s="1548"/>
      <c r="C1417" s="1548"/>
      <c r="D1417" s="1520"/>
      <c r="E1417" s="665"/>
      <c r="F1417" s="1121"/>
      <c r="G1417" s="665"/>
      <c r="H1417" s="1553"/>
    </row>
    <row r="1418" spans="1:8">
      <c r="A1418" s="1548"/>
      <c r="B1418" s="1548"/>
      <c r="C1418" s="1548"/>
      <c r="D1418" s="1520"/>
      <c r="E1418" s="665"/>
      <c r="F1418" s="1121"/>
      <c r="G1418" s="665"/>
      <c r="H1418" s="1553"/>
    </row>
    <row r="1419" spans="1:8">
      <c r="A1419" s="1548"/>
      <c r="B1419" s="1548"/>
      <c r="C1419" s="1548"/>
      <c r="D1419" s="1520"/>
      <c r="E1419" s="665"/>
      <c r="F1419" s="1121"/>
      <c r="G1419" s="665"/>
      <c r="H1419" s="1553"/>
    </row>
    <row r="1420" spans="1:8">
      <c r="A1420" s="1548"/>
      <c r="B1420" s="1548"/>
      <c r="C1420" s="1548"/>
      <c r="D1420" s="1520"/>
      <c r="E1420" s="665"/>
      <c r="F1420" s="1121"/>
      <c r="G1420" s="665"/>
      <c r="H1420" s="1553"/>
    </row>
    <row r="1421" spans="1:8">
      <c r="A1421" s="1548"/>
      <c r="B1421" s="1548"/>
      <c r="C1421" s="1548"/>
      <c r="D1421" s="1520"/>
      <c r="E1421" s="665"/>
      <c r="F1421" s="1121"/>
      <c r="G1421" s="665"/>
      <c r="H1421" s="1553"/>
    </row>
    <row r="1422" spans="1:8">
      <c r="A1422" s="1548"/>
      <c r="B1422" s="1548"/>
      <c r="C1422" s="1548"/>
      <c r="D1422" s="1520"/>
      <c r="E1422" s="665"/>
      <c r="F1422" s="1121"/>
      <c r="G1422" s="665"/>
      <c r="H1422" s="1553"/>
    </row>
    <row r="1423" spans="1:8">
      <c r="A1423" s="1548"/>
      <c r="B1423" s="1548"/>
      <c r="C1423" s="1548"/>
      <c r="D1423" s="1520"/>
      <c r="E1423" s="665"/>
      <c r="F1423" s="1121"/>
      <c r="G1423" s="665"/>
      <c r="H1423" s="1553"/>
    </row>
    <row r="1424" spans="1:8">
      <c r="A1424" s="1548"/>
      <c r="B1424" s="1548"/>
      <c r="C1424" s="1548"/>
      <c r="D1424" s="1520"/>
      <c r="E1424" s="665"/>
      <c r="F1424" s="1121"/>
      <c r="G1424" s="665"/>
      <c r="H1424" s="1553"/>
    </row>
    <row r="1425" spans="1:8">
      <c r="A1425" s="1548"/>
      <c r="B1425" s="1548"/>
      <c r="C1425" s="1548"/>
      <c r="D1425" s="1520"/>
      <c r="E1425" s="665"/>
      <c r="F1425" s="1121"/>
      <c r="G1425" s="665"/>
      <c r="H1425" s="1553"/>
    </row>
    <row r="1426" spans="1:8">
      <c r="A1426" s="1548"/>
      <c r="B1426" s="1548"/>
      <c r="C1426" s="1548"/>
      <c r="D1426" s="1520"/>
      <c r="E1426" s="665"/>
      <c r="F1426" s="1121"/>
      <c r="G1426" s="665"/>
      <c r="H1426" s="1553"/>
    </row>
    <row r="1427" spans="1:8">
      <c r="A1427" s="1548"/>
      <c r="B1427" s="1548"/>
      <c r="C1427" s="1548"/>
      <c r="D1427" s="1520"/>
      <c r="E1427" s="665"/>
      <c r="F1427" s="1121"/>
      <c r="G1427" s="665"/>
      <c r="H1427" s="1553"/>
    </row>
    <row r="1428" spans="1:8">
      <c r="A1428" s="1548"/>
      <c r="B1428" s="1548"/>
      <c r="C1428" s="1548"/>
      <c r="D1428" s="1520"/>
      <c r="E1428" s="665"/>
      <c r="F1428" s="1121"/>
      <c r="G1428" s="665"/>
      <c r="H1428" s="1553"/>
    </row>
    <row r="1429" spans="1:8">
      <c r="A1429" s="1548"/>
      <c r="B1429" s="1548"/>
      <c r="C1429" s="1548"/>
      <c r="D1429" s="1520"/>
      <c r="E1429" s="665"/>
      <c r="F1429" s="1121"/>
      <c r="G1429" s="665"/>
      <c r="H1429" s="1553"/>
    </row>
    <row r="1430" spans="1:8">
      <c r="A1430" s="1548"/>
      <c r="B1430" s="1548"/>
      <c r="C1430" s="1548"/>
      <c r="D1430" s="1520"/>
      <c r="E1430" s="665"/>
      <c r="F1430" s="1121"/>
      <c r="G1430" s="665"/>
      <c r="H1430" s="1553"/>
    </row>
    <row r="1431" spans="1:8">
      <c r="A1431" s="1548"/>
      <c r="B1431" s="1548"/>
      <c r="C1431" s="1548"/>
      <c r="D1431" s="1520"/>
      <c r="E1431" s="665"/>
      <c r="F1431" s="1121"/>
      <c r="G1431" s="665"/>
      <c r="H1431" s="1553"/>
    </row>
    <row r="1432" spans="1:8">
      <c r="A1432" s="1548"/>
      <c r="B1432" s="1548"/>
      <c r="C1432" s="1548"/>
      <c r="D1432" s="1520"/>
      <c r="E1432" s="665"/>
      <c r="F1432" s="1121"/>
      <c r="G1432" s="665"/>
      <c r="H1432" s="1553"/>
    </row>
    <row r="1433" spans="1:8">
      <c r="A1433" s="1548"/>
      <c r="B1433" s="1548"/>
      <c r="C1433" s="1548"/>
      <c r="D1433" s="1520"/>
      <c r="E1433" s="665"/>
      <c r="F1433" s="1121"/>
      <c r="G1433" s="665"/>
      <c r="H1433" s="1553"/>
    </row>
    <row r="1434" spans="1:8">
      <c r="A1434" s="1548"/>
      <c r="B1434" s="1548"/>
      <c r="C1434" s="1548"/>
      <c r="D1434" s="1520"/>
      <c r="E1434" s="665"/>
      <c r="F1434" s="1121"/>
      <c r="G1434" s="665"/>
      <c r="H1434" s="1553"/>
    </row>
    <row r="1435" spans="1:8">
      <c r="A1435" s="1548"/>
      <c r="B1435" s="1548"/>
      <c r="C1435" s="1548"/>
      <c r="D1435" s="1520"/>
      <c r="E1435" s="665"/>
      <c r="F1435" s="1121"/>
      <c r="G1435" s="665"/>
      <c r="H1435" s="1553"/>
    </row>
    <row r="1436" spans="1:8">
      <c r="A1436" s="1548"/>
      <c r="B1436" s="1548"/>
      <c r="C1436" s="1548"/>
      <c r="D1436" s="1520"/>
      <c r="E1436" s="665"/>
      <c r="F1436" s="1121"/>
      <c r="G1436" s="665"/>
      <c r="H1436" s="1553"/>
    </row>
    <row r="1437" spans="1:8">
      <c r="A1437" s="1548"/>
      <c r="B1437" s="1548"/>
      <c r="C1437" s="1548"/>
      <c r="D1437" s="1520"/>
      <c r="E1437" s="665"/>
      <c r="F1437" s="1121"/>
      <c r="G1437" s="665"/>
      <c r="H1437" s="1553"/>
    </row>
    <row r="1438" spans="1:8">
      <c r="A1438" s="1548"/>
      <c r="B1438" s="1548"/>
      <c r="C1438" s="1548"/>
      <c r="D1438" s="1520"/>
      <c r="E1438" s="665"/>
      <c r="F1438" s="1121"/>
      <c r="G1438" s="665"/>
      <c r="H1438" s="1553"/>
    </row>
    <row r="1439" spans="1:8">
      <c r="A1439" s="1548"/>
      <c r="B1439" s="1548"/>
      <c r="C1439" s="1548"/>
      <c r="D1439" s="1520"/>
      <c r="E1439" s="665"/>
      <c r="F1439" s="1121"/>
      <c r="G1439" s="665"/>
      <c r="H1439" s="1553"/>
    </row>
    <row r="1440" spans="1:8">
      <c r="A1440" s="1548"/>
      <c r="B1440" s="1548"/>
      <c r="C1440" s="1548"/>
      <c r="D1440" s="1520"/>
      <c r="E1440" s="665"/>
      <c r="F1440" s="1121"/>
      <c r="G1440" s="665"/>
      <c r="H1440" s="1553"/>
    </row>
    <row r="1441" spans="1:8">
      <c r="A1441" s="1548"/>
      <c r="B1441" s="1548"/>
      <c r="C1441" s="1548"/>
      <c r="D1441" s="1520"/>
      <c r="E1441" s="665"/>
      <c r="F1441" s="1121"/>
      <c r="G1441" s="665"/>
      <c r="H1441" s="1553"/>
    </row>
    <row r="1442" spans="1:8">
      <c r="A1442" s="1548"/>
      <c r="B1442" s="1548"/>
      <c r="C1442" s="1548"/>
      <c r="D1442" s="1520"/>
      <c r="E1442" s="665"/>
      <c r="F1442" s="1121"/>
      <c r="G1442" s="665"/>
      <c r="H1442" s="1553"/>
    </row>
    <row r="1443" spans="1:8">
      <c r="A1443" s="1548"/>
      <c r="B1443" s="1548"/>
      <c r="C1443" s="1548"/>
      <c r="D1443" s="1520"/>
      <c r="E1443" s="665"/>
      <c r="F1443" s="1121"/>
      <c r="G1443" s="665"/>
      <c r="H1443" s="1553"/>
    </row>
    <row r="1444" spans="1:8">
      <c r="A1444" s="1548"/>
      <c r="B1444" s="1548"/>
      <c r="C1444" s="1548"/>
      <c r="D1444" s="1520"/>
      <c r="E1444" s="665"/>
      <c r="F1444" s="1121"/>
      <c r="G1444" s="665"/>
      <c r="H1444" s="1553"/>
    </row>
    <row r="1445" spans="1:8">
      <c r="A1445" s="1548"/>
      <c r="B1445" s="1548"/>
      <c r="C1445" s="1548"/>
      <c r="D1445" s="1520"/>
      <c r="E1445" s="665"/>
      <c r="F1445" s="1121"/>
      <c r="G1445" s="665"/>
      <c r="H1445" s="1553"/>
    </row>
    <row r="1446" spans="1:8">
      <c r="A1446" s="1548"/>
      <c r="B1446" s="1548"/>
      <c r="C1446" s="1548"/>
      <c r="D1446" s="1520"/>
      <c r="E1446" s="665"/>
      <c r="F1446" s="1121"/>
      <c r="G1446" s="665"/>
      <c r="H1446" s="1553"/>
    </row>
    <row r="1447" spans="1:8">
      <c r="A1447" s="1548"/>
      <c r="B1447" s="1548"/>
      <c r="C1447" s="1548"/>
      <c r="D1447" s="1520"/>
      <c r="E1447" s="665"/>
      <c r="F1447" s="1121"/>
      <c r="G1447" s="665"/>
      <c r="H1447" s="1553"/>
    </row>
    <row r="1448" spans="1:8">
      <c r="A1448" s="1548"/>
      <c r="B1448" s="1548"/>
      <c r="C1448" s="1548"/>
      <c r="D1448" s="1520"/>
      <c r="E1448" s="665"/>
      <c r="F1448" s="1121"/>
      <c r="G1448" s="665"/>
      <c r="H1448" s="1553"/>
    </row>
    <row r="1449" spans="1:8">
      <c r="A1449" s="1548"/>
      <c r="B1449" s="1548"/>
      <c r="C1449" s="1548"/>
      <c r="D1449" s="1520"/>
      <c r="E1449" s="665"/>
      <c r="F1449" s="1121"/>
      <c r="G1449" s="665"/>
      <c r="H1449" s="1553"/>
    </row>
    <row r="1450" spans="1:8">
      <c r="A1450" s="1548"/>
      <c r="B1450" s="1548"/>
      <c r="C1450" s="1548"/>
      <c r="D1450" s="1520"/>
      <c r="E1450" s="665"/>
      <c r="F1450" s="1121"/>
      <c r="G1450" s="665"/>
      <c r="H1450" s="1553"/>
    </row>
    <row r="1451" spans="1:8">
      <c r="A1451" s="1548"/>
      <c r="B1451" s="1548"/>
      <c r="C1451" s="1548"/>
      <c r="D1451" s="1520"/>
      <c r="E1451" s="665"/>
      <c r="F1451" s="1121"/>
      <c r="G1451" s="665"/>
      <c r="H1451" s="1553"/>
    </row>
    <row r="1452" spans="1:8">
      <c r="A1452" s="1548"/>
      <c r="B1452" s="1548"/>
      <c r="C1452" s="1548"/>
      <c r="D1452" s="1520"/>
      <c r="E1452" s="665"/>
      <c r="F1452" s="1121"/>
      <c r="G1452" s="665"/>
      <c r="H1452" s="1553"/>
    </row>
    <row r="1453" spans="1:8">
      <c r="A1453" s="1548"/>
      <c r="B1453" s="1548"/>
      <c r="C1453" s="1548"/>
      <c r="D1453" s="1520"/>
      <c r="E1453" s="665"/>
      <c r="F1453" s="1121"/>
      <c r="G1453" s="665"/>
      <c r="H1453" s="1553"/>
    </row>
    <row r="1454" spans="1:8">
      <c r="A1454" s="1548"/>
      <c r="B1454" s="1548"/>
      <c r="C1454" s="1548"/>
      <c r="D1454" s="1520"/>
      <c r="E1454" s="665"/>
      <c r="F1454" s="1121"/>
      <c r="G1454" s="665"/>
      <c r="H1454" s="1553"/>
    </row>
    <row r="1455" spans="1:8">
      <c r="A1455" s="1548"/>
      <c r="B1455" s="1548"/>
      <c r="C1455" s="1548"/>
      <c r="D1455" s="1520"/>
      <c r="E1455" s="665"/>
      <c r="F1455" s="1121"/>
      <c r="G1455" s="665"/>
      <c r="H1455" s="1553"/>
    </row>
    <row r="1456" spans="1:8">
      <c r="A1456" s="1548"/>
      <c r="B1456" s="1548"/>
      <c r="C1456" s="1548"/>
      <c r="D1456" s="1520"/>
      <c r="E1456" s="665"/>
      <c r="F1456" s="1121"/>
      <c r="G1456" s="665"/>
      <c r="H1456" s="1553"/>
    </row>
    <row r="1457" spans="1:8">
      <c r="A1457" s="1548"/>
      <c r="B1457" s="1548"/>
      <c r="C1457" s="1548"/>
      <c r="D1457" s="1520"/>
      <c r="E1457" s="665"/>
      <c r="F1457" s="1121"/>
      <c r="G1457" s="665"/>
      <c r="H1457" s="1553"/>
    </row>
    <row r="1458" spans="1:8">
      <c r="A1458" s="1548"/>
      <c r="B1458" s="1548"/>
      <c r="C1458" s="1548"/>
      <c r="D1458" s="1520"/>
      <c r="E1458" s="665"/>
      <c r="F1458" s="1121"/>
      <c r="G1458" s="665"/>
      <c r="H1458" s="1553"/>
    </row>
    <row r="1459" spans="1:8">
      <c r="A1459" s="1548"/>
      <c r="B1459" s="1548"/>
      <c r="C1459" s="1548"/>
      <c r="D1459" s="1520"/>
      <c r="E1459" s="665"/>
      <c r="F1459" s="1121"/>
      <c r="G1459" s="665"/>
      <c r="H1459" s="1553"/>
    </row>
    <row r="1460" spans="1:8">
      <c r="A1460" s="1548"/>
      <c r="B1460" s="1548"/>
      <c r="C1460" s="1548"/>
      <c r="D1460" s="1520"/>
      <c r="E1460" s="665"/>
      <c r="F1460" s="1121"/>
      <c r="G1460" s="665"/>
      <c r="H1460" s="1553"/>
    </row>
    <row r="1461" spans="1:8">
      <c r="A1461" s="1548"/>
      <c r="B1461" s="1548"/>
      <c r="C1461" s="1548"/>
      <c r="D1461" s="1520"/>
      <c r="E1461" s="665"/>
      <c r="F1461" s="1121"/>
      <c r="G1461" s="665"/>
      <c r="H1461" s="1553"/>
    </row>
    <row r="1462" spans="1:8">
      <c r="A1462" s="1548"/>
      <c r="B1462" s="1548"/>
      <c r="C1462" s="1548"/>
      <c r="D1462" s="1520"/>
      <c r="E1462" s="665"/>
      <c r="F1462" s="1121"/>
      <c r="G1462" s="665"/>
      <c r="H1462" s="1553"/>
    </row>
    <row r="1463" spans="1:8">
      <c r="A1463" s="1548"/>
      <c r="B1463" s="1548"/>
      <c r="C1463" s="1548"/>
      <c r="D1463" s="1520"/>
      <c r="E1463" s="665"/>
      <c r="F1463" s="1121"/>
      <c r="G1463" s="665"/>
      <c r="H1463" s="1553"/>
    </row>
    <row r="1464" spans="1:8">
      <c r="A1464" s="1548"/>
      <c r="B1464" s="1548"/>
      <c r="C1464" s="1548"/>
      <c r="D1464" s="1520"/>
      <c r="E1464" s="665"/>
      <c r="F1464" s="1121"/>
      <c r="G1464" s="665"/>
      <c r="H1464" s="1553"/>
    </row>
    <row r="1465" spans="1:8">
      <c r="A1465" s="1548"/>
      <c r="B1465" s="1548"/>
      <c r="C1465" s="1548"/>
      <c r="D1465" s="1520"/>
      <c r="E1465" s="665"/>
      <c r="F1465" s="1121"/>
      <c r="G1465" s="665"/>
      <c r="H1465" s="1553"/>
    </row>
    <row r="1466" spans="1:8">
      <c r="A1466" s="1548"/>
      <c r="B1466" s="1548"/>
      <c r="C1466" s="1548"/>
      <c r="D1466" s="1520"/>
      <c r="E1466" s="665"/>
      <c r="F1466" s="1121"/>
      <c r="G1466" s="665"/>
      <c r="H1466" s="1553"/>
    </row>
    <row r="1467" spans="1:8">
      <c r="A1467" s="1548"/>
      <c r="B1467" s="1548"/>
      <c r="C1467" s="1548"/>
      <c r="D1467" s="1520"/>
      <c r="E1467" s="665"/>
      <c r="F1467" s="1121"/>
      <c r="G1467" s="665"/>
      <c r="H1467" s="1553"/>
    </row>
    <row r="1468" spans="1:8">
      <c r="A1468" s="1548"/>
      <c r="B1468" s="1548"/>
      <c r="C1468" s="1548"/>
      <c r="D1468" s="1520"/>
      <c r="E1468" s="665"/>
      <c r="F1468" s="1121"/>
      <c r="G1468" s="665"/>
      <c r="H1468" s="1553"/>
    </row>
    <row r="1469" spans="1:8">
      <c r="A1469" s="1548"/>
      <c r="B1469" s="1548"/>
      <c r="C1469" s="1548"/>
      <c r="D1469" s="1520"/>
      <c r="E1469" s="665"/>
      <c r="F1469" s="1121"/>
      <c r="G1469" s="665"/>
      <c r="H1469" s="1553"/>
    </row>
    <row r="1470" spans="1:8">
      <c r="A1470" s="1548"/>
      <c r="B1470" s="1548"/>
      <c r="C1470" s="1548"/>
      <c r="D1470" s="1520"/>
      <c r="E1470" s="665"/>
      <c r="F1470" s="1121"/>
      <c r="G1470" s="665"/>
      <c r="H1470" s="1553"/>
    </row>
    <row r="1471" spans="1:8">
      <c r="A1471" s="1548"/>
      <c r="B1471" s="1548"/>
      <c r="C1471" s="1548"/>
      <c r="D1471" s="1520"/>
      <c r="E1471" s="665"/>
      <c r="F1471" s="1121"/>
      <c r="G1471" s="665"/>
      <c r="H1471" s="1553"/>
    </row>
    <row r="1472" spans="1:8">
      <c r="A1472" s="1548"/>
      <c r="B1472" s="1548"/>
      <c r="C1472" s="1548"/>
      <c r="D1472" s="1520"/>
      <c r="E1472" s="665"/>
      <c r="F1472" s="1121"/>
      <c r="G1472" s="665"/>
      <c r="H1472" s="1553"/>
    </row>
    <row r="1473" spans="1:8">
      <c r="A1473" s="1548"/>
      <c r="B1473" s="1548"/>
      <c r="C1473" s="1548"/>
      <c r="D1473" s="1520"/>
      <c r="E1473" s="665"/>
      <c r="F1473" s="1121"/>
      <c r="G1473" s="665"/>
      <c r="H1473" s="1553"/>
    </row>
    <row r="1474" spans="1:8">
      <c r="A1474" s="1548"/>
      <c r="B1474" s="1548"/>
      <c r="C1474" s="1548"/>
      <c r="D1474" s="1520"/>
      <c r="E1474" s="665"/>
      <c r="F1474" s="1121"/>
      <c r="G1474" s="665"/>
      <c r="H1474" s="1553"/>
    </row>
    <row r="1475" spans="1:8">
      <c r="A1475" s="1548"/>
      <c r="B1475" s="1548"/>
      <c r="C1475" s="1548"/>
      <c r="D1475" s="1520"/>
      <c r="E1475" s="665"/>
      <c r="F1475" s="1121"/>
      <c r="G1475" s="665"/>
      <c r="H1475" s="1553"/>
    </row>
    <row r="1476" spans="1:8">
      <c r="A1476" s="1548"/>
      <c r="B1476" s="1548"/>
      <c r="C1476" s="1548"/>
      <c r="D1476" s="1520"/>
      <c r="E1476" s="665"/>
      <c r="F1476" s="1121"/>
      <c r="G1476" s="665"/>
      <c r="H1476" s="1553"/>
    </row>
    <row r="1477" spans="1:8">
      <c r="A1477" s="1548"/>
      <c r="B1477" s="1548"/>
      <c r="C1477" s="1548"/>
      <c r="D1477" s="1520"/>
      <c r="E1477" s="665"/>
      <c r="F1477" s="1121"/>
      <c r="G1477" s="665"/>
      <c r="H1477" s="1553"/>
    </row>
    <row r="1478" spans="1:8">
      <c r="A1478" s="1548"/>
      <c r="B1478" s="1548"/>
      <c r="C1478" s="1548"/>
      <c r="D1478" s="1520"/>
      <c r="E1478" s="665"/>
      <c r="F1478" s="1121"/>
      <c r="G1478" s="665"/>
      <c r="H1478" s="1553"/>
    </row>
    <row r="1479" spans="1:8">
      <c r="A1479" s="1548"/>
      <c r="B1479" s="1548"/>
      <c r="C1479" s="1548"/>
      <c r="D1479" s="1520"/>
      <c r="E1479" s="665"/>
      <c r="F1479" s="1121"/>
      <c r="G1479" s="665"/>
      <c r="H1479" s="1553"/>
    </row>
    <row r="1480" spans="1:8">
      <c r="A1480" s="1548"/>
      <c r="B1480" s="1548"/>
      <c r="C1480" s="1548"/>
      <c r="D1480" s="1520"/>
      <c r="E1480" s="665"/>
      <c r="F1480" s="1121"/>
      <c r="G1480" s="665"/>
      <c r="H1480" s="1553"/>
    </row>
    <row r="1481" spans="1:8">
      <c r="A1481" s="1548"/>
      <c r="B1481" s="1548"/>
      <c r="C1481" s="1548"/>
      <c r="D1481" s="1520"/>
      <c r="E1481" s="665"/>
      <c r="F1481" s="1121"/>
      <c r="G1481" s="665"/>
      <c r="H1481" s="1553"/>
    </row>
    <row r="1482" spans="1:8">
      <c r="A1482" s="1548"/>
      <c r="B1482" s="1548"/>
      <c r="C1482" s="1548"/>
      <c r="D1482" s="1520"/>
      <c r="E1482" s="665"/>
      <c r="F1482" s="1121"/>
      <c r="G1482" s="665"/>
      <c r="H1482" s="1553"/>
    </row>
    <row r="1483" spans="1:8">
      <c r="A1483" s="1548"/>
      <c r="B1483" s="1548"/>
      <c r="C1483" s="1548"/>
      <c r="D1483" s="1520"/>
      <c r="E1483" s="665"/>
      <c r="F1483" s="1121"/>
      <c r="G1483" s="665"/>
      <c r="H1483" s="1553"/>
    </row>
    <row r="1484" spans="1:8">
      <c r="A1484" s="1548"/>
      <c r="B1484" s="1548"/>
      <c r="C1484" s="1548"/>
      <c r="D1484" s="1520"/>
      <c r="E1484" s="665"/>
      <c r="F1484" s="1121"/>
      <c r="G1484" s="665"/>
      <c r="H1484" s="1553"/>
    </row>
    <row r="1485" spans="1:8">
      <c r="A1485" s="1548"/>
      <c r="B1485" s="1548"/>
      <c r="C1485" s="1548"/>
      <c r="D1485" s="1520"/>
      <c r="E1485" s="665"/>
      <c r="F1485" s="1121"/>
      <c r="G1485" s="665"/>
      <c r="H1485" s="1553"/>
    </row>
    <row r="1486" spans="1:8">
      <c r="A1486" s="1548"/>
      <c r="B1486" s="1548"/>
      <c r="C1486" s="1548"/>
      <c r="D1486" s="1520"/>
      <c r="E1486" s="665"/>
      <c r="F1486" s="1121"/>
      <c r="G1486" s="665"/>
      <c r="H1486" s="1553"/>
    </row>
    <row r="1487" spans="1:8">
      <c r="A1487" s="1548"/>
      <c r="B1487" s="1548"/>
      <c r="C1487" s="1548"/>
      <c r="D1487" s="1520"/>
      <c r="E1487" s="665"/>
      <c r="F1487" s="1121"/>
      <c r="G1487" s="665"/>
      <c r="H1487" s="1553"/>
    </row>
    <row r="1488" spans="1:8">
      <c r="A1488" s="1548"/>
      <c r="B1488" s="1548"/>
      <c r="C1488" s="1548"/>
      <c r="D1488" s="1520"/>
      <c r="E1488" s="665"/>
      <c r="F1488" s="1121"/>
      <c r="G1488" s="665"/>
      <c r="H1488" s="1553"/>
    </row>
    <row r="1489" spans="1:8">
      <c r="A1489" s="1548"/>
      <c r="B1489" s="1548"/>
      <c r="C1489" s="1548"/>
      <c r="D1489" s="1520"/>
      <c r="E1489" s="665"/>
      <c r="F1489" s="1121"/>
      <c r="G1489" s="665"/>
      <c r="H1489" s="1553"/>
    </row>
    <row r="1490" spans="1:8">
      <c r="A1490" s="1548"/>
      <c r="B1490" s="1548"/>
      <c r="C1490" s="1548"/>
      <c r="D1490" s="1520"/>
      <c r="E1490" s="665"/>
      <c r="F1490" s="1121"/>
      <c r="G1490" s="665"/>
      <c r="H1490" s="1553"/>
    </row>
    <row r="1491" spans="1:8">
      <c r="A1491" s="1548"/>
      <c r="B1491" s="1548"/>
      <c r="C1491" s="1548"/>
      <c r="D1491" s="1520"/>
      <c r="E1491" s="665"/>
      <c r="F1491" s="1121"/>
      <c r="G1491" s="665"/>
      <c r="H1491" s="1553"/>
    </row>
    <row r="1492" spans="1:8">
      <c r="A1492" s="1548"/>
      <c r="B1492" s="1548"/>
      <c r="C1492" s="1548"/>
      <c r="D1492" s="1520"/>
      <c r="E1492" s="665"/>
      <c r="F1492" s="1121"/>
      <c r="G1492" s="665"/>
      <c r="H1492" s="1553"/>
    </row>
    <row r="1493" spans="1:8">
      <c r="A1493" s="1548"/>
      <c r="B1493" s="1548"/>
      <c r="C1493" s="1548"/>
      <c r="D1493" s="1520"/>
      <c r="E1493" s="665"/>
      <c r="F1493" s="1121"/>
      <c r="G1493" s="665"/>
      <c r="H1493" s="1553"/>
    </row>
    <row r="1494" spans="1:8">
      <c r="A1494" s="1548"/>
      <c r="B1494" s="1548"/>
      <c r="C1494" s="1548"/>
      <c r="D1494" s="1520"/>
      <c r="E1494" s="665"/>
      <c r="F1494" s="1121"/>
      <c r="G1494" s="665"/>
      <c r="H1494" s="1553"/>
    </row>
    <row r="1495" spans="1:8">
      <c r="A1495" s="1548"/>
      <c r="B1495" s="1548"/>
      <c r="C1495" s="1548"/>
      <c r="D1495" s="1520"/>
      <c r="E1495" s="665"/>
      <c r="F1495" s="1121"/>
      <c r="G1495" s="665"/>
      <c r="H1495" s="1553"/>
    </row>
    <row r="1496" spans="1:8">
      <c r="A1496" s="1548"/>
      <c r="B1496" s="1548"/>
      <c r="C1496" s="1548"/>
      <c r="D1496" s="1520"/>
      <c r="E1496" s="665"/>
      <c r="F1496" s="1121"/>
      <c r="G1496" s="665"/>
      <c r="H1496" s="1553"/>
    </row>
    <row r="1497" spans="1:8">
      <c r="A1497" s="1548"/>
      <c r="B1497" s="1548"/>
      <c r="C1497" s="1548"/>
      <c r="D1497" s="1520"/>
      <c r="E1497" s="665"/>
      <c r="F1497" s="1121"/>
      <c r="G1497" s="665"/>
      <c r="H1497" s="1553"/>
    </row>
    <row r="1498" spans="1:8">
      <c r="A1498" s="1548"/>
      <c r="B1498" s="1548"/>
      <c r="C1498" s="1548"/>
      <c r="D1498" s="1520"/>
      <c r="E1498" s="665"/>
      <c r="F1498" s="1121"/>
      <c r="G1498" s="665"/>
      <c r="H1498" s="1553"/>
    </row>
    <row r="1499" spans="1:8">
      <c r="A1499" s="1548"/>
      <c r="B1499" s="1548"/>
      <c r="C1499" s="1548"/>
      <c r="D1499" s="1520"/>
      <c r="E1499" s="665"/>
      <c r="F1499" s="1121"/>
      <c r="G1499" s="665"/>
      <c r="H1499" s="1553"/>
    </row>
    <row r="1500" spans="1:8">
      <c r="A1500" s="1548"/>
      <c r="B1500" s="1548"/>
      <c r="C1500" s="1548"/>
      <c r="D1500" s="1520"/>
      <c r="E1500" s="665"/>
      <c r="F1500" s="1121"/>
      <c r="G1500" s="665"/>
      <c r="H1500" s="1553"/>
    </row>
    <row r="1501" spans="1:8">
      <c r="A1501" s="1548"/>
      <c r="B1501" s="1548"/>
      <c r="C1501" s="1548"/>
      <c r="D1501" s="1520"/>
      <c r="E1501" s="665"/>
      <c r="F1501" s="1121"/>
      <c r="G1501" s="665"/>
      <c r="H1501" s="1553"/>
    </row>
    <row r="1502" spans="1:8">
      <c r="A1502" s="1548"/>
      <c r="B1502" s="1548"/>
      <c r="C1502" s="1548"/>
      <c r="D1502" s="1520"/>
      <c r="E1502" s="665"/>
      <c r="F1502" s="1121"/>
      <c r="G1502" s="665"/>
      <c r="H1502" s="1553"/>
    </row>
    <row r="1503" spans="1:8">
      <c r="A1503" s="1548"/>
      <c r="B1503" s="1548"/>
      <c r="C1503" s="1548"/>
      <c r="D1503" s="1520"/>
      <c r="E1503" s="665"/>
      <c r="F1503" s="1121"/>
      <c r="G1503" s="665"/>
      <c r="H1503" s="1553"/>
    </row>
    <row r="1504" spans="1:8">
      <c r="A1504" s="1548"/>
      <c r="B1504" s="1548"/>
      <c r="C1504" s="1548"/>
      <c r="D1504" s="1520"/>
      <c r="E1504" s="665"/>
      <c r="F1504" s="1121"/>
      <c r="G1504" s="665"/>
      <c r="H1504" s="1553"/>
    </row>
    <row r="1505" spans="1:8">
      <c r="A1505" s="1548"/>
      <c r="B1505" s="1548"/>
      <c r="C1505" s="1548"/>
      <c r="D1505" s="1520"/>
      <c r="E1505" s="665"/>
      <c r="F1505" s="1121"/>
      <c r="G1505" s="665"/>
      <c r="H1505" s="1553"/>
    </row>
    <row r="1506" spans="1:8">
      <c r="A1506" s="1548"/>
      <c r="B1506" s="1548"/>
      <c r="C1506" s="1548"/>
      <c r="D1506" s="1520"/>
      <c r="E1506" s="665"/>
      <c r="F1506" s="1121"/>
      <c r="G1506" s="665"/>
      <c r="H1506" s="1553"/>
    </row>
    <row r="1507" spans="1:8">
      <c r="A1507" s="1548"/>
      <c r="B1507" s="1548"/>
      <c r="C1507" s="1548"/>
      <c r="D1507" s="1520"/>
      <c r="E1507" s="665"/>
      <c r="F1507" s="1121"/>
      <c r="G1507" s="665"/>
      <c r="H1507" s="1553"/>
    </row>
    <row r="1508" spans="1:8">
      <c r="A1508" s="1548"/>
      <c r="B1508" s="1548"/>
      <c r="C1508" s="1548"/>
      <c r="D1508" s="1520"/>
      <c r="E1508" s="665"/>
      <c r="F1508" s="1121"/>
      <c r="G1508" s="665"/>
      <c r="H1508" s="1553"/>
    </row>
    <row r="1509" spans="1:8">
      <c r="A1509" s="1548"/>
      <c r="B1509" s="1548"/>
      <c r="C1509" s="1548"/>
      <c r="D1509" s="1520"/>
      <c r="E1509" s="665"/>
      <c r="F1509" s="1121"/>
      <c r="G1509" s="665"/>
      <c r="H1509" s="1553"/>
    </row>
    <row r="1510" spans="1:8">
      <c r="A1510" s="1548"/>
      <c r="B1510" s="1548"/>
      <c r="C1510" s="1548"/>
      <c r="D1510" s="1520"/>
      <c r="E1510" s="665"/>
      <c r="F1510" s="1121"/>
      <c r="G1510" s="665"/>
      <c r="H1510" s="1553"/>
    </row>
    <row r="1511" spans="1:8">
      <c r="A1511" s="1548"/>
      <c r="B1511" s="1548"/>
      <c r="C1511" s="1548"/>
      <c r="D1511" s="1520"/>
      <c r="E1511" s="665"/>
      <c r="F1511" s="1121"/>
      <c r="G1511" s="665"/>
      <c r="H1511" s="1553"/>
    </row>
    <row r="1512" spans="1:8">
      <c r="A1512" s="1548"/>
      <c r="B1512" s="1548"/>
      <c r="C1512" s="1548"/>
      <c r="D1512" s="1520"/>
      <c r="E1512" s="665"/>
      <c r="F1512" s="1121"/>
      <c r="G1512" s="665"/>
      <c r="H1512" s="1553"/>
    </row>
    <row r="1513" spans="1:8">
      <c r="A1513" s="1548"/>
      <c r="B1513" s="1548"/>
      <c r="C1513" s="1548"/>
      <c r="D1513" s="1520"/>
      <c r="E1513" s="665"/>
      <c r="F1513" s="1121"/>
      <c r="G1513" s="665"/>
      <c r="H1513" s="1553"/>
    </row>
    <row r="1514" spans="1:8">
      <c r="A1514" s="1548"/>
      <c r="B1514" s="1548"/>
      <c r="C1514" s="1548"/>
      <c r="D1514" s="1520"/>
      <c r="E1514" s="665"/>
      <c r="F1514" s="1121"/>
      <c r="G1514" s="665"/>
      <c r="H1514" s="1553"/>
    </row>
    <row r="1515" spans="1:8">
      <c r="A1515" s="1548"/>
      <c r="B1515" s="1548"/>
      <c r="C1515" s="1548"/>
      <c r="D1515" s="1520"/>
      <c r="E1515" s="665"/>
      <c r="F1515" s="1121"/>
      <c r="G1515" s="665"/>
      <c r="H1515" s="1553"/>
    </row>
    <row r="1516" spans="1:8">
      <c r="A1516" s="1548"/>
      <c r="B1516" s="1548"/>
      <c r="C1516" s="1548"/>
      <c r="D1516" s="1520"/>
      <c r="E1516" s="665"/>
      <c r="F1516" s="1121"/>
      <c r="G1516" s="665"/>
      <c r="H1516" s="1553"/>
    </row>
    <row r="1517" spans="1:8">
      <c r="A1517" s="1548"/>
      <c r="B1517" s="1548"/>
      <c r="C1517" s="1548"/>
      <c r="D1517" s="1520"/>
      <c r="E1517" s="665"/>
      <c r="F1517" s="1121"/>
      <c r="G1517" s="665"/>
      <c r="H1517" s="1553"/>
    </row>
    <row r="1518" spans="1:8">
      <c r="A1518" s="1548"/>
      <c r="B1518" s="1548"/>
      <c r="C1518" s="1548"/>
      <c r="D1518" s="1520"/>
      <c r="E1518" s="665"/>
      <c r="F1518" s="1121"/>
      <c r="G1518" s="665"/>
      <c r="H1518" s="1553"/>
    </row>
    <row r="1519" spans="1:8">
      <c r="A1519" s="1548"/>
      <c r="B1519" s="1548"/>
      <c r="C1519" s="1548"/>
      <c r="D1519" s="1520"/>
      <c r="E1519" s="665"/>
      <c r="F1519" s="1121"/>
      <c r="G1519" s="665"/>
      <c r="H1519" s="1553"/>
    </row>
    <row r="1520" spans="1:8">
      <c r="A1520" s="1548"/>
      <c r="B1520" s="1548"/>
      <c r="C1520" s="1548"/>
      <c r="D1520" s="1520"/>
      <c r="E1520" s="665"/>
      <c r="F1520" s="1121"/>
      <c r="G1520" s="665"/>
      <c r="H1520" s="1553"/>
    </row>
    <row r="1521" spans="1:8">
      <c r="A1521" s="1548"/>
      <c r="B1521" s="1548"/>
      <c r="C1521" s="1548"/>
      <c r="D1521" s="1520"/>
      <c r="E1521" s="665"/>
      <c r="F1521" s="1121"/>
      <c r="G1521" s="665"/>
      <c r="H1521" s="1553"/>
    </row>
    <row r="1522" spans="1:8">
      <c r="A1522" s="1548"/>
      <c r="B1522" s="1548"/>
      <c r="C1522" s="1548"/>
      <c r="D1522" s="1520"/>
      <c r="E1522" s="665"/>
      <c r="F1522" s="1121"/>
      <c r="G1522" s="665"/>
      <c r="H1522" s="1553"/>
    </row>
    <row r="1523" spans="1:8">
      <c r="A1523" s="1548"/>
      <c r="B1523" s="1548"/>
      <c r="C1523" s="1548"/>
      <c r="D1523" s="1520"/>
      <c r="E1523" s="665"/>
      <c r="F1523" s="1121"/>
      <c r="G1523" s="665"/>
      <c r="H1523" s="1553"/>
    </row>
    <row r="1524" spans="1:8">
      <c r="A1524" s="1548"/>
      <c r="B1524" s="1548"/>
      <c r="C1524" s="1548"/>
      <c r="D1524" s="1520"/>
      <c r="E1524" s="665"/>
      <c r="F1524" s="1121"/>
      <c r="G1524" s="665"/>
      <c r="H1524" s="1553"/>
    </row>
    <row r="1525" spans="1:8">
      <c r="A1525" s="1548"/>
      <c r="B1525" s="1548"/>
      <c r="C1525" s="1548"/>
      <c r="D1525" s="1520"/>
      <c r="E1525" s="665"/>
      <c r="F1525" s="1121"/>
      <c r="G1525" s="665"/>
      <c r="H1525" s="1553"/>
    </row>
    <row r="1526" spans="1:8">
      <c r="A1526" s="1548"/>
      <c r="B1526" s="1548"/>
      <c r="C1526" s="1548"/>
      <c r="D1526" s="1520"/>
      <c r="E1526" s="665"/>
      <c r="F1526" s="1121"/>
      <c r="G1526" s="665"/>
      <c r="H1526" s="1553"/>
    </row>
    <row r="1527" spans="1:8">
      <c r="A1527" s="1548"/>
      <c r="B1527" s="1548"/>
      <c r="C1527" s="1548"/>
      <c r="D1527" s="1520"/>
      <c r="E1527" s="665"/>
      <c r="F1527" s="1121"/>
      <c r="G1527" s="665"/>
      <c r="H1527" s="1553"/>
    </row>
    <row r="1528" spans="1:8">
      <c r="A1528" s="1548"/>
      <c r="B1528" s="1548"/>
      <c r="C1528" s="1548"/>
      <c r="D1528" s="1520"/>
      <c r="E1528" s="665"/>
      <c r="F1528" s="1121"/>
      <c r="G1528" s="665"/>
      <c r="H1528" s="1553"/>
    </row>
    <row r="1529" spans="1:8">
      <c r="A1529" s="1548"/>
      <c r="B1529" s="1548"/>
      <c r="C1529" s="1548"/>
      <c r="D1529" s="1520"/>
      <c r="E1529" s="665"/>
      <c r="F1529" s="1121"/>
      <c r="G1529" s="665"/>
      <c r="H1529" s="1553"/>
    </row>
    <row r="1530" spans="1:8">
      <c r="A1530" s="1548"/>
      <c r="B1530" s="1548"/>
      <c r="C1530" s="1548"/>
      <c r="D1530" s="1520"/>
      <c r="E1530" s="665"/>
      <c r="F1530" s="1121"/>
      <c r="G1530" s="665"/>
      <c r="H1530" s="1553"/>
    </row>
    <row r="1531" spans="1:8">
      <c r="A1531" s="1548"/>
      <c r="B1531" s="1548"/>
      <c r="C1531" s="1548"/>
      <c r="D1531" s="1520"/>
      <c r="E1531" s="665"/>
      <c r="F1531" s="1121"/>
      <c r="G1531" s="665"/>
      <c r="H1531" s="1553"/>
    </row>
    <row r="1532" spans="1:8">
      <c r="A1532" s="1548"/>
      <c r="B1532" s="1548"/>
      <c r="C1532" s="1548"/>
      <c r="D1532" s="1520"/>
      <c r="E1532" s="665"/>
      <c r="F1532" s="1121"/>
      <c r="G1532" s="665"/>
      <c r="H1532" s="1553"/>
    </row>
    <row r="1533" spans="1:8">
      <c r="A1533" s="1548"/>
      <c r="B1533" s="1548"/>
      <c r="C1533" s="1548"/>
      <c r="D1533" s="1520"/>
      <c r="E1533" s="665"/>
      <c r="F1533" s="1121"/>
      <c r="G1533" s="665"/>
      <c r="H1533" s="1553"/>
    </row>
    <row r="1534" spans="1:8">
      <c r="A1534" s="1548"/>
      <c r="B1534" s="1548"/>
      <c r="C1534" s="1548"/>
      <c r="D1534" s="1520"/>
      <c r="E1534" s="665"/>
      <c r="F1534" s="1121"/>
      <c r="G1534" s="665"/>
      <c r="H1534" s="1553"/>
    </row>
    <row r="1535" spans="1:8">
      <c r="A1535" s="1548"/>
      <c r="B1535" s="1548"/>
      <c r="C1535" s="1548"/>
      <c r="D1535" s="1520"/>
      <c r="E1535" s="665"/>
      <c r="F1535" s="1121"/>
      <c r="G1535" s="665"/>
      <c r="H1535" s="1553"/>
    </row>
    <row r="1536" spans="1:8">
      <c r="A1536" s="1548"/>
      <c r="B1536" s="1548"/>
      <c r="C1536" s="1548"/>
      <c r="D1536" s="1520"/>
      <c r="E1536" s="665"/>
      <c r="F1536" s="1121"/>
      <c r="G1536" s="665"/>
      <c r="H1536" s="1553"/>
    </row>
    <row r="1537" spans="1:8">
      <c r="A1537" s="1548"/>
      <c r="B1537" s="1548"/>
      <c r="C1537" s="1548"/>
      <c r="D1537" s="1520"/>
      <c r="E1537" s="665"/>
      <c r="F1537" s="1121"/>
      <c r="G1537" s="665"/>
      <c r="H1537" s="1553"/>
    </row>
    <row r="1538" spans="1:8">
      <c r="A1538" s="1548"/>
      <c r="B1538" s="1548"/>
      <c r="C1538" s="1548"/>
      <c r="D1538" s="1520"/>
      <c r="E1538" s="665"/>
      <c r="F1538" s="1121"/>
      <c r="G1538" s="665"/>
      <c r="H1538" s="1553"/>
    </row>
    <row r="1539" spans="1:8">
      <c r="A1539" s="1548"/>
      <c r="B1539" s="1548"/>
      <c r="C1539" s="1548"/>
      <c r="D1539" s="1520"/>
      <c r="E1539" s="665"/>
      <c r="F1539" s="1121"/>
      <c r="G1539" s="665"/>
      <c r="H1539" s="1553"/>
    </row>
    <row r="1540" spans="1:8">
      <c r="A1540" s="1548"/>
      <c r="B1540" s="1548"/>
      <c r="C1540" s="1548"/>
      <c r="D1540" s="1520"/>
      <c r="E1540" s="665"/>
      <c r="F1540" s="1121"/>
      <c r="G1540" s="665"/>
      <c r="H1540" s="1553"/>
    </row>
    <row r="1541" spans="1:8">
      <c r="A1541" s="1548"/>
      <c r="B1541" s="1548"/>
      <c r="C1541" s="1548"/>
      <c r="D1541" s="1520"/>
      <c r="E1541" s="665"/>
      <c r="F1541" s="1121"/>
      <c r="G1541" s="665"/>
      <c r="H1541" s="1553"/>
    </row>
    <row r="1542" spans="1:8">
      <c r="A1542" s="1548"/>
      <c r="B1542" s="1548"/>
      <c r="C1542" s="1548"/>
      <c r="D1542" s="1520"/>
      <c r="E1542" s="665"/>
      <c r="F1542" s="1121"/>
      <c r="G1542" s="665"/>
      <c r="H1542" s="1553"/>
    </row>
    <row r="1543" spans="1:8">
      <c r="A1543" s="1548"/>
      <c r="B1543" s="1548"/>
      <c r="C1543" s="1548"/>
      <c r="D1543" s="1520"/>
      <c r="E1543" s="665"/>
      <c r="F1543" s="1121"/>
      <c r="G1543" s="665"/>
      <c r="H1543" s="1553"/>
    </row>
    <row r="1544" spans="1:8">
      <c r="A1544" s="1548"/>
      <c r="B1544" s="1548"/>
      <c r="C1544" s="1548"/>
      <c r="D1544" s="1520"/>
      <c r="E1544" s="665"/>
      <c r="F1544" s="1121"/>
      <c r="G1544" s="665"/>
      <c r="H1544" s="1553"/>
    </row>
    <row r="1545" spans="1:8">
      <c r="A1545" s="1548"/>
      <c r="B1545" s="1548"/>
      <c r="C1545" s="1548"/>
      <c r="D1545" s="1520"/>
      <c r="E1545" s="665"/>
      <c r="F1545" s="1121"/>
      <c r="G1545" s="665"/>
      <c r="H1545" s="1553"/>
    </row>
    <row r="1546" spans="1:8">
      <c r="A1546" s="1548"/>
      <c r="B1546" s="1548"/>
      <c r="C1546" s="1548"/>
      <c r="D1546" s="1520"/>
      <c r="E1546" s="665"/>
      <c r="F1546" s="1121"/>
      <c r="G1546" s="665"/>
      <c r="H1546" s="1553"/>
    </row>
    <row r="1547" spans="1:8">
      <c r="A1547" s="1548"/>
      <c r="B1547" s="1548"/>
      <c r="C1547" s="1548"/>
      <c r="D1547" s="1520"/>
      <c r="E1547" s="665"/>
      <c r="F1547" s="1121"/>
      <c r="G1547" s="665"/>
      <c r="H1547" s="1553"/>
    </row>
    <row r="1548" spans="1:8">
      <c r="A1548" s="1548"/>
      <c r="B1548" s="1548"/>
      <c r="C1548" s="1548"/>
      <c r="D1548" s="1520"/>
      <c r="E1548" s="665"/>
      <c r="F1548" s="1121"/>
      <c r="G1548" s="665"/>
      <c r="H1548" s="1553"/>
    </row>
    <row r="1549" spans="1:8">
      <c r="A1549" s="1548"/>
      <c r="B1549" s="1548"/>
      <c r="C1549" s="1548"/>
      <c r="D1549" s="1520"/>
      <c r="E1549" s="665"/>
      <c r="F1549" s="1121"/>
      <c r="G1549" s="665"/>
      <c r="H1549" s="1553"/>
    </row>
    <row r="1550" spans="1:8">
      <c r="A1550" s="1548"/>
      <c r="B1550" s="1548"/>
      <c r="C1550" s="1548"/>
      <c r="D1550" s="1520"/>
      <c r="E1550" s="665"/>
      <c r="F1550" s="1121"/>
      <c r="G1550" s="665"/>
      <c r="H1550" s="1553"/>
    </row>
    <row r="1551" spans="1:8">
      <c r="A1551" s="1548"/>
      <c r="B1551" s="1548"/>
      <c r="C1551" s="1548"/>
      <c r="D1551" s="1520"/>
      <c r="E1551" s="665"/>
      <c r="F1551" s="1121"/>
      <c r="G1551" s="665"/>
      <c r="H1551" s="1553"/>
    </row>
    <row r="1552" spans="1:8">
      <c r="A1552" s="1548"/>
      <c r="B1552" s="1548"/>
      <c r="C1552" s="1548"/>
      <c r="D1552" s="1520"/>
      <c r="E1552" s="665"/>
      <c r="F1552" s="1121"/>
      <c r="G1552" s="665"/>
      <c r="H1552" s="1553"/>
    </row>
    <row r="1553" spans="1:8">
      <c r="A1553" s="1548"/>
      <c r="B1553" s="1548"/>
      <c r="C1553" s="1548"/>
      <c r="D1553" s="1520"/>
      <c r="E1553" s="665"/>
      <c r="F1553" s="1121"/>
      <c r="G1553" s="665"/>
      <c r="H1553" s="1553"/>
    </row>
    <row r="1554" spans="1:8">
      <c r="A1554" s="1548"/>
      <c r="B1554" s="1548"/>
      <c r="C1554" s="1548"/>
      <c r="D1554" s="1520"/>
      <c r="E1554" s="665"/>
      <c r="F1554" s="1121"/>
      <c r="G1554" s="665"/>
      <c r="H1554" s="1553"/>
    </row>
    <row r="1555" spans="1:8">
      <c r="A1555" s="1548"/>
      <c r="B1555" s="1548"/>
      <c r="C1555" s="1548"/>
      <c r="D1555" s="1520"/>
      <c r="E1555" s="665"/>
      <c r="F1555" s="1121"/>
      <c r="G1555" s="665"/>
      <c r="H1555" s="1553"/>
    </row>
    <row r="1556" spans="1:8">
      <c r="A1556" s="1548"/>
      <c r="B1556" s="1548"/>
      <c r="C1556" s="1548"/>
      <c r="D1556" s="1520"/>
      <c r="E1556" s="665"/>
      <c r="F1556" s="1121"/>
      <c r="G1556" s="665"/>
      <c r="H1556" s="1553"/>
    </row>
    <row r="1557" spans="1:8">
      <c r="A1557" s="1548"/>
      <c r="B1557" s="1548"/>
      <c r="C1557" s="1548"/>
      <c r="D1557" s="1520"/>
      <c r="E1557" s="665"/>
      <c r="F1557" s="1121"/>
      <c r="G1557" s="665"/>
      <c r="H1557" s="1553"/>
    </row>
    <row r="1558" spans="1:8">
      <c r="A1558" s="1548"/>
      <c r="B1558" s="1548"/>
      <c r="C1558" s="1548"/>
      <c r="D1558" s="1520"/>
      <c r="E1558" s="665"/>
      <c r="F1558" s="1121"/>
      <c r="G1558" s="665"/>
      <c r="H1558" s="1553"/>
    </row>
    <row r="1559" spans="1:8">
      <c r="A1559" s="1548"/>
      <c r="B1559" s="1548"/>
      <c r="C1559" s="1548"/>
      <c r="D1559" s="1520"/>
      <c r="E1559" s="665"/>
      <c r="F1559" s="1121"/>
      <c r="G1559" s="665"/>
      <c r="H1559" s="1553"/>
    </row>
    <row r="1560" spans="1:8">
      <c r="A1560" s="1548"/>
      <c r="B1560" s="1548"/>
      <c r="C1560" s="1548"/>
      <c r="D1560" s="1520"/>
      <c r="E1560" s="665"/>
      <c r="F1560" s="1121"/>
      <c r="G1560" s="665"/>
      <c r="H1560" s="1553"/>
    </row>
    <row r="1561" spans="1:8">
      <c r="A1561" s="1548"/>
      <c r="B1561" s="1548"/>
      <c r="C1561" s="1548"/>
      <c r="D1561" s="1520"/>
      <c r="E1561" s="665"/>
      <c r="F1561" s="1121"/>
      <c r="G1561" s="665"/>
      <c r="H1561" s="1553"/>
    </row>
    <row r="1562" spans="1:8">
      <c r="A1562" s="1548"/>
      <c r="B1562" s="1548"/>
      <c r="C1562" s="1548"/>
      <c r="D1562" s="1520"/>
      <c r="E1562" s="665"/>
      <c r="F1562" s="1121"/>
      <c r="G1562" s="665"/>
      <c r="H1562" s="1553"/>
    </row>
    <row r="1563" spans="1:8">
      <c r="A1563" s="1548"/>
      <c r="B1563" s="1548"/>
      <c r="C1563" s="1548"/>
      <c r="D1563" s="1520"/>
      <c r="E1563" s="665"/>
      <c r="F1563" s="1121"/>
      <c r="G1563" s="665"/>
      <c r="H1563" s="1553"/>
    </row>
    <row r="1564" spans="1:8">
      <c r="A1564" s="1548"/>
      <c r="B1564" s="1548"/>
      <c r="C1564" s="1548"/>
      <c r="D1564" s="1520"/>
      <c r="E1564" s="665"/>
      <c r="F1564" s="1121"/>
      <c r="G1564" s="665"/>
      <c r="H1564" s="1553"/>
    </row>
    <row r="1565" spans="1:8">
      <c r="A1565" s="1548"/>
      <c r="B1565" s="1548"/>
      <c r="C1565" s="1548"/>
      <c r="D1565" s="1520"/>
      <c r="E1565" s="665"/>
      <c r="F1565" s="1121"/>
      <c r="G1565" s="665"/>
      <c r="H1565" s="1553"/>
    </row>
    <row r="1566" spans="1:8">
      <c r="A1566" s="1548"/>
      <c r="B1566" s="1548"/>
      <c r="C1566" s="1548"/>
      <c r="D1566" s="1520"/>
      <c r="E1566" s="665"/>
      <c r="F1566" s="1121"/>
      <c r="G1566" s="665"/>
      <c r="H1566" s="1553"/>
    </row>
    <row r="1567" spans="1:8">
      <c r="A1567" s="1548"/>
      <c r="B1567" s="1548"/>
      <c r="C1567" s="1548"/>
      <c r="D1567" s="1520"/>
      <c r="E1567" s="665"/>
      <c r="F1567" s="1121"/>
      <c r="G1567" s="665"/>
      <c r="H1567" s="1553"/>
    </row>
    <row r="1568" spans="1:8">
      <c r="A1568" s="1548"/>
      <c r="B1568" s="1548"/>
      <c r="C1568" s="1548"/>
      <c r="D1568" s="1520"/>
      <c r="E1568" s="665"/>
      <c r="F1568" s="1121"/>
      <c r="G1568" s="665"/>
      <c r="H1568" s="1553"/>
    </row>
    <row r="1569" spans="1:8">
      <c r="A1569" s="1548"/>
      <c r="B1569" s="1548"/>
      <c r="C1569" s="1548"/>
      <c r="D1569" s="1520"/>
      <c r="E1569" s="665"/>
      <c r="F1569" s="1121"/>
      <c r="G1569" s="665"/>
      <c r="H1569" s="1553"/>
    </row>
    <row r="1570" spans="1:8">
      <c r="A1570" s="1548"/>
      <c r="B1570" s="1548"/>
      <c r="C1570" s="1548"/>
      <c r="D1570" s="1520"/>
      <c r="E1570" s="665"/>
      <c r="F1570" s="1121"/>
      <c r="G1570" s="665"/>
      <c r="H1570" s="1553"/>
    </row>
    <row r="1571" spans="1:8">
      <c r="A1571" s="1548"/>
      <c r="B1571" s="1548"/>
      <c r="C1571" s="1548"/>
      <c r="D1571" s="1520"/>
      <c r="E1571" s="665"/>
      <c r="F1571" s="1121"/>
      <c r="G1571" s="665"/>
      <c r="H1571" s="1553"/>
    </row>
    <row r="1572" spans="1:8">
      <c r="A1572" s="1548"/>
      <c r="B1572" s="1548"/>
      <c r="C1572" s="1548"/>
      <c r="D1572" s="1520"/>
      <c r="E1572" s="665"/>
      <c r="F1572" s="1121"/>
      <c r="G1572" s="665"/>
      <c r="H1572" s="1553"/>
    </row>
    <row r="1573" spans="1:8">
      <c r="A1573" s="1548"/>
      <c r="B1573" s="1548"/>
      <c r="C1573" s="1548"/>
      <c r="D1573" s="1520"/>
      <c r="E1573" s="665"/>
      <c r="F1573" s="1121"/>
      <c r="G1573" s="665"/>
      <c r="H1573" s="1553"/>
    </row>
    <row r="1574" spans="1:8">
      <c r="A1574" s="1548"/>
      <c r="B1574" s="1548"/>
      <c r="C1574" s="1548"/>
      <c r="D1574" s="1520"/>
      <c r="E1574" s="665"/>
      <c r="F1574" s="1121"/>
      <c r="G1574" s="665"/>
      <c r="H1574" s="1553"/>
    </row>
    <row r="1575" spans="1:8">
      <c r="A1575" s="1548"/>
      <c r="B1575" s="1548"/>
      <c r="C1575" s="1548"/>
      <c r="D1575" s="1520"/>
      <c r="E1575" s="665"/>
      <c r="F1575" s="1121"/>
      <c r="G1575" s="665"/>
      <c r="H1575" s="1553"/>
    </row>
    <row r="1576" spans="1:8">
      <c r="A1576" s="1548"/>
      <c r="B1576" s="1548"/>
      <c r="C1576" s="1548"/>
      <c r="D1576" s="1520"/>
      <c r="E1576" s="665"/>
      <c r="F1576" s="1121"/>
      <c r="G1576" s="665"/>
      <c r="H1576" s="1553"/>
    </row>
    <row r="1577" spans="1:8">
      <c r="A1577" s="1548"/>
      <c r="B1577" s="1548"/>
      <c r="C1577" s="1548"/>
      <c r="D1577" s="1520"/>
      <c r="E1577" s="665"/>
      <c r="F1577" s="1121"/>
      <c r="G1577" s="665"/>
      <c r="H1577" s="1553"/>
    </row>
    <row r="1578" spans="1:8">
      <c r="A1578" s="1548"/>
      <c r="B1578" s="1548"/>
      <c r="C1578" s="1548"/>
      <c r="D1578" s="1520"/>
      <c r="E1578" s="665"/>
      <c r="F1578" s="1121"/>
      <c r="G1578" s="665"/>
      <c r="H1578" s="1553"/>
    </row>
    <row r="1579" spans="1:8">
      <c r="A1579" s="1548"/>
      <c r="B1579" s="1548"/>
      <c r="C1579" s="1548"/>
      <c r="D1579" s="1520"/>
      <c r="E1579" s="665"/>
      <c r="F1579" s="1121"/>
      <c r="G1579" s="665"/>
      <c r="H1579" s="1553"/>
    </row>
    <row r="1580" spans="1:8">
      <c r="A1580" s="1548"/>
      <c r="B1580" s="1548"/>
      <c r="C1580" s="1548"/>
      <c r="D1580" s="1520"/>
      <c r="E1580" s="665"/>
      <c r="F1580" s="1121"/>
      <c r="G1580" s="665"/>
      <c r="H1580" s="1553"/>
    </row>
    <row r="1581" spans="1:8">
      <c r="A1581" s="1548"/>
      <c r="B1581" s="1548"/>
      <c r="C1581" s="1548"/>
      <c r="D1581" s="1520"/>
      <c r="E1581" s="665"/>
      <c r="F1581" s="1121"/>
      <c r="G1581" s="665"/>
      <c r="H1581" s="1553"/>
    </row>
    <row r="1582" spans="1:8">
      <c r="A1582" s="1548"/>
      <c r="B1582" s="1548"/>
      <c r="C1582" s="1548"/>
      <c r="D1582" s="1520"/>
      <c r="E1582" s="665"/>
      <c r="F1582" s="1121"/>
      <c r="G1582" s="665"/>
      <c r="H1582" s="1553"/>
    </row>
    <row r="1583" spans="1:8">
      <c r="A1583" s="1548"/>
      <c r="B1583" s="1548"/>
      <c r="C1583" s="1548"/>
      <c r="D1583" s="1520"/>
      <c r="E1583" s="665"/>
      <c r="F1583" s="1121"/>
      <c r="G1583" s="665"/>
      <c r="H1583" s="1553"/>
    </row>
    <row r="1584" spans="1:8">
      <c r="A1584" s="1548"/>
      <c r="B1584" s="1548"/>
      <c r="C1584" s="1548"/>
      <c r="D1584" s="1520"/>
      <c r="E1584" s="665"/>
      <c r="F1584" s="1121"/>
      <c r="G1584" s="665"/>
      <c r="H1584" s="1553"/>
    </row>
    <row r="1585" spans="1:8">
      <c r="A1585" s="1548"/>
      <c r="B1585" s="1548"/>
      <c r="C1585" s="1548"/>
      <c r="D1585" s="1520"/>
      <c r="E1585" s="665"/>
      <c r="F1585" s="1121"/>
      <c r="G1585" s="665"/>
      <c r="H1585" s="1553"/>
    </row>
    <row r="1586" spans="1:8">
      <c r="A1586" s="1548"/>
      <c r="B1586" s="1548"/>
      <c r="C1586" s="1548"/>
      <c r="D1586" s="1520"/>
      <c r="E1586" s="665"/>
      <c r="F1586" s="1121"/>
      <c r="G1586" s="665"/>
      <c r="H1586" s="1553"/>
    </row>
    <row r="1587" spans="1:8">
      <c r="A1587" s="1548"/>
      <c r="B1587" s="1548"/>
      <c r="C1587" s="1548"/>
      <c r="D1587" s="1520"/>
      <c r="E1587" s="665"/>
      <c r="F1587" s="1121"/>
      <c r="G1587" s="665"/>
      <c r="H1587" s="1553"/>
    </row>
    <row r="1588" spans="1:8">
      <c r="A1588" s="1548"/>
      <c r="B1588" s="1548"/>
      <c r="C1588" s="1548"/>
      <c r="D1588" s="1520"/>
      <c r="E1588" s="665"/>
      <c r="F1588" s="1121"/>
      <c r="G1588" s="665"/>
      <c r="H1588" s="1553"/>
    </row>
    <row r="1589" spans="1:8">
      <c r="A1589" s="1548"/>
      <c r="B1589" s="1548"/>
      <c r="C1589" s="1548"/>
      <c r="D1589" s="1520"/>
      <c r="E1589" s="665"/>
      <c r="F1589" s="1121"/>
      <c r="G1589" s="665"/>
      <c r="H1589" s="1553"/>
    </row>
    <row r="1590" spans="1:8">
      <c r="A1590" s="1548"/>
      <c r="B1590" s="1548"/>
      <c r="C1590" s="1548"/>
      <c r="D1590" s="1520"/>
      <c r="E1590" s="665"/>
      <c r="F1590" s="1121"/>
      <c r="G1590" s="665"/>
      <c r="H1590" s="1553"/>
    </row>
    <row r="1591" spans="1:8">
      <c r="A1591" s="1548"/>
      <c r="B1591" s="1548"/>
      <c r="C1591" s="1548"/>
      <c r="D1591" s="1520"/>
      <c r="E1591" s="665"/>
      <c r="F1591" s="1121"/>
      <c r="G1591" s="665"/>
      <c r="H1591" s="1553"/>
    </row>
    <row r="1592" spans="1:8">
      <c r="A1592" s="1548"/>
      <c r="B1592" s="1548"/>
      <c r="C1592" s="1548"/>
      <c r="D1592" s="1520"/>
      <c r="E1592" s="665"/>
      <c r="F1592" s="1121"/>
      <c r="G1592" s="665"/>
      <c r="H1592" s="1553"/>
    </row>
    <row r="1593" spans="1:8">
      <c r="A1593" s="1548"/>
      <c r="B1593" s="1548"/>
      <c r="C1593" s="1548"/>
      <c r="D1593" s="1520"/>
      <c r="E1593" s="665"/>
      <c r="F1593" s="1121"/>
      <c r="G1593" s="665"/>
      <c r="H1593" s="1553"/>
    </row>
    <row r="1594" spans="1:8">
      <c r="A1594" s="1548"/>
      <c r="B1594" s="1548"/>
      <c r="C1594" s="1548"/>
      <c r="D1594" s="1520"/>
      <c r="E1594" s="665"/>
      <c r="F1594" s="1121"/>
      <c r="G1594" s="665"/>
      <c r="H1594" s="1553"/>
    </row>
    <row r="1595" spans="1:8">
      <c r="A1595" s="1548"/>
      <c r="B1595" s="1548"/>
      <c r="C1595" s="1548"/>
      <c r="D1595" s="1520"/>
      <c r="E1595" s="665"/>
      <c r="F1595" s="1121"/>
      <c r="G1595" s="665"/>
      <c r="H1595" s="1553"/>
    </row>
    <row r="1596" spans="1:8">
      <c r="A1596" s="1548"/>
      <c r="B1596" s="1548"/>
      <c r="C1596" s="1548"/>
      <c r="D1596" s="1520"/>
      <c r="E1596" s="665"/>
      <c r="F1596" s="1121"/>
      <c r="G1596" s="665"/>
      <c r="H1596" s="1553"/>
    </row>
    <row r="1597" spans="1:8">
      <c r="A1597" s="1548"/>
      <c r="B1597" s="1548"/>
      <c r="C1597" s="1548"/>
      <c r="D1597" s="1520"/>
      <c r="E1597" s="665"/>
      <c r="F1597" s="1121"/>
      <c r="G1597" s="665"/>
      <c r="H1597" s="1553"/>
    </row>
    <row r="1598" spans="1:8">
      <c r="A1598" s="1548"/>
      <c r="B1598" s="1548"/>
      <c r="C1598" s="1548"/>
      <c r="D1598" s="1520"/>
      <c r="E1598" s="665"/>
      <c r="F1598" s="1121"/>
      <c r="G1598" s="665"/>
      <c r="H1598" s="1553"/>
    </row>
    <row r="1599" spans="1:8">
      <c r="A1599" s="1548"/>
      <c r="B1599" s="1548"/>
      <c r="C1599" s="1548"/>
      <c r="D1599" s="1520"/>
      <c r="E1599" s="665"/>
      <c r="F1599" s="1121"/>
      <c r="G1599" s="665"/>
      <c r="H1599" s="1553"/>
    </row>
    <row r="1600" spans="1:8">
      <c r="A1600" s="1548"/>
      <c r="B1600" s="1548"/>
      <c r="C1600" s="1548"/>
      <c r="D1600" s="1520"/>
      <c r="E1600" s="665"/>
      <c r="F1600" s="1121"/>
      <c r="G1600" s="665"/>
      <c r="H1600" s="1553"/>
    </row>
    <row r="1601" spans="1:8">
      <c r="A1601" s="1548"/>
      <c r="B1601" s="1548"/>
      <c r="C1601" s="1548"/>
      <c r="D1601" s="1520"/>
      <c r="E1601" s="665"/>
      <c r="F1601" s="1121"/>
      <c r="G1601" s="665"/>
      <c r="H1601" s="1553"/>
    </row>
    <row r="1602" spans="1:8">
      <c r="A1602" s="1548"/>
      <c r="B1602" s="1548"/>
      <c r="C1602" s="1548"/>
      <c r="D1602" s="1520"/>
      <c r="E1602" s="665"/>
      <c r="F1602" s="1121"/>
      <c r="G1602" s="665"/>
      <c r="H1602" s="1553"/>
    </row>
    <row r="1603" spans="1:8">
      <c r="A1603" s="1548"/>
      <c r="B1603" s="1548"/>
      <c r="C1603" s="1548"/>
      <c r="D1603" s="1520"/>
      <c r="E1603" s="665"/>
      <c r="F1603" s="1121"/>
      <c r="G1603" s="665"/>
      <c r="H1603" s="1553"/>
    </row>
    <row r="1604" spans="1:8">
      <c r="A1604" s="1548"/>
      <c r="B1604" s="1548"/>
      <c r="C1604" s="1548"/>
      <c r="D1604" s="1520"/>
      <c r="E1604" s="665"/>
      <c r="F1604" s="1121"/>
      <c r="G1604" s="665"/>
      <c r="H1604" s="1553"/>
    </row>
    <row r="1605" spans="1:8">
      <c r="A1605" s="1548"/>
      <c r="B1605" s="1548"/>
      <c r="C1605" s="1548"/>
      <c r="D1605" s="1520"/>
      <c r="E1605" s="665"/>
      <c r="F1605" s="1121"/>
      <c r="G1605" s="665"/>
      <c r="H1605" s="1553"/>
    </row>
    <row r="1606" spans="1:8">
      <c r="A1606" s="1548"/>
      <c r="B1606" s="1548"/>
      <c r="C1606" s="1548"/>
      <c r="D1606" s="1520"/>
      <c r="E1606" s="665"/>
      <c r="F1606" s="1121"/>
      <c r="G1606" s="665"/>
      <c r="H1606" s="1553"/>
    </row>
    <row r="1607" spans="1:8">
      <c r="A1607" s="1548"/>
      <c r="B1607" s="1548"/>
      <c r="C1607" s="1548"/>
      <c r="D1607" s="1520"/>
      <c r="E1607" s="665"/>
      <c r="F1607" s="1121"/>
      <c r="G1607" s="665"/>
      <c r="H1607" s="1553"/>
    </row>
    <row r="1608" spans="1:8">
      <c r="A1608" s="1548"/>
      <c r="B1608" s="1548"/>
      <c r="C1608" s="1548"/>
      <c r="D1608" s="1520"/>
      <c r="E1608" s="665"/>
      <c r="F1608" s="1121"/>
      <c r="G1608" s="665"/>
      <c r="H1608" s="1553"/>
    </row>
    <row r="1609" spans="1:8">
      <c r="A1609" s="1548"/>
      <c r="B1609" s="1548"/>
      <c r="C1609" s="1548"/>
      <c r="D1609" s="1520"/>
      <c r="E1609" s="665"/>
      <c r="F1609" s="1121"/>
      <c r="G1609" s="665"/>
      <c r="H1609" s="1553"/>
    </row>
    <row r="1610" spans="1:8">
      <c r="A1610" s="1548"/>
      <c r="B1610" s="1548"/>
      <c r="C1610" s="1548"/>
      <c r="D1610" s="1520"/>
      <c r="E1610" s="665"/>
      <c r="F1610" s="1121"/>
      <c r="G1610" s="665"/>
      <c r="H1610" s="1553"/>
    </row>
    <row r="1611" spans="1:8">
      <c r="A1611" s="1548"/>
      <c r="B1611" s="1548"/>
      <c r="C1611" s="1548"/>
      <c r="D1611" s="1520"/>
      <c r="E1611" s="665"/>
      <c r="F1611" s="1121"/>
      <c r="G1611" s="665"/>
      <c r="H1611" s="1553"/>
    </row>
    <row r="1612" spans="1:8">
      <c r="A1612" s="1548"/>
      <c r="B1612" s="1548"/>
      <c r="C1612" s="1548"/>
      <c r="D1612" s="1520"/>
      <c r="E1612" s="665"/>
      <c r="F1612" s="1121"/>
      <c r="G1612" s="665"/>
      <c r="H1612" s="1553"/>
    </row>
    <row r="1613" spans="1:8">
      <c r="A1613" s="1548"/>
      <c r="B1613" s="1548"/>
      <c r="C1613" s="1548"/>
      <c r="D1613" s="1520"/>
      <c r="E1613" s="665"/>
      <c r="F1613" s="1121"/>
      <c r="G1613" s="665"/>
      <c r="H1613" s="1553"/>
    </row>
    <row r="1614" spans="1:8">
      <c r="A1614" s="1548"/>
      <c r="B1614" s="1548"/>
      <c r="C1614" s="1548"/>
      <c r="D1614" s="1520"/>
      <c r="E1614" s="665"/>
      <c r="F1614" s="1121"/>
      <c r="G1614" s="665"/>
      <c r="H1614" s="1553"/>
    </row>
    <row r="1615" spans="1:8">
      <c r="A1615" s="1548"/>
      <c r="B1615" s="1548"/>
      <c r="C1615" s="1548"/>
      <c r="D1615" s="1520"/>
      <c r="E1615" s="665"/>
      <c r="F1615" s="1121"/>
      <c r="G1615" s="665"/>
      <c r="H1615" s="1553"/>
    </row>
    <row r="1616" spans="1:8">
      <c r="A1616" s="1548"/>
      <c r="B1616" s="1548"/>
      <c r="C1616" s="1548"/>
      <c r="D1616" s="1520"/>
      <c r="E1616" s="665"/>
      <c r="F1616" s="1121"/>
      <c r="G1616" s="665"/>
      <c r="H1616" s="1553"/>
    </row>
    <row r="1617" spans="1:8">
      <c r="A1617" s="1548"/>
      <c r="B1617" s="1548"/>
      <c r="C1617" s="1548"/>
      <c r="D1617" s="1520"/>
      <c r="E1617" s="665"/>
      <c r="F1617" s="1121"/>
      <c r="G1617" s="665"/>
      <c r="H1617" s="1553"/>
    </row>
    <row r="1618" spans="1:8">
      <c r="A1618" s="1548"/>
      <c r="B1618" s="1548"/>
      <c r="C1618" s="1548"/>
      <c r="D1618" s="1520"/>
      <c r="E1618" s="665"/>
      <c r="F1618" s="1121"/>
      <c r="G1618" s="665"/>
      <c r="H1618" s="1553"/>
    </row>
    <row r="1619" spans="1:8">
      <c r="A1619" s="1548"/>
      <c r="B1619" s="1548"/>
      <c r="C1619" s="1548"/>
      <c r="D1619" s="1520"/>
      <c r="E1619" s="665"/>
      <c r="F1619" s="1121"/>
      <c r="G1619" s="665"/>
      <c r="H1619" s="1553"/>
    </row>
    <row r="1620" spans="1:8">
      <c r="A1620" s="1548"/>
      <c r="B1620" s="1548"/>
      <c r="C1620" s="1548"/>
      <c r="D1620" s="1520"/>
      <c r="E1620" s="665"/>
      <c r="F1620" s="1121"/>
      <c r="G1620" s="665"/>
      <c r="H1620" s="1553"/>
    </row>
    <row r="1621" spans="1:8">
      <c r="A1621" s="1548"/>
      <c r="B1621" s="1548"/>
      <c r="C1621" s="1548"/>
      <c r="D1621" s="1520"/>
      <c r="E1621" s="665"/>
      <c r="F1621" s="1121"/>
      <c r="G1621" s="665"/>
      <c r="H1621" s="1553"/>
    </row>
    <row r="1622" spans="1:8">
      <c r="A1622" s="1548"/>
      <c r="B1622" s="1548"/>
      <c r="C1622" s="1548"/>
      <c r="D1622" s="1520"/>
      <c r="E1622" s="665"/>
      <c r="F1622" s="1121"/>
      <c r="G1622" s="665"/>
      <c r="H1622" s="1553"/>
    </row>
    <row r="1623" spans="1:8">
      <c r="A1623" s="1548"/>
      <c r="B1623" s="1548"/>
      <c r="C1623" s="1548"/>
      <c r="D1623" s="1520"/>
      <c r="E1623" s="665"/>
      <c r="F1623" s="1121"/>
      <c r="G1623" s="665"/>
      <c r="H1623" s="1553"/>
    </row>
    <row r="1624" spans="1:8">
      <c r="A1624" s="1548"/>
      <c r="B1624" s="1548"/>
      <c r="C1624" s="1548"/>
      <c r="D1624" s="1520"/>
      <c r="E1624" s="665"/>
      <c r="F1624" s="1121"/>
      <c r="G1624" s="665"/>
      <c r="H1624" s="1553"/>
    </row>
    <row r="1625" spans="1:8">
      <c r="A1625" s="1548"/>
      <c r="B1625" s="1548"/>
      <c r="C1625" s="1548"/>
      <c r="D1625" s="1520"/>
      <c r="E1625" s="665"/>
      <c r="F1625" s="1121"/>
      <c r="G1625" s="665"/>
      <c r="H1625" s="1553"/>
    </row>
    <row r="1626" spans="1:8">
      <c r="A1626" s="1548"/>
      <c r="B1626" s="1548"/>
      <c r="C1626" s="1548"/>
      <c r="D1626" s="1520"/>
      <c r="E1626" s="665"/>
      <c r="F1626" s="1121"/>
      <c r="G1626" s="665"/>
      <c r="H1626" s="1553"/>
    </row>
    <row r="1627" spans="1:8">
      <c r="A1627" s="1548"/>
      <c r="B1627" s="1548"/>
      <c r="C1627" s="1548"/>
      <c r="D1627" s="1520"/>
      <c r="E1627" s="665"/>
      <c r="F1627" s="1121"/>
      <c r="G1627" s="665"/>
      <c r="H1627" s="1553"/>
    </row>
    <row r="1628" spans="1:8">
      <c r="A1628" s="1548"/>
      <c r="B1628" s="1548"/>
      <c r="C1628" s="1548"/>
      <c r="D1628" s="1520"/>
      <c r="E1628" s="665"/>
      <c r="F1628" s="1121"/>
      <c r="G1628" s="665"/>
      <c r="H1628" s="1553"/>
    </row>
    <row r="1629" spans="1:8">
      <c r="A1629" s="1548"/>
      <c r="B1629" s="1548"/>
      <c r="C1629" s="1548"/>
      <c r="D1629" s="1520"/>
      <c r="E1629" s="665"/>
      <c r="F1629" s="1121"/>
      <c r="G1629" s="665"/>
      <c r="H1629" s="1553"/>
    </row>
    <row r="1630" spans="1:8">
      <c r="A1630" s="1548"/>
      <c r="B1630" s="1548"/>
      <c r="C1630" s="1548"/>
      <c r="D1630" s="1520"/>
      <c r="E1630" s="665"/>
      <c r="F1630" s="1121"/>
      <c r="G1630" s="665"/>
      <c r="H1630" s="1553"/>
    </row>
    <row r="1631" spans="1:8">
      <c r="A1631" s="1548"/>
      <c r="B1631" s="1548"/>
      <c r="C1631" s="1548"/>
      <c r="D1631" s="1520"/>
      <c r="E1631" s="665"/>
      <c r="F1631" s="1121"/>
      <c r="G1631" s="665"/>
      <c r="H1631" s="1553"/>
    </row>
    <row r="1632" spans="1:8">
      <c r="A1632" s="1548"/>
      <c r="B1632" s="1548"/>
      <c r="C1632" s="1548"/>
      <c r="D1632" s="1520"/>
      <c r="E1632" s="665"/>
      <c r="F1632" s="1121"/>
      <c r="G1632" s="665"/>
      <c r="H1632" s="1553"/>
    </row>
    <row r="1633" spans="1:8">
      <c r="A1633" s="1548"/>
      <c r="B1633" s="1548"/>
      <c r="C1633" s="1548"/>
      <c r="D1633" s="1520"/>
      <c r="E1633" s="665"/>
      <c r="F1633" s="1121"/>
      <c r="G1633" s="665"/>
      <c r="H1633" s="1553"/>
    </row>
    <row r="1634" spans="1:8">
      <c r="A1634" s="1548"/>
      <c r="B1634" s="1548"/>
      <c r="C1634" s="1548"/>
      <c r="D1634" s="1520"/>
      <c r="E1634" s="665"/>
      <c r="F1634" s="1121"/>
      <c r="G1634" s="665"/>
      <c r="H1634" s="1553"/>
    </row>
    <row r="1635" spans="1:8">
      <c r="A1635" s="1548"/>
      <c r="B1635" s="1548"/>
      <c r="C1635" s="1548"/>
      <c r="D1635" s="1520"/>
      <c r="E1635" s="665"/>
      <c r="F1635" s="1121"/>
      <c r="G1635" s="665"/>
      <c r="H1635" s="1553"/>
    </row>
    <row r="1636" spans="1:8">
      <c r="A1636" s="1548"/>
      <c r="B1636" s="1548"/>
      <c r="C1636" s="1548"/>
      <c r="D1636" s="1520"/>
      <c r="E1636" s="665"/>
      <c r="F1636" s="1121"/>
      <c r="G1636" s="665"/>
      <c r="H1636" s="1553"/>
    </row>
    <row r="1637" spans="1:8">
      <c r="A1637" s="1548"/>
      <c r="B1637" s="1548"/>
      <c r="C1637" s="1548"/>
      <c r="D1637" s="1520"/>
      <c r="E1637" s="665"/>
      <c r="F1637" s="1121"/>
      <c r="G1637" s="665"/>
      <c r="H1637" s="1553"/>
    </row>
    <row r="1638" spans="1:8">
      <c r="A1638" s="1548"/>
      <c r="B1638" s="1548"/>
      <c r="C1638" s="1548"/>
      <c r="D1638" s="1520"/>
      <c r="E1638" s="665"/>
      <c r="F1638" s="1121"/>
      <c r="G1638" s="665"/>
      <c r="H1638" s="1553"/>
    </row>
    <row r="1639" spans="1:8">
      <c r="A1639" s="1548"/>
      <c r="B1639" s="1548"/>
      <c r="C1639" s="1548"/>
      <c r="D1639" s="1520"/>
      <c r="E1639" s="665"/>
      <c r="F1639" s="1121"/>
      <c r="G1639" s="665"/>
      <c r="H1639" s="1553"/>
    </row>
    <row r="1640" spans="1:8">
      <c r="A1640" s="1548"/>
      <c r="B1640" s="1548"/>
      <c r="C1640" s="1548"/>
      <c r="D1640" s="1520"/>
      <c r="E1640" s="665"/>
      <c r="F1640" s="1121"/>
      <c r="G1640" s="665"/>
      <c r="H1640" s="1553"/>
    </row>
    <row r="1641" spans="1:8">
      <c r="A1641" s="1548"/>
      <c r="B1641" s="1548"/>
      <c r="C1641" s="1548"/>
      <c r="D1641" s="1520"/>
      <c r="E1641" s="665"/>
      <c r="F1641" s="1121"/>
      <c r="G1641" s="665"/>
      <c r="H1641" s="1553"/>
    </row>
    <row r="1642" spans="1:8">
      <c r="A1642" s="1548"/>
      <c r="B1642" s="1548"/>
      <c r="C1642" s="1548"/>
      <c r="D1642" s="1520"/>
      <c r="E1642" s="665"/>
      <c r="F1642" s="1121"/>
      <c r="G1642" s="665"/>
      <c r="H1642" s="1553"/>
    </row>
    <row r="1643" spans="1:8">
      <c r="A1643" s="1548"/>
      <c r="B1643" s="1548"/>
      <c r="C1643" s="1548"/>
      <c r="D1643" s="1520"/>
      <c r="E1643" s="665"/>
      <c r="F1643" s="1121"/>
      <c r="G1643" s="665"/>
      <c r="H1643" s="1553"/>
    </row>
    <row r="1644" spans="1:8">
      <c r="A1644" s="1548"/>
      <c r="B1644" s="1548"/>
      <c r="C1644" s="1548"/>
      <c r="D1644" s="1520"/>
      <c r="E1644" s="665"/>
      <c r="F1644" s="1121"/>
      <c r="G1644" s="665"/>
      <c r="H1644" s="1553"/>
    </row>
    <row r="1645" spans="1:8">
      <c r="A1645" s="1548"/>
      <c r="B1645" s="1548"/>
      <c r="C1645" s="1548"/>
      <c r="D1645" s="1520"/>
      <c r="E1645" s="665"/>
      <c r="F1645" s="1121"/>
      <c r="G1645" s="665"/>
      <c r="H1645" s="1553"/>
    </row>
    <row r="1646" spans="1:8">
      <c r="A1646" s="1548"/>
      <c r="B1646" s="1548"/>
      <c r="C1646" s="1548"/>
      <c r="D1646" s="1520"/>
      <c r="E1646" s="665"/>
      <c r="F1646" s="1121"/>
      <c r="G1646" s="665"/>
      <c r="H1646" s="1553"/>
    </row>
    <row r="1647" spans="1:8">
      <c r="A1647" s="1548"/>
      <c r="B1647" s="1548"/>
      <c r="C1647" s="1548"/>
      <c r="D1647" s="1520"/>
      <c r="E1647" s="665"/>
      <c r="F1647" s="1121"/>
      <c r="G1647" s="665"/>
      <c r="H1647" s="1553"/>
    </row>
    <row r="1648" spans="1:8">
      <c r="A1648" s="1548"/>
      <c r="B1648" s="1548"/>
      <c r="C1648" s="1548"/>
      <c r="D1648" s="1520"/>
      <c r="E1648" s="665"/>
      <c r="F1648" s="1121"/>
      <c r="G1648" s="665"/>
      <c r="H1648" s="1553"/>
    </row>
    <row r="1649" spans="1:8">
      <c r="A1649" s="1548"/>
      <c r="B1649" s="1548"/>
      <c r="C1649" s="1548"/>
      <c r="D1649" s="1520"/>
      <c r="E1649" s="665"/>
      <c r="F1649" s="1121"/>
      <c r="G1649" s="665"/>
      <c r="H1649" s="1553"/>
    </row>
    <row r="1650" spans="1:8">
      <c r="A1650" s="1548"/>
      <c r="B1650" s="1548"/>
      <c r="C1650" s="1548"/>
      <c r="D1650" s="1520"/>
      <c r="E1650" s="665"/>
      <c r="F1650" s="1121"/>
      <c r="G1650" s="665"/>
      <c r="H1650" s="1553"/>
    </row>
    <row r="1651" spans="1:8">
      <c r="A1651" s="1548"/>
      <c r="B1651" s="1548"/>
      <c r="C1651" s="1548"/>
      <c r="D1651" s="1520"/>
      <c r="E1651" s="665"/>
      <c r="F1651" s="1121"/>
      <c r="G1651" s="665"/>
      <c r="H1651" s="1553"/>
    </row>
    <row r="1652" spans="1:8">
      <c r="A1652" s="1548"/>
      <c r="B1652" s="1548"/>
      <c r="C1652" s="1542"/>
      <c r="D1652" s="1520"/>
      <c r="E1652" s="665"/>
      <c r="F1652" s="1121"/>
      <c r="G1652" s="665"/>
      <c r="H1652" s="1553"/>
    </row>
    <row r="1653" spans="1:8">
      <c r="A1653" s="1548"/>
      <c r="B1653" s="1548"/>
      <c r="C1653" s="1542"/>
      <c r="D1653" s="1520"/>
      <c r="E1653" s="665"/>
      <c r="F1653" s="1121"/>
      <c r="G1653" s="665"/>
      <c r="H1653" s="1553"/>
    </row>
    <row r="1654" spans="1:8">
      <c r="A1654" s="1548"/>
      <c r="B1654" s="1548"/>
      <c r="C1654" s="1542"/>
      <c r="D1654" s="1520"/>
      <c r="E1654" s="665"/>
      <c r="F1654" s="1121"/>
      <c r="G1654" s="665"/>
      <c r="H1654" s="1553"/>
    </row>
    <row r="1655" spans="1:8">
      <c r="A1655" s="1548"/>
      <c r="B1655" s="1548"/>
      <c r="C1655" s="1548"/>
      <c r="D1655" s="1520"/>
      <c r="E1655" s="665"/>
      <c r="F1655" s="1121"/>
      <c r="G1655" s="665"/>
      <c r="H1655" s="1553"/>
    </row>
    <row r="1656" spans="1:8">
      <c r="A1656" s="1548"/>
      <c r="B1656" s="1548"/>
      <c r="C1656" s="1548"/>
      <c r="D1656" s="1520"/>
      <c r="E1656" s="665"/>
      <c r="F1656" s="1121"/>
      <c r="G1656" s="665"/>
      <c r="H1656" s="1553"/>
    </row>
    <row r="1657" spans="1:8">
      <c r="A1657" s="1548"/>
      <c r="B1657" s="1548"/>
      <c r="C1657" s="1548"/>
      <c r="D1657" s="1520"/>
      <c r="E1657" s="665"/>
      <c r="F1657" s="1121"/>
      <c r="G1657" s="665"/>
      <c r="H1657" s="1553"/>
    </row>
    <row r="1658" spans="1:8">
      <c r="A1658" s="1548"/>
      <c r="B1658" s="1548"/>
      <c r="C1658" s="1548"/>
      <c r="D1658" s="1520"/>
      <c r="E1658" s="665"/>
      <c r="F1658" s="1121"/>
      <c r="G1658" s="665"/>
      <c r="H1658" s="1553"/>
    </row>
    <row r="1659" spans="1:8">
      <c r="A1659" s="1548"/>
      <c r="B1659" s="1548"/>
      <c r="C1659" s="1548"/>
      <c r="D1659" s="1520"/>
      <c r="E1659" s="665"/>
      <c r="F1659" s="1121"/>
      <c r="G1659" s="665"/>
      <c r="H1659" s="1553"/>
    </row>
    <row r="1660" spans="1:8">
      <c r="A1660" s="1548"/>
      <c r="B1660" s="1548"/>
      <c r="C1660" s="1548"/>
      <c r="D1660" s="1520"/>
      <c r="E1660" s="665"/>
      <c r="F1660" s="1121"/>
      <c r="G1660" s="665"/>
      <c r="H1660" s="1553"/>
    </row>
    <row r="1661" spans="1:8">
      <c r="A1661" s="1548"/>
      <c r="B1661" s="1548"/>
      <c r="C1661" s="1548"/>
      <c r="D1661" s="1520"/>
      <c r="E1661" s="665"/>
      <c r="F1661" s="1121"/>
      <c r="G1661" s="665"/>
      <c r="H1661" s="1553"/>
    </row>
    <row r="1662" spans="1:8">
      <c r="A1662" s="1548"/>
      <c r="B1662" s="1548"/>
      <c r="C1662" s="1548"/>
      <c r="D1662" s="1520"/>
      <c r="E1662" s="665"/>
      <c r="F1662" s="1121"/>
      <c r="G1662" s="665"/>
      <c r="H1662" s="1553"/>
    </row>
    <row r="1663" spans="1:8">
      <c r="A1663" s="1548"/>
      <c r="B1663" s="1548"/>
      <c r="C1663" s="1548"/>
      <c r="D1663" s="1520"/>
      <c r="E1663" s="665"/>
      <c r="F1663" s="1121"/>
      <c r="G1663" s="665"/>
      <c r="H1663" s="1553"/>
    </row>
    <row r="1664" spans="1:8">
      <c r="A1664" s="1548"/>
      <c r="B1664" s="1548"/>
      <c r="C1664" s="1548"/>
      <c r="D1664" s="1520"/>
      <c r="E1664" s="665"/>
      <c r="F1664" s="1121"/>
      <c r="G1664" s="665"/>
      <c r="H1664" s="1553"/>
    </row>
    <row r="1665" spans="1:8">
      <c r="A1665" s="1548"/>
      <c r="B1665" s="1548"/>
      <c r="C1665" s="1548"/>
      <c r="D1665" s="1520"/>
      <c r="E1665" s="665"/>
      <c r="F1665" s="1121"/>
      <c r="G1665" s="665"/>
      <c r="H1665" s="1553"/>
    </row>
    <row r="1666" spans="1:8">
      <c r="A1666" s="1548"/>
      <c r="B1666" s="1548"/>
      <c r="C1666" s="1548"/>
      <c r="D1666" s="1520"/>
      <c r="E1666" s="665"/>
      <c r="F1666" s="1121"/>
      <c r="G1666" s="665"/>
      <c r="H1666" s="1553"/>
    </row>
    <row r="1667" spans="1:8">
      <c r="A1667" s="1548"/>
      <c r="B1667" s="1548"/>
      <c r="C1667" s="1548"/>
      <c r="D1667" s="1520"/>
      <c r="E1667" s="665"/>
      <c r="F1667" s="1121"/>
      <c r="G1667" s="665"/>
      <c r="H1667" s="1553"/>
    </row>
    <row r="1668" spans="1:8">
      <c r="A1668" s="1548"/>
      <c r="B1668" s="1548"/>
      <c r="C1668" s="1548"/>
      <c r="D1668" s="1520"/>
      <c r="E1668" s="665"/>
      <c r="F1668" s="1121"/>
      <c r="G1668" s="665"/>
      <c r="H1668" s="1553"/>
    </row>
    <row r="1669" spans="1:8">
      <c r="A1669" s="1548"/>
      <c r="B1669" s="1548"/>
      <c r="C1669" s="1548"/>
      <c r="D1669" s="1520"/>
      <c r="E1669" s="665"/>
      <c r="F1669" s="1121"/>
      <c r="G1669" s="665"/>
      <c r="H1669" s="1553"/>
    </row>
    <row r="1670" spans="1:8">
      <c r="A1670" s="1548"/>
      <c r="B1670" s="1548"/>
      <c r="C1670" s="1548"/>
      <c r="D1670" s="1520"/>
      <c r="E1670" s="665"/>
      <c r="F1670" s="1121"/>
      <c r="G1670" s="665"/>
      <c r="H1670" s="1553"/>
    </row>
    <row r="1671" spans="1:8">
      <c r="A1671" s="1548"/>
      <c r="B1671" s="1548"/>
      <c r="C1671" s="1548"/>
      <c r="D1671" s="1520"/>
      <c r="E1671" s="665"/>
      <c r="F1671" s="1121"/>
      <c r="G1671" s="665"/>
      <c r="H1671" s="1553"/>
    </row>
  </sheetData>
  <pageMargins bottom="0.75" footer="0.3" header="0.3" left="0.7" right="0.7" top="0.75"/>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C1:AG1"/>
  <sheetViews>
    <sheetView workbookViewId="0" zoomScale="70" zoomScaleNormal="70">
      <selection activeCell="M12" sqref="M12"/>
    </sheetView>
  </sheetViews>
  <sheetFormatPr defaultRowHeight="12.75"/>
  <cols>
    <col min="1" max="2" style="1548" width="9.140625" collapsed="true"/>
    <col min="3" max="3" style="1548" width="9.140625" collapsed="false"/>
    <col min="4" max="4" style="1548" width="9.140625" collapsed="true"/>
    <col min="5" max="5" style="665" width="9.140625" collapsed="true"/>
    <col min="6" max="6" style="41" width="9.140625" collapsed="true"/>
    <col min="7" max="7" style="41" width="9.140625" collapsed="false"/>
    <col min="8" max="8" style="41" width="9.140625" collapsed="true"/>
    <col min="9" max="10" style="1548" width="9.140625" collapsed="false"/>
    <col min="11" max="11" style="1548" width="9.140625" collapsed="true"/>
    <col min="12" max="33" style="1548" width="9.140625" collapsed="false"/>
    <col min="34" max="16384" style="1548" width="9.140625" collapsed="true"/>
  </cols>
  <sheetData/>
  <pageMargins bottom="0.75" footer="0.3" header="0.3" left="0.7" right="0.7" top="0.75"/>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customWidth="true" style="50" width="3.7109375" collapsed="false"/>
    <col min="2" max="2" customWidth="true" style="50" width="4.85546875" collapsed="false"/>
    <col min="3" max="3" customWidth="true" style="1" width="13.28515625" collapsed="false"/>
    <col min="4" max="4" customWidth="true" style="1" width="21.5703125" collapsed="false"/>
    <col min="5" max="5" customWidth="true" style="1" width="26.28515625" collapsed="false"/>
    <col min="6" max="6" customWidth="true" style="1" width="31.5703125" collapsed="false"/>
    <col min="7" max="7" customWidth="true" style="1" width="15.8554687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t="s">
        <v>102</v>
      </c>
      <c r="C1" t="s">
        <v>102</v>
      </c>
      <c r="D1" t="s">
        <v>102</v>
      </c>
      <c r="E1" t="s">
        <v>102</v>
      </c>
      <c r="G1" s="136" t="s">
        <v>102</v>
      </c>
    </row>
    <row r="3" spans="1:7">
      <c r="A3" s="1717" t="s">
        <v>698</v>
      </c>
      <c r="B3" s="1717" t="s">
        <v>102</v>
      </c>
      <c r="C3" s="1717" t="s">
        <v>102</v>
      </c>
      <c r="D3" s="1717" t="s">
        <v>102</v>
      </c>
      <c r="E3" s="1717" t="s">
        <v>102</v>
      </c>
      <c r="F3" s="1717" t="s">
        <v>102</v>
      </c>
      <c r="G3" s="1717" t="s">
        <v>102</v>
      </c>
    </row>
    <row r="4" spans="1:7">
      <c r="A4" s="11" t="s">
        <v>102</v>
      </c>
      <c r="B4" s="11" t="s">
        <v>102</v>
      </c>
      <c r="C4" s="11" t="s">
        <v>102</v>
      </c>
      <c r="D4" s="11" t="s">
        <v>102</v>
      </c>
      <c r="E4" s="11" t="s">
        <v>102</v>
      </c>
      <c r="F4" s="11" t="s">
        <v>102</v>
      </c>
      <c r="G4" s="11" t="s">
        <v>102</v>
      </c>
    </row>
    <row customHeight="1" ht="21" r="5" spans="1:7">
      <c r="A5" s="11" t="s">
        <v>102</v>
      </c>
      <c r="B5" s="1718" t="s">
        <v>699</v>
      </c>
      <c r="C5" s="1718" t="s">
        <v>102</v>
      </c>
      <c r="D5" s="1718" t="s">
        <v>102</v>
      </c>
      <c r="E5" s="1719" t="s">
        <v>3617</v>
      </c>
      <c r="F5" s="1719"/>
      <c r="G5" s="1719"/>
    </row>
    <row r="6" spans="1:7">
      <c r="A6" s="11" t="s">
        <v>102</v>
      </c>
      <c r="B6" s="85" t="s">
        <v>102</v>
      </c>
      <c r="C6" s="85" t="s">
        <v>102</v>
      </c>
      <c r="D6" s="85" t="s">
        <v>102</v>
      </c>
      <c r="E6" s="91" t="s">
        <v>102</v>
      </c>
      <c r="F6" s="91" t="s">
        <v>102</v>
      </c>
      <c r="G6" s="50" t="s">
        <v>102</v>
      </c>
    </row>
    <row ht="15" r="7" spans="1:7">
      <c r="A7" t="s">
        <v>102</v>
      </c>
      <c r="B7" s="34" t="s">
        <v>102</v>
      </c>
      <c r="C7" t="s">
        <v>102</v>
      </c>
      <c r="D7" t="s">
        <v>102</v>
      </c>
      <c r="E7" t="s">
        <v>102</v>
      </c>
    </row>
    <row customHeight="1" ht="42.75" r="8" spans="1:7">
      <c r="A8" s="137" t="s">
        <v>649</v>
      </c>
      <c r="B8" s="1720" t="s">
        <v>12</v>
      </c>
      <c r="C8" s="1720" t="s">
        <v>102</v>
      </c>
      <c r="D8" s="1720" t="s">
        <v>102</v>
      </c>
      <c r="E8" s="1720" t="s">
        <v>102</v>
      </c>
      <c r="F8" s="137" t="s">
        <v>700</v>
      </c>
      <c r="G8" s="137" t="s">
        <v>701</v>
      </c>
    </row>
    <row customHeight="1" ht="14.25" r="9" spans="1:7">
      <c r="A9" s="138" t="s">
        <v>702</v>
      </c>
      <c r="B9" s="138">
        <v>1</v>
      </c>
      <c r="C9" s="139">
        <v>2</v>
      </c>
      <c r="D9" s="1721">
        <v>3</v>
      </c>
      <c r="E9" s="1722" t="s">
        <v>102</v>
      </c>
      <c r="F9" s="138">
        <v>4</v>
      </c>
      <c r="G9" s="138">
        <v>6</v>
      </c>
    </row>
    <row customFormat="1" customHeight="1" ht="21.75" r="10" s="22" spans="1:7">
      <c r="A10" s="140">
        <v>1</v>
      </c>
      <c r="B10" s="1750" t="s">
        <v>703</v>
      </c>
      <c r="C10" s="1723" t="s">
        <v>698</v>
      </c>
      <c r="D10" s="1726" t="s">
        <v>704</v>
      </c>
      <c r="E10" s="1726" t="s">
        <v>102</v>
      </c>
      <c r="F10" s="141" t="s">
        <v>3617</v>
      </c>
      <c r="G10" s="142" t="s">
        <v>102</v>
      </c>
    </row>
    <row customFormat="1" customHeight="1" ht="23.25" r="11" s="22" spans="1:7">
      <c r="A11" s="140">
        <f ref="A11:A34" si="0" t="shared">A10+1</f>
        <v>2</v>
      </c>
      <c r="B11" s="1751" t="s">
        <v>102</v>
      </c>
      <c r="C11" s="1724" t="s">
        <v>102</v>
      </c>
      <c r="D11" s="1726" t="s">
        <v>705</v>
      </c>
      <c r="E11" s="1726" t="s">
        <v>102</v>
      </c>
      <c r="F11" s="141">
        <v>5648319</v>
      </c>
      <c r="G11" s="143" t="s">
        <v>102</v>
      </c>
    </row>
    <row customFormat="1" customHeight="1" ht="21.75" r="12" s="22" spans="1:7">
      <c r="A12" s="140">
        <f si="0" t="shared"/>
        <v>3</v>
      </c>
      <c r="B12" s="1751" t="s">
        <v>102</v>
      </c>
      <c r="C12" s="1724" t="s">
        <v>102</v>
      </c>
      <c r="D12" s="1726" t="s">
        <v>706</v>
      </c>
      <c r="E12" s="1726" t="s">
        <v>102</v>
      </c>
      <c r="F12" s="141"/>
      <c r="G12" s="143" t="s">
        <v>102</v>
      </c>
    </row>
    <row customFormat="1" customHeight="1" ht="22.5" r="13" s="22" spans="1:7">
      <c r="A13" s="140">
        <f si="0" t="shared"/>
        <v>4</v>
      </c>
      <c r="B13" s="1751" t="s">
        <v>102</v>
      </c>
      <c r="C13" s="1724" t="s">
        <v>102</v>
      </c>
      <c r="D13" s="1728" t="s">
        <v>707</v>
      </c>
      <c r="E13" s="1728" t="s">
        <v>102</v>
      </c>
      <c r="F13" s="141"/>
      <c r="G13" s="143" t="s">
        <v>102</v>
      </c>
    </row>
    <row customFormat="1" customHeight="1" ht="30.75" r="14" s="22" spans="1:7">
      <c r="A14" s="140">
        <f si="0" t="shared"/>
        <v>5</v>
      </c>
      <c r="B14" s="1751" t="s">
        <v>102</v>
      </c>
      <c r="C14" s="1724" t="s">
        <v>102</v>
      </c>
      <c r="D14" s="1728" t="s">
        <v>708</v>
      </c>
      <c r="E14" s="1728" t="s">
        <v>102</v>
      </c>
      <c r="F14" s="141" t="s">
        <v>3618</v>
      </c>
      <c r="G14" s="143" t="s">
        <v>102</v>
      </c>
    </row>
    <row customFormat="1" customHeight="1" ht="20.25" r="15" s="22" spans="1:7">
      <c r="A15" s="140">
        <f si="0" t="shared"/>
        <v>6</v>
      </c>
      <c r="B15" s="1751" t="s">
        <v>102</v>
      </c>
      <c r="C15" s="1724" t="s">
        <v>102</v>
      </c>
      <c r="D15" s="1726" t="s">
        <v>709</v>
      </c>
      <c r="E15" s="1726" t="s">
        <v>102</v>
      </c>
      <c r="F15" s="141"/>
      <c r="G15" s="143" t="s">
        <v>102</v>
      </c>
    </row>
    <row customFormat="1" customHeight="1" ht="21.75" r="16" s="22" spans="1:7">
      <c r="A16" s="140">
        <f si="0" t="shared"/>
        <v>7</v>
      </c>
      <c r="B16" s="1751" t="s">
        <v>102</v>
      </c>
      <c r="C16" s="1724" t="s">
        <v>102</v>
      </c>
      <c r="D16" s="1726" t="s">
        <v>710</v>
      </c>
      <c r="E16" s="1726" t="s">
        <v>102</v>
      </c>
      <c r="F16" s="141"/>
      <c r="G16" s="143" t="s">
        <v>102</v>
      </c>
    </row>
    <row customFormat="1" customHeight="1" ht="20.25" r="17" s="22" spans="1:7">
      <c r="A17" s="140">
        <f si="0" t="shared"/>
        <v>8</v>
      </c>
      <c r="B17" s="1751" t="s">
        <v>102</v>
      </c>
      <c r="C17" s="1724" t="s">
        <v>102</v>
      </c>
      <c r="D17" s="1726" t="s">
        <v>711</v>
      </c>
      <c r="E17" s="1726" t="s">
        <v>102</v>
      </c>
      <c r="F17" s="141"/>
      <c r="G17" s="143" t="s">
        <v>102</v>
      </c>
    </row>
    <row customFormat="1" customHeight="1" ht="19.5" r="18" s="22" spans="1:7">
      <c r="A18" s="140">
        <f si="0" t="shared"/>
        <v>9</v>
      </c>
      <c r="B18" s="1751" t="s">
        <v>102</v>
      </c>
      <c r="C18" s="1724" t="s">
        <v>102</v>
      </c>
      <c r="D18" s="1726" t="s">
        <v>712</v>
      </c>
      <c r="E18" s="1726" t="s">
        <v>102</v>
      </c>
      <c r="F18" s="141"/>
      <c r="G18" s="1727" t="s">
        <v>713</v>
      </c>
    </row>
    <row customFormat="1" customHeight="1" ht="22.5" r="19" s="22" spans="1:7">
      <c r="A19" s="140">
        <f si="0" t="shared"/>
        <v>10</v>
      </c>
      <c r="B19" s="1751" t="s">
        <v>102</v>
      </c>
      <c r="C19" s="1724" t="s">
        <v>102</v>
      </c>
      <c r="D19" s="1726" t="s">
        <v>714</v>
      </c>
      <c r="E19" s="1726" t="s">
        <v>102</v>
      </c>
      <c r="F19" s="141"/>
      <c r="G19" s="1727" t="s">
        <v>102</v>
      </c>
    </row>
    <row customFormat="1" customHeight="1" ht="20.25" r="20" s="22" spans="1:7">
      <c r="A20" s="140">
        <f si="0" t="shared"/>
        <v>11</v>
      </c>
      <c r="B20" s="1751" t="s">
        <v>102</v>
      </c>
      <c r="C20" s="1724" t="s">
        <v>102</v>
      </c>
      <c r="D20" s="1726" t="s">
        <v>715</v>
      </c>
      <c r="E20" s="1726" t="s">
        <v>102</v>
      </c>
      <c r="F20" s="141"/>
      <c r="G20" s="144" t="s">
        <v>102</v>
      </c>
    </row>
    <row customFormat="1" customHeight="1" ht="18" r="21" s="22" spans="1:7">
      <c r="A21" s="140">
        <f si="0" t="shared"/>
        <v>12</v>
      </c>
      <c r="B21" s="1751" t="s">
        <v>102</v>
      </c>
      <c r="C21" s="1724" t="s">
        <v>102</v>
      </c>
      <c r="D21" s="1726" t="s">
        <v>716</v>
      </c>
      <c r="E21" s="1726" t="s">
        <v>102</v>
      </c>
      <c r="F21" s="141"/>
      <c r="G21" s="144" t="s">
        <v>102</v>
      </c>
    </row>
    <row customFormat="1" customHeight="1" ht="20.25" r="22" s="22" spans="1:7">
      <c r="A22" s="140">
        <f si="0" t="shared"/>
        <v>13</v>
      </c>
      <c r="B22" s="1751" t="s">
        <v>102</v>
      </c>
      <c r="C22" s="1724" t="s">
        <v>102</v>
      </c>
      <c r="D22" s="1728" t="s">
        <v>717</v>
      </c>
      <c r="E22" s="1728" t="s">
        <v>102</v>
      </c>
      <c r="F22" s="141"/>
      <c r="G22" s="144" t="s">
        <v>102</v>
      </c>
    </row>
    <row customFormat="1" customHeight="1" ht="22.5" r="23" s="22" spans="1:7">
      <c r="A23" s="140">
        <f si="0" t="shared"/>
        <v>14</v>
      </c>
      <c r="B23" s="1751" t="s">
        <v>102</v>
      </c>
      <c r="C23" s="1724" t="s">
        <v>102</v>
      </c>
      <c r="D23" s="1728" t="s">
        <v>718</v>
      </c>
      <c r="E23" s="1728" t="s">
        <v>102</v>
      </c>
      <c r="F23" s="141">
        <v>77111180</v>
      </c>
      <c r="G23" s="144" t="s">
        <v>102</v>
      </c>
    </row>
    <row customFormat="1" customHeight="1" ht="22.5" r="24" s="22" spans="1:7">
      <c r="A24" s="140">
        <f si="0" t="shared"/>
        <v>15</v>
      </c>
      <c r="B24" s="1751" t="s">
        <v>102</v>
      </c>
      <c r="C24" s="1724" t="s">
        <v>102</v>
      </c>
      <c r="D24" s="1726" t="s">
        <v>719</v>
      </c>
      <c r="E24" s="1726" t="s">
        <v>102</v>
      </c>
      <c r="F24" s="141"/>
      <c r="G24" s="144" t="s">
        <v>102</v>
      </c>
    </row>
    <row customFormat="1" customHeight="1" ht="38.25" r="25" s="22" spans="1:7">
      <c r="A25" s="140">
        <f si="0" t="shared"/>
        <v>16</v>
      </c>
      <c r="B25" s="1751" t="s">
        <v>102</v>
      </c>
      <c r="C25" s="1724" t="s">
        <v>102</v>
      </c>
      <c r="D25" s="1726" t="s">
        <v>720</v>
      </c>
      <c r="E25" s="1726" t="s">
        <v>102</v>
      </c>
      <c r="F25" s="141" t="s">
        <v>3619</v>
      </c>
      <c r="G25" s="145" t="s">
        <v>721</v>
      </c>
    </row>
    <row customFormat="1" customHeight="1" ht="33.75" r="26" s="22" spans="1:7">
      <c r="A26" s="140">
        <f si="0" t="shared"/>
        <v>17</v>
      </c>
      <c r="B26" s="1751" t="s">
        <v>102</v>
      </c>
      <c r="C26" s="1724" t="s">
        <v>102</v>
      </c>
      <c r="D26" s="1723" t="s">
        <v>722</v>
      </c>
      <c r="E26" s="146" t="s">
        <v>723</v>
      </c>
      <c r="F26" s="141"/>
      <c r="G26" s="145" t="s">
        <v>102</v>
      </c>
    </row>
    <row customFormat="1" customHeight="1" ht="43.5" r="27" s="22" spans="1:7">
      <c r="A27" s="140">
        <f si="0" t="shared"/>
        <v>18</v>
      </c>
      <c r="B27" s="1751" t="s">
        <v>102</v>
      </c>
      <c r="C27" s="1725" t="s">
        <v>102</v>
      </c>
      <c r="D27" s="1725" t="s">
        <v>102</v>
      </c>
      <c r="E27" s="146" t="s">
        <v>724</v>
      </c>
      <c r="F27" s="141"/>
      <c r="G27" s="145" t="s">
        <v>102</v>
      </c>
    </row>
    <row customFormat="1" customHeight="1" ht="19.5" r="28" s="22" spans="1:7">
      <c r="A28" s="140">
        <f si="0" t="shared"/>
        <v>19</v>
      </c>
      <c r="B28" s="1751" t="s">
        <v>102</v>
      </c>
      <c r="C28" s="1731" t="s">
        <v>725</v>
      </c>
      <c r="D28" s="1726" t="s">
        <v>61</v>
      </c>
      <c r="E28" s="1726" t="s">
        <v>102</v>
      </c>
      <c r="F28" s="141"/>
      <c r="G28" s="144" t="s">
        <v>102</v>
      </c>
    </row>
    <row customFormat="1" customHeight="1" ht="19.5" r="29" s="22" spans="1:7">
      <c r="A29" s="140">
        <f si="0" t="shared"/>
        <v>20</v>
      </c>
      <c r="B29" s="1751" t="s">
        <v>102</v>
      </c>
      <c r="C29" s="1731" t="s">
        <v>102</v>
      </c>
      <c r="D29" s="1726" t="s">
        <v>62</v>
      </c>
      <c r="E29" s="1726" t="s">
        <v>102</v>
      </c>
      <c r="F29" s="141" t="s">
        <v>3620</v>
      </c>
      <c r="G29" s="144" t="s">
        <v>102</v>
      </c>
    </row>
    <row customFormat="1" customHeight="1" ht="19.5" r="30" s="22" spans="1:7">
      <c r="A30" s="140">
        <f si="0" t="shared"/>
        <v>21</v>
      </c>
      <c r="B30" s="1751" t="s">
        <v>102</v>
      </c>
      <c r="C30" s="1731" t="s">
        <v>102</v>
      </c>
      <c r="D30" s="1726" t="s">
        <v>726</v>
      </c>
      <c r="E30" s="1726" t="s">
        <v>102</v>
      </c>
      <c r="F30" s="141"/>
      <c r="G30" s="144" t="s">
        <v>102</v>
      </c>
    </row>
    <row customFormat="1" customHeight="1" ht="19.5" r="31" s="22" spans="1:7">
      <c r="A31" s="140">
        <f si="0" t="shared"/>
        <v>22</v>
      </c>
      <c r="B31" s="1751" t="s">
        <v>102</v>
      </c>
      <c r="C31" s="1731" t="s">
        <v>102</v>
      </c>
      <c r="D31" s="1726" t="s">
        <v>718</v>
      </c>
      <c r="E31" s="1726" t="s">
        <v>102</v>
      </c>
      <c r="F31" s="141">
        <v>99112094</v>
      </c>
      <c r="G31" s="144" t="s">
        <v>102</v>
      </c>
    </row>
    <row customFormat="1" customHeight="1" ht="19.5" r="32" s="22" spans="1:7">
      <c r="A32" s="140">
        <f si="0" t="shared"/>
        <v>23</v>
      </c>
      <c r="B32" s="1751" t="s">
        <v>102</v>
      </c>
      <c r="C32" s="1731" t="s">
        <v>102</v>
      </c>
      <c r="D32" s="1726" t="s">
        <v>716</v>
      </c>
      <c r="E32" s="1726" t="s">
        <v>102</v>
      </c>
      <c r="F32" s="141"/>
      <c r="G32" s="144" t="s">
        <v>102</v>
      </c>
    </row>
    <row customFormat="1" customHeight="1" ht="19.5" r="33" s="22" spans="1:7">
      <c r="A33" s="140">
        <f si="0" t="shared"/>
        <v>24</v>
      </c>
      <c r="B33" s="1751" t="s">
        <v>102</v>
      </c>
      <c r="C33" s="1731" t="s">
        <v>102</v>
      </c>
      <c r="D33" s="1726" t="s">
        <v>727</v>
      </c>
      <c r="E33" s="1726" t="s">
        <v>102</v>
      </c>
      <c r="F33" s="141"/>
      <c r="G33" s="144" t="s">
        <v>102</v>
      </c>
    </row>
    <row customFormat="1" customHeight="1" ht="19.5" r="34" s="22" spans="1:7">
      <c r="A34" s="140">
        <f si="0" t="shared"/>
        <v>25</v>
      </c>
      <c r="B34" s="1751" t="s">
        <v>102</v>
      </c>
      <c r="C34" s="1731" t="s">
        <v>102</v>
      </c>
      <c r="D34" s="1726" t="s">
        <v>728</v>
      </c>
      <c r="E34" s="1726" t="s">
        <v>102</v>
      </c>
      <c r="F34" s="141"/>
      <c r="G34" s="144" t="s">
        <v>102</v>
      </c>
    </row>
    <row customFormat="1" customHeight="1" ht="48" r="35" s="22" spans="1:7">
      <c r="A35" s="140">
        <v>26</v>
      </c>
      <c r="B35" s="1751" t="s">
        <v>102</v>
      </c>
      <c r="C35" s="1723" t="s">
        <v>729</v>
      </c>
      <c r="D35" s="323" t="s">
        <v>61</v>
      </c>
      <c r="E35" s="323" t="s">
        <v>102</v>
      </c>
      <c r="F35" s="141"/>
      <c r="G35" s="144" t="s">
        <v>102</v>
      </c>
    </row>
    <row customFormat="1" customHeight="1" ht="19.5" r="36" s="22" spans="1:7">
      <c r="A36" s="140">
        <f>A34+1</f>
        <v>26</v>
      </c>
      <c r="B36" s="1751" t="s">
        <v>102</v>
      </c>
      <c r="C36" s="1724" t="s">
        <v>102</v>
      </c>
      <c r="D36" s="1726" t="s">
        <v>62</v>
      </c>
      <c r="E36" s="1726" t="s">
        <v>102</v>
      </c>
      <c r="F36" s="141" t="s">
        <v>3621</v>
      </c>
      <c r="G36" s="144" t="s">
        <v>102</v>
      </c>
    </row>
    <row customFormat="1" customHeight="1" ht="19.5" r="37" s="22" spans="1:7">
      <c r="A37" s="140">
        <f ref="A37:A53" si="1" t="shared">A36+1</f>
        <v>27</v>
      </c>
      <c r="B37" s="1751" t="s">
        <v>102</v>
      </c>
      <c r="C37" s="1724" t="s">
        <v>102</v>
      </c>
      <c r="D37" s="1726" t="s">
        <v>726</v>
      </c>
      <c r="E37" s="1726" t="s">
        <v>102</v>
      </c>
      <c r="F37" s="141" t="s">
        <v>102</v>
      </c>
      <c r="G37" s="144" t="s">
        <v>102</v>
      </c>
    </row>
    <row customFormat="1" customHeight="1" ht="19.5" r="38" s="22" spans="1:7">
      <c r="A38" s="162">
        <f si="1" t="shared"/>
        <v>28</v>
      </c>
      <c r="B38" s="1751" t="s">
        <v>102</v>
      </c>
      <c r="C38" s="1724" t="s">
        <v>102</v>
      </c>
      <c r="D38" s="1726" t="s">
        <v>718</v>
      </c>
      <c r="E38" s="1726" t="s">
        <v>102</v>
      </c>
      <c r="F38" s="141">
        <v>99788531</v>
      </c>
      <c r="G38" s="144" t="s">
        <v>102</v>
      </c>
    </row>
    <row customFormat="1" customHeight="1" ht="19.5" r="39" s="22" spans="1:7">
      <c r="A39" s="140">
        <f si="1" t="shared"/>
        <v>29</v>
      </c>
      <c r="B39" s="1751" t="s">
        <v>102</v>
      </c>
      <c r="C39" s="1724" t="s">
        <v>102</v>
      </c>
      <c r="D39" s="1726" t="s">
        <v>716</v>
      </c>
      <c r="E39" s="1726" t="s">
        <v>102</v>
      </c>
      <c r="F39" s="141" t="s">
        <v>102</v>
      </c>
      <c r="G39" s="144" t="s">
        <v>102</v>
      </c>
    </row>
    <row customFormat="1" customHeight="1" ht="19.5" r="40" s="22" spans="1:7">
      <c r="A40" s="140">
        <f si="1" t="shared"/>
        <v>30</v>
      </c>
      <c r="B40" s="1751" t="s">
        <v>102</v>
      </c>
      <c r="C40" s="1724" t="s">
        <v>102</v>
      </c>
      <c r="D40" s="1726" t="s">
        <v>727</v>
      </c>
      <c r="E40" s="1726" t="s">
        <v>102</v>
      </c>
      <c r="F40" s="141" t="s">
        <v>102</v>
      </c>
      <c r="G40" s="144" t="s">
        <v>102</v>
      </c>
    </row>
    <row customFormat="1" customHeight="1" ht="19.5" r="41" s="22" spans="1:7">
      <c r="A41" s="140">
        <f si="1" t="shared"/>
        <v>31</v>
      </c>
      <c r="B41" s="1751" t="s">
        <v>102</v>
      </c>
      <c r="C41" s="1725" t="s">
        <v>102</v>
      </c>
      <c r="D41" s="1726" t="s">
        <v>728</v>
      </c>
      <c r="E41" s="1726" t="s">
        <v>102</v>
      </c>
      <c r="F41" s="141" t="s">
        <v>102</v>
      </c>
      <c r="G41" s="144" t="s">
        <v>102</v>
      </c>
    </row>
    <row customFormat="1" customHeight="1" ht="19.5" r="42" s="22" spans="1:7">
      <c r="A42" s="140">
        <f si="1" t="shared"/>
        <v>32</v>
      </c>
      <c r="B42" s="1751" t="s">
        <v>102</v>
      </c>
      <c r="C42" s="1729" t="s">
        <v>730</v>
      </c>
      <c r="D42" s="1729" t="s">
        <v>3622</v>
      </c>
      <c r="E42" s="1564" t="s">
        <v>731</v>
      </c>
      <c r="F42" s="141" t="s">
        <v>102</v>
      </c>
      <c r="G42" s="145" t="s">
        <v>732</v>
      </c>
    </row>
    <row customFormat="1" customHeight="1" ht="17.25" r="43" s="22" spans="1:7">
      <c r="A43" s="140">
        <f si="1" t="shared"/>
        <v>33</v>
      </c>
      <c r="B43" s="1751" t="s">
        <v>102</v>
      </c>
      <c r="C43" s="1729" t="s">
        <v>102</v>
      </c>
      <c r="D43" s="1729" t="s">
        <v>102</v>
      </c>
      <c r="E43" s="1564" t="s">
        <v>733</v>
      </c>
      <c r="F43" s="141" t="s">
        <v>102</v>
      </c>
      <c r="G43" s="1732" t="s">
        <v>102</v>
      </c>
    </row>
    <row customFormat="1" customHeight="1" ht="17.25" r="44" s="22" spans="1:7">
      <c r="A44" s="140">
        <f si="1" t="shared"/>
        <v>34</v>
      </c>
      <c r="B44" s="1751" t="s">
        <v>102</v>
      </c>
      <c r="C44" s="1729" t="s">
        <v>102</v>
      </c>
      <c r="D44" s="1729" t="s">
        <v>102</v>
      </c>
      <c r="E44" s="1564" t="s">
        <v>734</v>
      </c>
      <c r="F44" s="141" t="s">
        <v>102</v>
      </c>
      <c r="G44" s="1732" t="s">
        <v>102</v>
      </c>
    </row>
    <row customFormat="1" customHeight="1" ht="17.25" r="45" s="22" spans="1:7">
      <c r="A45" s="140">
        <f si="1" t="shared"/>
        <v>35</v>
      </c>
      <c r="B45" s="1751" t="s">
        <v>102</v>
      </c>
      <c r="C45" s="1729" t="s">
        <v>735</v>
      </c>
      <c r="D45" s="1729" t="s">
        <v>102</v>
      </c>
      <c r="E45" s="1564" t="s">
        <v>731</v>
      </c>
      <c r="F45" s="141" t="s">
        <v>102</v>
      </c>
      <c r="G45" s="1732" t="s">
        <v>102</v>
      </c>
    </row>
    <row customFormat="1" customHeight="1" ht="17.25" r="46" s="22" spans="1:7">
      <c r="A46" s="140">
        <f si="1" t="shared"/>
        <v>36</v>
      </c>
      <c r="B46" s="1751" t="s">
        <v>102</v>
      </c>
      <c r="C46" s="1729" t="s">
        <v>102</v>
      </c>
      <c r="D46" s="1729" t="s">
        <v>102</v>
      </c>
      <c r="E46" s="1564" t="s">
        <v>733</v>
      </c>
      <c r="F46" s="141" t="s">
        <v>102</v>
      </c>
      <c r="G46" s="1732" t="s">
        <v>102</v>
      </c>
    </row>
    <row customFormat="1" customHeight="1" ht="17.25" r="47" s="22" spans="1:7">
      <c r="A47" s="140">
        <f si="1" t="shared"/>
        <v>37</v>
      </c>
      <c r="B47" s="1751" t="s">
        <v>102</v>
      </c>
      <c r="C47" s="1729" t="s">
        <v>102</v>
      </c>
      <c r="D47" s="1729" t="s">
        <v>102</v>
      </c>
      <c r="E47" s="1564" t="s">
        <v>734</v>
      </c>
      <c r="F47" s="141" t="s">
        <v>102</v>
      </c>
      <c r="G47" s="1732" t="s">
        <v>102</v>
      </c>
    </row>
    <row customFormat="1" customHeight="1" ht="28.5" r="48" s="22" spans="1:7">
      <c r="A48" s="140">
        <f si="1" t="shared"/>
        <v>38</v>
      </c>
      <c r="B48" s="1751" t="s">
        <v>102</v>
      </c>
      <c r="C48" s="599" t="s">
        <v>791</v>
      </c>
      <c r="D48" s="599" t="s">
        <v>80</v>
      </c>
      <c r="E48" s="147" t="s">
        <v>102</v>
      </c>
      <c r="F48" s="141" t="s">
        <v>102</v>
      </c>
      <c r="G48" s="1732" t="s">
        <v>102</v>
      </c>
    </row>
    <row customFormat="1" customHeight="1" ht="22.5" r="49" s="22" spans="1:7">
      <c r="A49" s="140">
        <f si="1" t="shared"/>
        <v>39</v>
      </c>
      <c r="B49" s="1751" t="s">
        <v>102</v>
      </c>
      <c r="C49" s="1731" t="s">
        <v>102</v>
      </c>
      <c r="D49" s="1728" t="s">
        <v>81</v>
      </c>
      <c r="E49" s="1728" t="s">
        <v>102</v>
      </c>
      <c r="F49" s="141" t="s">
        <v>102</v>
      </c>
      <c r="G49" s="148" t="s">
        <v>102</v>
      </c>
    </row>
    <row customFormat="1" customHeight="1" ht="22.5" r="50" s="22" spans="1:7">
      <c r="A50" s="140">
        <f si="1" t="shared"/>
        <v>40</v>
      </c>
      <c r="B50" s="1751" t="s">
        <v>102</v>
      </c>
      <c r="C50" s="1731" t="s">
        <v>102</v>
      </c>
      <c r="D50" s="1728" t="s">
        <v>661</v>
      </c>
      <c r="E50" s="1728" t="s">
        <v>102</v>
      </c>
      <c r="F50" s="141" t="s">
        <v>102</v>
      </c>
      <c r="G50" s="148" t="s">
        <v>102</v>
      </c>
    </row>
    <row customFormat="1" customHeight="1" ht="22.5" r="51" s="22" spans="1:7">
      <c r="A51" s="140">
        <f si="1" t="shared"/>
        <v>41</v>
      </c>
      <c r="B51" s="1751" t="s">
        <v>102</v>
      </c>
      <c r="C51" s="1731" t="s">
        <v>102</v>
      </c>
      <c r="D51" s="1728" t="s">
        <v>662</v>
      </c>
      <c r="E51" s="1728" t="s">
        <v>102</v>
      </c>
      <c r="F51" s="141" t="s">
        <v>102</v>
      </c>
      <c r="G51" s="148" t="s">
        <v>102</v>
      </c>
    </row>
    <row customFormat="1" customHeight="1" ht="22.5" r="52" s="22" spans="1:7">
      <c r="A52" s="140">
        <f si="1" t="shared"/>
        <v>42</v>
      </c>
      <c r="B52" s="1751" t="s">
        <v>102</v>
      </c>
      <c r="C52" s="1731" t="s">
        <v>102</v>
      </c>
      <c r="D52" s="1728" t="s">
        <v>792</v>
      </c>
      <c r="E52" s="1728" t="s">
        <v>102</v>
      </c>
      <c r="F52" s="141" t="s">
        <v>102</v>
      </c>
      <c r="G52" s="148" t="s">
        <v>102</v>
      </c>
    </row>
    <row customFormat="1" customHeight="1" ht="22.5" r="53" s="22" spans="1:7">
      <c r="A53" s="140">
        <f si="1" t="shared"/>
        <v>43</v>
      </c>
      <c r="B53" s="2170" t="s">
        <v>736</v>
      </c>
      <c r="C53" s="1731" t="s">
        <v>737</v>
      </c>
      <c r="D53" s="1728" t="s">
        <v>731</v>
      </c>
      <c r="E53" s="1728" t="s">
        <v>738</v>
      </c>
      <c r="F53" s="141" t="s">
        <v>102</v>
      </c>
      <c r="G53" s="148" t="s">
        <v>739</v>
      </c>
    </row>
    <row customFormat="1" customHeight="1" ht="17.25" r="54" s="22" spans="1:7">
      <c r="A54" s="2167" t="s">
        <v>102</v>
      </c>
      <c r="B54" s="1753" t="s">
        <v>102</v>
      </c>
      <c r="C54" s="1731" t="s">
        <v>102</v>
      </c>
      <c r="D54" s="2168" t="s">
        <v>102</v>
      </c>
      <c r="E54" s="149" t="s">
        <v>740</v>
      </c>
      <c r="F54" s="150" t="s">
        <v>102</v>
      </c>
      <c r="G54" s="1735" t="s">
        <v>102</v>
      </c>
    </row>
    <row customFormat="1" customHeight="1" ht="17.25" r="55" s="22" spans="1:7">
      <c r="A55" s="2167" t="s">
        <v>102</v>
      </c>
      <c r="B55" s="1753" t="s">
        <v>102</v>
      </c>
      <c r="C55" s="1731" t="s">
        <v>102</v>
      </c>
      <c r="D55" s="2168" t="s">
        <v>102</v>
      </c>
      <c r="E55" s="149" t="s">
        <v>741</v>
      </c>
      <c r="F55" s="150" t="s">
        <v>102</v>
      </c>
      <c r="G55" s="1735" t="s">
        <v>102</v>
      </c>
    </row>
    <row customFormat="1" customHeight="1" ht="17.25" r="56" s="22" spans="1:7">
      <c r="A56" s="2167" t="s">
        <v>102</v>
      </c>
      <c r="B56" s="1753" t="s">
        <v>102</v>
      </c>
      <c r="C56" s="1731" t="s">
        <v>102</v>
      </c>
      <c r="D56" s="2168" t="s">
        <v>102</v>
      </c>
      <c r="E56" s="149" t="s">
        <v>742</v>
      </c>
      <c r="F56" s="150" t="s">
        <v>102</v>
      </c>
      <c r="G56" s="1735" t="s">
        <v>102</v>
      </c>
    </row>
    <row customFormat="1" customHeight="1" ht="17.25" r="57" s="22" spans="1:7">
      <c r="A57" s="2167" t="s">
        <v>102</v>
      </c>
      <c r="B57" s="1753" t="s">
        <v>102</v>
      </c>
      <c r="C57" s="1731" t="s">
        <v>102</v>
      </c>
      <c r="D57" s="2168" t="s">
        <v>102</v>
      </c>
      <c r="E57" s="149" t="s">
        <v>743</v>
      </c>
      <c r="F57" s="150" t="s">
        <v>102</v>
      </c>
      <c r="G57" s="1735" t="s">
        <v>102</v>
      </c>
    </row>
    <row customFormat="1" customHeight="1" ht="27.75" r="58" s="22" spans="1:7">
      <c r="A58" s="2167" t="s">
        <v>102</v>
      </c>
      <c r="B58" s="1753" t="s">
        <v>102</v>
      </c>
      <c r="C58" s="1731" t="s">
        <v>102</v>
      </c>
      <c r="D58" s="2168" t="s">
        <v>102</v>
      </c>
      <c r="E58" s="151" t="s">
        <v>744</v>
      </c>
      <c r="F58" s="150" t="s">
        <v>102</v>
      </c>
      <c r="G58" s="1735" t="s">
        <v>102</v>
      </c>
    </row>
    <row customFormat="1" customHeight="1" ht="17.25" r="59" s="22" spans="1:7">
      <c r="A59" s="2167">
        <v>45</v>
      </c>
      <c r="B59" s="1753" t="s">
        <v>102</v>
      </c>
      <c r="C59" s="1731" t="s">
        <v>102</v>
      </c>
      <c r="D59" s="2168" t="s">
        <v>733</v>
      </c>
      <c r="E59" s="149" t="s">
        <v>738</v>
      </c>
      <c r="F59" s="150" t="s">
        <v>102</v>
      </c>
      <c r="G59" s="1735" t="s">
        <v>739</v>
      </c>
    </row>
    <row customFormat="1" customHeight="1" ht="18.75" r="60" s="22" spans="1:7">
      <c r="A60" s="2167" t="s">
        <v>102</v>
      </c>
      <c r="B60" s="1753" t="s">
        <v>102</v>
      </c>
      <c r="C60" s="1731" t="s">
        <v>102</v>
      </c>
      <c r="D60" s="2168" t="s">
        <v>102</v>
      </c>
      <c r="E60" s="149" t="s">
        <v>740</v>
      </c>
      <c r="F60" s="150" t="s">
        <v>102</v>
      </c>
      <c r="G60" s="1735" t="s">
        <v>102</v>
      </c>
    </row>
    <row customFormat="1" customHeight="1" ht="19.5" r="61" s="22" spans="1:7">
      <c r="A61" s="2167" t="s">
        <v>102</v>
      </c>
      <c r="B61" s="1753" t="s">
        <v>102</v>
      </c>
      <c r="C61" s="1731" t="s">
        <v>102</v>
      </c>
      <c r="D61" s="2168" t="s">
        <v>102</v>
      </c>
      <c r="E61" s="149" t="s">
        <v>741</v>
      </c>
      <c r="F61" s="150" t="s">
        <v>102</v>
      </c>
      <c r="G61" s="1735" t="s">
        <v>102</v>
      </c>
    </row>
    <row customFormat="1" customHeight="1" ht="18" r="62" s="22" spans="1:7">
      <c r="A62" s="2167" t="s">
        <v>102</v>
      </c>
      <c r="B62" s="1753" t="s">
        <v>102</v>
      </c>
      <c r="C62" s="1731" t="s">
        <v>102</v>
      </c>
      <c r="D62" s="2168" t="s">
        <v>102</v>
      </c>
      <c r="E62" s="149" t="s">
        <v>742</v>
      </c>
      <c r="F62" s="150" t="s">
        <v>102</v>
      </c>
      <c r="G62" s="1735" t="s">
        <v>102</v>
      </c>
    </row>
    <row customFormat="1" customHeight="1" ht="18.75" r="63" s="22" spans="1:7">
      <c r="A63" s="2167" t="s">
        <v>102</v>
      </c>
      <c r="B63" s="1753" t="s">
        <v>102</v>
      </c>
      <c r="C63" s="1731" t="s">
        <v>102</v>
      </c>
      <c r="D63" s="2168" t="s">
        <v>102</v>
      </c>
      <c r="E63" s="149" t="s">
        <v>743</v>
      </c>
      <c r="F63" s="150" t="s">
        <v>102</v>
      </c>
      <c r="G63" s="1735" t="s">
        <v>102</v>
      </c>
    </row>
    <row customFormat="1" customHeight="1" ht="30.75" r="64" s="22" spans="1:7">
      <c r="A64" s="2167" t="s">
        <v>102</v>
      </c>
      <c r="B64" s="1753" t="s">
        <v>102</v>
      </c>
      <c r="C64" s="1731" t="s">
        <v>102</v>
      </c>
      <c r="D64" s="2168" t="s">
        <v>102</v>
      </c>
      <c r="E64" s="151" t="s">
        <v>744</v>
      </c>
      <c r="F64" s="150" t="s">
        <v>102</v>
      </c>
      <c r="G64" s="1735" t="s">
        <v>102</v>
      </c>
    </row>
    <row customFormat="1" customHeight="1" ht="18" r="65" s="22" spans="1:7">
      <c r="A65" s="2167">
        <v>46</v>
      </c>
      <c r="B65" s="1753" t="s">
        <v>102</v>
      </c>
      <c r="C65" s="1731" t="s">
        <v>102</v>
      </c>
      <c r="D65" s="2168" t="s">
        <v>734</v>
      </c>
      <c r="E65" s="149" t="s">
        <v>738</v>
      </c>
      <c r="F65" s="150" t="s">
        <v>102</v>
      </c>
      <c r="G65" s="1735" t="s">
        <v>739</v>
      </c>
    </row>
    <row customFormat="1" r="66" s="22" spans="1:7">
      <c r="A66" s="2167" t="s">
        <v>102</v>
      </c>
      <c r="B66" s="1753" t="s">
        <v>102</v>
      </c>
      <c r="C66" s="1731" t="s">
        <v>102</v>
      </c>
      <c r="D66" s="2168" t="s">
        <v>102</v>
      </c>
      <c r="E66" s="149" t="s">
        <v>740</v>
      </c>
      <c r="F66" s="150" t="s">
        <v>102</v>
      </c>
      <c r="G66" s="1735" t="s">
        <v>102</v>
      </c>
    </row>
    <row customFormat="1" r="67" s="22" spans="1:7">
      <c r="A67" s="2167" t="s">
        <v>102</v>
      </c>
      <c r="B67" s="1753" t="s">
        <v>102</v>
      </c>
      <c r="C67" s="1731" t="s">
        <v>102</v>
      </c>
      <c r="D67" s="2168" t="s">
        <v>102</v>
      </c>
      <c r="E67" s="149" t="s">
        <v>741</v>
      </c>
      <c r="F67" s="150" t="s">
        <v>102</v>
      </c>
      <c r="G67" s="1735" t="s">
        <v>102</v>
      </c>
    </row>
    <row customFormat="1" r="68" s="22" spans="1:7">
      <c r="A68" s="2167" t="s">
        <v>102</v>
      </c>
      <c r="B68" s="1753" t="s">
        <v>102</v>
      </c>
      <c r="C68" s="1731" t="s">
        <v>102</v>
      </c>
      <c r="D68" s="2168" t="s">
        <v>102</v>
      </c>
      <c r="E68" s="149" t="s">
        <v>742</v>
      </c>
      <c r="F68" s="150" t="s">
        <v>102</v>
      </c>
      <c r="G68" s="1735" t="s">
        <v>102</v>
      </c>
    </row>
    <row customFormat="1" r="69" s="22" spans="1:7">
      <c r="A69" s="2167" t="s">
        <v>102</v>
      </c>
      <c r="B69" s="1753" t="s">
        <v>102</v>
      </c>
      <c r="C69" s="1731" t="s">
        <v>102</v>
      </c>
      <c r="D69" s="2168" t="s">
        <v>102</v>
      </c>
      <c r="E69" s="149" t="s">
        <v>743</v>
      </c>
      <c r="F69" s="150" t="s">
        <v>102</v>
      </c>
      <c r="G69" s="1735" t="s">
        <v>102</v>
      </c>
    </row>
    <row customFormat="1" customHeight="1" ht="33" r="70" s="22" spans="1:7">
      <c r="A70" s="2167" t="s">
        <v>102</v>
      </c>
      <c r="B70" s="1753" t="s">
        <v>102</v>
      </c>
      <c r="C70" s="1731" t="s">
        <v>102</v>
      </c>
      <c r="D70" s="2168" t="s">
        <v>102</v>
      </c>
      <c r="E70" s="151" t="s">
        <v>744</v>
      </c>
      <c r="F70" s="150" t="s">
        <v>102</v>
      </c>
      <c r="G70" s="1735" t="s">
        <v>102</v>
      </c>
    </row>
    <row customFormat="1" customHeight="1" ht="17.25" r="71" s="22" spans="1:7">
      <c r="A71" s="2167">
        <v>47</v>
      </c>
      <c r="B71" s="1753" t="s">
        <v>102</v>
      </c>
      <c r="C71" s="1731" t="s">
        <v>745</v>
      </c>
      <c r="D71" s="2168" t="s">
        <v>746</v>
      </c>
      <c r="E71" s="149" t="s">
        <v>102</v>
      </c>
      <c r="F71" s="150" t="s">
        <v>102</v>
      </c>
      <c r="G71" s="1735" t="s">
        <v>102</v>
      </c>
    </row>
    <row customFormat="1" customHeight="1" ht="17.25" r="72" s="22" spans="1:7">
      <c r="A72" s="2167" t="s">
        <v>102</v>
      </c>
      <c r="B72" s="1753" t="s">
        <v>102</v>
      </c>
      <c r="C72" s="1731" t="s">
        <v>102</v>
      </c>
      <c r="D72" s="1726" t="s">
        <v>747</v>
      </c>
      <c r="E72" s="1726" t="s">
        <v>102</v>
      </c>
      <c r="F72" s="150" t="s">
        <v>102</v>
      </c>
      <c r="G72" s="143" t="s">
        <v>102</v>
      </c>
    </row>
    <row customFormat="1" customHeight="1" ht="17.25" r="73" s="22" spans="1:7">
      <c r="A73" s="2167" t="s">
        <v>102</v>
      </c>
      <c r="B73" s="1753" t="s">
        <v>102</v>
      </c>
      <c r="C73" s="1731" t="s">
        <v>102</v>
      </c>
      <c r="D73" s="1726" t="s">
        <v>748</v>
      </c>
      <c r="E73" s="1726" t="s">
        <v>102</v>
      </c>
      <c r="F73" s="150" t="s">
        <v>102</v>
      </c>
      <c r="G73" s="143" t="s">
        <v>102</v>
      </c>
    </row>
    <row customFormat="1" customHeight="1" ht="17.25" r="74" s="22" spans="1:7">
      <c r="A74" s="2167" t="s">
        <v>102</v>
      </c>
      <c r="B74" s="1753" t="s">
        <v>102</v>
      </c>
      <c r="C74" s="1731" t="s">
        <v>102</v>
      </c>
      <c r="D74" s="1726" t="s">
        <v>749</v>
      </c>
      <c r="E74" s="1726" t="s">
        <v>102</v>
      </c>
      <c r="F74" s="150" t="s">
        <v>102</v>
      </c>
      <c r="G74" s="143" t="s">
        <v>102</v>
      </c>
    </row>
    <row customFormat="1" customHeight="1" ht="17.25" r="75" s="22" spans="1:7">
      <c r="A75" s="2167" t="s">
        <v>102</v>
      </c>
      <c r="B75" s="1753" t="s">
        <v>102</v>
      </c>
      <c r="C75" s="1731" t="s">
        <v>102</v>
      </c>
      <c r="D75" s="1726" t="s">
        <v>750</v>
      </c>
      <c r="E75" s="1726" t="s">
        <v>102</v>
      </c>
      <c r="F75" s="150" t="s">
        <v>102</v>
      </c>
      <c r="G75" s="143" t="s">
        <v>102</v>
      </c>
    </row>
    <row customFormat="1" customHeight="1" ht="17.25" r="76" s="22" spans="1:7">
      <c r="A76" s="2167" t="s">
        <v>102</v>
      </c>
      <c r="B76" s="1753" t="s">
        <v>102</v>
      </c>
      <c r="C76" s="1731" t="s">
        <v>102</v>
      </c>
      <c r="D76" s="1726" t="s">
        <v>751</v>
      </c>
      <c r="E76" s="1726" t="s">
        <v>102</v>
      </c>
      <c r="F76" s="150" t="s">
        <v>102</v>
      </c>
      <c r="G76" s="143" t="s">
        <v>102</v>
      </c>
    </row>
    <row customFormat="1" customHeight="1" ht="17.25" r="77" s="22" spans="1:7">
      <c r="A77" s="2167" t="s">
        <v>102</v>
      </c>
      <c r="B77" s="1753" t="s">
        <v>102</v>
      </c>
      <c r="C77" s="1731" t="s">
        <v>102</v>
      </c>
      <c r="D77" s="1726" t="s">
        <v>752</v>
      </c>
      <c r="E77" s="1726" t="s">
        <v>102</v>
      </c>
      <c r="F77" s="150" t="s">
        <v>102</v>
      </c>
      <c r="G77" s="143" t="s">
        <v>102</v>
      </c>
    </row>
    <row customFormat="1" customHeight="1" ht="17.25" r="78" s="22" spans="1:7">
      <c r="A78" s="2167" t="s">
        <v>102</v>
      </c>
      <c r="B78" s="1753" t="s">
        <v>102</v>
      </c>
      <c r="C78" s="1731" t="s">
        <v>102</v>
      </c>
      <c r="D78" s="1726" t="s">
        <v>753</v>
      </c>
      <c r="E78" s="1726" t="s">
        <v>102</v>
      </c>
      <c r="F78" s="150" t="s">
        <v>102</v>
      </c>
      <c r="G78" s="143" t="s">
        <v>102</v>
      </c>
    </row>
    <row customFormat="1" customHeight="1" ht="17.25" r="79" s="22" spans="1:7">
      <c r="A79" s="2167" t="s">
        <v>102</v>
      </c>
      <c r="B79" s="1753" t="s">
        <v>102</v>
      </c>
      <c r="C79" s="1731" t="s">
        <v>102</v>
      </c>
      <c r="D79" s="1726" t="s">
        <v>754</v>
      </c>
      <c r="E79" s="1726" t="s">
        <v>102</v>
      </c>
      <c r="F79" s="150" t="s">
        <v>102</v>
      </c>
      <c r="G79" s="143" t="s">
        <v>102</v>
      </c>
    </row>
    <row customFormat="1" customHeight="1" ht="17.25" r="80" s="22" spans="1:7">
      <c r="A80" s="2167" t="s">
        <v>102</v>
      </c>
      <c r="B80" s="1753" t="s">
        <v>102</v>
      </c>
      <c r="C80" s="1731" t="s">
        <v>102</v>
      </c>
      <c r="D80" s="1726" t="s">
        <v>82</v>
      </c>
      <c r="E80" s="1726" t="s">
        <v>102</v>
      </c>
      <c r="F80" s="150" t="s">
        <v>102</v>
      </c>
      <c r="G80" s="143" t="s">
        <v>102</v>
      </c>
    </row>
    <row customFormat="1" customHeight="1" ht="17.25" r="81" s="22" spans="1:7">
      <c r="A81" s="2167">
        <v>48</v>
      </c>
      <c r="B81" s="1753" t="s">
        <v>102</v>
      </c>
      <c r="C81" s="1731" t="s">
        <v>755</v>
      </c>
      <c r="D81" s="1726" t="s">
        <v>756</v>
      </c>
      <c r="E81" s="1726" t="s">
        <v>102</v>
      </c>
      <c r="F81" s="150" t="s">
        <v>102</v>
      </c>
      <c r="G81" s="143" t="s">
        <v>102</v>
      </c>
    </row>
    <row customFormat="1" customHeight="1" ht="17.25" r="82" s="22" spans="1:7">
      <c r="A82" s="2167" t="s">
        <v>102</v>
      </c>
      <c r="B82" s="1753" t="s">
        <v>102</v>
      </c>
      <c r="C82" s="1731" t="s">
        <v>102</v>
      </c>
      <c r="D82" s="2169" t="s">
        <v>757</v>
      </c>
      <c r="E82" s="2169" t="s">
        <v>102</v>
      </c>
      <c r="F82" s="150" t="s">
        <v>102</v>
      </c>
      <c r="G82" s="143" t="s">
        <v>102</v>
      </c>
    </row>
    <row customFormat="1" customHeight="1" ht="17.25" r="83" s="22" spans="1:7">
      <c r="A83" s="2167" t="s">
        <v>102</v>
      </c>
      <c r="B83" s="1753" t="s">
        <v>102</v>
      </c>
      <c r="C83" s="1731" t="s">
        <v>102</v>
      </c>
      <c r="D83" s="2169" t="s">
        <v>758</v>
      </c>
      <c r="E83" s="2169" t="s">
        <v>102</v>
      </c>
      <c r="F83" s="150" t="s">
        <v>102</v>
      </c>
      <c r="G83" s="143" t="s">
        <v>102</v>
      </c>
    </row>
    <row customFormat="1" customHeight="1" ht="17.25" r="84" s="22" spans="1:7">
      <c r="A84" s="2167" t="s">
        <v>102</v>
      </c>
      <c r="B84" s="1753" t="s">
        <v>102</v>
      </c>
      <c r="C84" s="1731" t="s">
        <v>102</v>
      </c>
      <c r="D84" s="2169" t="s">
        <v>759</v>
      </c>
      <c r="E84" s="2169" t="s">
        <v>102</v>
      </c>
      <c r="F84" s="150" t="s">
        <v>102</v>
      </c>
      <c r="G84" s="143" t="s">
        <v>102</v>
      </c>
    </row>
    <row customFormat="1" customHeight="1" ht="30" r="85" s="22" spans="1:7">
      <c r="A85" s="2167" t="s">
        <v>102</v>
      </c>
      <c r="B85" s="1753" t="s">
        <v>102</v>
      </c>
      <c r="C85" s="1731" t="s">
        <v>102</v>
      </c>
      <c r="D85" s="2169" t="s">
        <v>760</v>
      </c>
      <c r="E85" s="2169" t="s">
        <v>102</v>
      </c>
      <c r="F85" s="150" t="s">
        <v>102</v>
      </c>
      <c r="G85" s="143" t="s">
        <v>102</v>
      </c>
    </row>
    <row customFormat="1" customHeight="1" ht="20.25" r="86" s="22" spans="1:7">
      <c r="A86" s="2167" t="s">
        <v>102</v>
      </c>
      <c r="B86" s="1753" t="s">
        <v>102</v>
      </c>
      <c r="C86" s="1731" t="s">
        <v>102</v>
      </c>
      <c r="D86" s="2169" t="s">
        <v>761</v>
      </c>
      <c r="E86" s="2169" t="s">
        <v>102</v>
      </c>
      <c r="F86" s="150" t="s">
        <v>102</v>
      </c>
      <c r="G86" s="143" t="s">
        <v>102</v>
      </c>
    </row>
    <row customFormat="1" customHeight="1" ht="31.5" r="87" s="22" spans="1:7">
      <c r="A87" s="2167" t="s">
        <v>102</v>
      </c>
      <c r="B87" s="1753" t="s">
        <v>102</v>
      </c>
      <c r="C87" s="1731" t="s">
        <v>102</v>
      </c>
      <c r="D87" s="2169" t="s">
        <v>762</v>
      </c>
      <c r="E87" s="2169" t="s">
        <v>102</v>
      </c>
      <c r="F87" s="150" t="s">
        <v>102</v>
      </c>
      <c r="G87" s="143" t="s">
        <v>102</v>
      </c>
    </row>
    <row customFormat="1" customHeight="1" ht="30.75" r="88" s="22" spans="1:7">
      <c r="A88" s="2167" t="s">
        <v>102</v>
      </c>
      <c r="B88" s="1753" t="s">
        <v>102</v>
      </c>
      <c r="C88" s="1731" t="s">
        <v>102</v>
      </c>
      <c r="D88" s="2169" t="s">
        <v>763</v>
      </c>
      <c r="E88" s="2169" t="s">
        <v>102</v>
      </c>
      <c r="F88" s="150" t="s">
        <v>102</v>
      </c>
      <c r="G88" s="143" t="s">
        <v>102</v>
      </c>
    </row>
    <row customFormat="1" customHeight="1" ht="30.75" r="89" s="22" spans="1:7">
      <c r="A89" s="2167" t="s">
        <v>102</v>
      </c>
      <c r="B89" s="1753" t="s">
        <v>102</v>
      </c>
      <c r="C89" s="1731" t="s">
        <v>102</v>
      </c>
      <c r="D89" s="2169" t="s">
        <v>764</v>
      </c>
      <c r="E89" s="2169" t="s">
        <v>102</v>
      </c>
      <c r="F89" s="150" t="s">
        <v>102</v>
      </c>
      <c r="G89" s="143" t="s">
        <v>102</v>
      </c>
    </row>
    <row customFormat="1" customHeight="1" ht="21.75" r="90" s="22" spans="1:7">
      <c r="A90" s="2167" t="s">
        <v>102</v>
      </c>
      <c r="B90" s="1753" t="s">
        <v>102</v>
      </c>
      <c r="C90" s="1731" t="s">
        <v>102</v>
      </c>
      <c r="D90" s="2169" t="s">
        <v>765</v>
      </c>
      <c r="E90" s="2169" t="s">
        <v>102</v>
      </c>
      <c r="F90" s="150" t="s">
        <v>102</v>
      </c>
      <c r="G90" s="143" t="s">
        <v>102</v>
      </c>
    </row>
    <row customFormat="1" customHeight="1" ht="17.25" r="91" s="22" spans="1:7">
      <c r="A91" s="2167" t="s">
        <v>102</v>
      </c>
      <c r="B91" s="1753" t="s">
        <v>102</v>
      </c>
      <c r="C91" s="1731" t="s">
        <v>102</v>
      </c>
      <c r="D91" s="2169" t="s">
        <v>766</v>
      </c>
      <c r="E91" s="2169" t="s">
        <v>102</v>
      </c>
      <c r="F91" s="150" t="s">
        <v>102</v>
      </c>
      <c r="G91" s="143" t="s">
        <v>102</v>
      </c>
    </row>
    <row customFormat="1" customHeight="1" ht="17.25" r="92" s="22" spans="1:7">
      <c r="A92" s="2167" t="s">
        <v>102</v>
      </c>
      <c r="B92" s="1753" t="s">
        <v>102</v>
      </c>
      <c r="C92" s="1731" t="s">
        <v>102</v>
      </c>
      <c r="D92" s="2169" t="s">
        <v>767</v>
      </c>
      <c r="E92" s="2169" t="s">
        <v>102</v>
      </c>
      <c r="F92" s="150" t="s">
        <v>102</v>
      </c>
      <c r="G92" s="143" t="s">
        <v>102</v>
      </c>
    </row>
    <row customFormat="1" customHeight="1" ht="17.25" r="93" s="22" spans="1:7">
      <c r="A93" s="2167" t="s">
        <v>102</v>
      </c>
      <c r="B93" s="1753" t="s">
        <v>102</v>
      </c>
      <c r="C93" s="1731" t="s">
        <v>102</v>
      </c>
      <c r="D93" s="2169" t="s">
        <v>768</v>
      </c>
      <c r="E93" s="2169" t="s">
        <v>102</v>
      </c>
      <c r="F93" s="150" t="s">
        <v>102</v>
      </c>
      <c r="G93" s="143" t="s">
        <v>102</v>
      </c>
    </row>
    <row customFormat="1" customHeight="1" ht="17.25" r="94" s="22" spans="1:7">
      <c r="A94" s="2167" t="s">
        <v>102</v>
      </c>
      <c r="B94" s="1753" t="s">
        <v>102</v>
      </c>
      <c r="C94" s="1731" t="s">
        <v>102</v>
      </c>
      <c r="D94" s="1718" t="s">
        <v>769</v>
      </c>
      <c r="E94" s="1718" t="s">
        <v>102</v>
      </c>
      <c r="F94" s="150" t="s">
        <v>102</v>
      </c>
      <c r="G94" s="143" t="s">
        <v>102</v>
      </c>
    </row>
    <row customFormat="1" customHeight="1" ht="26.25" r="95" s="22" spans="1:7">
      <c r="A95" s="2167">
        <v>49</v>
      </c>
      <c r="B95" s="1753" t="s">
        <v>102</v>
      </c>
      <c r="C95" s="1731" t="s">
        <v>770</v>
      </c>
      <c r="D95" s="2169" t="s">
        <v>771</v>
      </c>
      <c r="E95" s="2169" t="s">
        <v>102</v>
      </c>
      <c r="F95" s="150" t="s">
        <v>102</v>
      </c>
      <c r="G95" s="143" t="s">
        <v>102</v>
      </c>
    </row>
    <row customFormat="1" customHeight="1" ht="27" r="96" s="22" spans="1:7">
      <c r="A96" s="2167" t="s">
        <v>102</v>
      </c>
      <c r="B96" s="1753" t="s">
        <v>102</v>
      </c>
      <c r="C96" s="1731" t="s">
        <v>102</v>
      </c>
      <c r="D96" s="1728" t="s">
        <v>772</v>
      </c>
      <c r="E96" s="1728" t="s">
        <v>102</v>
      </c>
      <c r="F96" s="150" t="s">
        <v>102</v>
      </c>
      <c r="G96" s="152" t="s">
        <v>102</v>
      </c>
    </row>
    <row customFormat="1" customHeight="1" ht="18.75" r="97" s="22" spans="1:7">
      <c r="A97" s="2167" t="s">
        <v>102</v>
      </c>
      <c r="B97" s="1753" t="s">
        <v>102</v>
      </c>
      <c r="C97" s="1731" t="s">
        <v>102</v>
      </c>
      <c r="D97" s="1728" t="s">
        <v>773</v>
      </c>
      <c r="E97" s="1728" t="s">
        <v>102</v>
      </c>
      <c r="F97" s="150" t="s">
        <v>102</v>
      </c>
      <c r="G97" s="152" t="s">
        <v>102</v>
      </c>
    </row>
    <row customFormat="1" customHeight="1" ht="18.75" r="98" s="22" spans="1:7">
      <c r="A98" s="2167" t="s">
        <v>102</v>
      </c>
      <c r="B98" s="1753" t="s">
        <v>102</v>
      </c>
      <c r="C98" s="1731" t="s">
        <v>102</v>
      </c>
      <c r="D98" s="1728" t="s">
        <v>774</v>
      </c>
      <c r="E98" s="1728" t="s">
        <v>102</v>
      </c>
      <c r="F98" s="150" t="s">
        <v>102</v>
      </c>
      <c r="G98" s="152" t="s">
        <v>102</v>
      </c>
    </row>
    <row customFormat="1" customHeight="1" ht="25.5" r="99" s="22" spans="1:7">
      <c r="A99" s="2167" t="s">
        <v>102</v>
      </c>
      <c r="B99" s="1753" t="s">
        <v>102</v>
      </c>
      <c r="C99" s="1731" t="s">
        <v>102</v>
      </c>
      <c r="D99" s="1728" t="s">
        <v>775</v>
      </c>
      <c r="E99" s="1728" t="s">
        <v>102</v>
      </c>
      <c r="F99" s="150" t="s">
        <v>102</v>
      </c>
      <c r="G99" s="152" t="s">
        <v>102</v>
      </c>
    </row>
    <row customFormat="1" customHeight="1" ht="27.75" r="100" s="22" spans="1:7">
      <c r="A100" s="2167" t="s">
        <v>102</v>
      </c>
      <c r="B100" s="1753" t="s">
        <v>102</v>
      </c>
      <c r="C100" s="1731" t="s">
        <v>102</v>
      </c>
      <c r="D100" s="1728" t="s">
        <v>776</v>
      </c>
      <c r="E100" s="1728" t="s">
        <v>102</v>
      </c>
      <c r="F100" s="150" t="s">
        <v>102</v>
      </c>
      <c r="G100" s="152" t="s">
        <v>102</v>
      </c>
    </row>
    <row customFormat="1" customHeight="1" ht="23.25" r="101" s="22" spans="1:7">
      <c r="A101" s="2167" t="s">
        <v>102</v>
      </c>
      <c r="B101" s="1753" t="s">
        <v>102</v>
      </c>
      <c r="C101" s="1731" t="s">
        <v>102</v>
      </c>
      <c r="D101" s="1728" t="s">
        <v>777</v>
      </c>
      <c r="E101" s="1728" t="s">
        <v>102</v>
      </c>
      <c r="F101" s="150" t="s">
        <v>102</v>
      </c>
      <c r="G101" s="152" t="s">
        <v>102</v>
      </c>
    </row>
    <row customFormat="1" customHeight="1" ht="29.25" r="102" s="22" spans="1:7">
      <c r="A102" s="2167" t="s">
        <v>102</v>
      </c>
      <c r="B102" s="1753" t="s">
        <v>102</v>
      </c>
      <c r="C102" s="1731" t="s">
        <v>102</v>
      </c>
      <c r="D102" s="1728" t="s">
        <v>778</v>
      </c>
      <c r="E102" s="1728" t="s">
        <v>102</v>
      </c>
      <c r="F102" s="150" t="s">
        <v>102</v>
      </c>
      <c r="G102" s="152" t="s">
        <v>102</v>
      </c>
    </row>
    <row customFormat="1" customHeight="1" ht="21.75" r="103" s="22" spans="1:7">
      <c r="A103" s="2167" t="s">
        <v>102</v>
      </c>
      <c r="B103" s="1753" t="s">
        <v>102</v>
      </c>
      <c r="C103" s="1731" t="s">
        <v>102</v>
      </c>
      <c r="D103" s="1728" t="s">
        <v>779</v>
      </c>
      <c r="E103" s="1728" t="s">
        <v>102</v>
      </c>
      <c r="F103" s="150" t="s">
        <v>102</v>
      </c>
      <c r="G103" s="152" t="s">
        <v>102</v>
      </c>
    </row>
    <row customFormat="1" customHeight="1" ht="21" r="104" s="22" spans="1:7">
      <c r="A104" s="2167" t="s">
        <v>102</v>
      </c>
      <c r="B104" s="1753" t="s">
        <v>102</v>
      </c>
      <c r="C104" s="1731" t="s">
        <v>102</v>
      </c>
      <c r="D104" s="1728" t="s">
        <v>780</v>
      </c>
      <c r="E104" s="1728" t="s">
        <v>102</v>
      </c>
      <c r="F104" s="150" t="s">
        <v>102</v>
      </c>
      <c r="G104" s="152" t="s">
        <v>102</v>
      </c>
    </row>
    <row customFormat="1" customHeight="1" ht="21.75" r="105" s="22" spans="1:7">
      <c r="A105" s="2167" t="s">
        <v>102</v>
      </c>
      <c r="B105" s="1753" t="s">
        <v>102</v>
      </c>
      <c r="C105" s="1731" t="s">
        <v>102</v>
      </c>
      <c r="D105" s="1728" t="s">
        <v>781</v>
      </c>
      <c r="E105" s="1728" t="s">
        <v>102</v>
      </c>
      <c r="F105" s="150" t="s">
        <v>102</v>
      </c>
      <c r="G105" s="152" t="s">
        <v>102</v>
      </c>
    </row>
    <row customFormat="1" customHeight="1" ht="21.75" r="106" s="22" spans="1:7">
      <c r="A106" s="2167" t="s">
        <v>102</v>
      </c>
      <c r="B106" s="1753" t="s">
        <v>102</v>
      </c>
      <c r="C106" s="1731" t="s">
        <v>102</v>
      </c>
      <c r="D106" s="1728" t="s">
        <v>782</v>
      </c>
      <c r="E106" s="1728" t="s">
        <v>102</v>
      </c>
      <c r="F106" s="150" t="s">
        <v>102</v>
      </c>
      <c r="G106" s="152" t="s">
        <v>102</v>
      </c>
    </row>
    <row customFormat="1" customHeight="1" ht="19.5" r="107" s="22" spans="1:7">
      <c r="A107" s="2167" t="s">
        <v>102</v>
      </c>
      <c r="B107" s="1753" t="s">
        <v>102</v>
      </c>
      <c r="C107" s="1731" t="s">
        <v>102</v>
      </c>
      <c r="D107" s="1728" t="s">
        <v>783</v>
      </c>
      <c r="E107" s="1728" t="s">
        <v>102</v>
      </c>
      <c r="F107" s="150" t="s">
        <v>102</v>
      </c>
      <c r="G107" s="152" t="s">
        <v>102</v>
      </c>
    </row>
    <row customFormat="1" customHeight="1" ht="19.5" r="108" s="22" spans="1:7">
      <c r="A108" s="2167" t="s">
        <v>102</v>
      </c>
      <c r="B108" s="1753" t="s">
        <v>102</v>
      </c>
      <c r="C108" s="1731" t="s">
        <v>102</v>
      </c>
      <c r="D108" s="1728" t="s">
        <v>784</v>
      </c>
      <c r="E108" s="1728" t="s">
        <v>102</v>
      </c>
      <c r="F108" s="150" t="s">
        <v>102</v>
      </c>
      <c r="G108" s="152" t="s">
        <v>102</v>
      </c>
    </row>
    <row customFormat="1" customHeight="1" ht="21" r="109" s="22" spans="1:7">
      <c r="A109" s="2167" t="s">
        <v>102</v>
      </c>
      <c r="B109" s="1753" t="s">
        <v>102</v>
      </c>
      <c r="C109" s="1731" t="s">
        <v>102</v>
      </c>
      <c r="D109" s="1728" t="s">
        <v>785</v>
      </c>
      <c r="E109" s="1728" t="s">
        <v>102</v>
      </c>
      <c r="F109" s="150" t="s">
        <v>102</v>
      </c>
      <c r="G109" s="152" t="s">
        <v>102</v>
      </c>
    </row>
    <row customFormat="1" customHeight="1" ht="17.25" r="110" s="22" spans="1:7">
      <c r="A110" s="2167" t="s">
        <v>102</v>
      </c>
      <c r="B110" s="1753" t="s">
        <v>102</v>
      </c>
      <c r="C110" s="1731" t="s">
        <v>102</v>
      </c>
      <c r="D110" s="1728" t="s">
        <v>786</v>
      </c>
      <c r="E110" s="1728" t="s">
        <v>102</v>
      </c>
      <c r="F110" s="150" t="s">
        <v>102</v>
      </c>
      <c r="G110" s="152" t="s">
        <v>102</v>
      </c>
    </row>
    <row customFormat="1" customHeight="1" ht="16.5" r="111" s="22" spans="1:7">
      <c r="A111" s="2167" t="s">
        <v>102</v>
      </c>
      <c r="B111" s="1753" t="s">
        <v>102</v>
      </c>
      <c r="C111" s="1731" t="s">
        <v>102</v>
      </c>
      <c r="D111" s="1728" t="s">
        <v>787</v>
      </c>
      <c r="E111" s="1728" t="s">
        <v>102</v>
      </c>
      <c r="F111" s="150" t="s">
        <v>102</v>
      </c>
      <c r="G111" s="152" t="s">
        <v>102</v>
      </c>
    </row>
    <row customFormat="1" customHeight="1" ht="17.25" r="112" s="22" spans="1:7">
      <c r="A112" s="2167" t="s">
        <v>102</v>
      </c>
      <c r="B112" s="1753" t="s">
        <v>102</v>
      </c>
      <c r="C112" s="1731" t="s">
        <v>102</v>
      </c>
      <c r="D112" s="1728" t="s">
        <v>788</v>
      </c>
      <c r="E112" s="1728" t="s">
        <v>102</v>
      </c>
      <c r="F112" s="150" t="s">
        <v>102</v>
      </c>
      <c r="G112" s="152" t="s">
        <v>102</v>
      </c>
    </row>
    <row customFormat="1" customHeight="1" ht="18" r="113" s="22" spans="1:7">
      <c r="A113" s="2167" t="s">
        <v>102</v>
      </c>
      <c r="B113" s="1753" t="s">
        <v>102</v>
      </c>
      <c r="C113" s="1731" t="s">
        <v>102</v>
      </c>
      <c r="D113" s="1728" t="s">
        <v>789</v>
      </c>
      <c r="E113" s="1728" t="s">
        <v>102</v>
      </c>
      <c r="F113" s="150" t="s">
        <v>102</v>
      </c>
      <c r="G113" s="152" t="s">
        <v>102</v>
      </c>
    </row>
    <row customFormat="1" customHeight="1" ht="21" r="114" s="22" spans="1:7">
      <c r="A114" s="2167" t="s">
        <v>102</v>
      </c>
      <c r="B114" s="1753" t="s">
        <v>102</v>
      </c>
      <c r="C114" s="1731" t="s">
        <v>102</v>
      </c>
      <c r="D114" s="1728" t="s">
        <v>790</v>
      </c>
      <c r="E114" s="1728" t="s">
        <v>102</v>
      </c>
      <c r="F114" s="150" t="s">
        <v>102</v>
      </c>
      <c r="G114" s="152" t="s">
        <v>102</v>
      </c>
    </row>
    <row customFormat="1" customHeight="1" ht="18.75" r="115" s="22" spans="1:7">
      <c r="A115" s="2167" t="s">
        <v>102</v>
      </c>
      <c r="B115" s="1753" t="s">
        <v>102</v>
      </c>
      <c r="C115" s="1731" t="s">
        <v>102</v>
      </c>
      <c r="D115" s="1728" t="s">
        <v>102</v>
      </c>
      <c r="E115" s="1728" t="s">
        <v>102</v>
      </c>
      <c r="F115" s="150" t="s">
        <v>102</v>
      </c>
      <c r="G115" s="152" t="s">
        <v>102</v>
      </c>
    </row>
  </sheetData>
  <mergeCells count="110">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s>
  <pageMargins bottom="0.75" footer="0.3" header="0.3" left="0.7" right="0.7" top="0.75"/>
  <pageSetup orientation="portrait" r:id="rId1" verticalDpi="0"/>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296"/>
  <sheetViews>
    <sheetView topLeftCell="A148" workbookViewId="0" zoomScale="85" zoomScaleNormal="85">
      <selection activeCell="B181" sqref="B181"/>
    </sheetView>
  </sheetViews>
  <sheetFormatPr defaultColWidth="9.140625" defaultRowHeight="15"/>
  <cols>
    <col min="1" max="1" customWidth="true" style="380" width="8.42578125" collapsed="false"/>
    <col min="2" max="2" customWidth="true" style="381" width="65.7109375" collapsed="false"/>
    <col min="3" max="3" customWidth="true" style="382" width="22.42578125" collapsed="false"/>
    <col min="4" max="4" customWidth="true" style="382" width="20.42578125" collapsed="false"/>
    <col min="5" max="16384" style="381" width="9.140625" collapsed="false"/>
  </cols>
  <sheetData>
    <row r="1" spans="1:5">
      <c r="C1" t="s">
        <v>102</v>
      </c>
      <c r="D1" s="383" t="s">
        <v>450</v>
      </c>
      <c r="E1"/>
    </row>
    <row r="3" spans="1:5">
      <c r="A3" s="2171" t="s">
        <v>5</v>
      </c>
      <c r="B3" s="2171" t="s">
        <v>102</v>
      </c>
      <c r="C3" s="2171" t="s">
        <v>102</v>
      </c>
      <c r="D3" s="2171" t="s">
        <v>102</v>
      </c>
      <c r="E3"/>
    </row>
    <row r="4" spans="1:5">
      <c r="A4" s="384" t="s">
        <v>102</v>
      </c>
      <c r="B4" s="1599" t="s">
        <v>102</v>
      </c>
      <c r="C4" s="385" t="s">
        <v>102</v>
      </c>
      <c r="D4" s="385" t="s">
        <v>102</v>
      </c>
      <c r="E4"/>
    </row>
    <row r="5" spans="1:5">
      <c r="A5" s="384" t="s">
        <v>102</v>
      </c>
      <c r="B5" s="386" t="s">
        <v>102</v>
      </c>
      <c r="C5" s="387" t="s">
        <v>102</v>
      </c>
      <c r="D5" s="388" t="s">
        <v>794</v>
      </c>
      <c r="E5"/>
    </row>
    <row r="6" spans="1:5">
      <c r="A6" s="384" t="s">
        <v>102</v>
      </c>
      <c r="B6" s="386" t="s">
        <v>102</v>
      </c>
      <c r="C6" s="387" t="s">
        <v>102</v>
      </c>
      <c r="D6" s="389" t="s">
        <v>102</v>
      </c>
      <c r="E6"/>
    </row>
    <row customHeight="1" ht="42.75" r="7" spans="1:5">
      <c r="A7" s="352" t="s">
        <v>64</v>
      </c>
      <c r="B7" s="353" t="s">
        <v>63</v>
      </c>
      <c r="C7" s="354" t="s">
        <v>49</v>
      </c>
      <c r="D7" s="354" t="s">
        <v>50</v>
      </c>
      <c r="E7"/>
    </row>
    <row r="8" spans="1:5">
      <c r="A8" s="355">
        <v>1</v>
      </c>
      <c r="B8" s="356" t="s">
        <v>121</v>
      </c>
      <c r="C8" s="357">
        <f>C9+C30+C34+C55+C67+C83</f>
        <v>0</v>
      </c>
      <c r="D8" s="357">
        <f>D9+D30+D34+D55+D67+D83</f>
        <v>0</v>
      </c>
      <c r="E8"/>
    </row>
    <row r="9" spans="1:5">
      <c r="A9" s="355">
        <v>31</v>
      </c>
      <c r="B9" s="356" t="s">
        <v>123</v>
      </c>
      <c r="C9" s="358">
        <f>C10+C15+C28+C29</f>
        <v>0</v>
      </c>
      <c r="D9" s="358">
        <f>D10+D15+D28+D29</f>
        <v>0</v>
      </c>
      <c r="E9"/>
    </row>
    <row r="10" spans="1:5">
      <c r="A10" s="355">
        <v>311</v>
      </c>
      <c r="B10" s="356" t="s">
        <v>124</v>
      </c>
      <c r="C10" s="358">
        <f>SUM(C11:C14)</f>
        <v>0</v>
      </c>
      <c r="D10" s="358">
        <f>SUM(D11:D14)</f>
        <v>0</v>
      </c>
      <c r="E10"/>
    </row>
    <row r="11" spans="1:5">
      <c r="A11" s="359">
        <v>31110</v>
      </c>
      <c r="B11" s="360" t="s">
        <v>125</v>
      </c>
      <c r="C11" s="361">
        <v>0</v>
      </c>
      <c r="D11" s="361">
        <v>0</v>
      </c>
      <c r="E11"/>
    </row>
    <row r="12" spans="1:5">
      <c r="A12" s="359">
        <v>31120</v>
      </c>
      <c r="B12" s="360" t="s">
        <v>126</v>
      </c>
      <c r="C12" s="361">
        <v>0</v>
      </c>
      <c r="D12" s="361">
        <v>0</v>
      </c>
      <c r="E12"/>
    </row>
    <row r="13" spans="1:5">
      <c r="A13" s="359">
        <v>31130</v>
      </c>
      <c r="B13" s="360" t="s">
        <v>127</v>
      </c>
      <c r="C13" s="361">
        <v>0</v>
      </c>
      <c r="D13" s="361">
        <v>0</v>
      </c>
      <c r="E13"/>
    </row>
    <row r="14" spans="1:5">
      <c r="A14" s="362">
        <v>31140</v>
      </c>
      <c r="B14" s="363" t="s">
        <v>656</v>
      </c>
      <c r="C14" s="361">
        <v>0</v>
      </c>
      <c r="D14" s="361">
        <v>0</v>
      </c>
      <c r="E14"/>
    </row>
    <row r="15" spans="1:5">
      <c r="A15" s="355">
        <v>312</v>
      </c>
      <c r="B15" s="356" t="s">
        <v>128</v>
      </c>
      <c r="C15" s="358">
        <f>C16+C23</f>
        <v>0</v>
      </c>
      <c r="D15" s="358">
        <f>D16+D23</f>
        <v>0</v>
      </c>
      <c r="E15"/>
    </row>
    <row r="16" spans="1:5">
      <c r="A16" s="355">
        <v>3121</v>
      </c>
      <c r="B16" s="356" t="s">
        <v>129</v>
      </c>
      <c r="C16" s="358">
        <f>SUM(C17:C22)</f>
        <v>0</v>
      </c>
      <c r="D16" s="358">
        <f>SUM(D17:D22)</f>
        <v>0</v>
      </c>
      <c r="E16"/>
    </row>
    <row r="17" spans="1:5">
      <c r="A17" s="359">
        <v>31211</v>
      </c>
      <c r="B17" s="360" t="s">
        <v>130</v>
      </c>
      <c r="C17" s="361">
        <v>0</v>
      </c>
      <c r="D17" s="361">
        <v>0</v>
      </c>
      <c r="E17"/>
    </row>
    <row r="18" spans="1:5">
      <c r="A18" s="359">
        <v>31212</v>
      </c>
      <c r="B18" s="360" t="s">
        <v>131</v>
      </c>
      <c r="C18" s="361">
        <v>0</v>
      </c>
      <c r="D18" s="361">
        <v>0</v>
      </c>
      <c r="E18"/>
    </row>
    <row r="19" spans="1:5">
      <c r="A19" s="359">
        <v>31213</v>
      </c>
      <c r="B19" s="360" t="s">
        <v>132</v>
      </c>
      <c r="C19" s="361">
        <v>0</v>
      </c>
      <c r="D19" s="361">
        <v>0</v>
      </c>
      <c r="E19"/>
    </row>
    <row r="20" spans="1:5">
      <c r="A20" s="359">
        <v>31214</v>
      </c>
      <c r="B20" s="360" t="s">
        <v>133</v>
      </c>
      <c r="C20" s="361">
        <v>0</v>
      </c>
      <c r="D20" s="361">
        <v>0</v>
      </c>
      <c r="E20"/>
    </row>
    <row r="21" spans="1:5">
      <c r="A21" s="359">
        <v>31215</v>
      </c>
      <c r="B21" s="360" t="s">
        <v>134</v>
      </c>
      <c r="C21" s="361">
        <v>0</v>
      </c>
      <c r="D21" s="361">
        <v>0</v>
      </c>
      <c r="E21"/>
    </row>
    <row r="22" spans="1:5">
      <c r="A22" s="362">
        <v>31216</v>
      </c>
      <c r="B22" s="363" t="s">
        <v>655</v>
      </c>
      <c r="C22" s="361">
        <v>0</v>
      </c>
      <c r="D22" s="361">
        <v>0</v>
      </c>
      <c r="E22"/>
    </row>
    <row r="23" spans="1:5">
      <c r="A23" s="355">
        <v>3122</v>
      </c>
      <c r="B23" s="356" t="s">
        <v>135</v>
      </c>
      <c r="C23" s="358">
        <f>SUM(C24:C27)</f>
        <v>0</v>
      </c>
      <c r="D23" s="358">
        <f>SUM(D24:D27)</f>
        <v>0</v>
      </c>
      <c r="E23"/>
    </row>
    <row r="24" spans="1:5">
      <c r="A24" s="359">
        <v>31221</v>
      </c>
      <c r="B24" s="360" t="s">
        <v>130</v>
      </c>
      <c r="C24" s="361">
        <v>0</v>
      </c>
      <c r="D24" s="361">
        <v>0</v>
      </c>
      <c r="E24"/>
    </row>
    <row r="25" spans="1:5">
      <c r="A25" s="359">
        <v>31222</v>
      </c>
      <c r="B25" s="360" t="s">
        <v>136</v>
      </c>
      <c r="C25" s="361">
        <v>0</v>
      </c>
      <c r="D25" s="361">
        <v>0</v>
      </c>
      <c r="E25"/>
    </row>
    <row r="26" spans="1:5">
      <c r="A26" s="359">
        <v>31223</v>
      </c>
      <c r="B26" s="360" t="s">
        <v>132</v>
      </c>
      <c r="C26" s="361">
        <v>0</v>
      </c>
      <c r="D26" s="361">
        <v>0</v>
      </c>
      <c r="E26"/>
    </row>
    <row r="27" spans="1:5">
      <c r="A27" s="359">
        <v>31224</v>
      </c>
      <c r="B27" s="360" t="s">
        <v>133</v>
      </c>
      <c r="C27" s="361">
        <v>0</v>
      </c>
      <c r="D27" s="361">
        <v>0</v>
      </c>
      <c r="E27"/>
    </row>
    <row r="28" spans="1:5">
      <c r="A28" s="359">
        <v>31400</v>
      </c>
      <c r="B28" s="360" t="s">
        <v>137</v>
      </c>
      <c r="C28" s="361">
        <v>0</v>
      </c>
      <c r="D28" s="361">
        <v>0</v>
      </c>
      <c r="E28"/>
    </row>
    <row r="29" spans="1:5">
      <c r="A29" s="359">
        <v>31500</v>
      </c>
      <c r="B29" s="360" t="s">
        <v>138</v>
      </c>
      <c r="C29" s="361">
        <v>0</v>
      </c>
      <c r="D29" s="361">
        <v>0</v>
      </c>
      <c r="E29"/>
    </row>
    <row r="30" spans="1:5">
      <c r="A30" s="355">
        <v>32</v>
      </c>
      <c r="B30" s="356" t="s">
        <v>140</v>
      </c>
      <c r="C30" s="358">
        <f>SUM(C31)</f>
        <v>0</v>
      </c>
      <c r="D30" s="358">
        <f>SUM(D31)</f>
        <v>0</v>
      </c>
      <c r="E30"/>
    </row>
    <row r="31" spans="1:5">
      <c r="A31" s="355">
        <v>321</v>
      </c>
      <c r="B31" s="356" t="s">
        <v>141</v>
      </c>
      <c r="C31" s="358">
        <f>SUM(C32:C33)</f>
        <v>0</v>
      </c>
      <c r="D31" s="358">
        <f>SUM(D32:D33)</f>
        <v>0</v>
      </c>
      <c r="E31"/>
    </row>
    <row r="32" spans="1:5">
      <c r="A32" s="359">
        <v>32110</v>
      </c>
      <c r="B32" s="360" t="s">
        <v>125</v>
      </c>
      <c r="C32" s="361">
        <v>0</v>
      </c>
      <c r="D32" s="361">
        <v>0</v>
      </c>
      <c r="E32"/>
    </row>
    <row r="33" spans="1:5">
      <c r="A33" s="359">
        <v>32120</v>
      </c>
      <c r="B33" s="360" t="s">
        <v>126</v>
      </c>
      <c r="C33" s="361">
        <v>0</v>
      </c>
      <c r="D33" s="361">
        <v>0</v>
      </c>
      <c r="E33"/>
    </row>
    <row r="34" spans="1:5">
      <c r="A34" s="355">
        <v>33</v>
      </c>
      <c r="B34" s="356" t="s">
        <v>143</v>
      </c>
      <c r="C34" s="358">
        <f>C35+C36+C37+C38+C39+C40+C41+C44</f>
        <v>360000</v>
      </c>
      <c r="D34" s="358">
        <f>D35+D36+D37+D38+D39+D40+D41+D44</f>
        <v>323243154.61000001</v>
      </c>
      <c r="E34"/>
    </row>
    <row r="35" spans="1:5">
      <c r="A35" s="359">
        <v>33100</v>
      </c>
      <c r="B35" s="360" t="s">
        <v>144</v>
      </c>
      <c r="C35" s="361">
        <v>0</v>
      </c>
      <c r="D35" s="361">
        <v>0</v>
      </c>
      <c r="E35"/>
    </row>
    <row r="36" spans="1:5">
      <c r="A36" s="359">
        <v>33200</v>
      </c>
      <c r="B36" s="360" t="s">
        <v>145</v>
      </c>
      <c r="C36" s="361">
        <v>0</v>
      </c>
      <c r="D36" s="361">
        <v>0</v>
      </c>
      <c r="E36"/>
    </row>
    <row r="37" spans="1:5">
      <c r="A37" s="359">
        <v>33300</v>
      </c>
      <c r="B37" s="360" t="s">
        <v>146</v>
      </c>
      <c r="C37" s="361">
        <v>0</v>
      </c>
      <c r="D37" s="361">
        <v>0</v>
      </c>
      <c r="E37"/>
    </row>
    <row r="38" spans="1:5">
      <c r="A38" s="359">
        <v>33400</v>
      </c>
      <c r="B38" s="360" t="s">
        <v>147</v>
      </c>
      <c r="C38" s="361">
        <v>0</v>
      </c>
      <c r="D38" s="361">
        <v>0</v>
      </c>
      <c r="E38"/>
    </row>
    <row r="39" spans="1:5">
      <c r="A39" s="359">
        <v>33401</v>
      </c>
      <c r="B39" s="360" t="s">
        <v>634</v>
      </c>
      <c r="C39" s="361">
        <v>0</v>
      </c>
      <c r="D39" s="361">
        <v>0</v>
      </c>
      <c r="E39"/>
    </row>
    <row r="40" spans="1:5">
      <c r="A40" s="359">
        <v>33402</v>
      </c>
      <c r="B40" s="360" t="s">
        <v>635</v>
      </c>
      <c r="C40" s="361">
        <v>0</v>
      </c>
      <c r="D40" s="361">
        <v>0</v>
      </c>
      <c r="E40"/>
    </row>
    <row r="41" spans="1:5">
      <c r="A41" s="355">
        <v>335</v>
      </c>
      <c r="B41" s="356" t="s">
        <v>148</v>
      </c>
      <c r="C41" s="358">
        <f>SUM(C42:C43)</f>
        <v>360000</v>
      </c>
      <c r="D41" s="358">
        <f>SUM(D42:D43)</f>
        <v>323243154.61000001</v>
      </c>
      <c r="E41"/>
    </row>
    <row r="42" spans="1:5">
      <c r="A42" s="359">
        <v>3351</v>
      </c>
      <c r="B42" s="360" t="s">
        <v>149</v>
      </c>
      <c r="C42" s="361">
        <v>0</v>
      </c>
      <c r="D42" s="361">
        <v>323243154.61000001</v>
      </c>
      <c r="E42"/>
    </row>
    <row r="43" spans="1:5">
      <c r="A43" s="359">
        <v>3352</v>
      </c>
      <c r="B43" s="360" t="s">
        <v>150</v>
      </c>
      <c r="C43" s="361">
        <v>360000</v>
      </c>
      <c r="D43" s="361">
        <v>0</v>
      </c>
      <c r="E43"/>
    </row>
    <row r="44" spans="1:5">
      <c r="A44" s="355">
        <v>336</v>
      </c>
      <c r="B44" s="356" t="s">
        <v>151</v>
      </c>
      <c r="C44" s="358">
        <f>C45+C51</f>
        <v>0</v>
      </c>
      <c r="D44" s="358">
        <f>D45+D51</f>
        <v>0</v>
      </c>
      <c r="E44"/>
    </row>
    <row r="45" spans="1:5">
      <c r="A45" s="355">
        <v>3361</v>
      </c>
      <c r="B45" s="364" t="s">
        <v>152</v>
      </c>
      <c r="C45" s="358">
        <f>SUM(C46:C50)</f>
        <v>0</v>
      </c>
      <c r="D45" s="358">
        <f>SUM(D46:D50)</f>
        <v>0</v>
      </c>
      <c r="E45"/>
    </row>
    <row r="46" spans="1:5">
      <c r="A46" s="359">
        <v>33611</v>
      </c>
      <c r="B46" s="365" t="s">
        <v>153</v>
      </c>
      <c r="C46" s="361">
        <v>0</v>
      </c>
      <c r="D46" s="361">
        <v>0</v>
      </c>
      <c r="E46"/>
    </row>
    <row r="47" spans="1:5">
      <c r="A47" s="359">
        <v>33612</v>
      </c>
      <c r="B47" s="365" t="s">
        <v>154</v>
      </c>
      <c r="C47" s="361">
        <v>0</v>
      </c>
      <c r="D47" s="361">
        <v>0</v>
      </c>
      <c r="E47"/>
    </row>
    <row r="48" spans="1:5">
      <c r="A48" s="359">
        <v>33613</v>
      </c>
      <c r="B48" s="365" t="s">
        <v>155</v>
      </c>
      <c r="C48" s="361">
        <v>0</v>
      </c>
      <c r="D48" s="361">
        <v>0</v>
      </c>
      <c r="E48"/>
    </row>
    <row r="49" spans="1:5">
      <c r="A49" s="359">
        <v>33614</v>
      </c>
      <c r="B49" s="365" t="s">
        <v>156</v>
      </c>
      <c r="C49" s="361">
        <v>0</v>
      </c>
      <c r="D49" s="361">
        <v>0</v>
      </c>
      <c r="E49"/>
    </row>
    <row r="50" spans="1:5">
      <c r="A50" s="359">
        <v>33615</v>
      </c>
      <c r="B50" s="365" t="s">
        <v>157</v>
      </c>
      <c r="C50" s="361">
        <v>0</v>
      </c>
      <c r="D50" s="361">
        <v>0</v>
      </c>
      <c r="E50"/>
    </row>
    <row r="51" spans="1:5">
      <c r="A51" s="355">
        <v>3362</v>
      </c>
      <c r="B51" s="364" t="s">
        <v>158</v>
      </c>
      <c r="C51" s="358">
        <f>SUM(C52:C54)</f>
        <v>0</v>
      </c>
      <c r="D51" s="358">
        <f>SUM(D52:D54)</f>
        <v>0</v>
      </c>
      <c r="E51"/>
    </row>
    <row r="52" spans="1:5">
      <c r="A52" s="359">
        <v>33621</v>
      </c>
      <c r="B52" s="365" t="s">
        <v>153</v>
      </c>
      <c r="C52" s="361">
        <v>0</v>
      </c>
      <c r="D52" s="361">
        <v>0</v>
      </c>
      <c r="E52"/>
    </row>
    <row r="53" spans="1:5">
      <c r="A53" s="359">
        <v>33622</v>
      </c>
      <c r="B53" s="365" t="s">
        <v>156</v>
      </c>
      <c r="C53" s="361">
        <v>0</v>
      </c>
      <c r="D53" s="361">
        <v>0</v>
      </c>
      <c r="E53"/>
    </row>
    <row r="54" spans="1:5">
      <c r="A54" s="359">
        <v>33623</v>
      </c>
      <c r="B54" s="365" t="s">
        <v>157</v>
      </c>
      <c r="C54" s="361">
        <v>0</v>
      </c>
      <c r="D54" s="361">
        <v>0</v>
      </c>
      <c r="E54"/>
    </row>
    <row r="55" spans="1:5">
      <c r="A55" s="355">
        <v>34</v>
      </c>
      <c r="B55" s="356" t="s">
        <v>160</v>
      </c>
      <c r="C55" s="358">
        <f>SUM(C56:C62)</f>
        <v>0</v>
      </c>
      <c r="D55" s="358">
        <f>SUM(D56:D62)</f>
        <v>0</v>
      </c>
      <c r="E55"/>
    </row>
    <row r="56" spans="1:5">
      <c r="A56" s="359">
        <v>34100</v>
      </c>
      <c r="B56" s="360" t="s">
        <v>161</v>
      </c>
      <c r="C56" s="361">
        <v>0</v>
      </c>
      <c r="D56" s="361">
        <v>0</v>
      </c>
      <c r="E56"/>
    </row>
    <row r="57" spans="1:5">
      <c r="A57" s="359">
        <v>34200</v>
      </c>
      <c r="B57" s="360" t="s">
        <v>162</v>
      </c>
      <c r="C57" s="361">
        <v>0</v>
      </c>
      <c r="D57" s="361">
        <v>0</v>
      </c>
      <c r="E57"/>
    </row>
    <row r="58" spans="1:5">
      <c r="A58" s="359">
        <v>34300</v>
      </c>
      <c r="B58" s="360" t="s">
        <v>163</v>
      </c>
      <c r="C58" s="361">
        <v>0</v>
      </c>
      <c r="D58" s="361">
        <v>0</v>
      </c>
      <c r="E58"/>
    </row>
    <row r="59" spans="1:5">
      <c r="A59" s="359">
        <v>34400</v>
      </c>
      <c r="B59" s="360" t="s">
        <v>164</v>
      </c>
      <c r="C59" s="361">
        <v>0</v>
      </c>
      <c r="D59" s="361">
        <v>0</v>
      </c>
      <c r="E59"/>
    </row>
    <row r="60" spans="1:5">
      <c r="A60" s="359">
        <v>34500</v>
      </c>
      <c r="B60" s="360" t="s">
        <v>165</v>
      </c>
      <c r="C60" s="361">
        <v>0</v>
      </c>
      <c r="D60" s="361">
        <v>0</v>
      </c>
      <c r="E60"/>
    </row>
    <row r="61" spans="1:5">
      <c r="A61" s="359">
        <v>34600</v>
      </c>
      <c r="B61" s="360" t="s">
        <v>166</v>
      </c>
      <c r="C61" s="361">
        <v>0</v>
      </c>
      <c r="D61" s="361">
        <v>0</v>
      </c>
      <c r="E61"/>
    </row>
    <row r="62" spans="1:5">
      <c r="A62" s="355">
        <v>3471</v>
      </c>
      <c r="B62" s="356" t="s">
        <v>167</v>
      </c>
      <c r="C62" s="358">
        <f>SUM(C63:C66)</f>
        <v>0</v>
      </c>
      <c r="D62" s="358">
        <f>SUM(D63:D66)</f>
        <v>0</v>
      </c>
      <c r="E62"/>
    </row>
    <row r="63" spans="1:5">
      <c r="A63" s="359">
        <v>34711</v>
      </c>
      <c r="B63" s="360" t="s">
        <v>168</v>
      </c>
      <c r="C63" s="361">
        <v>0</v>
      </c>
      <c r="D63" s="361">
        <v>0</v>
      </c>
      <c r="E63"/>
    </row>
    <row r="64" spans="1:5">
      <c r="A64" s="359">
        <v>34712</v>
      </c>
      <c r="B64" s="360" t="s">
        <v>169</v>
      </c>
      <c r="C64" s="361">
        <v>0</v>
      </c>
      <c r="D64" s="361">
        <v>0</v>
      </c>
      <c r="E64"/>
    </row>
    <row r="65" spans="1:5">
      <c r="A65" s="359">
        <v>34713</v>
      </c>
      <c r="B65" s="360" t="s">
        <v>170</v>
      </c>
      <c r="C65" s="361">
        <v>0</v>
      </c>
      <c r="D65" s="361">
        <v>0</v>
      </c>
      <c r="E65"/>
    </row>
    <row r="66" spans="1:5">
      <c r="A66" s="359">
        <v>34714</v>
      </c>
      <c r="B66" s="360" t="s">
        <v>171</v>
      </c>
      <c r="C66" s="361">
        <v>0</v>
      </c>
      <c r="D66" s="361">
        <v>0</v>
      </c>
      <c r="E66"/>
    </row>
    <row r="67" spans="1:5">
      <c r="A67" s="355">
        <v>35</v>
      </c>
      <c r="B67" s="356" t="s">
        <v>173</v>
      </c>
      <c r="C67" s="358">
        <f>C68+C71+C72+C73+C81+C82</f>
        <v>725789634.71000004</v>
      </c>
      <c r="D67" s="358">
        <f>D68+D71+D72+D73+D81+D82</f>
        <v>677644978.18000007</v>
      </c>
      <c r="E67"/>
    </row>
    <row r="68" spans="1:5">
      <c r="A68" s="355">
        <v>351</v>
      </c>
      <c r="B68" s="356" t="s">
        <v>448</v>
      </c>
      <c r="C68" s="358">
        <f>C69+C70</f>
        <v>42546313.100000001</v>
      </c>
      <c r="D68" s="358">
        <f>D69+D70</f>
        <v>14926200.800000001</v>
      </c>
      <c r="E68"/>
    </row>
    <row r="69" spans="1:5">
      <c r="A69" s="359">
        <v>35110</v>
      </c>
      <c r="B69" s="360" t="s">
        <v>175</v>
      </c>
      <c r="C69" s="361">
        <v>42546313.100000001</v>
      </c>
      <c r="D69" s="361">
        <v>14926200.800000001</v>
      </c>
      <c r="E69"/>
    </row>
    <row r="70" spans="1:5">
      <c r="A70" s="359">
        <v>35130</v>
      </c>
      <c r="B70" s="360" t="s">
        <v>177</v>
      </c>
      <c r="C70" s="361">
        <v>0</v>
      </c>
      <c r="D70" s="361">
        <v>0</v>
      </c>
      <c r="E70"/>
    </row>
    <row r="71" spans="1:5">
      <c r="A71" s="359">
        <v>35200</v>
      </c>
      <c r="B71" s="360" t="s">
        <v>179</v>
      </c>
      <c r="C71" s="361">
        <v>0</v>
      </c>
      <c r="D71" s="361">
        <v>0</v>
      </c>
      <c r="E71"/>
    </row>
    <row r="72" spans="1:5">
      <c r="A72" s="359">
        <v>35300</v>
      </c>
      <c r="B72" s="360" t="s">
        <v>181</v>
      </c>
      <c r="C72" s="361">
        <v>26063798.800000001</v>
      </c>
      <c r="D72" s="361">
        <v>15276918.800000001</v>
      </c>
      <c r="E72"/>
    </row>
    <row r="73" spans="1:5">
      <c r="A73" s="355">
        <v>354</v>
      </c>
      <c r="B73" s="356" t="s">
        <v>182</v>
      </c>
      <c r="C73" s="358">
        <f>SUM(C74:C80)</f>
        <v>657179522.81000006</v>
      </c>
      <c r="D73" s="358">
        <f>SUM(D74:D80)</f>
        <v>647441858.58000004</v>
      </c>
      <c r="E73"/>
    </row>
    <row r="74" spans="1:5">
      <c r="A74" s="359">
        <v>35410</v>
      </c>
      <c r="B74" s="360" t="s">
        <v>184</v>
      </c>
      <c r="C74" s="361">
        <v>1520663.12</v>
      </c>
      <c r="D74" s="361">
        <v>2654000</v>
      </c>
      <c r="E74"/>
    </row>
    <row r="75" spans="1:5">
      <c r="A75" s="359">
        <v>35420</v>
      </c>
      <c r="B75" s="360" t="s">
        <v>186</v>
      </c>
      <c r="C75" s="361">
        <v>0</v>
      </c>
      <c r="D75" s="361">
        <v>0</v>
      </c>
      <c r="E75"/>
    </row>
    <row r="76" spans="1:5">
      <c r="A76" s="359">
        <v>35430</v>
      </c>
      <c r="B76" s="360" t="s">
        <v>188</v>
      </c>
      <c r="C76" s="361">
        <v>0</v>
      </c>
      <c r="D76" s="361">
        <v>0</v>
      </c>
      <c r="E76"/>
    </row>
    <row r="77" spans="1:5">
      <c r="A77" s="359">
        <v>35440</v>
      </c>
      <c r="B77" s="360" t="s">
        <v>190</v>
      </c>
      <c r="C77" s="361">
        <v>1439526</v>
      </c>
      <c r="D77" s="361">
        <v>0</v>
      </c>
      <c r="E77"/>
    </row>
    <row r="78" spans="1:5">
      <c r="A78" s="359">
        <v>35450</v>
      </c>
      <c r="B78" s="360" t="s">
        <v>192</v>
      </c>
      <c r="C78" s="361">
        <v>0</v>
      </c>
      <c r="D78" s="361">
        <v>0</v>
      </c>
      <c r="E78"/>
    </row>
    <row r="79" spans="1:5">
      <c r="A79" s="359">
        <v>35460</v>
      </c>
      <c r="B79" s="360" t="s">
        <v>194</v>
      </c>
      <c r="C79" s="361">
        <v>0</v>
      </c>
      <c r="D79" s="361">
        <v>0</v>
      </c>
      <c r="E79"/>
    </row>
    <row r="80" spans="1:5">
      <c r="A80" s="359">
        <v>35470</v>
      </c>
      <c r="B80" s="360" t="s">
        <v>196</v>
      </c>
      <c r="C80" s="361">
        <v>654219333.69000006</v>
      </c>
      <c r="D80" s="361">
        <v>644787858.58000004</v>
      </c>
      <c r="E80"/>
    </row>
    <row r="81" spans="1:5">
      <c r="A81" s="359">
        <v>35500</v>
      </c>
      <c r="B81" s="360" t="s">
        <v>198</v>
      </c>
      <c r="C81" s="361">
        <v>0</v>
      </c>
      <c r="D81" s="361">
        <v>0</v>
      </c>
      <c r="E81"/>
    </row>
    <row r="82" spans="1:5">
      <c r="A82" s="359">
        <v>35600</v>
      </c>
      <c r="B82" s="360" t="s">
        <v>200</v>
      </c>
      <c r="C82" s="361">
        <v>0</v>
      </c>
      <c r="D82" s="361">
        <v>0</v>
      </c>
      <c r="E82"/>
    </row>
    <row r="83" spans="1:5">
      <c r="A83" s="355">
        <v>36</v>
      </c>
      <c r="B83" s="356" t="s">
        <v>202</v>
      </c>
      <c r="C83" s="358">
        <f>SUM(C84:C92)</f>
        <v>0</v>
      </c>
      <c r="D83" s="358">
        <f>SUM(D84:D92)</f>
        <v>0</v>
      </c>
      <c r="E83"/>
    </row>
    <row r="84" spans="1:5">
      <c r="A84" s="359">
        <v>36100</v>
      </c>
      <c r="B84" s="360" t="s">
        <v>203</v>
      </c>
      <c r="C84" s="361">
        <v>0</v>
      </c>
      <c r="D84" s="361">
        <v>0</v>
      </c>
      <c r="E84"/>
    </row>
    <row r="85" spans="1:5">
      <c r="A85" s="359">
        <v>36200</v>
      </c>
      <c r="B85" s="360" t="s">
        <v>204</v>
      </c>
      <c r="C85" s="361">
        <v>0</v>
      </c>
      <c r="D85" s="361">
        <v>0</v>
      </c>
      <c r="E85"/>
    </row>
    <row r="86" spans="1:5">
      <c r="A86" s="359">
        <v>36300</v>
      </c>
      <c r="B86" s="360" t="s">
        <v>205</v>
      </c>
      <c r="C86" s="361">
        <v>0</v>
      </c>
      <c r="D86" s="361">
        <v>0</v>
      </c>
      <c r="E86"/>
    </row>
    <row r="87" spans="1:5">
      <c r="A87" s="359">
        <v>36400</v>
      </c>
      <c r="B87" s="360" t="s">
        <v>206</v>
      </c>
      <c r="C87" s="361">
        <v>0</v>
      </c>
      <c r="D87" s="361">
        <v>0</v>
      </c>
      <c r="E87"/>
    </row>
    <row r="88" spans="1:5">
      <c r="A88" s="359">
        <v>36500</v>
      </c>
      <c r="B88" s="360" t="s">
        <v>207</v>
      </c>
      <c r="C88" s="361">
        <v>0</v>
      </c>
      <c r="D88" s="361">
        <v>0</v>
      </c>
      <c r="E88"/>
    </row>
    <row r="89" spans="1:5">
      <c r="A89" s="359">
        <v>36600</v>
      </c>
      <c r="B89" s="360" t="s">
        <v>208</v>
      </c>
      <c r="C89" s="361">
        <v>0</v>
      </c>
      <c r="D89" s="361">
        <v>0</v>
      </c>
      <c r="E89"/>
    </row>
    <row r="90" spans="1:5">
      <c r="A90" s="359">
        <v>36700</v>
      </c>
      <c r="B90" s="360" t="s">
        <v>636</v>
      </c>
      <c r="C90" s="361">
        <v>0</v>
      </c>
      <c r="D90" s="361">
        <v>0</v>
      </c>
      <c r="E90"/>
    </row>
    <row r="91" spans="1:5">
      <c r="A91" s="359">
        <v>36800</v>
      </c>
      <c r="B91" s="360" t="s">
        <v>637</v>
      </c>
      <c r="C91" s="361">
        <v>0</v>
      </c>
      <c r="D91" s="361">
        <v>0</v>
      </c>
      <c r="E91"/>
    </row>
    <row ht="30" r="92" spans="1:5">
      <c r="A92" s="359">
        <v>36900</v>
      </c>
      <c r="B92" s="360" t="s">
        <v>793</v>
      </c>
      <c r="C92" s="361">
        <v>0</v>
      </c>
      <c r="D92" s="361">
        <v>0</v>
      </c>
      <c r="E92"/>
    </row>
    <row r="93" spans="1:5">
      <c r="A93" s="355">
        <v>2</v>
      </c>
      <c r="B93" s="356" t="s">
        <v>209</v>
      </c>
      <c r="C93" s="366">
        <f>C94+C113</f>
        <v>801649854.99000013</v>
      </c>
      <c r="D93" s="366">
        <f>D94+D113</f>
        <v>723074909.81999993</v>
      </c>
      <c r="E93"/>
    </row>
    <row r="94" spans="1:5">
      <c r="A94" s="355">
        <v>37</v>
      </c>
      <c r="B94" s="356" t="s">
        <v>211</v>
      </c>
      <c r="C94" s="358">
        <f>C95+C98+C101</f>
        <v>0</v>
      </c>
      <c r="D94" s="358">
        <f>D95+D98+D101</f>
        <v>0</v>
      </c>
      <c r="E94"/>
    </row>
    <row r="95" spans="1:5">
      <c r="A95" s="355">
        <v>371</v>
      </c>
      <c r="B95" s="356" t="s">
        <v>212</v>
      </c>
      <c r="C95" s="358">
        <f>SUM(C96:C97)</f>
        <v>0</v>
      </c>
      <c r="D95" s="358">
        <f>SUM(D96:D97)</f>
        <v>0</v>
      </c>
      <c r="E95"/>
    </row>
    <row r="96" spans="1:5">
      <c r="A96" s="359">
        <v>37110</v>
      </c>
      <c r="B96" s="360" t="s">
        <v>125</v>
      </c>
      <c r="C96" s="361">
        <v>0</v>
      </c>
      <c r="D96" s="361">
        <v>0</v>
      </c>
      <c r="E96"/>
    </row>
    <row r="97" spans="1:5">
      <c r="A97" s="359">
        <v>37120</v>
      </c>
      <c r="B97" s="360" t="s">
        <v>126</v>
      </c>
      <c r="C97" s="361">
        <v>0</v>
      </c>
      <c r="D97" s="361">
        <v>0</v>
      </c>
      <c r="E97"/>
    </row>
    <row r="98" spans="1:5">
      <c r="A98" s="355">
        <v>372</v>
      </c>
      <c r="B98" s="356" t="s">
        <v>141</v>
      </c>
      <c r="C98" s="358">
        <f>SUM(C99:C100)</f>
        <v>0</v>
      </c>
      <c r="D98" s="358">
        <f>SUM(D99:D100)</f>
        <v>0</v>
      </c>
      <c r="E98"/>
    </row>
    <row r="99" spans="1:5">
      <c r="A99" s="359">
        <v>37210</v>
      </c>
      <c r="B99" s="360" t="s">
        <v>125</v>
      </c>
      <c r="C99" s="361">
        <v>0</v>
      </c>
      <c r="D99" s="361">
        <v>0</v>
      </c>
      <c r="E99"/>
    </row>
    <row r="100" spans="1:5">
      <c r="A100" s="359">
        <v>37220</v>
      </c>
      <c r="B100" s="360" t="s">
        <v>126</v>
      </c>
      <c r="C100" s="361">
        <v>0</v>
      </c>
      <c r="D100" s="361">
        <v>0</v>
      </c>
      <c r="E100"/>
    </row>
    <row r="101" spans="1:5">
      <c r="A101" s="355">
        <v>373</v>
      </c>
      <c r="B101" s="356" t="s">
        <v>213</v>
      </c>
      <c r="C101" s="358">
        <f>C102+C108+C112</f>
        <v>0</v>
      </c>
      <c r="D101" s="358">
        <f>D102+D108+D112</f>
        <v>0</v>
      </c>
      <c r="E101"/>
    </row>
    <row r="102" spans="1:5">
      <c r="A102" s="355">
        <v>3731</v>
      </c>
      <c r="B102" s="356" t="s">
        <v>152</v>
      </c>
      <c r="C102" s="358">
        <f>SUM(C103:C107)</f>
        <v>0</v>
      </c>
      <c r="D102" s="358">
        <f>SUM(D103:D107)</f>
        <v>0</v>
      </c>
      <c r="E102"/>
    </row>
    <row r="103" spans="1:5">
      <c r="A103" s="359">
        <v>37311</v>
      </c>
      <c r="B103" s="360" t="s">
        <v>153</v>
      </c>
      <c r="C103" s="361">
        <v>0</v>
      </c>
      <c r="D103" s="361">
        <v>0</v>
      </c>
      <c r="E103"/>
    </row>
    <row r="104" spans="1:5">
      <c r="A104" s="359">
        <v>37312</v>
      </c>
      <c r="B104" s="360" t="s">
        <v>154</v>
      </c>
      <c r="C104" s="361">
        <v>0</v>
      </c>
      <c r="D104" s="361">
        <v>0</v>
      </c>
      <c r="E104"/>
    </row>
    <row r="105" spans="1:5">
      <c r="A105" s="359">
        <v>37313</v>
      </c>
      <c r="B105" s="360" t="s">
        <v>155</v>
      </c>
      <c r="C105" s="361">
        <v>0</v>
      </c>
      <c r="D105" s="361">
        <v>0</v>
      </c>
      <c r="E105"/>
    </row>
    <row r="106" spans="1:5">
      <c r="A106" s="359">
        <v>37314</v>
      </c>
      <c r="B106" s="360" t="s">
        <v>156</v>
      </c>
      <c r="C106" s="361">
        <v>0</v>
      </c>
      <c r="D106" s="361">
        <v>0</v>
      </c>
      <c r="E106"/>
    </row>
    <row r="107" spans="1:5">
      <c r="A107" s="359">
        <v>37315</v>
      </c>
      <c r="B107" s="360" t="s">
        <v>157</v>
      </c>
      <c r="C107" s="361">
        <v>0</v>
      </c>
      <c r="D107" s="361">
        <v>0</v>
      </c>
      <c r="E107"/>
    </row>
    <row r="108" spans="1:5">
      <c r="A108" s="355">
        <v>3732</v>
      </c>
      <c r="B108" s="367" t="s">
        <v>632</v>
      </c>
      <c r="C108" s="358">
        <f>SUM(C109:C111)</f>
        <v>0</v>
      </c>
      <c r="D108" s="358">
        <f>SUM(D109:D111)</f>
        <v>0</v>
      </c>
      <c r="E108"/>
    </row>
    <row r="109" spans="1:5">
      <c r="A109" s="359">
        <v>37321</v>
      </c>
      <c r="B109" s="360" t="s">
        <v>153</v>
      </c>
      <c r="C109" s="361">
        <v>0</v>
      </c>
      <c r="D109" s="361">
        <v>0</v>
      </c>
      <c r="E109"/>
    </row>
    <row r="110" spans="1:5">
      <c r="A110" s="359">
        <v>37323</v>
      </c>
      <c r="B110" s="360" t="s">
        <v>156</v>
      </c>
      <c r="C110" s="361">
        <v>0</v>
      </c>
      <c r="D110" s="361">
        <v>0</v>
      </c>
      <c r="E110"/>
    </row>
    <row r="111" spans="1:5">
      <c r="A111" s="359">
        <v>37324</v>
      </c>
      <c r="B111" s="360" t="s">
        <v>157</v>
      </c>
      <c r="C111" s="361">
        <v>0</v>
      </c>
      <c r="D111" s="361">
        <v>0</v>
      </c>
      <c r="E111"/>
    </row>
    <row r="112" spans="1:5">
      <c r="A112" s="359">
        <v>37330</v>
      </c>
      <c r="B112" s="360" t="s">
        <v>214</v>
      </c>
      <c r="C112" s="361">
        <v>0</v>
      </c>
      <c r="D112" s="361">
        <v>0</v>
      </c>
      <c r="E112"/>
    </row>
    <row r="113" spans="1:5">
      <c r="A113" s="355">
        <v>39</v>
      </c>
      <c r="B113" s="356" t="s">
        <v>215</v>
      </c>
      <c r="C113" s="358">
        <f>C114+C115+C133+C138</f>
        <v>801649854.99000013</v>
      </c>
      <c r="D113" s="358">
        <f>D114+D115+D133+D138</f>
        <v>723074909.81999993</v>
      </c>
      <c r="E113"/>
    </row>
    <row r="114" spans="1:5">
      <c r="A114" s="359">
        <v>391</v>
      </c>
      <c r="B114" s="360" t="s">
        <v>216</v>
      </c>
      <c r="C114" s="361">
        <v>0</v>
      </c>
      <c r="D114" s="361">
        <v>0</v>
      </c>
      <c r="E114"/>
    </row>
    <row r="115" spans="1:5">
      <c r="A115" s="355">
        <v>392</v>
      </c>
      <c r="B115" s="356" t="s">
        <v>217</v>
      </c>
      <c r="C115" s="358">
        <f>SUM(C116:C132)</f>
        <v>801649854.99000013</v>
      </c>
      <c r="D115" s="358">
        <f>SUM(D116:D132)</f>
        <v>723074909.81999993</v>
      </c>
      <c r="E115" t="s">
        <v>102</v>
      </c>
    </row>
    <row r="116" spans="1:5">
      <c r="A116" s="359">
        <v>39201</v>
      </c>
      <c r="B116" s="360" t="s">
        <v>219</v>
      </c>
      <c r="C116" s="361">
        <v>257733446.40000001</v>
      </c>
      <c r="D116" s="361">
        <v>257733446.40000001</v>
      </c>
      <c r="E116"/>
    </row>
    <row r="117" spans="1:5">
      <c r="A117" s="359">
        <v>39202</v>
      </c>
      <c r="B117" s="360" t="s">
        <v>220</v>
      </c>
      <c r="C117" s="361">
        <v>-154466171.59</v>
      </c>
      <c r="D117" s="361">
        <v>-157252474.75</v>
      </c>
      <c r="E117"/>
    </row>
    <row r="118" spans="1:5">
      <c r="A118" s="359">
        <v>39203</v>
      </c>
      <c r="B118" s="360" t="s">
        <v>222</v>
      </c>
      <c r="C118" s="361">
        <v>497205481.38</v>
      </c>
      <c r="D118" s="361">
        <v>497205481.38</v>
      </c>
      <c r="E118"/>
    </row>
    <row r="119" spans="1:5">
      <c r="A119" s="359">
        <v>39204</v>
      </c>
      <c r="B119" s="360" t="s">
        <v>220</v>
      </c>
      <c r="C119" s="361">
        <v>-242552663.56999999</v>
      </c>
      <c r="D119" s="361">
        <v>-299842443.88999999</v>
      </c>
      <c r="E119"/>
    </row>
    <row r="120" spans="1:5">
      <c r="A120" s="359">
        <v>39205</v>
      </c>
      <c r="B120" s="360" t="s">
        <v>678</v>
      </c>
      <c r="C120" s="361">
        <v>1116375693.1300001</v>
      </c>
      <c r="D120" s="361">
        <v>642919216.80999994</v>
      </c>
      <c r="E120"/>
    </row>
    <row r="121" spans="1:5">
      <c r="A121" s="359">
        <v>39206</v>
      </c>
      <c r="B121" s="360" t="s">
        <v>220</v>
      </c>
      <c r="C121" s="361">
        <v>-691190701.60000002</v>
      </c>
      <c r="D121" s="361">
        <v>-240846292.56999999</v>
      </c>
      <c r="E121"/>
    </row>
    <row r="122" spans="1:5">
      <c r="A122" s="359">
        <v>39207</v>
      </c>
      <c r="B122" s="360" t="s">
        <v>225</v>
      </c>
      <c r="C122" s="361">
        <v>72263594.180000007</v>
      </c>
      <c r="D122" s="361">
        <v>40858329.329999998</v>
      </c>
      <c r="E122"/>
    </row>
    <row r="123" spans="1:5">
      <c r="A123" s="359">
        <v>39208</v>
      </c>
      <c r="B123" s="360" t="s">
        <v>220</v>
      </c>
      <c r="C123" s="361">
        <v>-54393823.340000004</v>
      </c>
      <c r="D123" s="361">
        <v>-17700352.890000001</v>
      </c>
      <c r="E123"/>
    </row>
    <row r="124" spans="1:5">
      <c r="A124" s="359">
        <v>39209</v>
      </c>
      <c r="B124" s="360" t="s">
        <v>227</v>
      </c>
      <c r="C124" s="361">
        <v>0</v>
      </c>
      <c r="D124" s="361">
        <v>0</v>
      </c>
      <c r="E124"/>
    </row>
    <row r="125" spans="1:5">
      <c r="A125" s="359">
        <v>39210</v>
      </c>
      <c r="B125" s="360" t="s">
        <v>220</v>
      </c>
      <c r="C125" s="361">
        <v>0</v>
      </c>
      <c r="D125" s="361">
        <v>0</v>
      </c>
      <c r="E125"/>
    </row>
    <row r="126" spans="1:5">
      <c r="A126" s="359">
        <v>39211</v>
      </c>
      <c r="B126" s="360" t="s">
        <v>229</v>
      </c>
      <c r="C126" s="361">
        <v>0</v>
      </c>
      <c r="D126" s="361">
        <v>0</v>
      </c>
      <c r="E126"/>
    </row>
    <row r="127" spans="1:5">
      <c r="A127" s="359">
        <v>39212</v>
      </c>
      <c r="B127" s="360" t="s">
        <v>220</v>
      </c>
      <c r="C127" s="361">
        <v>0</v>
      </c>
      <c r="D127" s="361">
        <v>0</v>
      </c>
      <c r="E127"/>
    </row>
    <row r="128" spans="1:5">
      <c r="A128" s="359">
        <v>39213</v>
      </c>
      <c r="B128" s="360" t="s">
        <v>231</v>
      </c>
      <c r="C128" s="361">
        <v>0</v>
      </c>
      <c r="D128" s="361">
        <v>0</v>
      </c>
      <c r="E128"/>
    </row>
    <row r="129" spans="1:5">
      <c r="A129" s="359">
        <v>39214</v>
      </c>
      <c r="B129" s="360" t="s">
        <v>233</v>
      </c>
      <c r="C129" s="361">
        <v>32813449.800000001</v>
      </c>
      <c r="D129" s="361">
        <v>23937223</v>
      </c>
      <c r="E129"/>
    </row>
    <row r="130" spans="1:5">
      <c r="A130" s="359">
        <v>39215</v>
      </c>
      <c r="B130" s="360" t="s">
        <v>220</v>
      </c>
      <c r="C130" s="361">
        <v>-32138449.800000001</v>
      </c>
      <c r="D130" s="361">
        <v>-23937223</v>
      </c>
      <c r="E130"/>
    </row>
    <row r="131" spans="1:5">
      <c r="A131" s="359">
        <v>39216</v>
      </c>
      <c r="B131" s="360" t="s">
        <v>235</v>
      </c>
      <c r="C131" s="361">
        <v>0</v>
      </c>
      <c r="D131" s="361">
        <v>0</v>
      </c>
      <c r="E131"/>
    </row>
    <row r="132" spans="1:5">
      <c r="A132" s="359">
        <v>39217</v>
      </c>
      <c r="B132" s="360" t="s">
        <v>237</v>
      </c>
      <c r="C132" s="361">
        <v>0</v>
      </c>
      <c r="D132" s="361">
        <v>0</v>
      </c>
      <c r="E132"/>
    </row>
    <row r="133" spans="1:5">
      <c r="A133" s="355">
        <v>393</v>
      </c>
      <c r="B133" s="356" t="s">
        <v>238</v>
      </c>
      <c r="C133" s="358">
        <f>SUM(C134:C137)</f>
        <v>0</v>
      </c>
      <c r="D133" s="358">
        <f>SUM(D134:D137)</f>
        <v>0</v>
      </c>
      <c r="E133"/>
    </row>
    <row r="134" spans="1:5">
      <c r="A134" s="359">
        <v>39301</v>
      </c>
      <c r="B134" s="360" t="s">
        <v>240</v>
      </c>
      <c r="C134" s="361">
        <v>600000</v>
      </c>
      <c r="D134" s="361">
        <v>600000</v>
      </c>
      <c r="E134"/>
    </row>
    <row r="135" spans="1:5">
      <c r="A135" s="359">
        <v>39302</v>
      </c>
      <c r="B135" s="360" t="s">
        <v>220</v>
      </c>
      <c r="C135" s="361">
        <v>-600000</v>
      </c>
      <c r="D135" s="361">
        <v>-600000</v>
      </c>
      <c r="E135"/>
    </row>
    <row r="136" spans="1:5">
      <c r="A136" s="359">
        <v>39303</v>
      </c>
      <c r="B136" s="360" t="s">
        <v>242</v>
      </c>
      <c r="C136" s="361">
        <v>0</v>
      </c>
      <c r="D136" s="361">
        <v>0</v>
      </c>
      <c r="E136"/>
    </row>
    <row r="137" spans="1:5">
      <c r="A137" s="359">
        <v>39304</v>
      </c>
      <c r="B137" s="360" t="s">
        <v>220</v>
      </c>
      <c r="C137" s="361">
        <v>0</v>
      </c>
      <c r="D137" s="361">
        <v>0</v>
      </c>
      <c r="E137"/>
    </row>
    <row r="138" spans="1:5">
      <c r="A138" s="368">
        <v>394</v>
      </c>
      <c r="B138" s="369" t="s">
        <v>692</v>
      </c>
      <c r="C138" s="370">
        <f>SUM(C139:C143)</f>
        <v>0</v>
      </c>
      <c r="D138" s="370">
        <f>SUM(D139:D143)</f>
        <v>0</v>
      </c>
      <c r="E138"/>
    </row>
    <row r="139" spans="1:5">
      <c r="A139" s="359">
        <v>39401</v>
      </c>
      <c r="B139" s="363" t="s">
        <v>693</v>
      </c>
      <c r="C139" s="361">
        <v>0</v>
      </c>
      <c r="D139" s="361">
        <v>0</v>
      </c>
      <c r="E139"/>
    </row>
    <row r="140" spans="1:5">
      <c r="A140" s="359">
        <v>39402</v>
      </c>
      <c r="B140" s="363" t="s">
        <v>694</v>
      </c>
      <c r="C140" s="361">
        <v>0</v>
      </c>
      <c r="D140" s="361">
        <v>0</v>
      </c>
      <c r="E140"/>
    </row>
    <row r="141" spans="1:5">
      <c r="A141" s="359">
        <v>39403</v>
      </c>
      <c r="B141" s="363" t="s">
        <v>695</v>
      </c>
      <c r="C141" s="361">
        <v>0</v>
      </c>
      <c r="D141" s="361">
        <v>0</v>
      </c>
      <c r="E141"/>
    </row>
    <row customHeight="1" ht="16.5" r="142" spans="1:5">
      <c r="A142" s="359">
        <v>39404</v>
      </c>
      <c r="B142" s="363" t="s">
        <v>2233</v>
      </c>
      <c r="C142" s="361">
        <v>0</v>
      </c>
      <c r="D142" s="361">
        <v>0</v>
      </c>
      <c r="E142"/>
    </row>
    <row r="143" spans="1:5">
      <c r="A143" s="359">
        <v>39405</v>
      </c>
      <c r="B143" s="363" t="s">
        <v>697</v>
      </c>
      <c r="C143" s="361">
        <v>0</v>
      </c>
      <c r="D143" s="361">
        <v>0</v>
      </c>
      <c r="E143"/>
    </row>
    <row r="144" spans="1:5">
      <c r="A144" s="355">
        <v>3</v>
      </c>
      <c r="B144" s="356" t="s">
        <v>2036</v>
      </c>
      <c r="C144" s="371">
        <f>C8+C93</f>
        <v>1527799489.7000003</v>
      </c>
      <c r="D144" s="371">
        <f>D8+D93</f>
        <v>1723963042.6100001</v>
      </c>
      <c r="E144">
        <v>0</v>
      </c>
    </row>
    <row r="145" spans="1:5">
      <c r="A145" s="355">
        <v>4</v>
      </c>
      <c r="B145" s="356" t="s">
        <v>243</v>
      </c>
      <c r="C145" s="366">
        <f>C146+C190</f>
        <v>0</v>
      </c>
      <c r="D145" s="366">
        <f>D146+D190</f>
        <v>323188956</v>
      </c>
      <c r="E145"/>
    </row>
    <row r="146" spans="1:5">
      <c r="A146" s="355">
        <v>41</v>
      </c>
      <c r="B146" s="356" t="s">
        <v>244</v>
      </c>
      <c r="C146" s="358">
        <f>C147+C156+C171+C184</f>
        <v>0</v>
      </c>
      <c r="D146" s="358">
        <f>D147+D156+D171+D184</f>
        <v>323188956</v>
      </c>
      <c r="E146"/>
    </row>
    <row r="147" spans="1:5">
      <c r="A147" s="355">
        <v>411</v>
      </c>
      <c r="B147" s="356" t="s">
        <v>245</v>
      </c>
      <c r="C147" s="358">
        <f>C148+C152</f>
        <v>0</v>
      </c>
      <c r="D147" s="358">
        <f>D148+D152</f>
        <v>0</v>
      </c>
      <c r="E147"/>
    </row>
    <row r="148" spans="1:5">
      <c r="A148" s="355">
        <v>4111</v>
      </c>
      <c r="B148" s="356" t="s">
        <v>129</v>
      </c>
      <c r="C148" s="358">
        <f>SUM(C149:C151)</f>
        <v>0</v>
      </c>
      <c r="D148" s="358">
        <f>SUM(D149:D151)</f>
        <v>0</v>
      </c>
      <c r="E148"/>
    </row>
    <row r="149" spans="1:5">
      <c r="A149" s="359">
        <v>41111</v>
      </c>
      <c r="B149" s="360" t="s">
        <v>246</v>
      </c>
      <c r="C149" s="361">
        <v>0</v>
      </c>
      <c r="D149" s="361">
        <v>0</v>
      </c>
      <c r="E149"/>
    </row>
    <row r="150" spans="1:5">
      <c r="A150" s="359">
        <v>41112</v>
      </c>
      <c r="B150" s="360" t="s">
        <v>247</v>
      </c>
      <c r="C150" s="361">
        <v>0</v>
      </c>
      <c r="D150" s="361">
        <v>0</v>
      </c>
      <c r="E150"/>
    </row>
    <row r="151" spans="1:5">
      <c r="A151" s="359">
        <v>41113</v>
      </c>
      <c r="B151" s="360" t="s">
        <v>248</v>
      </c>
      <c r="C151" s="361">
        <v>0</v>
      </c>
      <c r="D151" s="361">
        <v>0</v>
      </c>
      <c r="E151"/>
    </row>
    <row r="152" spans="1:5">
      <c r="A152" s="355">
        <v>4112</v>
      </c>
      <c r="B152" s="356" t="s">
        <v>135</v>
      </c>
      <c r="C152" s="358">
        <f>SUM(C153:C155)</f>
        <v>0</v>
      </c>
      <c r="D152" s="358">
        <f>SUM(D153:D155)</f>
        <v>0</v>
      </c>
      <c r="E152"/>
    </row>
    <row r="153" spans="1:5">
      <c r="A153" s="359">
        <v>41121</v>
      </c>
      <c r="B153" s="360" t="s">
        <v>246</v>
      </c>
      <c r="C153" s="361">
        <v>0</v>
      </c>
      <c r="D153" s="361">
        <v>0</v>
      </c>
      <c r="E153"/>
    </row>
    <row r="154" spans="1:5">
      <c r="A154" s="359">
        <v>41122</v>
      </c>
      <c r="B154" s="360" t="s">
        <v>247</v>
      </c>
      <c r="C154" s="361">
        <v>0</v>
      </c>
      <c r="D154" s="361">
        <v>0</v>
      </c>
      <c r="E154"/>
    </row>
    <row r="155" spans="1:5">
      <c r="A155" s="359">
        <v>41123</v>
      </c>
      <c r="B155" s="360" t="s">
        <v>248</v>
      </c>
      <c r="C155" s="361">
        <v>0</v>
      </c>
      <c r="D155" s="361">
        <v>0</v>
      </c>
      <c r="E155"/>
    </row>
    <row r="156" spans="1:5">
      <c r="A156" s="355">
        <v>412</v>
      </c>
      <c r="B156" s="356" t="s">
        <v>249</v>
      </c>
      <c r="C156" s="358">
        <f>C157+C165</f>
        <v>0</v>
      </c>
      <c r="D156" s="358">
        <f>D157+D165</f>
        <v>0</v>
      </c>
      <c r="E156"/>
    </row>
    <row r="157" spans="1:5">
      <c r="A157" s="355">
        <v>4121</v>
      </c>
      <c r="B157" s="356" t="s">
        <v>129</v>
      </c>
      <c r="C157" s="358">
        <f>SUM(C158:C164)</f>
        <v>0</v>
      </c>
      <c r="D157" s="358">
        <f>SUM(D158:D164)</f>
        <v>0</v>
      </c>
      <c r="E157"/>
    </row>
    <row r="158" spans="1:5">
      <c r="A158" s="359">
        <v>41211</v>
      </c>
      <c r="B158" s="360" t="s">
        <v>250</v>
      </c>
      <c r="C158" s="361">
        <v>0</v>
      </c>
      <c r="D158" s="361">
        <v>0</v>
      </c>
      <c r="E158"/>
    </row>
    <row r="159" spans="1:5">
      <c r="A159" s="359">
        <v>41212</v>
      </c>
      <c r="B159" s="360" t="s">
        <v>154</v>
      </c>
      <c r="C159" s="361">
        <v>0</v>
      </c>
      <c r="D159" s="361">
        <v>0</v>
      </c>
      <c r="E159"/>
    </row>
    <row r="160" spans="1:5">
      <c r="A160" s="359">
        <v>41213</v>
      </c>
      <c r="B160" s="360" t="s">
        <v>251</v>
      </c>
      <c r="C160" s="361">
        <v>0</v>
      </c>
      <c r="D160" s="361">
        <v>0</v>
      </c>
      <c r="E160"/>
    </row>
    <row r="161" spans="1:5">
      <c r="A161" s="359">
        <v>41214</v>
      </c>
      <c r="B161" s="360" t="s">
        <v>252</v>
      </c>
      <c r="C161" s="361">
        <v>0</v>
      </c>
      <c r="D161" s="361">
        <v>0</v>
      </c>
      <c r="E161"/>
    </row>
    <row r="162" spans="1:5">
      <c r="A162" s="359">
        <v>41215</v>
      </c>
      <c r="B162" s="360" t="s">
        <v>253</v>
      </c>
      <c r="C162" s="361">
        <v>0</v>
      </c>
      <c r="D162" s="361">
        <v>0</v>
      </c>
      <c r="E162"/>
    </row>
    <row r="163" spans="1:5">
      <c r="A163" s="359">
        <v>41216</v>
      </c>
      <c r="B163" s="360" t="s">
        <v>254</v>
      </c>
      <c r="C163" s="361">
        <v>0</v>
      </c>
      <c r="D163" s="361">
        <v>0</v>
      </c>
      <c r="E163"/>
    </row>
    <row r="164" spans="1:5">
      <c r="A164" s="359">
        <v>41217</v>
      </c>
      <c r="B164" s="360" t="s">
        <v>255</v>
      </c>
      <c r="C164" s="361">
        <v>0</v>
      </c>
      <c r="D164" s="361">
        <v>0</v>
      </c>
      <c r="E164"/>
    </row>
    <row r="165" spans="1:5">
      <c r="A165" s="355">
        <v>4122</v>
      </c>
      <c r="B165" s="356" t="s">
        <v>135</v>
      </c>
      <c r="C165" s="358">
        <f>SUM(C166:C170)</f>
        <v>0</v>
      </c>
      <c r="D165" s="358">
        <f>SUM(D166:D170)</f>
        <v>0</v>
      </c>
      <c r="E165"/>
    </row>
    <row r="166" spans="1:5">
      <c r="A166" s="359">
        <v>41221</v>
      </c>
      <c r="B166" s="360" t="s">
        <v>256</v>
      </c>
      <c r="C166" s="361">
        <v>0</v>
      </c>
      <c r="D166" s="361">
        <v>0</v>
      </c>
      <c r="E166"/>
    </row>
    <row r="167" spans="1:5">
      <c r="A167" s="359">
        <v>41222</v>
      </c>
      <c r="B167" s="360" t="s">
        <v>257</v>
      </c>
      <c r="C167" s="361">
        <v>0</v>
      </c>
      <c r="D167" s="361">
        <v>0</v>
      </c>
      <c r="E167"/>
    </row>
    <row r="168" spans="1:5">
      <c r="A168" s="359">
        <v>41223</v>
      </c>
      <c r="B168" s="360" t="s">
        <v>258</v>
      </c>
      <c r="C168" s="361">
        <v>0</v>
      </c>
      <c r="D168" s="361">
        <v>0</v>
      </c>
      <c r="E168"/>
    </row>
    <row r="169" spans="1:5">
      <c r="A169" s="359">
        <v>41224</v>
      </c>
      <c r="B169" s="360" t="s">
        <v>259</v>
      </c>
      <c r="C169" s="361">
        <v>0</v>
      </c>
      <c r="D169" s="361">
        <v>0</v>
      </c>
      <c r="E169"/>
    </row>
    <row r="170" spans="1:5">
      <c r="A170" s="359">
        <v>41225</v>
      </c>
      <c r="B170" s="363" t="s">
        <v>691</v>
      </c>
      <c r="C170" s="361">
        <v>0</v>
      </c>
      <c r="D170" s="361">
        <v>0</v>
      </c>
      <c r="E170"/>
    </row>
    <row r="171" spans="1:5">
      <c r="A171" s="355">
        <v>413</v>
      </c>
      <c r="B171" s="356" t="s">
        <v>262</v>
      </c>
      <c r="C171" s="358">
        <f>SUM(C172:C177)</f>
        <v>0</v>
      </c>
      <c r="D171" s="358">
        <f>SUM(D172:D177)</f>
        <v>323188956</v>
      </c>
      <c r="E171"/>
    </row>
    <row r="172" spans="1:5">
      <c r="A172" s="359">
        <v>41310</v>
      </c>
      <c r="B172" s="360" t="s">
        <v>263</v>
      </c>
      <c r="C172" s="361">
        <v>0</v>
      </c>
      <c r="D172" s="361">
        <v>0</v>
      </c>
      <c r="E172"/>
    </row>
    <row r="173" spans="1:5">
      <c r="A173" s="359">
        <v>41320</v>
      </c>
      <c r="B173" s="360" t="s">
        <v>264</v>
      </c>
      <c r="C173" s="361">
        <v>0</v>
      </c>
      <c r="D173" s="361">
        <v>0</v>
      </c>
      <c r="E173"/>
    </row>
    <row r="174" spans="1:5">
      <c r="A174" s="359">
        <v>41330</v>
      </c>
      <c r="B174" s="360" t="s">
        <v>265</v>
      </c>
      <c r="C174" s="361">
        <v>0</v>
      </c>
      <c r="D174" s="361">
        <v>0</v>
      </c>
      <c r="E174"/>
    </row>
    <row r="175" spans="1:5">
      <c r="A175" s="359">
        <v>41340</v>
      </c>
      <c r="B175" s="360" t="s">
        <v>266</v>
      </c>
      <c r="C175" s="361">
        <v>0</v>
      </c>
      <c r="D175" s="361">
        <v>0</v>
      </c>
      <c r="E175"/>
    </row>
    <row r="176" spans="1:5">
      <c r="A176" s="359">
        <v>41350</v>
      </c>
      <c r="B176" s="360" t="s">
        <v>267</v>
      </c>
      <c r="C176" s="361">
        <v>0</v>
      </c>
      <c r="D176" s="361">
        <v>0</v>
      </c>
      <c r="E176"/>
    </row>
    <row r="177" spans="1:5">
      <c r="A177" s="355">
        <v>4136</v>
      </c>
      <c r="B177" s="356" t="s">
        <v>639</v>
      </c>
      <c r="C177" s="358">
        <f>SUM(C178:C183)</f>
        <v>0</v>
      </c>
      <c r="D177" s="358">
        <f>SUM(D178:D183)</f>
        <v>323188956</v>
      </c>
      <c r="E177"/>
    </row>
    <row r="178" spans="1:5">
      <c r="A178" s="359">
        <v>41361</v>
      </c>
      <c r="B178" s="360" t="s">
        <v>268</v>
      </c>
      <c r="C178" s="361">
        <v>0</v>
      </c>
      <c r="D178" s="361">
        <v>323188956</v>
      </c>
      <c r="E178"/>
    </row>
    <row r="179" spans="1:5">
      <c r="A179" s="359">
        <v>41362</v>
      </c>
      <c r="B179" s="360" t="s">
        <v>269</v>
      </c>
      <c r="C179" s="361">
        <v>0</v>
      </c>
      <c r="D179" s="361">
        <v>0</v>
      </c>
      <c r="E179"/>
    </row>
    <row r="180" spans="1:5">
      <c r="A180" s="359">
        <v>41363</v>
      </c>
      <c r="B180" s="1626" t="s">
        <v>653</v>
      </c>
      <c r="C180" s="361">
        <v>0</v>
      </c>
      <c r="D180" s="361">
        <v>0</v>
      </c>
      <c r="E180"/>
    </row>
    <row r="181" spans="1:5">
      <c r="A181" s="359">
        <v>41364</v>
      </c>
      <c r="B181" s="378" t="s">
        <v>679</v>
      </c>
      <c r="C181" s="361">
        <v>0</v>
      </c>
      <c r="D181" s="361">
        <v>0</v>
      </c>
      <c r="E181"/>
    </row>
    <row r="182" spans="1:5">
      <c r="A182" s="359">
        <v>41365</v>
      </c>
      <c r="B182" s="378" t="s">
        <v>680</v>
      </c>
      <c r="C182" s="361">
        <v>0</v>
      </c>
      <c r="D182" s="361">
        <v>0</v>
      </c>
      <c r="E182"/>
    </row>
    <row r="183" spans="1:5">
      <c r="A183" s="359">
        <v>41366</v>
      </c>
      <c r="B183" s="378" t="s">
        <v>681</v>
      </c>
      <c r="C183" s="361">
        <v>0</v>
      </c>
      <c r="D183" s="361">
        <v>0</v>
      </c>
      <c r="E183"/>
    </row>
    <row customFormat="1" r="184" s="1011" spans="1:5">
      <c r="A184" s="1622">
        <v>414</v>
      </c>
      <c r="B184" s="1623" t="s">
        <v>270</v>
      </c>
      <c r="C184" s="358">
        <f>SUM(C185:C189)</f>
        <v>0</v>
      </c>
      <c r="D184" s="358">
        <f>SUM(D185:D189)</f>
        <v>0</v>
      </c>
      <c r="E184" s="1624"/>
    </row>
    <row r="185" spans="1:5">
      <c r="A185" s="359">
        <v>41410</v>
      </c>
      <c r="B185" s="360" t="s">
        <v>271</v>
      </c>
      <c r="C185" s="361">
        <v>0</v>
      </c>
      <c r="D185" s="361">
        <v>0</v>
      </c>
      <c r="E185"/>
    </row>
    <row r="186" spans="1:5">
      <c r="A186" s="359">
        <v>41420</v>
      </c>
      <c r="B186" s="360" t="s">
        <v>272</v>
      </c>
      <c r="C186" s="361">
        <v>0</v>
      </c>
      <c r="D186" s="361">
        <v>0</v>
      </c>
      <c r="E186"/>
    </row>
    <row r="187" spans="1:5">
      <c r="A187" s="359">
        <v>41430</v>
      </c>
      <c r="B187" s="360" t="s">
        <v>273</v>
      </c>
      <c r="C187" s="361">
        <v>0</v>
      </c>
      <c r="D187" s="361">
        <v>0</v>
      </c>
      <c r="E187"/>
    </row>
    <row r="188" spans="1:5">
      <c r="A188" s="359">
        <v>41440</v>
      </c>
      <c r="B188" s="360" t="s">
        <v>274</v>
      </c>
      <c r="C188" s="361">
        <v>0</v>
      </c>
      <c r="D188" s="361">
        <v>0</v>
      </c>
      <c r="E188"/>
    </row>
    <row r="189" spans="1:5">
      <c r="A189" s="359">
        <v>41450</v>
      </c>
      <c r="B189" s="360" t="s">
        <v>275</v>
      </c>
      <c r="C189" s="361">
        <v>0</v>
      </c>
      <c r="D189" s="361">
        <v>0</v>
      </c>
      <c r="E189"/>
    </row>
    <row r="190" spans="1:5">
      <c r="A190" s="355">
        <v>42</v>
      </c>
      <c r="B190" s="356" t="s">
        <v>276</v>
      </c>
      <c r="C190" s="358">
        <f>C191+C200</f>
        <v>0</v>
      </c>
      <c r="D190" s="358">
        <f>D191+D200</f>
        <v>0</v>
      </c>
      <c r="E190"/>
    </row>
    <row r="191" spans="1:5">
      <c r="A191" s="355">
        <v>421</v>
      </c>
      <c r="B191" s="356" t="s">
        <v>277</v>
      </c>
      <c r="C191" s="358">
        <f>C192+C196</f>
        <v>0</v>
      </c>
      <c r="D191" s="358">
        <f>D192+D196</f>
        <v>0</v>
      </c>
      <c r="E191"/>
    </row>
    <row r="192" spans="1:5">
      <c r="A192" s="355">
        <v>4211</v>
      </c>
      <c r="B192" s="356" t="s">
        <v>129</v>
      </c>
      <c r="C192" s="358">
        <f>SUM(C193:C195)</f>
        <v>0</v>
      </c>
      <c r="D192" s="358">
        <f>SUM(D193:D195)</f>
        <v>0</v>
      </c>
      <c r="E192"/>
    </row>
    <row r="193" spans="1:5">
      <c r="A193" s="359">
        <v>42111</v>
      </c>
      <c r="B193" s="360" t="s">
        <v>246</v>
      </c>
      <c r="C193" s="361">
        <v>0</v>
      </c>
      <c r="D193" s="361">
        <v>0</v>
      </c>
      <c r="E193"/>
    </row>
    <row r="194" spans="1:5">
      <c r="A194" s="359">
        <v>42112</v>
      </c>
      <c r="B194" s="360" t="s">
        <v>247</v>
      </c>
      <c r="C194" s="361">
        <v>0</v>
      </c>
      <c r="D194" s="361">
        <v>0</v>
      </c>
      <c r="E194"/>
    </row>
    <row r="195" spans="1:5">
      <c r="A195" s="359">
        <v>42113</v>
      </c>
      <c r="B195" s="360" t="s">
        <v>248</v>
      </c>
      <c r="C195" s="361">
        <v>0</v>
      </c>
      <c r="D195" s="361">
        <v>0</v>
      </c>
      <c r="E195"/>
    </row>
    <row r="196" spans="1:5">
      <c r="A196" s="368">
        <v>4212</v>
      </c>
      <c r="B196" s="369" t="s">
        <v>135</v>
      </c>
      <c r="C196" s="370">
        <f>SUM(C197:C199)</f>
        <v>0</v>
      </c>
      <c r="D196" s="370">
        <f>SUM(D197:D199)</f>
        <v>0</v>
      </c>
      <c r="E196"/>
    </row>
    <row r="197" spans="1:5">
      <c r="A197" s="359">
        <v>42121</v>
      </c>
      <c r="B197" s="360" t="s">
        <v>246</v>
      </c>
      <c r="C197" s="361">
        <v>0</v>
      </c>
      <c r="D197" s="361">
        <v>0</v>
      </c>
      <c r="E197"/>
    </row>
    <row r="198" spans="1:5">
      <c r="A198" s="359">
        <v>42122</v>
      </c>
      <c r="B198" s="360" t="s">
        <v>247</v>
      </c>
      <c r="C198" s="361">
        <v>0</v>
      </c>
      <c r="D198" s="361">
        <v>0</v>
      </c>
      <c r="E198"/>
    </row>
    <row r="199" spans="1:5">
      <c r="A199" s="359">
        <v>42123</v>
      </c>
      <c r="B199" s="360" t="s">
        <v>248</v>
      </c>
      <c r="C199" s="361">
        <v>0</v>
      </c>
      <c r="D199" s="361">
        <v>0</v>
      </c>
      <c r="E199"/>
    </row>
    <row r="200" spans="1:5">
      <c r="A200" s="355">
        <v>422</v>
      </c>
      <c r="B200" s="356" t="s">
        <v>213</v>
      </c>
      <c r="C200" s="358">
        <f>C201+C209</f>
        <v>0</v>
      </c>
      <c r="D200" s="358">
        <f>D201+D209</f>
        <v>0</v>
      </c>
      <c r="E200"/>
    </row>
    <row r="201" spans="1:5">
      <c r="A201" s="355">
        <v>4221</v>
      </c>
      <c r="B201" s="356" t="s">
        <v>129</v>
      </c>
      <c r="C201" s="358">
        <f>SUM(C202:C208)</f>
        <v>0</v>
      </c>
      <c r="D201" s="358">
        <f>SUM(D202:D208)</f>
        <v>0</v>
      </c>
      <c r="E201"/>
    </row>
    <row r="202" spans="1:5">
      <c r="A202" s="359">
        <v>42211</v>
      </c>
      <c r="B202" s="360" t="s">
        <v>250</v>
      </c>
      <c r="C202" s="361">
        <v>0</v>
      </c>
      <c r="D202" s="361">
        <v>0</v>
      </c>
      <c r="E202"/>
    </row>
    <row r="203" spans="1:5">
      <c r="A203" s="359">
        <v>42212</v>
      </c>
      <c r="B203" s="360" t="s">
        <v>278</v>
      </c>
      <c r="C203" s="361">
        <v>0</v>
      </c>
      <c r="D203" s="361">
        <v>0</v>
      </c>
      <c r="E203"/>
    </row>
    <row r="204" spans="1:5">
      <c r="A204" s="359">
        <v>42213</v>
      </c>
      <c r="B204" s="360" t="s">
        <v>251</v>
      </c>
      <c r="C204" s="361">
        <v>0</v>
      </c>
      <c r="D204" s="361">
        <v>0</v>
      </c>
      <c r="E204"/>
    </row>
    <row r="205" spans="1:5">
      <c r="A205" s="359">
        <v>42214</v>
      </c>
      <c r="B205" s="360" t="s">
        <v>252</v>
      </c>
      <c r="C205" s="361">
        <v>0</v>
      </c>
      <c r="D205" s="361">
        <v>0</v>
      </c>
      <c r="E205"/>
    </row>
    <row r="206" spans="1:5">
      <c r="A206" s="359">
        <v>42215</v>
      </c>
      <c r="B206" s="360" t="s">
        <v>253</v>
      </c>
      <c r="C206" s="361">
        <v>0</v>
      </c>
      <c r="D206" s="361">
        <v>0</v>
      </c>
      <c r="E206"/>
    </row>
    <row r="207" spans="1:5">
      <c r="A207" s="359">
        <v>42216</v>
      </c>
      <c r="B207" s="360" t="s">
        <v>254</v>
      </c>
      <c r="C207" s="361">
        <v>0</v>
      </c>
      <c r="D207" s="361">
        <v>0</v>
      </c>
      <c r="E207"/>
    </row>
    <row r="208" spans="1:5">
      <c r="A208" s="359">
        <v>42217</v>
      </c>
      <c r="B208" s="360" t="s">
        <v>255</v>
      </c>
      <c r="C208" s="361">
        <v>0</v>
      </c>
      <c r="D208" s="361">
        <v>0</v>
      </c>
      <c r="E208"/>
    </row>
    <row r="209" spans="1:5">
      <c r="A209" s="355">
        <v>4222</v>
      </c>
      <c r="B209" s="356" t="s">
        <v>135</v>
      </c>
      <c r="C209" s="358">
        <f>SUM(C210:C220)</f>
        <v>0</v>
      </c>
      <c r="D209" s="358">
        <f>SUM(D210:D220)</f>
        <v>0</v>
      </c>
      <c r="E209"/>
    </row>
    <row r="210" spans="1:5">
      <c r="A210" s="359">
        <v>42221</v>
      </c>
      <c r="B210" s="360" t="s">
        <v>279</v>
      </c>
      <c r="C210" s="361">
        <v>0</v>
      </c>
      <c r="D210" s="361">
        <v>0</v>
      </c>
      <c r="E210"/>
    </row>
    <row r="211" spans="1:5">
      <c r="A211" s="359">
        <v>42222</v>
      </c>
      <c r="B211" s="360" t="s">
        <v>280</v>
      </c>
      <c r="C211" s="361">
        <v>0</v>
      </c>
      <c r="D211" s="361">
        <v>0</v>
      </c>
      <c r="E211"/>
    </row>
    <row r="212" spans="1:5">
      <c r="A212" s="359">
        <v>42223</v>
      </c>
      <c r="B212" s="360" t="s">
        <v>258</v>
      </c>
      <c r="C212" s="361">
        <v>0</v>
      </c>
      <c r="D212" s="361">
        <v>0</v>
      </c>
      <c r="E212"/>
    </row>
    <row r="213" spans="1:5">
      <c r="A213" s="359">
        <v>42224</v>
      </c>
      <c r="B213" s="360" t="s">
        <v>259</v>
      </c>
      <c r="C213" s="361">
        <v>0</v>
      </c>
      <c r="D213" s="361">
        <v>0</v>
      </c>
      <c r="E213"/>
    </row>
    <row r="214" spans="1:5">
      <c r="A214" s="359">
        <v>42225</v>
      </c>
      <c r="B214" s="360" t="s">
        <v>260</v>
      </c>
      <c r="C214" s="361">
        <v>0</v>
      </c>
      <c r="D214" s="361">
        <v>0</v>
      </c>
      <c r="E214"/>
    </row>
    <row r="215" spans="1:5">
      <c r="A215" s="359">
        <v>42226</v>
      </c>
      <c r="B215" s="360" t="s">
        <v>261</v>
      </c>
      <c r="C215" s="361">
        <v>0</v>
      </c>
      <c r="D215" s="361">
        <v>0</v>
      </c>
      <c r="E215"/>
    </row>
    <row r="216" spans="1:5">
      <c r="A216" s="374">
        <v>42227</v>
      </c>
      <c r="B216" s="361" t="s">
        <v>627</v>
      </c>
      <c r="C216" s="361">
        <v>0</v>
      </c>
      <c r="D216" s="361">
        <v>0</v>
      </c>
      <c r="E216"/>
    </row>
    <row r="217" spans="1:5">
      <c r="A217" s="374">
        <v>42228</v>
      </c>
      <c r="B217" s="375" t="s">
        <v>682</v>
      </c>
      <c r="C217" s="361">
        <v>0</v>
      </c>
      <c r="D217" s="361">
        <v>0</v>
      </c>
      <c r="E217"/>
    </row>
    <row r="218" spans="1:5">
      <c r="A218" s="374">
        <v>42229</v>
      </c>
      <c r="B218" s="375" t="s">
        <v>683</v>
      </c>
      <c r="C218" s="361">
        <v>0</v>
      </c>
      <c r="D218" s="361">
        <v>0</v>
      </c>
      <c r="E218"/>
    </row>
    <row r="219" spans="1:5">
      <c r="A219" s="374">
        <v>42230</v>
      </c>
      <c r="B219" s="375" t="s">
        <v>684</v>
      </c>
      <c r="C219" s="361">
        <v>0</v>
      </c>
      <c r="D219" s="361">
        <v>0</v>
      </c>
      <c r="E219"/>
    </row>
    <row r="220" spans="1:5">
      <c r="A220" s="374">
        <v>42231</v>
      </c>
      <c r="B220" s="375" t="s">
        <v>654</v>
      </c>
      <c r="C220" s="361">
        <v>0</v>
      </c>
      <c r="D220" s="361">
        <v>0</v>
      </c>
      <c r="E220"/>
    </row>
    <row r="221" spans="1:5">
      <c r="A221" s="355">
        <v>5</v>
      </c>
      <c r="B221" s="356" t="s">
        <v>281</v>
      </c>
      <c r="C221" s="366">
        <f>SUM(C222)</f>
        <v>1527740674.6999998</v>
      </c>
      <c r="D221" s="366">
        <f>SUM(D222)</f>
        <v>1400774086.5999999</v>
      </c>
      <c r="E221"/>
    </row>
    <row r="222" spans="1:5">
      <c r="A222" s="355">
        <v>51</v>
      </c>
      <c r="B222" s="356" t="s">
        <v>282</v>
      </c>
      <c r="C222" s="358">
        <f>C223+C230+C234+C235+C236+C237</f>
        <v>1527740674.6999998</v>
      </c>
      <c r="D222" s="358">
        <f>D223+D230+D234+D235+D236+D237</f>
        <v>1400774086.5999999</v>
      </c>
      <c r="E222"/>
    </row>
    <row customHeight="1" ht="24.75" r="223" spans="1:5">
      <c r="A223" s="376">
        <v>511</v>
      </c>
      <c r="B223" s="377" t="s">
        <v>638</v>
      </c>
      <c r="C223" s="1625">
        <f>SUM(C224:C229)</f>
        <v>536870268.13999999</v>
      </c>
      <c r="D223" s="1625">
        <f>SUM(D224:D229)</f>
        <v>536870268.13999999</v>
      </c>
      <c r="E223"/>
    </row>
    <row r="224" spans="1:5">
      <c r="A224" s="359">
        <v>51101</v>
      </c>
      <c r="B224" s="378" t="s">
        <v>685</v>
      </c>
      <c r="C224" s="361">
        <v>536870268.13999999</v>
      </c>
      <c r="D224" s="361">
        <v>536870268.13999999</v>
      </c>
      <c r="E224"/>
    </row>
    <row r="225" spans="1:5">
      <c r="A225" s="359">
        <v>51102</v>
      </c>
      <c r="B225" s="378" t="s">
        <v>686</v>
      </c>
      <c r="C225" s="361">
        <v>0</v>
      </c>
      <c r="D225" s="361">
        <v>0</v>
      </c>
      <c r="E225"/>
    </row>
    <row r="226" spans="1:5">
      <c r="A226" s="359">
        <v>51103</v>
      </c>
      <c r="B226" s="378" t="s">
        <v>687</v>
      </c>
      <c r="C226" s="361">
        <v>0</v>
      </c>
      <c r="D226" s="361">
        <v>0</v>
      </c>
      <c r="E226"/>
    </row>
    <row r="227" spans="1:5">
      <c r="A227" s="359">
        <v>51104</v>
      </c>
      <c r="B227" s="378" t="s">
        <v>688</v>
      </c>
      <c r="C227" s="361">
        <v>0</v>
      </c>
      <c r="D227" s="361">
        <v>0</v>
      </c>
      <c r="E227"/>
    </row>
    <row r="228" spans="1:5">
      <c r="A228" s="359">
        <v>51105</v>
      </c>
      <c r="B228" s="378" t="s">
        <v>689</v>
      </c>
      <c r="C228" s="361">
        <v>0</v>
      </c>
      <c r="D228" s="361">
        <v>0</v>
      </c>
      <c r="E228"/>
    </row>
    <row r="229" spans="1:5">
      <c r="A229" s="359">
        <v>51106</v>
      </c>
      <c r="B229" s="378" t="s">
        <v>690</v>
      </c>
      <c r="C229" s="361">
        <v>0</v>
      </c>
      <c r="D229" s="361">
        <v>0</v>
      </c>
      <c r="E229"/>
    </row>
    <row r="230" spans="1:5">
      <c r="A230" s="355">
        <v>512</v>
      </c>
      <c r="B230" s="356" t="s">
        <v>283</v>
      </c>
      <c r="C230" s="358">
        <f>SUM(C231:C233)</f>
        <v>990870406.55999994</v>
      </c>
      <c r="D230" s="358">
        <f>SUM(D231:D233)</f>
        <v>863903818.45999992</v>
      </c>
      <c r="E230"/>
    </row>
    <row r="231" spans="1:5">
      <c r="A231" s="359">
        <v>51210</v>
      </c>
      <c r="B231" s="360" t="s">
        <v>284</v>
      </c>
      <c r="C231" s="361">
        <v>990870406.55999994</v>
      </c>
      <c r="D231" s="361">
        <v>990870406.55999994</v>
      </c>
      <c r="E231"/>
    </row>
    <row r="232" spans="1:5">
      <c r="A232" s="359">
        <v>51220</v>
      </c>
      <c r="B232" s="360" t="s">
        <v>285</v>
      </c>
      <c r="C232" s="361">
        <v>0</v>
      </c>
      <c r="D232" s="361">
        <v>-126966588.09999999</v>
      </c>
      <c r="E232"/>
    </row>
    <row r="233" spans="1:5">
      <c r="A233" s="359">
        <v>51230</v>
      </c>
      <c r="B233" s="360" t="s">
        <v>286</v>
      </c>
      <c r="C233" s="361">
        <v>0</v>
      </c>
      <c r="D233" s="361">
        <v>0</v>
      </c>
      <c r="E233"/>
    </row>
    <row r="234" spans="1:5">
      <c r="A234" s="359">
        <v>51300</v>
      </c>
      <c r="B234" s="360" t="s">
        <v>287</v>
      </c>
      <c r="C234" s="361">
        <v>0</v>
      </c>
      <c r="D234" s="361">
        <v>0</v>
      </c>
      <c r="E234"/>
    </row>
    <row r="235" spans="1:5">
      <c r="A235" s="362">
        <v>51400</v>
      </c>
      <c r="B235" s="363" t="s">
        <v>290</v>
      </c>
      <c r="C235" s="361">
        <v>0</v>
      </c>
      <c r="D235" s="361">
        <v>0</v>
      </c>
      <c r="E235"/>
    </row>
    <row r="236" spans="1:5">
      <c r="A236" s="359">
        <v>51500</v>
      </c>
      <c r="B236" s="360" t="s">
        <v>288</v>
      </c>
      <c r="C236" s="361">
        <v>0</v>
      </c>
      <c r="D236" s="361">
        <v>0</v>
      </c>
      <c r="E236"/>
    </row>
    <row r="237" spans="1:5">
      <c r="A237" s="359">
        <v>51600</v>
      </c>
      <c r="B237" s="360" t="s">
        <v>289</v>
      </c>
      <c r="C237" s="361">
        <v>0</v>
      </c>
      <c r="D237" s="361">
        <v>0</v>
      </c>
      <c r="E237"/>
    </row>
    <row r="238" spans="1:5">
      <c r="A238" s="355">
        <v>6</v>
      </c>
      <c r="B238" s="356" t="s">
        <v>291</v>
      </c>
      <c r="C238" s="379">
        <f>C145+C221</f>
        <v>1527740674.6999998</v>
      </c>
      <c r="D238" s="379">
        <f>D145+D221</f>
        <v>1723963042.5999999</v>
      </c>
      <c r="E238"/>
    </row>
    <row r="239" spans="1:5">
      <c r="A239" s="390" t="s">
        <v>102</v>
      </c>
      <c r="B239" s="391" t="s">
        <v>102</v>
      </c>
      <c r="C239" s="392" t="s">
        <v>102</v>
      </c>
      <c r="D239" s="392" t="s">
        <v>102</v>
      </c>
      <c r="E239"/>
    </row>
    <row r="240" spans="1:5">
      <c r="A240" s="390" t="s">
        <v>102</v>
      </c>
      <c r="B240" s="391" t="s">
        <v>102</v>
      </c>
      <c r="C240" s="392" t="s">
        <v>102</v>
      </c>
      <c r="D240" s="392" t="s">
        <v>102</v>
      </c>
      <c r="E240"/>
    </row>
    <row r="241" spans="1:5">
      <c r="A241" s="390" t="s">
        <v>102</v>
      </c>
      <c r="B241" s="391" t="s">
        <v>102</v>
      </c>
      <c r="C241" s="392" t="s">
        <v>102</v>
      </c>
      <c r="D241" s="392" t="s">
        <v>102</v>
      </c>
      <c r="E241"/>
    </row>
    <row r="242" spans="1:5">
      <c r="A242" s="390" t="s">
        <v>102</v>
      </c>
      <c r="B242" s="391" t="s">
        <v>102</v>
      </c>
      <c r="C242" s="392" t="s">
        <v>102</v>
      </c>
      <c r="D242" s="392" t="s">
        <v>102</v>
      </c>
      <c r="E242"/>
    </row>
    <row r="243" spans="1:5">
      <c r="A243" s="390" t="s">
        <v>102</v>
      </c>
      <c r="B243" s="391" t="s">
        <v>102</v>
      </c>
      <c r="C243" s="392" t="s">
        <v>102</v>
      </c>
      <c r="D243" s="392" t="s">
        <v>102</v>
      </c>
      <c r="E243"/>
    </row>
    <row r="244" spans="1:5">
      <c r="A244" s="390" t="s">
        <v>102</v>
      </c>
      <c r="B244" s="391" t="s">
        <v>102</v>
      </c>
      <c r="C244" s="392" t="s">
        <v>102</v>
      </c>
      <c r="D244" s="392" t="s">
        <v>102</v>
      </c>
      <c r="E244"/>
    </row>
    <row r="245" spans="1:5">
      <c r="A245" s="390" t="s">
        <v>102</v>
      </c>
      <c r="B245" s="391" t="s">
        <v>102</v>
      </c>
      <c r="C245" s="392" t="s">
        <v>102</v>
      </c>
      <c r="D245" s="392" t="s">
        <v>102</v>
      </c>
      <c r="E245"/>
    </row>
    <row r="246" spans="1:5">
      <c r="A246" s="390" t="s">
        <v>102</v>
      </c>
      <c r="B246" s="391" t="s">
        <v>102</v>
      </c>
      <c r="C246" s="392" t="s">
        <v>102</v>
      </c>
      <c r="D246" s="392" t="s">
        <v>102</v>
      </c>
      <c r="E246"/>
    </row>
    <row r="247" spans="1:5">
      <c r="A247" s="390" t="s">
        <v>102</v>
      </c>
      <c r="B247" s="391" t="s">
        <v>102</v>
      </c>
      <c r="C247" s="392" t="s">
        <v>102</v>
      </c>
      <c r="D247" s="392" t="s">
        <v>102</v>
      </c>
      <c r="E247"/>
    </row>
    <row r="248" spans="1:5">
      <c r="A248" s="390" t="s">
        <v>102</v>
      </c>
      <c r="B248" s="391" t="s">
        <v>102</v>
      </c>
      <c r="C248" s="392" t="s">
        <v>102</v>
      </c>
      <c r="D248" s="392" t="s">
        <v>102</v>
      </c>
      <c r="E248"/>
    </row>
    <row r="249" spans="1:5">
      <c r="A249" s="390" t="s">
        <v>102</v>
      </c>
      <c r="B249" s="391" t="s">
        <v>102</v>
      </c>
      <c r="C249" s="392" t="s">
        <v>102</v>
      </c>
      <c r="D249" s="392" t="s">
        <v>102</v>
      </c>
      <c r="E249"/>
    </row>
    <row r="250" spans="1:5">
      <c r="A250" s="390" t="s">
        <v>102</v>
      </c>
      <c r="B250" s="391" t="s">
        <v>102</v>
      </c>
      <c r="C250" s="392" t="s">
        <v>102</v>
      </c>
      <c r="D250" s="392" t="s">
        <v>102</v>
      </c>
      <c r="E250"/>
    </row>
    <row r="251" spans="1:5">
      <c r="A251" s="390" t="s">
        <v>102</v>
      </c>
      <c r="B251" s="391" t="s">
        <v>102</v>
      </c>
      <c r="C251" s="392" t="s">
        <v>102</v>
      </c>
      <c r="D251" s="392" t="s">
        <v>102</v>
      </c>
      <c r="E251"/>
    </row>
    <row r="252" spans="1:5">
      <c r="A252" s="390" t="s">
        <v>102</v>
      </c>
      <c r="B252" s="391" t="s">
        <v>102</v>
      </c>
      <c r="C252" s="392" t="s">
        <v>102</v>
      </c>
      <c r="D252" s="392" t="s">
        <v>102</v>
      </c>
      <c r="E252"/>
    </row>
    <row r="253" spans="1:5">
      <c r="A253" s="390" t="s">
        <v>102</v>
      </c>
      <c r="B253" s="391" t="s">
        <v>102</v>
      </c>
      <c r="C253" s="392" t="s">
        <v>102</v>
      </c>
      <c r="D253" s="392" t="s">
        <v>102</v>
      </c>
      <c r="E253"/>
    </row>
    <row r="254" spans="1:5">
      <c r="A254" s="390" t="s">
        <v>102</v>
      </c>
      <c r="B254" s="391" t="s">
        <v>102</v>
      </c>
      <c r="C254" s="392" t="s">
        <v>102</v>
      </c>
      <c r="D254" s="392" t="s">
        <v>102</v>
      </c>
      <c r="E254"/>
    </row>
    <row r="255" spans="1:5">
      <c r="A255" s="390" t="s">
        <v>102</v>
      </c>
      <c r="B255" s="391" t="s">
        <v>102</v>
      </c>
      <c r="C255" s="392" t="s">
        <v>102</v>
      </c>
      <c r="D255" s="392" t="s">
        <v>102</v>
      </c>
      <c r="E255"/>
    </row>
    <row r="256" spans="1:5">
      <c r="A256" s="390" t="s">
        <v>102</v>
      </c>
      <c r="B256" s="391" t="s">
        <v>102</v>
      </c>
      <c r="C256" s="392" t="s">
        <v>102</v>
      </c>
      <c r="D256" s="392" t="s">
        <v>102</v>
      </c>
      <c r="E256"/>
    </row>
    <row r="257" spans="1:5">
      <c r="A257" s="390" t="s">
        <v>102</v>
      </c>
      <c r="B257" s="391" t="s">
        <v>102</v>
      </c>
      <c r="C257" s="392" t="s">
        <v>102</v>
      </c>
      <c r="D257" s="392" t="s">
        <v>102</v>
      </c>
      <c r="E257"/>
    </row>
    <row r="258" spans="1:5">
      <c r="A258" s="390" t="s">
        <v>102</v>
      </c>
      <c r="B258" s="391" t="s">
        <v>102</v>
      </c>
      <c r="C258" s="392" t="s">
        <v>102</v>
      </c>
      <c r="D258" s="392" t="s">
        <v>102</v>
      </c>
      <c r="E258"/>
    </row>
    <row r="259" spans="1:5">
      <c r="A259" s="390" t="s">
        <v>102</v>
      </c>
      <c r="B259" s="391" t="s">
        <v>102</v>
      </c>
      <c r="C259" s="392" t="s">
        <v>102</v>
      </c>
      <c r="D259" s="392" t="s">
        <v>102</v>
      </c>
      <c r="E259"/>
    </row>
    <row r="260" spans="1:5">
      <c r="A260" s="390" t="s">
        <v>102</v>
      </c>
      <c r="B260" s="391" t="s">
        <v>102</v>
      </c>
      <c r="C260" s="392" t="s">
        <v>102</v>
      </c>
      <c r="D260" s="392" t="s">
        <v>102</v>
      </c>
      <c r="E260"/>
    </row>
    <row r="261" spans="1:5">
      <c r="A261" s="390" t="s">
        <v>102</v>
      </c>
      <c r="B261" s="391" t="s">
        <v>102</v>
      </c>
      <c r="C261" s="392" t="s">
        <v>102</v>
      </c>
      <c r="D261" s="392" t="s">
        <v>102</v>
      </c>
      <c r="E261"/>
    </row>
    <row r="262" spans="1:5">
      <c r="A262" s="390" t="s">
        <v>102</v>
      </c>
      <c r="B262" s="391" t="s">
        <v>102</v>
      </c>
      <c r="C262" s="392" t="s">
        <v>102</v>
      </c>
      <c r="D262" s="392" t="s">
        <v>102</v>
      </c>
      <c r="E262"/>
    </row>
    <row r="263" spans="1:5">
      <c r="A263" s="390" t="s">
        <v>102</v>
      </c>
      <c r="B263" s="391" t="s">
        <v>102</v>
      </c>
      <c r="C263" s="392" t="s">
        <v>102</v>
      </c>
      <c r="D263" s="392" t="s">
        <v>102</v>
      </c>
      <c r="E263"/>
    </row>
    <row r="264" spans="1:5">
      <c r="A264" s="390" t="s">
        <v>102</v>
      </c>
      <c r="B264" s="391" t="s">
        <v>102</v>
      </c>
      <c r="C264" s="392" t="s">
        <v>102</v>
      </c>
      <c r="D264" s="392" t="s">
        <v>102</v>
      </c>
      <c r="E264"/>
    </row>
    <row r="265" spans="1:5">
      <c r="A265" s="390" t="s">
        <v>102</v>
      </c>
      <c r="B265" s="391" t="s">
        <v>102</v>
      </c>
      <c r="C265" s="392" t="s">
        <v>102</v>
      </c>
      <c r="D265" s="392" t="s">
        <v>102</v>
      </c>
      <c r="E265"/>
    </row>
    <row r="266" spans="1:5">
      <c r="A266" s="390" t="s">
        <v>102</v>
      </c>
      <c r="B266" s="391" t="s">
        <v>102</v>
      </c>
      <c r="C266" s="392" t="s">
        <v>102</v>
      </c>
      <c r="D266" s="392" t="s">
        <v>102</v>
      </c>
      <c r="E266"/>
    </row>
    <row r="267" spans="1:5">
      <c r="A267" s="390" t="s">
        <v>102</v>
      </c>
      <c r="B267" s="391" t="s">
        <v>102</v>
      </c>
      <c r="C267" s="392" t="s">
        <v>102</v>
      </c>
      <c r="D267" s="392" t="s">
        <v>102</v>
      </c>
      <c r="E267"/>
    </row>
    <row r="268" spans="1:5">
      <c r="A268" s="390" t="s">
        <v>102</v>
      </c>
      <c r="B268" s="391" t="s">
        <v>102</v>
      </c>
      <c r="C268" s="392" t="s">
        <v>102</v>
      </c>
      <c r="D268" s="392" t="s">
        <v>102</v>
      </c>
      <c r="E268"/>
    </row>
    <row r="269" spans="1:5">
      <c r="A269" s="390" t="s">
        <v>102</v>
      </c>
      <c r="B269" s="391" t="s">
        <v>102</v>
      </c>
      <c r="C269" s="392" t="s">
        <v>102</v>
      </c>
      <c r="D269" s="392" t="s">
        <v>102</v>
      </c>
      <c r="E269"/>
    </row>
    <row r="270" spans="1:5">
      <c r="A270" s="390" t="s">
        <v>102</v>
      </c>
      <c r="B270" s="391" t="s">
        <v>102</v>
      </c>
      <c r="C270" s="392" t="s">
        <v>102</v>
      </c>
      <c r="D270" s="392" t="s">
        <v>102</v>
      </c>
      <c r="E270"/>
    </row>
    <row r="271" spans="1:5">
      <c r="A271" s="390" t="s">
        <v>102</v>
      </c>
      <c r="B271" s="391" t="s">
        <v>102</v>
      </c>
      <c r="C271" s="392" t="s">
        <v>102</v>
      </c>
      <c r="D271" s="392" t="s">
        <v>102</v>
      </c>
      <c r="E271"/>
    </row>
    <row r="272" spans="1:5">
      <c r="A272" s="390" t="s">
        <v>102</v>
      </c>
      <c r="B272" s="391" t="s">
        <v>102</v>
      </c>
      <c r="C272" s="392" t="s">
        <v>102</v>
      </c>
      <c r="D272" s="392" t="s">
        <v>102</v>
      </c>
      <c r="E272"/>
    </row>
    <row r="273" spans="1:5">
      <c r="A273" s="390" t="s">
        <v>102</v>
      </c>
      <c r="B273" s="391" t="s">
        <v>102</v>
      </c>
      <c r="C273" s="392" t="s">
        <v>102</v>
      </c>
      <c r="D273" s="392" t="s">
        <v>102</v>
      </c>
      <c r="E273"/>
    </row>
    <row r="274" spans="1:5">
      <c r="A274" s="390" t="s">
        <v>102</v>
      </c>
      <c r="B274" s="391" t="s">
        <v>102</v>
      </c>
      <c r="C274" s="392" t="s">
        <v>102</v>
      </c>
      <c r="D274" s="392" t="s">
        <v>102</v>
      </c>
      <c r="E274"/>
    </row>
    <row r="275" spans="1:5">
      <c r="A275" s="390" t="s">
        <v>102</v>
      </c>
      <c r="B275" s="391" t="s">
        <v>102</v>
      </c>
      <c r="C275" s="392" t="s">
        <v>102</v>
      </c>
      <c r="D275" s="392" t="s">
        <v>102</v>
      </c>
      <c r="E275"/>
    </row>
    <row r="276" spans="1:5">
      <c r="A276" s="390" t="s">
        <v>102</v>
      </c>
      <c r="B276" s="391" t="s">
        <v>102</v>
      </c>
      <c r="C276" s="392" t="s">
        <v>102</v>
      </c>
      <c r="D276" s="392" t="s">
        <v>102</v>
      </c>
      <c r="E276"/>
    </row>
    <row r="277" spans="1:5">
      <c r="A277" s="390" t="s">
        <v>102</v>
      </c>
      <c r="B277" s="391" t="s">
        <v>102</v>
      </c>
      <c r="C277" s="392" t="s">
        <v>102</v>
      </c>
      <c r="D277" s="392" t="s">
        <v>102</v>
      </c>
      <c r="E277"/>
    </row>
    <row r="278" spans="1:5">
      <c r="A278" s="390" t="s">
        <v>102</v>
      </c>
      <c r="B278" s="391" t="s">
        <v>102</v>
      </c>
      <c r="C278" s="392" t="s">
        <v>102</v>
      </c>
      <c r="D278" s="392" t="s">
        <v>102</v>
      </c>
      <c r="E278"/>
    </row>
    <row r="279" spans="1:5">
      <c r="A279" s="390" t="s">
        <v>102</v>
      </c>
      <c r="B279" s="391" t="s">
        <v>102</v>
      </c>
      <c r="C279" s="392" t="s">
        <v>102</v>
      </c>
      <c r="D279" s="392" t="s">
        <v>102</v>
      </c>
      <c r="E279"/>
    </row>
    <row r="280" spans="1:5">
      <c r="A280" s="390" t="s">
        <v>102</v>
      </c>
      <c r="B280" s="391" t="s">
        <v>102</v>
      </c>
      <c r="C280" s="392" t="s">
        <v>102</v>
      </c>
      <c r="D280" s="392" t="s">
        <v>102</v>
      </c>
      <c r="E280"/>
    </row>
    <row r="281" spans="1:5">
      <c r="A281" s="390" t="s">
        <v>102</v>
      </c>
      <c r="B281" s="391" t="s">
        <v>102</v>
      </c>
      <c r="C281" s="392" t="s">
        <v>102</v>
      </c>
      <c r="D281" s="392" t="s">
        <v>102</v>
      </c>
      <c r="E281"/>
    </row>
    <row r="282" spans="1:5">
      <c r="A282" s="390" t="s">
        <v>102</v>
      </c>
      <c r="B282" s="391" t="s">
        <v>102</v>
      </c>
      <c r="C282" s="392" t="s">
        <v>102</v>
      </c>
      <c r="D282" s="392" t="s">
        <v>102</v>
      </c>
      <c r="E282"/>
    </row>
    <row r="283" spans="1:5">
      <c r="A283" s="390" t="s">
        <v>102</v>
      </c>
      <c r="B283" s="391" t="s">
        <v>102</v>
      </c>
      <c r="C283" s="392" t="s">
        <v>102</v>
      </c>
      <c r="D283" s="392" t="s">
        <v>102</v>
      </c>
      <c r="E283"/>
    </row>
    <row r="284" spans="1:5">
      <c r="A284" s="390" t="s">
        <v>102</v>
      </c>
      <c r="B284" s="391" t="s">
        <v>102</v>
      </c>
      <c r="C284" s="392" t="s">
        <v>102</v>
      </c>
      <c r="D284" s="392" t="s">
        <v>102</v>
      </c>
      <c r="E284"/>
    </row>
    <row r="285" spans="1:5">
      <c r="A285" s="390" t="s">
        <v>102</v>
      </c>
      <c r="B285" s="391" t="s">
        <v>102</v>
      </c>
      <c r="C285" s="392" t="s">
        <v>102</v>
      </c>
      <c r="D285" s="392" t="s">
        <v>102</v>
      </c>
      <c r="E285"/>
    </row>
    <row r="286" spans="1:5">
      <c r="A286" s="390" t="s">
        <v>102</v>
      </c>
      <c r="B286" s="391" t="s">
        <v>102</v>
      </c>
      <c r="C286" s="392" t="s">
        <v>102</v>
      </c>
      <c r="D286" s="392" t="s">
        <v>102</v>
      </c>
      <c r="E286"/>
    </row>
    <row r="287" spans="1:5">
      <c r="A287" s="390" t="s">
        <v>102</v>
      </c>
      <c r="B287" s="391" t="s">
        <v>102</v>
      </c>
      <c r="C287" s="392" t="s">
        <v>102</v>
      </c>
      <c r="D287" s="392" t="s">
        <v>102</v>
      </c>
      <c r="E287"/>
    </row>
    <row r="288" spans="1:5">
      <c r="A288" s="390" t="s">
        <v>102</v>
      </c>
      <c r="B288" s="391" t="s">
        <v>102</v>
      </c>
      <c r="C288" s="392" t="s">
        <v>102</v>
      </c>
      <c r="D288" s="392" t="s">
        <v>102</v>
      </c>
      <c r="E288"/>
    </row>
    <row r="289" spans="1:5">
      <c r="A289" s="390" t="s">
        <v>102</v>
      </c>
      <c r="B289" s="391" t="s">
        <v>102</v>
      </c>
      <c r="C289" s="392" t="s">
        <v>102</v>
      </c>
      <c r="D289" s="392" t="s">
        <v>102</v>
      </c>
      <c r="E289"/>
    </row>
    <row r="290" spans="1:5">
      <c r="A290" s="390" t="s">
        <v>102</v>
      </c>
      <c r="B290" s="391" t="s">
        <v>102</v>
      </c>
      <c r="C290" s="392" t="s">
        <v>102</v>
      </c>
      <c r="D290" s="392" t="s">
        <v>102</v>
      </c>
      <c r="E290"/>
    </row>
    <row r="291" spans="1:5">
      <c r="A291" s="390" t="s">
        <v>102</v>
      </c>
      <c r="B291" s="391" t="s">
        <v>102</v>
      </c>
      <c r="C291" s="392" t="s">
        <v>102</v>
      </c>
      <c r="D291" s="392" t="s">
        <v>102</v>
      </c>
      <c r="E291"/>
    </row>
    <row r="292" spans="1:5">
      <c r="A292" s="390" t="s">
        <v>102</v>
      </c>
      <c r="B292" s="391" t="s">
        <v>102</v>
      </c>
      <c r="C292" s="392" t="s">
        <v>102</v>
      </c>
      <c r="D292" s="392" t="s">
        <v>102</v>
      </c>
      <c r="E292"/>
    </row>
    <row r="293" spans="1:5">
      <c r="A293" s="390" t="s">
        <v>102</v>
      </c>
      <c r="B293" s="391" t="s">
        <v>102</v>
      </c>
      <c r="C293" s="392" t="s">
        <v>102</v>
      </c>
      <c r="D293" s="392" t="s">
        <v>102</v>
      </c>
      <c r="E293"/>
    </row>
    <row r="294" spans="1:5">
      <c r="A294" s="390" t="s">
        <v>102</v>
      </c>
      <c r="B294" s="391" t="s">
        <v>102</v>
      </c>
      <c r="C294" s="392" t="s">
        <v>102</v>
      </c>
      <c r="D294" s="392" t="s">
        <v>102</v>
      </c>
      <c r="E294"/>
    </row>
    <row r="295" spans="1:5">
      <c r="A295" s="390" t="s">
        <v>102</v>
      </c>
      <c r="B295" s="391" t="s">
        <v>102</v>
      </c>
      <c r="C295" s="392" t="s">
        <v>102</v>
      </c>
      <c r="D295" s="392" t="s">
        <v>102</v>
      </c>
      <c r="E295"/>
    </row>
    <row r="296" spans="1:5">
      <c r="A296" s="390"/>
      <c r="B296" s="391"/>
      <c r="C296" s="392"/>
      <c r="D296" s="392"/>
    </row>
  </sheetData>
  <mergeCells count="1">
    <mergeCell ref="A3:D3"/>
  </mergeCells>
  <pageMargins bottom="0.28999999999999998" footer="0.28000000000000003" header="0.3" left="0.25" right="0.25" top="0.33"/>
  <pageSetup fitToHeight="0" orientation="portrait" paperSize="9" r:id="rId1" scale="95"/>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customWidth="true" style="480" width="9.85546875" collapsed="false"/>
    <col min="2" max="2" customWidth="true" style="481" width="71.0" collapsed="false"/>
    <col min="3" max="3" customWidth="true" style="410" width="19.0" collapsed="false"/>
    <col min="4" max="4" customWidth="true" style="410" width="16.42578125" collapsed="false"/>
    <col min="5" max="16384" style="85" width="9.140625" collapsed="false"/>
  </cols>
  <sheetData>
    <row r="1" spans="1:5">
      <c r="C1" s="777" t="s">
        <v>102</v>
      </c>
      <c r="D1" s="896" t="s">
        <v>449</v>
      </c>
      <c r="E1"/>
    </row>
    <row r="3" spans="1:5">
      <c r="A3" s="2048" t="s">
        <v>6</v>
      </c>
      <c r="B3" s="2048" t="s">
        <v>102</v>
      </c>
      <c r="C3" s="2048" t="s">
        <v>102</v>
      </c>
      <c r="D3" s="2048" t="s">
        <v>102</v>
      </c>
      <c r="E3"/>
    </row>
    <row r="4" spans="1:5">
      <c r="A4" s="482" t="s">
        <v>102</v>
      </c>
      <c r="B4" s="478" t="s">
        <v>102</v>
      </c>
      <c r="C4" s="897" t="s">
        <v>102</v>
      </c>
      <c r="D4" s="897" t="s">
        <v>102</v>
      </c>
      <c r="E4"/>
    </row>
    <row r="5" spans="1:5">
      <c r="A5" s="482" t="s">
        <v>102</v>
      </c>
      <c r="B5" s="483" t="s">
        <v>102</v>
      </c>
      <c r="C5" s="898" t="s">
        <v>102</v>
      </c>
      <c r="D5" s="899" t="s">
        <v>794</v>
      </c>
      <c r="E5"/>
    </row>
    <row r="6" spans="1:5">
      <c r="A6" s="482" t="s">
        <v>102</v>
      </c>
      <c r="B6" s="483" t="s">
        <v>102</v>
      </c>
      <c r="C6" s="898" t="s">
        <v>102</v>
      </c>
      <c r="D6" s="899" t="s">
        <v>102</v>
      </c>
      <c r="E6"/>
    </row>
    <row customHeight="1" ht="34.5" r="7" spans="1:5">
      <c r="A7" s="484" t="s">
        <v>64</v>
      </c>
      <c r="B7" s="484" t="s">
        <v>12</v>
      </c>
      <c r="C7" s="900" t="s">
        <v>66</v>
      </c>
      <c r="D7" s="900" t="s">
        <v>65</v>
      </c>
      <c r="E7"/>
    </row>
    <row r="8" spans="1:5">
      <c r="A8" s="485">
        <v>1</v>
      </c>
      <c r="B8" s="486" t="s">
        <v>293</v>
      </c>
      <c r="C8" s="901">
        <f>C9+C83+C117</f>
        <v>0</v>
      </c>
      <c r="D8" s="901">
        <f>D9+D83+D117</f>
        <v>0</v>
      </c>
      <c r="E8"/>
    </row>
    <row r="9" spans="1:5">
      <c r="A9" s="485">
        <v>11</v>
      </c>
      <c r="B9" s="486" t="s">
        <v>799</v>
      </c>
      <c r="C9" s="902">
        <f>C10+C28+C34+C39+C43+C52+C54+C57</f>
        <v>0</v>
      </c>
      <c r="D9" s="902">
        <f>D10+D28+D34+D39+D43+D52+D54+D57</f>
        <v>0</v>
      </c>
      <c r="E9"/>
    </row>
    <row r="10" spans="1:5">
      <c r="A10" s="485">
        <v>110</v>
      </c>
      <c r="B10" s="486" t="s">
        <v>800</v>
      </c>
      <c r="C10" s="903">
        <f>C11+C20+C22+C24+C26</f>
        <v>0</v>
      </c>
      <c r="D10" s="903">
        <f>D11+D20+D22+D24+D26</f>
        <v>0</v>
      </c>
      <c r="E10"/>
    </row>
    <row r="11" spans="1:5">
      <c r="A11" s="485">
        <v>1100</v>
      </c>
      <c r="B11" s="486" t="s">
        <v>801</v>
      </c>
      <c r="C11" s="903">
        <f>SUM(C12:C19)</f>
        <v>0</v>
      </c>
      <c r="D11" s="903">
        <f>SUM(D12:D19)</f>
        <v>0</v>
      </c>
      <c r="E11"/>
    </row>
    <row customHeight="1" ht="21" r="12" spans="1:5">
      <c r="A12" s="487">
        <v>110001</v>
      </c>
      <c r="B12" s="488" t="s">
        <v>802</v>
      </c>
      <c r="C12" s="536">
        <v>0</v>
      </c>
      <c r="D12" s="536">
        <v>0</v>
      </c>
      <c r="E12"/>
    </row>
    <row r="13" spans="1:5">
      <c r="A13" s="487">
        <v>110002</v>
      </c>
      <c r="B13" s="488" t="s">
        <v>803</v>
      </c>
      <c r="C13" s="536">
        <v>0</v>
      </c>
      <c r="D13" s="536">
        <v>0</v>
      </c>
      <c r="E13"/>
    </row>
    <row r="14" spans="1:5">
      <c r="A14" s="487">
        <v>110003</v>
      </c>
      <c r="B14" s="488" t="s">
        <v>804</v>
      </c>
      <c r="C14" s="536">
        <v>0</v>
      </c>
      <c r="D14" s="536">
        <v>0</v>
      </c>
      <c r="E14"/>
    </row>
    <row r="15" spans="1:5">
      <c r="A15" s="487">
        <v>110004</v>
      </c>
      <c r="B15" s="488" t="s">
        <v>805</v>
      </c>
      <c r="C15" s="536">
        <v>0</v>
      </c>
      <c r="D15" s="536">
        <v>0</v>
      </c>
      <c r="E15"/>
    </row>
    <row ht="60" r="16" spans="1:5">
      <c r="A16" s="487">
        <v>110005</v>
      </c>
      <c r="B16" s="489" t="s">
        <v>1053</v>
      </c>
      <c r="C16" s="536">
        <v>0</v>
      </c>
      <c r="D16" s="536">
        <v>0</v>
      </c>
      <c r="E16"/>
    </row>
    <row r="17" spans="1:5">
      <c r="A17" s="487">
        <v>110006</v>
      </c>
      <c r="B17" s="488" t="s">
        <v>806</v>
      </c>
      <c r="C17" s="536">
        <v>0</v>
      </c>
      <c r="D17" s="536">
        <v>0</v>
      </c>
      <c r="E17"/>
    </row>
    <row customHeight="1" ht="15.75" r="18" spans="1:5">
      <c r="A18" s="487">
        <v>110007</v>
      </c>
      <c r="B18" s="488" t="s">
        <v>807</v>
      </c>
      <c r="C18" s="536">
        <v>0</v>
      </c>
      <c r="D18" s="536">
        <v>0</v>
      </c>
      <c r="E18"/>
    </row>
    <row r="19" spans="1:5">
      <c r="A19" s="487">
        <v>110008</v>
      </c>
      <c r="B19" s="488" t="s">
        <v>808</v>
      </c>
      <c r="C19" s="536">
        <v>0</v>
      </c>
      <c r="D19" s="536">
        <v>0</v>
      </c>
      <c r="E19"/>
    </row>
    <row r="20" spans="1:5">
      <c r="A20" s="490">
        <v>1101</v>
      </c>
      <c r="B20" s="486" t="s">
        <v>809</v>
      </c>
      <c r="C20" s="903">
        <f>SUM(C21)</f>
        <v>0</v>
      </c>
      <c r="D20" s="903">
        <f>SUM(D21)</f>
        <v>0</v>
      </c>
      <c r="E20"/>
    </row>
    <row r="21" spans="1:5">
      <c r="A21" s="487">
        <v>110101</v>
      </c>
      <c r="B21" s="488" t="s">
        <v>810</v>
      </c>
      <c r="C21" s="536">
        <v>0</v>
      </c>
      <c r="D21" s="536">
        <v>0</v>
      </c>
      <c r="E21"/>
    </row>
    <row ht="28.5" r="22" spans="1:5">
      <c r="A22" s="490">
        <v>1102</v>
      </c>
      <c r="B22" s="486" t="s">
        <v>813</v>
      </c>
      <c r="C22" s="903">
        <f>SUM(C23)</f>
        <v>0</v>
      </c>
      <c r="D22" s="903">
        <f>SUM(D23)</f>
        <v>0</v>
      </c>
      <c r="E22"/>
    </row>
    <row ht="30" r="23" spans="1:5">
      <c r="A23" s="487">
        <v>110201</v>
      </c>
      <c r="B23" s="488" t="s">
        <v>811</v>
      </c>
      <c r="C23" s="536">
        <v>0</v>
      </c>
      <c r="D23" s="536">
        <v>0</v>
      </c>
      <c r="E23"/>
    </row>
    <row r="24" spans="1:5">
      <c r="A24" s="490">
        <v>1103</v>
      </c>
      <c r="B24" s="486" t="s">
        <v>814</v>
      </c>
      <c r="C24" s="903">
        <f>SUM(C25)</f>
        <v>0</v>
      </c>
      <c r="D24" s="903">
        <f>SUM(D25)</f>
        <v>0</v>
      </c>
      <c r="E24"/>
    </row>
    <row r="25" spans="1:5">
      <c r="A25" s="487">
        <v>110301</v>
      </c>
      <c r="B25" s="488" t="s">
        <v>812</v>
      </c>
      <c r="C25" s="536">
        <v>0</v>
      </c>
      <c r="D25" s="536">
        <v>0</v>
      </c>
      <c r="E25"/>
    </row>
    <row r="26" spans="1:5">
      <c r="A26" s="490">
        <v>1104</v>
      </c>
      <c r="B26" s="486" t="s">
        <v>815</v>
      </c>
      <c r="C26" s="903">
        <f>SUM(C27)</f>
        <v>0</v>
      </c>
      <c r="D26" s="903">
        <f>SUM(D27)</f>
        <v>0</v>
      </c>
      <c r="E26"/>
    </row>
    <row r="27" spans="1:5">
      <c r="A27" s="487">
        <v>110401</v>
      </c>
      <c r="B27" s="488" t="s">
        <v>294</v>
      </c>
      <c r="C27" s="536">
        <v>0</v>
      </c>
      <c r="D27" s="536">
        <v>0</v>
      </c>
      <c r="E27"/>
    </row>
    <row r="28" spans="1:5">
      <c r="A28" s="490">
        <v>112</v>
      </c>
      <c r="B28" s="486" t="s">
        <v>816</v>
      </c>
      <c r="C28" s="903">
        <f>SUM(C29:C33)</f>
        <v>0</v>
      </c>
      <c r="D28" s="903">
        <f>SUM(D29:D33)</f>
        <v>0</v>
      </c>
      <c r="E28"/>
    </row>
    <row r="29" spans="1:5">
      <c r="A29" s="487">
        <v>112001</v>
      </c>
      <c r="B29" s="488" t="s">
        <v>820</v>
      </c>
      <c r="C29" s="536">
        <v>0</v>
      </c>
      <c r="D29" s="536">
        <v>0</v>
      </c>
      <c r="E29"/>
    </row>
    <row r="30" spans="1:5">
      <c r="A30" s="487">
        <v>112002</v>
      </c>
      <c r="B30" s="488" t="s">
        <v>821</v>
      </c>
      <c r="C30" s="536">
        <v>0</v>
      </c>
      <c r="D30" s="536">
        <v>0</v>
      </c>
      <c r="E30"/>
    </row>
    <row r="31" spans="1:5">
      <c r="A31" s="487">
        <v>112003</v>
      </c>
      <c r="B31" s="488" t="s">
        <v>822</v>
      </c>
      <c r="C31" s="536">
        <v>0</v>
      </c>
      <c r="D31" s="536">
        <v>0</v>
      </c>
      <c r="E31"/>
    </row>
    <row r="32" spans="1:5">
      <c r="A32" s="487">
        <v>112004</v>
      </c>
      <c r="B32" s="488" t="s">
        <v>823</v>
      </c>
      <c r="C32" s="536">
        <v>0</v>
      </c>
      <c r="D32" s="536">
        <v>0</v>
      </c>
      <c r="E32"/>
    </row>
    <row r="33" spans="1:5">
      <c r="A33" s="487">
        <v>112005</v>
      </c>
      <c r="B33" s="488" t="s">
        <v>824</v>
      </c>
      <c r="C33" s="536">
        <v>0</v>
      </c>
      <c r="D33" s="536">
        <v>0</v>
      </c>
      <c r="E33"/>
    </row>
    <row r="34" spans="1:5">
      <c r="A34" s="490">
        <v>113</v>
      </c>
      <c r="B34" s="486" t="s">
        <v>817</v>
      </c>
      <c r="C34" s="903">
        <f>SUM(C35:C38)</f>
        <v>0</v>
      </c>
      <c r="D34" s="903">
        <f>SUM(D35:D38)</f>
        <v>0</v>
      </c>
      <c r="E34"/>
    </row>
    <row r="35" spans="1:5">
      <c r="A35" s="487">
        <v>113001</v>
      </c>
      <c r="B35" s="488" t="s">
        <v>825</v>
      </c>
      <c r="C35" s="536">
        <v>0</v>
      </c>
      <c r="D35" s="536">
        <v>0</v>
      </c>
      <c r="E35"/>
    </row>
    <row r="36" spans="1:5">
      <c r="A36" s="487">
        <v>113002</v>
      </c>
      <c r="B36" s="488" t="s">
        <v>826</v>
      </c>
      <c r="C36" s="536">
        <v>0</v>
      </c>
      <c r="D36" s="536">
        <v>0</v>
      </c>
      <c r="E36"/>
    </row>
    <row r="37" spans="1:5">
      <c r="A37" s="487">
        <v>113003</v>
      </c>
      <c r="B37" s="488" t="s">
        <v>827</v>
      </c>
      <c r="C37" s="536">
        <v>0</v>
      </c>
      <c r="D37" s="536">
        <v>0</v>
      </c>
      <c r="E37"/>
    </row>
    <row r="38" spans="1:5">
      <c r="A38" s="487">
        <v>113004</v>
      </c>
      <c r="B38" s="488" t="s">
        <v>828</v>
      </c>
      <c r="C38" s="536">
        <v>0</v>
      </c>
      <c r="D38" s="536">
        <v>0</v>
      </c>
      <c r="E38"/>
    </row>
    <row r="39" spans="1:5">
      <c r="A39" s="490">
        <v>114</v>
      </c>
      <c r="B39" s="486" t="s">
        <v>818</v>
      </c>
      <c r="C39" s="903">
        <f>SUM(C40:C42)</f>
        <v>0</v>
      </c>
      <c r="D39" s="903">
        <f>SUM(D40:D42)</f>
        <v>0</v>
      </c>
      <c r="E39"/>
    </row>
    <row r="40" spans="1:5">
      <c r="A40" s="487">
        <v>114001</v>
      </c>
      <c r="B40" s="488" t="s">
        <v>829</v>
      </c>
      <c r="C40" s="536">
        <v>0</v>
      </c>
      <c r="D40" s="536">
        <v>0</v>
      </c>
      <c r="E40"/>
    </row>
    <row r="41" spans="1:5">
      <c r="A41" s="487">
        <v>114002</v>
      </c>
      <c r="B41" s="488" t="s">
        <v>830</v>
      </c>
      <c r="C41" s="536">
        <v>0</v>
      </c>
      <c r="D41" s="536">
        <v>0</v>
      </c>
      <c r="E41"/>
    </row>
    <row r="42" spans="1:5">
      <c r="A42" s="487">
        <v>114003</v>
      </c>
      <c r="B42" s="488" t="s">
        <v>831</v>
      </c>
      <c r="C42" s="536">
        <v>0</v>
      </c>
      <c r="D42" s="536">
        <v>0</v>
      </c>
      <c r="E42"/>
    </row>
    <row r="43" spans="1:5">
      <c r="A43" s="490">
        <v>115</v>
      </c>
      <c r="B43" s="486" t="s">
        <v>819</v>
      </c>
      <c r="C43" s="903">
        <f>SUM(C44:C51)</f>
        <v>0</v>
      </c>
      <c r="D43" s="903">
        <f>SUM(D44:D51)</f>
        <v>0</v>
      </c>
      <c r="E43"/>
    </row>
    <row r="44" spans="1:5">
      <c r="A44" s="487">
        <v>115001</v>
      </c>
      <c r="B44" s="488" t="s">
        <v>832</v>
      </c>
      <c r="C44" s="536">
        <v>0</v>
      </c>
      <c r="D44" s="536">
        <v>0</v>
      </c>
      <c r="E44"/>
    </row>
    <row r="45" spans="1:5">
      <c r="A45" s="487">
        <v>115002</v>
      </c>
      <c r="B45" s="488" t="s">
        <v>833</v>
      </c>
      <c r="C45" s="536">
        <v>0</v>
      </c>
      <c r="D45" s="536">
        <v>0</v>
      </c>
      <c r="E45"/>
    </row>
    <row r="46" spans="1:5">
      <c r="A46" s="487">
        <v>115003</v>
      </c>
      <c r="B46" s="488" t="s">
        <v>834</v>
      </c>
      <c r="C46" s="536">
        <v>0</v>
      </c>
      <c r="D46" s="536">
        <v>0</v>
      </c>
      <c r="E46"/>
    </row>
    <row r="47" spans="1:5">
      <c r="A47" s="487">
        <v>115004</v>
      </c>
      <c r="B47" s="488" t="s">
        <v>835</v>
      </c>
      <c r="C47" s="536">
        <v>0</v>
      </c>
      <c r="D47" s="536">
        <v>0</v>
      </c>
      <c r="E47"/>
    </row>
    <row r="48" spans="1:5">
      <c r="A48" s="487">
        <v>115005</v>
      </c>
      <c r="B48" s="488" t="s">
        <v>836</v>
      </c>
      <c r="C48" s="536">
        <v>0</v>
      </c>
      <c r="D48" s="536">
        <v>0</v>
      </c>
      <c r="E48"/>
    </row>
    <row r="49" spans="1:5">
      <c r="A49" s="487">
        <v>115006</v>
      </c>
      <c r="B49" s="488" t="s">
        <v>837</v>
      </c>
      <c r="C49" s="536">
        <v>0</v>
      </c>
      <c r="D49" s="536">
        <v>0</v>
      </c>
      <c r="E49"/>
    </row>
    <row r="50" spans="1:5">
      <c r="A50" s="487">
        <v>115007</v>
      </c>
      <c r="B50" s="488" t="s">
        <v>838</v>
      </c>
      <c r="C50" s="536">
        <v>0</v>
      </c>
      <c r="D50" s="536">
        <v>0</v>
      </c>
      <c r="E50"/>
    </row>
    <row r="51" spans="1:5">
      <c r="A51" s="487">
        <v>115008</v>
      </c>
      <c r="B51" s="488" t="s">
        <v>839</v>
      </c>
      <c r="C51" s="536">
        <v>0</v>
      </c>
      <c r="D51" s="536">
        <v>0</v>
      </c>
      <c r="E51"/>
    </row>
    <row r="52" spans="1:5">
      <c r="A52" s="490">
        <v>116</v>
      </c>
      <c r="B52" s="486" t="s">
        <v>840</v>
      </c>
      <c r="C52" s="903">
        <f>SUM(C53)</f>
        <v>0</v>
      </c>
      <c r="D52" s="903">
        <f>SUM(D53)</f>
        <v>0</v>
      </c>
      <c r="E52"/>
    </row>
    <row r="53" spans="1:5">
      <c r="A53" s="487">
        <v>116001</v>
      </c>
      <c r="B53" s="488" t="s">
        <v>841</v>
      </c>
      <c r="C53" s="536">
        <v>0</v>
      </c>
      <c r="D53" s="536">
        <v>0</v>
      </c>
      <c r="E53"/>
    </row>
    <row r="54" spans="1:5">
      <c r="A54" s="490">
        <v>117</v>
      </c>
      <c r="B54" s="486" t="s">
        <v>842</v>
      </c>
      <c r="C54" s="903">
        <f>SUM(C55:C56)</f>
        <v>0</v>
      </c>
      <c r="D54" s="903">
        <f>SUM(D55:D56)</f>
        <v>0</v>
      </c>
      <c r="E54"/>
    </row>
    <row r="55" spans="1:5">
      <c r="A55" s="487">
        <v>117001</v>
      </c>
      <c r="B55" s="488" t="s">
        <v>843</v>
      </c>
      <c r="C55" s="536">
        <v>0</v>
      </c>
      <c r="D55" s="536">
        <v>0</v>
      </c>
      <c r="E55"/>
    </row>
    <row r="56" spans="1:5">
      <c r="A56" s="487">
        <v>117002</v>
      </c>
      <c r="B56" s="488" t="s">
        <v>844</v>
      </c>
      <c r="C56" s="536">
        <v>0</v>
      </c>
      <c r="D56" s="536">
        <v>0</v>
      </c>
      <c r="E56"/>
    </row>
    <row r="57" spans="1:5">
      <c r="A57" s="490">
        <v>118</v>
      </c>
      <c r="B57" s="486" t="s">
        <v>845</v>
      </c>
      <c r="C57" s="903">
        <f>C58+C70+C73+C78</f>
        <v>0</v>
      </c>
      <c r="D57" s="903">
        <f>D58+D70+D73+D78</f>
        <v>0</v>
      </c>
      <c r="E57"/>
    </row>
    <row r="58" spans="1:5">
      <c r="A58" s="490">
        <v>1180</v>
      </c>
      <c r="B58" s="486" t="s">
        <v>846</v>
      </c>
      <c r="C58" s="903">
        <f>SUM(C59:C69)</f>
        <v>0</v>
      </c>
      <c r="D58" s="903">
        <f>SUM(D59:D69)</f>
        <v>0</v>
      </c>
      <c r="E58"/>
    </row>
    <row r="59" spans="1:5">
      <c r="A59" s="487">
        <v>118001</v>
      </c>
      <c r="B59" s="488" t="s">
        <v>847</v>
      </c>
      <c r="C59" s="536">
        <v>0</v>
      </c>
      <c r="D59" s="536">
        <v>0</v>
      </c>
      <c r="E59"/>
    </row>
    <row ht="30" r="60" spans="1:5">
      <c r="A60" s="487">
        <v>118002</v>
      </c>
      <c r="B60" s="488" t="s">
        <v>848</v>
      </c>
      <c r="C60" s="536">
        <v>0</v>
      </c>
      <c r="D60" s="536">
        <v>0</v>
      </c>
      <c r="E60"/>
    </row>
    <row customHeight="1" ht="17.25" r="61" spans="1:5">
      <c r="A61" s="487">
        <v>118003</v>
      </c>
      <c r="B61" s="488" t="s">
        <v>849</v>
      </c>
      <c r="C61" s="536">
        <v>0</v>
      </c>
      <c r="D61" s="536">
        <v>0</v>
      </c>
      <c r="E61"/>
    </row>
    <row r="62" spans="1:5">
      <c r="A62" s="487">
        <v>118004</v>
      </c>
      <c r="B62" s="488" t="s">
        <v>1054</v>
      </c>
      <c r="C62" s="536">
        <v>0</v>
      </c>
      <c r="D62" s="536">
        <v>0</v>
      </c>
      <c r="E62"/>
    </row>
    <row r="63" spans="1:5">
      <c r="A63" s="487">
        <v>118005</v>
      </c>
      <c r="B63" s="488" t="s">
        <v>850</v>
      </c>
      <c r="C63" s="536">
        <v>0</v>
      </c>
      <c r="D63" s="536">
        <v>0</v>
      </c>
      <c r="E63"/>
    </row>
    <row r="64" spans="1:5">
      <c r="A64" s="487">
        <v>118006</v>
      </c>
      <c r="B64" s="488" t="s">
        <v>851</v>
      </c>
      <c r="C64" s="536">
        <v>0</v>
      </c>
      <c r="D64" s="536">
        <v>0</v>
      </c>
      <c r="E64"/>
    </row>
    <row r="65" spans="1:5">
      <c r="A65" s="487">
        <v>118007</v>
      </c>
      <c r="B65" s="488" t="s">
        <v>852</v>
      </c>
      <c r="C65" s="536">
        <v>0</v>
      </c>
      <c r="D65" s="536">
        <v>0</v>
      </c>
      <c r="E65"/>
    </row>
    <row ht="30" r="66" spans="1:5">
      <c r="A66" s="487">
        <v>118008</v>
      </c>
      <c r="B66" s="488" t="s">
        <v>853</v>
      </c>
      <c r="C66" s="536">
        <v>0</v>
      </c>
      <c r="D66" s="536">
        <v>0</v>
      </c>
      <c r="E66"/>
    </row>
    <row r="67" spans="1:5">
      <c r="A67" s="487">
        <v>118009</v>
      </c>
      <c r="B67" s="488" t="s">
        <v>854</v>
      </c>
      <c r="C67" s="536">
        <v>0</v>
      </c>
      <c r="D67" s="536">
        <v>0</v>
      </c>
      <c r="E67"/>
    </row>
    <row ht="30" r="68" spans="1:5">
      <c r="A68" s="487">
        <v>118010</v>
      </c>
      <c r="B68" s="488" t="s">
        <v>855</v>
      </c>
      <c r="C68" s="536">
        <v>0</v>
      </c>
      <c r="D68" s="536">
        <v>0</v>
      </c>
      <c r="E68"/>
    </row>
    <row customHeight="1" ht="18.75" r="69" spans="1:5">
      <c r="A69" s="487">
        <v>118011</v>
      </c>
      <c r="B69" s="488" t="s">
        <v>856</v>
      </c>
      <c r="C69" s="536">
        <v>0</v>
      </c>
      <c r="D69" s="536">
        <v>0</v>
      </c>
      <c r="E69"/>
    </row>
    <row r="70" spans="1:5">
      <c r="A70" s="490">
        <v>1181</v>
      </c>
      <c r="B70" s="486" t="s">
        <v>857</v>
      </c>
      <c r="C70" s="903">
        <f>SUM(C71:C72)</f>
        <v>0</v>
      </c>
      <c r="D70" s="903">
        <f>SUM(D71:D72)</f>
        <v>0</v>
      </c>
      <c r="E70"/>
    </row>
    <row r="71" spans="1:5">
      <c r="A71" s="487">
        <v>118101</v>
      </c>
      <c r="B71" s="488" t="s">
        <v>858</v>
      </c>
      <c r="C71" s="536">
        <v>0</v>
      </c>
      <c r="D71" s="536">
        <v>0</v>
      </c>
      <c r="E71"/>
    </row>
    <row r="72" spans="1:5">
      <c r="A72" s="487">
        <v>118102</v>
      </c>
      <c r="B72" s="488" t="s">
        <v>859</v>
      </c>
      <c r="C72" s="536">
        <v>0</v>
      </c>
      <c r="D72" s="536">
        <v>0</v>
      </c>
      <c r="E72"/>
    </row>
    <row r="73" spans="1:5">
      <c r="A73" s="490">
        <v>1182</v>
      </c>
      <c r="B73" s="486" t="s">
        <v>860</v>
      </c>
      <c r="C73" s="903">
        <f>SUM(C74:C77)</f>
        <v>0</v>
      </c>
      <c r="D73" s="903">
        <f>SUM(D74:D77)</f>
        <v>0</v>
      </c>
      <c r="E73"/>
    </row>
    <row r="74" spans="1:5">
      <c r="A74" s="487">
        <v>118201</v>
      </c>
      <c r="B74" s="488" t="s">
        <v>861</v>
      </c>
      <c r="C74" s="536">
        <v>0</v>
      </c>
      <c r="D74" s="536">
        <v>0</v>
      </c>
      <c r="E74"/>
    </row>
    <row r="75" spans="1:5">
      <c r="A75" s="487">
        <v>118202</v>
      </c>
      <c r="B75" s="488" t="s">
        <v>862</v>
      </c>
      <c r="C75" s="536">
        <v>0</v>
      </c>
      <c r="D75" s="536">
        <v>0</v>
      </c>
      <c r="E75"/>
    </row>
    <row r="76" spans="1:5">
      <c r="A76" s="487">
        <v>118203</v>
      </c>
      <c r="B76" s="488" t="s">
        <v>863</v>
      </c>
      <c r="C76" s="536">
        <v>0</v>
      </c>
      <c r="D76" s="536">
        <v>0</v>
      </c>
      <c r="E76"/>
    </row>
    <row r="77" spans="1:5">
      <c r="A77" s="487">
        <v>118204</v>
      </c>
      <c r="B77" s="488" t="s">
        <v>864</v>
      </c>
      <c r="C77" s="536">
        <v>0</v>
      </c>
      <c r="D77" s="536">
        <v>0</v>
      </c>
      <c r="E77"/>
    </row>
    <row r="78" spans="1:5">
      <c r="A78" s="490">
        <v>1183</v>
      </c>
      <c r="B78" s="486" t="s">
        <v>865</v>
      </c>
      <c r="C78" s="903">
        <f>SUM(C79:C82)</f>
        <v>0</v>
      </c>
      <c r="D78" s="903">
        <f>SUM(D79:D82)</f>
        <v>0</v>
      </c>
      <c r="E78"/>
    </row>
    <row r="79" spans="1:5">
      <c r="A79" s="487">
        <v>118301</v>
      </c>
      <c r="B79" s="488" t="s">
        <v>856</v>
      </c>
      <c r="C79" s="536">
        <v>0</v>
      </c>
      <c r="D79" s="536">
        <v>0</v>
      </c>
      <c r="E79"/>
    </row>
    <row r="80" spans="1:5">
      <c r="A80" s="487">
        <v>118302</v>
      </c>
      <c r="B80" s="488" t="s">
        <v>866</v>
      </c>
      <c r="C80" s="536">
        <v>0</v>
      </c>
      <c r="D80" s="536">
        <v>0</v>
      </c>
      <c r="E80"/>
    </row>
    <row r="81" spans="1:5">
      <c r="A81" s="487">
        <v>118303</v>
      </c>
      <c r="B81" s="488" t="s">
        <v>867</v>
      </c>
      <c r="C81" s="536">
        <v>0</v>
      </c>
      <c r="D81" s="536">
        <v>0</v>
      </c>
      <c r="E81"/>
    </row>
    <row r="82" spans="1:5">
      <c r="A82" s="487">
        <v>118304</v>
      </c>
      <c r="B82" s="488" t="s">
        <v>868</v>
      </c>
      <c r="C82" s="536">
        <v>0</v>
      </c>
      <c r="D82" s="536">
        <v>0</v>
      </c>
      <c r="E82"/>
    </row>
    <row r="83" spans="1:5">
      <c r="A83" s="490">
        <v>12</v>
      </c>
      <c r="B83" s="486" t="s">
        <v>869</v>
      </c>
      <c r="C83" s="902">
        <f>C84+C102+C105+C108</f>
        <v>9760000</v>
      </c>
      <c r="D83" s="902">
        <f>D84+D102+D105+D108</f>
        <v>11774590</v>
      </c>
      <c r="E83"/>
    </row>
    <row r="84" spans="1:5">
      <c r="A84" s="490">
        <v>120</v>
      </c>
      <c r="B84" s="486" t="s">
        <v>870</v>
      </c>
      <c r="C84" s="904">
        <f>C85+C86+C87+C88+C94+C95+C96+C97+C98+C99+C100+C101</f>
        <v>9760000</v>
      </c>
      <c r="D84" s="904">
        <f>D85+D86+D87+D88+D94+D95+D96+D97+D98+D99+D100+D101</f>
        <v>11774590</v>
      </c>
      <c r="E84"/>
    </row>
    <row r="85" spans="1:5">
      <c r="A85" s="487">
        <v>120001</v>
      </c>
      <c r="B85" s="488" t="s">
        <v>871</v>
      </c>
      <c r="C85" s="536">
        <v>0</v>
      </c>
      <c r="D85" s="536">
        <v>0</v>
      </c>
      <c r="E85"/>
    </row>
    <row r="86" spans="1:5">
      <c r="A86" s="487">
        <v>120002</v>
      </c>
      <c r="B86" s="488" t="s">
        <v>872</v>
      </c>
      <c r="C86" s="536">
        <v>0</v>
      </c>
      <c r="D86" s="536">
        <v>0</v>
      </c>
      <c r="E86"/>
    </row>
    <row r="87" spans="1:5">
      <c r="A87" s="487">
        <v>120003</v>
      </c>
      <c r="B87" s="488" t="s">
        <v>873</v>
      </c>
      <c r="C87" s="536">
        <v>0</v>
      </c>
      <c r="D87" s="536">
        <v>0</v>
      </c>
      <c r="E87"/>
    </row>
    <row r="88" spans="1:5">
      <c r="A88" s="491">
        <v>120004</v>
      </c>
      <c r="B88" s="492" t="s">
        <v>1235</v>
      </c>
      <c r="C88" s="777">
        <f>C89+C90+C91+C92+C93</f>
        <v>9760000</v>
      </c>
      <c r="D88" s="777">
        <f>D89+D90+D91+D92+D93</f>
        <v>11774590</v>
      </c>
      <c r="E88"/>
    </row>
    <row r="89" spans="1:5">
      <c r="A89" s="487">
        <v>1200041</v>
      </c>
      <c r="B89" s="488" t="s">
        <v>874</v>
      </c>
      <c r="C89" s="536">
        <v>0</v>
      </c>
      <c r="D89" s="536">
        <v>0</v>
      </c>
      <c r="E89"/>
    </row>
    <row r="90" spans="1:5">
      <c r="A90" s="487">
        <v>1200042</v>
      </c>
      <c r="B90" s="488" t="s">
        <v>875</v>
      </c>
      <c r="C90" s="536">
        <v>9760000</v>
      </c>
      <c r="D90" s="536">
        <v>11774590</v>
      </c>
      <c r="E90"/>
    </row>
    <row r="91" spans="1:5">
      <c r="A91" s="493">
        <v>1200043</v>
      </c>
      <c r="B91" s="489" t="s">
        <v>876</v>
      </c>
      <c r="C91" s="536">
        <v>0</v>
      </c>
      <c r="D91" s="536">
        <v>0</v>
      </c>
      <c r="E91"/>
    </row>
    <row r="92" spans="1:5">
      <c r="A92" s="487">
        <v>1200044</v>
      </c>
      <c r="B92" s="488" t="s">
        <v>877</v>
      </c>
      <c r="C92" s="536">
        <v>0</v>
      </c>
      <c r="D92" s="536">
        <v>0</v>
      </c>
      <c r="E92"/>
    </row>
    <row r="93" spans="1:5">
      <c r="A93" s="494">
        <v>1200045</v>
      </c>
      <c r="B93" s="488" t="s">
        <v>878</v>
      </c>
      <c r="C93" s="536">
        <v>0</v>
      </c>
      <c r="D93" s="536">
        <v>0</v>
      </c>
      <c r="E93"/>
    </row>
    <row r="94" spans="1:5">
      <c r="A94" s="487">
        <v>120005</v>
      </c>
      <c r="B94" s="488" t="s">
        <v>879</v>
      </c>
      <c r="C94" s="536">
        <v>0</v>
      </c>
      <c r="D94" s="536">
        <v>0</v>
      </c>
      <c r="E94"/>
    </row>
    <row r="95" spans="1:5">
      <c r="A95" s="487">
        <v>120006</v>
      </c>
      <c r="B95" s="488" t="s">
        <v>880</v>
      </c>
      <c r="C95" s="536">
        <v>0</v>
      </c>
      <c r="D95" s="536">
        <v>0</v>
      </c>
      <c r="E95"/>
    </row>
    <row r="96" spans="1:5">
      <c r="A96" s="487">
        <v>120007</v>
      </c>
      <c r="B96" s="488" t="s">
        <v>881</v>
      </c>
      <c r="C96" s="536">
        <v>0</v>
      </c>
      <c r="D96" s="536">
        <v>0</v>
      </c>
      <c r="E96"/>
    </row>
    <row r="97" spans="1:5">
      <c r="A97" s="487">
        <v>120008</v>
      </c>
      <c r="B97" s="488" t="s">
        <v>882</v>
      </c>
      <c r="C97" s="536">
        <v>0</v>
      </c>
      <c r="D97" s="536">
        <v>0</v>
      </c>
      <c r="E97"/>
    </row>
    <row r="98" spans="1:5">
      <c r="A98" s="487">
        <v>120009</v>
      </c>
      <c r="B98" s="488" t="s">
        <v>883</v>
      </c>
      <c r="C98" s="536">
        <v>0</v>
      </c>
      <c r="D98" s="536">
        <v>0</v>
      </c>
      <c r="E98"/>
    </row>
    <row r="99" spans="1:5">
      <c r="A99" s="495">
        <v>120010</v>
      </c>
      <c r="B99" s="496" t="s">
        <v>1035</v>
      </c>
      <c r="C99" s="536">
        <v>0</v>
      </c>
      <c r="D99" s="536">
        <v>0</v>
      </c>
      <c r="E99"/>
    </row>
    <row r="100" spans="1:5">
      <c r="A100" s="497">
        <v>120011</v>
      </c>
      <c r="B100" s="496" t="s">
        <v>1036</v>
      </c>
      <c r="C100" s="536">
        <v>0</v>
      </c>
      <c r="D100" s="536">
        <v>0</v>
      </c>
      <c r="E100"/>
    </row>
    <row r="101" spans="1:5">
      <c r="A101" s="497">
        <v>120012</v>
      </c>
      <c r="B101" s="496" t="s">
        <v>1037</v>
      </c>
      <c r="C101" s="536">
        <v>0</v>
      </c>
      <c r="D101" s="536">
        <v>0</v>
      </c>
      <c r="E101"/>
    </row>
    <row r="102" spans="1:5">
      <c r="A102" s="490">
        <v>121</v>
      </c>
      <c r="B102" s="486" t="s">
        <v>884</v>
      </c>
      <c r="C102" s="903">
        <f>SUM(C103:C104)</f>
        <v>0</v>
      </c>
      <c r="D102" s="903">
        <f>SUM(D103:D104)</f>
        <v>0</v>
      </c>
      <c r="E102"/>
    </row>
    <row ht="30" r="103" spans="1:5">
      <c r="A103" s="487">
        <v>121001</v>
      </c>
      <c r="B103" s="488" t="s">
        <v>885</v>
      </c>
      <c r="C103" s="536">
        <v>0</v>
      </c>
      <c r="D103" s="536">
        <v>0</v>
      </c>
      <c r="E103"/>
    </row>
    <row customHeight="1" ht="24" r="104" spans="1:5">
      <c r="A104" s="487">
        <v>121002</v>
      </c>
      <c r="B104" s="488" t="s">
        <v>886</v>
      </c>
      <c r="C104" s="536">
        <v>0</v>
      </c>
      <c r="D104" s="536">
        <v>0</v>
      </c>
      <c r="E104"/>
    </row>
    <row r="105" spans="1:5">
      <c r="A105" s="490">
        <v>122</v>
      </c>
      <c r="B105" s="486" t="s">
        <v>302</v>
      </c>
      <c r="C105" s="903">
        <f>SUM(C106:C107)</f>
        <v>0</v>
      </c>
      <c r="D105" s="903">
        <f>SUM(D106:D107)</f>
        <v>0</v>
      </c>
      <c r="E105"/>
    </row>
    <row r="106" spans="1:5">
      <c r="A106" s="487">
        <v>122001</v>
      </c>
      <c r="B106" s="488" t="s">
        <v>303</v>
      </c>
      <c r="C106" s="536">
        <v>0</v>
      </c>
      <c r="D106" s="536">
        <v>0</v>
      </c>
      <c r="E106"/>
    </row>
    <row r="107" spans="1:5">
      <c r="A107" s="487">
        <v>122002</v>
      </c>
      <c r="B107" s="488" t="s">
        <v>304</v>
      </c>
      <c r="C107" s="536">
        <v>0</v>
      </c>
      <c r="D107" s="536">
        <v>0</v>
      </c>
      <c r="E107"/>
    </row>
    <row r="108" spans="1:5">
      <c r="A108" s="490">
        <v>123</v>
      </c>
      <c r="B108" s="486" t="s">
        <v>305</v>
      </c>
      <c r="C108" s="903">
        <f>SUM(C109:C112)</f>
        <v>0</v>
      </c>
      <c r="D108" s="903">
        <f>SUM(D109:D112)</f>
        <v>0</v>
      </c>
      <c r="E108"/>
    </row>
    <row r="109" spans="1:5">
      <c r="A109" s="487">
        <v>123001</v>
      </c>
      <c r="B109" s="488" t="s">
        <v>306</v>
      </c>
      <c r="C109" s="536">
        <v>0</v>
      </c>
      <c r="D109" s="536">
        <v>0</v>
      </c>
      <c r="E109"/>
    </row>
    <row r="110" spans="1:5">
      <c r="A110" s="487">
        <v>123002</v>
      </c>
      <c r="B110" s="488" t="s">
        <v>307</v>
      </c>
      <c r="C110" s="536">
        <v>0</v>
      </c>
      <c r="D110" s="536">
        <v>0</v>
      </c>
      <c r="E110"/>
    </row>
    <row r="111" spans="1:5">
      <c r="A111" s="487">
        <v>123003</v>
      </c>
      <c r="B111" s="488" t="s">
        <v>308</v>
      </c>
      <c r="C111" s="536">
        <v>0</v>
      </c>
      <c r="D111" s="536">
        <v>0</v>
      </c>
      <c r="E111"/>
    </row>
    <row r="112" spans="1:5">
      <c r="A112" s="487">
        <v>123004</v>
      </c>
      <c r="B112" s="488" t="s">
        <v>309</v>
      </c>
      <c r="C112" s="536">
        <v>0</v>
      </c>
      <c r="D112" s="536">
        <v>0</v>
      </c>
      <c r="E112"/>
    </row>
    <row r="113" spans="1:5">
      <c r="A113" s="498">
        <v>124</v>
      </c>
      <c r="B113" s="499" t="s">
        <v>798</v>
      </c>
      <c r="C113" s="905">
        <f>SUM(C114:C116)</f>
        <v>0</v>
      </c>
      <c r="D113" s="905">
        <f>SUM(D114:D116)</f>
        <v>0</v>
      </c>
      <c r="E113"/>
    </row>
    <row r="114" spans="1:5">
      <c r="A114" s="500">
        <v>140002</v>
      </c>
      <c r="B114" s="501" t="s">
        <v>463</v>
      </c>
      <c r="C114" s="536">
        <v>0</v>
      </c>
      <c r="D114" s="536">
        <v>0</v>
      </c>
      <c r="E114"/>
    </row>
    <row r="115" spans="1:5">
      <c r="A115" s="500">
        <v>140003</v>
      </c>
      <c r="B115" s="501" t="s">
        <v>464</v>
      </c>
      <c r="C115" s="536">
        <v>0</v>
      </c>
      <c r="D115" s="536">
        <v>0</v>
      </c>
      <c r="E115"/>
    </row>
    <row r="116" spans="1:5">
      <c r="A116" s="500">
        <v>141001</v>
      </c>
      <c r="B116" s="501" t="s">
        <v>797</v>
      </c>
      <c r="C116" s="536">
        <v>0</v>
      </c>
      <c r="D116" s="536">
        <v>0</v>
      </c>
      <c r="E116"/>
    </row>
    <row r="117" spans="1:5">
      <c r="A117" s="490">
        <v>13</v>
      </c>
      <c r="B117" s="486" t="s">
        <v>887</v>
      </c>
      <c r="C117" s="902">
        <f>C118+C128+C135+C143+C149</f>
        <v>1768734356</v>
      </c>
      <c r="D117" s="902">
        <f>D118+D128+D135+D143+D149</f>
        <v>7724834821</v>
      </c>
      <c r="E117"/>
    </row>
    <row r="118" spans="1:5">
      <c r="A118" s="490">
        <v>1310</v>
      </c>
      <c r="B118" s="486" t="s">
        <v>888</v>
      </c>
      <c r="C118" s="903">
        <f>SUM(C119:C127)</f>
        <v>223973485</v>
      </c>
      <c r="D118" s="903">
        <f>SUM(D119:D127)</f>
        <v>210667000</v>
      </c>
      <c r="E118"/>
    </row>
    <row r="119" spans="1:5">
      <c r="A119" s="487">
        <v>131001</v>
      </c>
      <c r="B119" s="488" t="s">
        <v>889</v>
      </c>
      <c r="C119" s="536">
        <v>223973485</v>
      </c>
      <c r="D119" s="536">
        <v>210667000</v>
      </c>
      <c r="E119"/>
    </row>
    <row r="120" spans="1:5">
      <c r="A120" s="487">
        <v>131002</v>
      </c>
      <c r="B120" s="488" t="s">
        <v>890</v>
      </c>
      <c r="C120" s="536">
        <v>0</v>
      </c>
      <c r="D120" s="536">
        <v>0</v>
      </c>
      <c r="E120"/>
    </row>
    <row r="121" spans="1:5">
      <c r="A121" s="487">
        <v>131003</v>
      </c>
      <c r="B121" s="488" t="s">
        <v>891</v>
      </c>
      <c r="C121" s="536">
        <v>0</v>
      </c>
      <c r="D121" s="536">
        <v>0</v>
      </c>
      <c r="E121"/>
    </row>
    <row r="122" spans="1:5">
      <c r="A122" s="487">
        <v>131004</v>
      </c>
      <c r="B122" s="488" t="s">
        <v>892</v>
      </c>
      <c r="C122" s="536">
        <v>0</v>
      </c>
      <c r="D122" s="536">
        <v>0</v>
      </c>
      <c r="E122"/>
    </row>
    <row r="123" spans="1:5">
      <c r="A123" s="487">
        <v>131005</v>
      </c>
      <c r="B123" s="488" t="s">
        <v>893</v>
      </c>
      <c r="C123" s="536">
        <v>0</v>
      </c>
      <c r="D123" s="536">
        <v>0</v>
      </c>
      <c r="E123"/>
    </row>
    <row r="124" spans="1:5">
      <c r="A124" s="487">
        <v>131006</v>
      </c>
      <c r="B124" s="488" t="s">
        <v>894</v>
      </c>
      <c r="C124" s="536">
        <v>0</v>
      </c>
      <c r="D124" s="536">
        <v>0</v>
      </c>
      <c r="E124"/>
    </row>
    <row r="125" spans="1:5">
      <c r="A125" s="487">
        <v>131007</v>
      </c>
      <c r="B125" s="488" t="s">
        <v>897</v>
      </c>
      <c r="C125" s="536">
        <v>0</v>
      </c>
      <c r="D125" s="536">
        <v>0</v>
      </c>
      <c r="E125"/>
    </row>
    <row r="126" spans="1:5">
      <c r="A126" s="487">
        <v>131008</v>
      </c>
      <c r="B126" s="488" t="s">
        <v>895</v>
      </c>
      <c r="C126" s="536">
        <v>0</v>
      </c>
      <c r="D126" s="536">
        <v>0</v>
      </c>
      <c r="E126"/>
    </row>
    <row r="127" spans="1:5">
      <c r="A127" s="487">
        <v>131009</v>
      </c>
      <c r="B127" s="488" t="s">
        <v>896</v>
      </c>
      <c r="C127" s="536">
        <v>0</v>
      </c>
      <c r="D127" s="536">
        <v>0</v>
      </c>
      <c r="E127"/>
    </row>
    <row r="128" spans="1:5">
      <c r="A128" s="490">
        <v>1311</v>
      </c>
      <c r="B128" s="486" t="s">
        <v>898</v>
      </c>
      <c r="C128" s="903">
        <f>SUM(C129:C134)</f>
        <v>1544760871</v>
      </c>
      <c r="D128" s="903">
        <f>SUM(D129:D134)</f>
        <v>7514167821</v>
      </c>
      <c r="E128"/>
    </row>
    <row r="129" spans="1:5">
      <c r="A129" s="487">
        <v>131101</v>
      </c>
      <c r="B129" s="488" t="s">
        <v>899</v>
      </c>
      <c r="C129" s="536">
        <v>41448000</v>
      </c>
      <c r="D129" s="536">
        <v>83358902</v>
      </c>
      <c r="E129"/>
    </row>
    <row ht="30" r="130" spans="1:5">
      <c r="A130" s="487">
        <v>131102</v>
      </c>
      <c r="B130" s="488" t="s">
        <v>900</v>
      </c>
      <c r="C130" s="536">
        <v>0</v>
      </c>
      <c r="D130" s="536">
        <v>0</v>
      </c>
      <c r="E130"/>
    </row>
    <row ht="30" r="131" spans="1:5">
      <c r="A131" s="487">
        <v>131103</v>
      </c>
      <c r="B131" s="488" t="s">
        <v>901</v>
      </c>
      <c r="C131" s="536">
        <v>0</v>
      </c>
      <c r="D131" s="536">
        <v>0</v>
      </c>
      <c r="E131"/>
    </row>
    <row ht="30" r="132" spans="1:5">
      <c r="A132" s="487">
        <v>131104</v>
      </c>
      <c r="B132" s="488" t="s">
        <v>902</v>
      </c>
      <c r="C132" s="536">
        <v>1503312871</v>
      </c>
      <c r="D132" s="536">
        <v>7430808919</v>
      </c>
      <c r="E132"/>
    </row>
    <row ht="30" r="133" spans="1:5">
      <c r="A133" s="487">
        <v>131105</v>
      </c>
      <c r="B133" s="488" t="s">
        <v>903</v>
      </c>
      <c r="C133" s="536">
        <v>0</v>
      </c>
      <c r="D133" s="536">
        <v>0</v>
      </c>
      <c r="E133"/>
    </row>
    <row customHeight="1" ht="17.25" r="134" spans="1:5">
      <c r="A134" s="487">
        <v>131106</v>
      </c>
      <c r="B134" s="488" t="s">
        <v>904</v>
      </c>
      <c r="C134" s="536">
        <v>0</v>
      </c>
      <c r="D134" s="536">
        <v>0</v>
      </c>
      <c r="E134"/>
    </row>
    <row r="135" spans="1:5">
      <c r="A135" s="490">
        <v>1320</v>
      </c>
      <c r="B135" s="486" t="s">
        <v>905</v>
      </c>
      <c r="C135" s="903">
        <f>SUM(C136:C142)</f>
        <v>0</v>
      </c>
      <c r="D135" s="903">
        <f>SUM(D136:D142)</f>
        <v>0</v>
      </c>
      <c r="E135"/>
    </row>
    <row ht="30" r="136" spans="1:5">
      <c r="A136" s="487">
        <v>132001</v>
      </c>
      <c r="B136" s="488" t="s">
        <v>906</v>
      </c>
      <c r="C136" s="536">
        <v>0</v>
      </c>
      <c r="D136" s="536">
        <v>0</v>
      </c>
      <c r="E136"/>
    </row>
    <row r="137" spans="1:5">
      <c r="A137" s="487">
        <v>132002</v>
      </c>
      <c r="B137" s="488" t="s">
        <v>890</v>
      </c>
      <c r="C137" s="536">
        <v>0</v>
      </c>
      <c r="D137" s="536">
        <v>0</v>
      </c>
      <c r="E137"/>
    </row>
    <row ht="30" r="138" spans="1:5">
      <c r="A138" s="487">
        <v>132003</v>
      </c>
      <c r="B138" s="488" t="s">
        <v>907</v>
      </c>
      <c r="C138" s="536">
        <v>0</v>
      </c>
      <c r="D138" s="536">
        <v>0</v>
      </c>
      <c r="E138"/>
    </row>
    <row customHeight="1" ht="20.25" r="139" spans="1:5">
      <c r="A139" s="487">
        <v>132004</v>
      </c>
      <c r="B139" s="488" t="s">
        <v>908</v>
      </c>
      <c r="C139" s="536">
        <v>0</v>
      </c>
      <c r="D139" s="536">
        <v>0</v>
      </c>
      <c r="E139"/>
    </row>
    <row r="140" spans="1:5">
      <c r="A140" s="487">
        <v>132005</v>
      </c>
      <c r="B140" s="488" t="s">
        <v>909</v>
      </c>
      <c r="C140" s="536">
        <v>0</v>
      </c>
      <c r="D140" s="536">
        <v>0</v>
      </c>
      <c r="E140"/>
    </row>
    <row ht="30" r="141" spans="1:5">
      <c r="A141" s="487">
        <v>132006</v>
      </c>
      <c r="B141" s="488" t="s">
        <v>910</v>
      </c>
      <c r="C141" s="536">
        <v>0</v>
      </c>
      <c r="D141" s="536">
        <v>0</v>
      </c>
      <c r="E141"/>
    </row>
    <row r="142" spans="1:5">
      <c r="A142" s="487">
        <v>132007</v>
      </c>
      <c r="B142" s="488" t="s">
        <v>911</v>
      </c>
      <c r="C142" s="536">
        <v>0</v>
      </c>
      <c r="D142" s="536">
        <v>0</v>
      </c>
      <c r="E142"/>
    </row>
    <row r="143" spans="1:5">
      <c r="A143" s="490">
        <v>1330</v>
      </c>
      <c r="B143" s="486" t="s">
        <v>912</v>
      </c>
      <c r="C143" s="903">
        <f>SUM(C144:C148)</f>
        <v>0</v>
      </c>
      <c r="D143" s="903">
        <f>SUM(D144:D148)</f>
        <v>0</v>
      </c>
      <c r="E143"/>
    </row>
    <row r="144" spans="1:5">
      <c r="A144" s="487">
        <v>133001</v>
      </c>
      <c r="B144" s="488" t="s">
        <v>889</v>
      </c>
      <c r="C144" s="536">
        <v>0</v>
      </c>
      <c r="D144" s="536">
        <v>0</v>
      </c>
      <c r="E144"/>
    </row>
    <row r="145" spans="1:5">
      <c r="A145" s="487">
        <v>133002</v>
      </c>
      <c r="B145" s="488" t="s">
        <v>891</v>
      </c>
      <c r="C145" s="536">
        <v>0</v>
      </c>
      <c r="D145" s="536">
        <v>0</v>
      </c>
      <c r="E145"/>
    </row>
    <row r="146" spans="1:5">
      <c r="A146" s="487">
        <v>133003</v>
      </c>
      <c r="B146" s="488" t="s">
        <v>913</v>
      </c>
      <c r="C146" s="536">
        <v>0</v>
      </c>
      <c r="D146" s="536">
        <v>0</v>
      </c>
      <c r="E146"/>
    </row>
    <row r="147" spans="1:5">
      <c r="A147" s="487">
        <v>133004</v>
      </c>
      <c r="B147" s="488" t="s">
        <v>914</v>
      </c>
      <c r="C147" s="536">
        <v>0</v>
      </c>
      <c r="D147" s="536">
        <v>0</v>
      </c>
      <c r="E147"/>
    </row>
    <row r="148" spans="1:5">
      <c r="A148" s="487">
        <v>133005</v>
      </c>
      <c r="B148" s="488" t="s">
        <v>915</v>
      </c>
      <c r="C148" s="536">
        <v>0</v>
      </c>
      <c r="D148" s="536">
        <v>0</v>
      </c>
      <c r="E148"/>
    </row>
    <row r="149" spans="1:5">
      <c r="A149" s="490">
        <v>1340</v>
      </c>
      <c r="B149" s="486" t="s">
        <v>916</v>
      </c>
      <c r="C149" s="903">
        <f>SUM(C150:C152)</f>
        <v>0</v>
      </c>
      <c r="D149" s="903">
        <f>SUM(D150:D152)</f>
        <v>0</v>
      </c>
      <c r="E149"/>
    </row>
    <row r="150" spans="1:5">
      <c r="A150" s="487">
        <v>134001</v>
      </c>
      <c r="B150" s="488" t="s">
        <v>917</v>
      </c>
      <c r="C150" s="536">
        <v>0</v>
      </c>
      <c r="D150" s="536">
        <v>0</v>
      </c>
      <c r="E150"/>
    </row>
    <row r="151" spans="1:5">
      <c r="A151" s="487">
        <v>134002</v>
      </c>
      <c r="B151" s="488" t="s">
        <v>918</v>
      </c>
      <c r="C151" s="536">
        <v>0</v>
      </c>
      <c r="D151" s="536">
        <v>0</v>
      </c>
      <c r="E151"/>
    </row>
    <row r="152" spans="1:5">
      <c r="A152" s="487">
        <v>134003</v>
      </c>
      <c r="B152" s="488" t="s">
        <v>919</v>
      </c>
      <c r="C152" s="536">
        <v>0</v>
      </c>
      <c r="D152" s="536">
        <v>0</v>
      </c>
      <c r="E152"/>
    </row>
    <row r="153" spans="1:5">
      <c r="A153" s="485">
        <v>2</v>
      </c>
      <c r="B153" s="486" t="s">
        <v>328</v>
      </c>
      <c r="C153" s="902">
        <f>C154+C259</f>
        <v>1898681095.0799999</v>
      </c>
      <c r="D153" s="902">
        <f>D154+D259</f>
        <v>7863078439.5900002</v>
      </c>
      <c r="E153"/>
    </row>
    <row r="154" spans="1:5">
      <c r="A154" s="490">
        <v>21</v>
      </c>
      <c r="B154" s="486" t="s">
        <v>920</v>
      </c>
      <c r="C154" s="902">
        <f>C155+C220+C225+C230</f>
        <v>1898681095.0799999</v>
      </c>
      <c r="D154" s="902">
        <f>D155+D220+D225+D230</f>
        <v>7863078439.5900002</v>
      </c>
      <c r="E154"/>
    </row>
    <row r="155" spans="1:5">
      <c r="A155" s="490">
        <v>210</v>
      </c>
      <c r="B155" s="486" t="s">
        <v>921</v>
      </c>
      <c r="C155" s="903">
        <f>C156+C163+C170+C176+C187+C191+C196+C200+C215</f>
        <v>1866245171.8099999</v>
      </c>
      <c r="D155" s="903">
        <f>D156+D163+D170+D176+D187+D191+D196+D200+D215</f>
        <v>7517494137.9000006</v>
      </c>
      <c r="E155"/>
    </row>
    <row r="156" spans="1:5">
      <c r="A156" s="490">
        <v>2101</v>
      </c>
      <c r="B156" s="486" t="s">
        <v>922</v>
      </c>
      <c r="C156" s="903">
        <f>SUM(C157:C162)</f>
        <v>266919366.63999999</v>
      </c>
      <c r="D156" s="903">
        <f>SUM(D157:D162)</f>
        <v>299688608.96000004</v>
      </c>
      <c r="E156"/>
    </row>
    <row r="157" spans="1:5">
      <c r="A157" s="487">
        <v>210101</v>
      </c>
      <c r="B157" s="488" t="s">
        <v>923</v>
      </c>
      <c r="C157" s="536">
        <v>251489366.63999999</v>
      </c>
      <c r="D157" s="536">
        <v>241215125.96000001</v>
      </c>
      <c r="E157"/>
    </row>
    <row r="158" spans="1:5">
      <c r="A158" s="487">
        <v>210102</v>
      </c>
      <c r="B158" s="488" t="s">
        <v>924</v>
      </c>
      <c r="C158" s="536">
        <v>0</v>
      </c>
      <c r="D158" s="536">
        <v>30781855</v>
      </c>
      <c r="E158"/>
    </row>
    <row r="159" spans="1:5">
      <c r="A159" s="487">
        <v>210103</v>
      </c>
      <c r="B159" s="488" t="s">
        <v>925</v>
      </c>
      <c r="C159" s="536">
        <v>15430000</v>
      </c>
      <c r="D159" s="536">
        <v>27691628</v>
      </c>
      <c r="E159"/>
    </row>
    <row r="160" spans="1:5">
      <c r="A160" s="487">
        <v>210104</v>
      </c>
      <c r="B160" s="488" t="s">
        <v>926</v>
      </c>
      <c r="C160" s="536">
        <v>0</v>
      </c>
      <c r="D160" s="536">
        <v>0</v>
      </c>
      <c r="E160"/>
    </row>
    <row r="161" spans="1:5">
      <c r="A161" s="487">
        <v>210105</v>
      </c>
      <c r="B161" s="488" t="s">
        <v>927</v>
      </c>
      <c r="C161" s="536">
        <v>0</v>
      </c>
      <c r="D161" s="536">
        <v>0</v>
      </c>
      <c r="E161"/>
    </row>
    <row r="162" spans="1:5">
      <c r="A162" s="487">
        <v>210106</v>
      </c>
      <c r="B162" s="488" t="s">
        <v>1055</v>
      </c>
      <c r="C162" s="536">
        <v>0</v>
      </c>
      <c r="D162" s="536">
        <v>0</v>
      </c>
      <c r="E162"/>
    </row>
    <row r="163" spans="1:5">
      <c r="A163" s="490">
        <v>2102</v>
      </c>
      <c r="B163" s="486" t="s">
        <v>928</v>
      </c>
      <c r="C163" s="903">
        <f>SUM(C164:C169)</f>
        <v>29789467.650000002</v>
      </c>
      <c r="D163" s="903">
        <f>SUM(D164:D169)</f>
        <v>30463479.470000003</v>
      </c>
      <c r="E163"/>
    </row>
    <row r="164" spans="1:5">
      <c r="A164" s="487">
        <v>210201</v>
      </c>
      <c r="B164" s="488" t="s">
        <v>931</v>
      </c>
      <c r="C164" s="536">
        <v>23898103.940000001</v>
      </c>
      <c r="D164" s="536">
        <v>19444166.010000002</v>
      </c>
      <c r="E164"/>
    </row>
    <row r="165" spans="1:5">
      <c r="A165" s="487">
        <v>210202</v>
      </c>
      <c r="B165" s="488" t="s">
        <v>932</v>
      </c>
      <c r="C165" s="536">
        <v>438411</v>
      </c>
      <c r="D165" s="536">
        <v>2715263.69</v>
      </c>
      <c r="E165"/>
    </row>
    <row r="166" spans="1:5">
      <c r="A166" s="487">
        <v>210203</v>
      </c>
      <c r="B166" s="488" t="s">
        <v>933</v>
      </c>
      <c r="C166" s="536">
        <v>1483372</v>
      </c>
      <c r="D166" s="536">
        <v>2215240.35</v>
      </c>
      <c r="E166"/>
    </row>
    <row r="167" spans="1:5">
      <c r="A167" s="487">
        <v>210204</v>
      </c>
      <c r="B167" s="488" t="s">
        <v>934</v>
      </c>
      <c r="C167" s="536">
        <v>1044962</v>
      </c>
      <c r="D167" s="536">
        <v>531366.57999999996</v>
      </c>
      <c r="E167"/>
    </row>
    <row r="168" spans="1:5">
      <c r="A168" s="487">
        <v>210205</v>
      </c>
      <c r="B168" s="488" t="s">
        <v>935</v>
      </c>
      <c r="C168" s="536">
        <v>2924618.71</v>
      </c>
      <c r="D168" s="536">
        <v>5557442.8399999999</v>
      </c>
      <c r="E168"/>
    </row>
    <row r="169" spans="1:5">
      <c r="A169" s="502">
        <v>210206</v>
      </c>
      <c r="B169" s="503" t="s">
        <v>1056</v>
      </c>
      <c r="C169" s="536">
        <v>0</v>
      </c>
      <c r="D169" s="536">
        <v>0</v>
      </c>
      <c r="E169"/>
    </row>
    <row r="170" spans="1:5">
      <c r="A170" s="490">
        <v>2103</v>
      </c>
      <c r="B170" s="486" t="s">
        <v>929</v>
      </c>
      <c r="C170" s="903">
        <f>SUM(C171:C175)</f>
        <v>9644428</v>
      </c>
      <c r="D170" s="903">
        <f>SUM(D171:D175)</f>
        <v>17489070</v>
      </c>
      <c r="E170"/>
    </row>
    <row r="171" spans="1:5">
      <c r="A171" s="487">
        <v>210301</v>
      </c>
      <c r="B171" s="488" t="s">
        <v>939</v>
      </c>
      <c r="C171" s="536">
        <v>2488482.4</v>
      </c>
      <c r="D171" s="536">
        <v>5295600</v>
      </c>
      <c r="E171"/>
    </row>
    <row r="172" spans="1:5">
      <c r="A172" s="487">
        <v>210302</v>
      </c>
      <c r="B172" s="488" t="s">
        <v>938</v>
      </c>
      <c r="C172" s="536">
        <v>5275945.5999999996</v>
      </c>
      <c r="D172" s="536">
        <v>12193470</v>
      </c>
      <c r="E172"/>
    </row>
    <row r="173" spans="1:5">
      <c r="A173" s="487">
        <v>210303</v>
      </c>
      <c r="B173" s="488" t="s">
        <v>936</v>
      </c>
      <c r="C173" s="536">
        <v>705000</v>
      </c>
      <c r="D173" s="536">
        <v>0</v>
      </c>
      <c r="E173"/>
    </row>
    <row r="174" spans="1:5">
      <c r="A174" s="487">
        <v>210304</v>
      </c>
      <c r="B174" s="488" t="s">
        <v>937</v>
      </c>
      <c r="C174" s="536">
        <v>1175000</v>
      </c>
      <c r="D174" s="536">
        <v>0</v>
      </c>
      <c r="E174"/>
    </row>
    <row r="175" spans="1:5">
      <c r="A175" s="487">
        <v>210305</v>
      </c>
      <c r="B175" s="488" t="s">
        <v>1057</v>
      </c>
      <c r="C175" s="536">
        <v>0</v>
      </c>
      <c r="D175" s="536">
        <v>0</v>
      </c>
      <c r="E175"/>
    </row>
    <row r="176" spans="1:5">
      <c r="A176" s="490">
        <v>2104</v>
      </c>
      <c r="B176" s="486" t="s">
        <v>930</v>
      </c>
      <c r="C176" s="903">
        <f>SUM(C177:C186)</f>
        <v>44450215.520000003</v>
      </c>
      <c r="D176" s="903">
        <f>SUM(D177:D186)</f>
        <v>34189106.399999999</v>
      </c>
      <c r="E176"/>
    </row>
    <row r="177" spans="1:5">
      <c r="A177" s="487">
        <v>210401</v>
      </c>
      <c r="B177" s="488" t="s">
        <v>940</v>
      </c>
      <c r="C177" s="536">
        <v>10622891.880000001</v>
      </c>
      <c r="D177" s="536">
        <v>11226963.119999999</v>
      </c>
      <c r="E177"/>
    </row>
    <row r="178" spans="1:5">
      <c r="A178" s="487">
        <v>210402</v>
      </c>
      <c r="B178" s="488" t="s">
        <v>941</v>
      </c>
      <c r="C178" s="536">
        <v>19460300</v>
      </c>
      <c r="D178" s="536">
        <v>12196356</v>
      </c>
      <c r="E178"/>
    </row>
    <row r="179" spans="1:5">
      <c r="A179" s="487">
        <v>210403</v>
      </c>
      <c r="B179" s="488" t="s">
        <v>942</v>
      </c>
      <c r="C179" s="536">
        <v>9388423.6400000006</v>
      </c>
      <c r="D179" s="536">
        <v>8473241.2799999993</v>
      </c>
      <c r="E179"/>
    </row>
    <row r="180" spans="1:5">
      <c r="A180" s="487">
        <v>210404</v>
      </c>
      <c r="B180" s="488" t="s">
        <v>943</v>
      </c>
      <c r="C180" s="536">
        <v>320000</v>
      </c>
      <c r="D180" s="536">
        <v>186890</v>
      </c>
      <c r="E180"/>
    </row>
    <row r="181" spans="1:5">
      <c r="A181" s="487">
        <v>210405</v>
      </c>
      <c r="B181" s="488" t="s">
        <v>947</v>
      </c>
      <c r="C181" s="536">
        <v>0</v>
      </c>
      <c r="D181" s="536">
        <v>0</v>
      </c>
      <c r="E181"/>
    </row>
    <row r="182" spans="1:5">
      <c r="A182" s="487">
        <v>210406</v>
      </c>
      <c r="B182" s="488" t="s">
        <v>944</v>
      </c>
      <c r="C182" s="536">
        <v>4658600</v>
      </c>
      <c r="D182" s="536">
        <v>2105656</v>
      </c>
      <c r="E182"/>
    </row>
    <row r="183" spans="1:5">
      <c r="A183" s="487">
        <v>210407</v>
      </c>
      <c r="B183" s="488" t="s">
        <v>945</v>
      </c>
      <c r="C183" s="536">
        <v>0</v>
      </c>
      <c r="D183" s="536">
        <v>0</v>
      </c>
      <c r="E183"/>
    </row>
    <row r="184" spans="1:5">
      <c r="A184" s="487">
        <v>210408</v>
      </c>
      <c r="B184" s="488" t="s">
        <v>946</v>
      </c>
      <c r="C184" s="536">
        <v>0</v>
      </c>
      <c r="D184" s="536">
        <v>0</v>
      </c>
      <c r="E184"/>
    </row>
    <row r="185" spans="1:5">
      <c r="A185" s="493">
        <v>210409</v>
      </c>
      <c r="B185" s="488" t="s">
        <v>1058</v>
      </c>
      <c r="C185" s="536">
        <v>0</v>
      </c>
      <c r="D185" s="536">
        <v>0</v>
      </c>
      <c r="E185"/>
    </row>
    <row r="186" spans="1:5">
      <c r="A186" s="493">
        <v>210410</v>
      </c>
      <c r="B186" s="488" t="s">
        <v>1059</v>
      </c>
      <c r="C186" s="536">
        <v>0</v>
      </c>
      <c r="D186" s="536">
        <v>0</v>
      </c>
      <c r="E186"/>
    </row>
    <row r="187" spans="1:5">
      <c r="A187" s="490">
        <v>2105</v>
      </c>
      <c r="B187" s="486" t="s">
        <v>948</v>
      </c>
      <c r="C187" s="903">
        <f>SUM(C188:C190)</f>
        <v>2110000</v>
      </c>
      <c r="D187" s="903">
        <f>SUM(D188:D190)</f>
        <v>5277000</v>
      </c>
      <c r="E187"/>
    </row>
    <row r="188" spans="1:5">
      <c r="A188" s="487">
        <v>210501</v>
      </c>
      <c r="B188" s="488" t="s">
        <v>949</v>
      </c>
      <c r="C188" s="536">
        <v>0</v>
      </c>
      <c r="D188" s="536">
        <v>0</v>
      </c>
      <c r="E188"/>
    </row>
    <row r="189" spans="1:5">
      <c r="A189" s="487">
        <v>210502</v>
      </c>
      <c r="B189" s="488" t="s">
        <v>950</v>
      </c>
      <c r="C189" s="536">
        <v>0</v>
      </c>
      <c r="D189" s="536">
        <v>0</v>
      </c>
      <c r="E189"/>
    </row>
    <row r="190" spans="1:5">
      <c r="A190" s="487">
        <v>210503</v>
      </c>
      <c r="B190" s="488" t="s">
        <v>951</v>
      </c>
      <c r="C190" s="536">
        <v>2110000</v>
      </c>
      <c r="D190" s="536">
        <v>5277000</v>
      </c>
      <c r="E190"/>
    </row>
    <row r="191" spans="1:5">
      <c r="A191" s="490">
        <v>2106</v>
      </c>
      <c r="B191" s="486" t="s">
        <v>952</v>
      </c>
      <c r="C191" s="903">
        <f>SUM(C192:C195)</f>
        <v>4528110</v>
      </c>
      <c r="D191" s="903">
        <f>SUM(D192:D195)</f>
        <v>27038700</v>
      </c>
      <c r="E191"/>
    </row>
    <row r="192" spans="1:5">
      <c r="A192" s="487">
        <v>210601</v>
      </c>
      <c r="B192" s="488" t="s">
        <v>953</v>
      </c>
      <c r="C192" s="536">
        <v>0</v>
      </c>
      <c r="D192" s="536">
        <v>16413500</v>
      </c>
      <c r="E192"/>
    </row>
    <row r="193" spans="1:5">
      <c r="A193" s="487">
        <v>210602</v>
      </c>
      <c r="B193" s="488" t="s">
        <v>954</v>
      </c>
      <c r="C193" s="536">
        <v>0</v>
      </c>
      <c r="D193" s="536">
        <v>0</v>
      </c>
      <c r="E193"/>
    </row>
    <row r="194" spans="1:5">
      <c r="A194" s="487">
        <v>210603</v>
      </c>
      <c r="B194" s="488" t="s">
        <v>955</v>
      </c>
      <c r="C194" s="536">
        <v>484800</v>
      </c>
      <c r="D194" s="536">
        <v>1878000</v>
      </c>
      <c r="E194"/>
    </row>
    <row r="195" spans="1:5">
      <c r="A195" s="487">
        <v>210604</v>
      </c>
      <c r="B195" s="488" t="s">
        <v>956</v>
      </c>
      <c r="C195" s="536">
        <v>4043310</v>
      </c>
      <c r="D195" s="536">
        <v>8747200</v>
      </c>
      <c r="E195"/>
    </row>
    <row r="196" spans="1:5">
      <c r="A196" s="485">
        <v>2107</v>
      </c>
      <c r="B196" s="486" t="s">
        <v>957</v>
      </c>
      <c r="C196" s="903">
        <f>SUM(C197:C199)</f>
        <v>157621828</v>
      </c>
      <c r="D196" s="903">
        <f>SUM(D197:D199)</f>
        <v>228790461</v>
      </c>
      <c r="E196"/>
    </row>
    <row r="197" spans="1:5">
      <c r="A197" s="487">
        <v>210701</v>
      </c>
      <c r="B197" s="488" t="s">
        <v>958</v>
      </c>
      <c r="C197" s="536">
        <v>0</v>
      </c>
      <c r="D197" s="536">
        <v>84695250</v>
      </c>
      <c r="E197"/>
    </row>
    <row r="198" spans="1:5">
      <c r="A198" s="487">
        <v>210702</v>
      </c>
      <c r="B198" s="488" t="s">
        <v>959</v>
      </c>
      <c r="C198" s="536">
        <v>157621828</v>
      </c>
      <c r="D198" s="536">
        <v>144095211</v>
      </c>
      <c r="E198"/>
    </row>
    <row r="199" spans="1:5">
      <c r="A199" s="487">
        <v>210703</v>
      </c>
      <c r="B199" s="488" t="s">
        <v>960</v>
      </c>
      <c r="C199" s="536">
        <v>0</v>
      </c>
      <c r="D199" s="536">
        <v>0</v>
      </c>
      <c r="E199"/>
    </row>
    <row r="200" spans="1:5">
      <c r="A200" s="490">
        <v>2108</v>
      </c>
      <c r="B200" s="486" t="s">
        <v>961</v>
      </c>
      <c r="C200" s="903">
        <f>SUM(C201:C214)</f>
        <v>654919270.98000002</v>
      </c>
      <c r="D200" s="903">
        <f>SUM(D201:D214)</f>
        <v>6608408768.3000002</v>
      </c>
      <c r="E200"/>
    </row>
    <row ht="30" r="201" spans="1:5">
      <c r="A201" s="487">
        <v>210801</v>
      </c>
      <c r="B201" s="488" t="s">
        <v>962</v>
      </c>
      <c r="C201" s="536">
        <v>646214018.98000002</v>
      </c>
      <c r="D201" s="536">
        <v>6604915098.3000002</v>
      </c>
      <c r="E201"/>
    </row>
    <row customHeight="1" ht="20.25" r="202" spans="1:5">
      <c r="A202" s="487">
        <v>210802</v>
      </c>
      <c r="B202" s="488" t="s">
        <v>963</v>
      </c>
      <c r="C202" s="536">
        <v>3000000</v>
      </c>
      <c r="D202" s="536">
        <v>0</v>
      </c>
      <c r="E202"/>
    </row>
    <row r="203" spans="1:5">
      <c r="A203" s="487">
        <v>210803</v>
      </c>
      <c r="B203" s="488" t="s">
        <v>964</v>
      </c>
      <c r="C203" s="536">
        <v>4963752</v>
      </c>
      <c r="D203" s="536">
        <v>2701770</v>
      </c>
      <c r="E203"/>
    </row>
    <row r="204" spans="1:5">
      <c r="A204" s="487">
        <v>210804</v>
      </c>
      <c r="B204" s="488" t="s">
        <v>965</v>
      </c>
      <c r="C204" s="536">
        <v>637000</v>
      </c>
      <c r="D204" s="536">
        <v>633500</v>
      </c>
      <c r="E204"/>
    </row>
    <row r="205" spans="1:5">
      <c r="A205" s="487">
        <v>210805</v>
      </c>
      <c r="B205" s="488" t="s">
        <v>966</v>
      </c>
      <c r="C205" s="536">
        <v>104500</v>
      </c>
      <c r="D205" s="536">
        <v>158400</v>
      </c>
      <c r="E205"/>
    </row>
    <row r="206" spans="1:5">
      <c r="A206" s="487">
        <v>210806</v>
      </c>
      <c r="B206" s="488" t="s">
        <v>967</v>
      </c>
      <c r="C206" s="536">
        <v>0</v>
      </c>
      <c r="D206" s="536">
        <v>0</v>
      </c>
      <c r="E206"/>
    </row>
    <row r="207" spans="1:5">
      <c r="A207" s="487">
        <v>210807</v>
      </c>
      <c r="B207" s="488" t="s">
        <v>296</v>
      </c>
      <c r="C207" s="536">
        <v>0</v>
      </c>
      <c r="D207" s="536">
        <v>0</v>
      </c>
      <c r="E207"/>
    </row>
    <row r="208" spans="1:5">
      <c r="A208" s="487">
        <v>210808</v>
      </c>
      <c r="B208" s="488" t="s">
        <v>968</v>
      </c>
      <c r="C208" s="536">
        <v>0</v>
      </c>
      <c r="D208" s="536">
        <v>0</v>
      </c>
      <c r="E208"/>
    </row>
    <row r="209" spans="1:5">
      <c r="A209" s="487">
        <v>210809</v>
      </c>
      <c r="B209" s="488" t="s">
        <v>969</v>
      </c>
      <c r="C209" s="536">
        <v>0</v>
      </c>
      <c r="D209" s="536">
        <v>0</v>
      </c>
      <c r="E209"/>
    </row>
    <row r="210" spans="1:5">
      <c r="A210" s="487">
        <v>210810</v>
      </c>
      <c r="B210" s="488" t="s">
        <v>970</v>
      </c>
      <c r="C210" s="536">
        <v>0</v>
      </c>
      <c r="D210" s="536">
        <v>0</v>
      </c>
      <c r="E210"/>
    </row>
    <row r="211" spans="1:5">
      <c r="A211" s="487">
        <v>210811</v>
      </c>
      <c r="B211" s="488" t="s">
        <v>971</v>
      </c>
      <c r="C211" s="536">
        <v>0</v>
      </c>
      <c r="D211" s="536">
        <v>0</v>
      </c>
      <c r="E211"/>
    </row>
    <row r="212" spans="1:5">
      <c r="A212" s="487">
        <v>210812</v>
      </c>
      <c r="B212" s="488" t="s">
        <v>972</v>
      </c>
      <c r="C212" s="536">
        <v>0</v>
      </c>
      <c r="D212" s="536">
        <v>0</v>
      </c>
      <c r="E212"/>
    </row>
    <row r="213" spans="1:5">
      <c r="A213" s="487">
        <v>210813</v>
      </c>
      <c r="B213" s="488" t="s">
        <v>973</v>
      </c>
      <c r="C213" s="536">
        <v>0</v>
      </c>
      <c r="D213" s="536">
        <v>0</v>
      </c>
      <c r="E213"/>
    </row>
    <row r="214" spans="1:5">
      <c r="A214" s="487">
        <v>210814</v>
      </c>
      <c r="B214" s="488" t="s">
        <v>974</v>
      </c>
      <c r="C214" s="536">
        <v>0</v>
      </c>
      <c r="D214" s="536">
        <v>0</v>
      </c>
      <c r="E214"/>
    </row>
    <row r="215" spans="1:5">
      <c r="A215" s="490">
        <v>2109</v>
      </c>
      <c r="B215" s="486" t="s">
        <v>975</v>
      </c>
      <c r="C215" s="903">
        <f>SUM(C216:C219)</f>
        <v>696262485.01999998</v>
      </c>
      <c r="D215" s="903">
        <f>SUM(D216:D219)</f>
        <v>266148943.77000001</v>
      </c>
      <c r="E215"/>
    </row>
    <row r="216" spans="1:5">
      <c r="A216" s="487">
        <v>210901</v>
      </c>
      <c r="B216" s="488" t="s">
        <v>378</v>
      </c>
      <c r="C216" s="536">
        <v>422140975.16000003</v>
      </c>
      <c r="D216" s="536">
        <v>147501458.11000001</v>
      </c>
      <c r="E216"/>
    </row>
    <row r="217" spans="1:5">
      <c r="A217" s="487">
        <v>210902</v>
      </c>
      <c r="B217" s="488" t="s">
        <v>976</v>
      </c>
      <c r="C217" s="536">
        <v>30310000</v>
      </c>
      <c r="D217" s="536">
        <v>200000</v>
      </c>
      <c r="E217"/>
    </row>
    <row r="218" spans="1:5">
      <c r="A218" s="487">
        <v>210903</v>
      </c>
      <c r="B218" s="488" t="s">
        <v>977</v>
      </c>
      <c r="C218" s="536">
        <v>243811509.86000001</v>
      </c>
      <c r="D218" s="536">
        <v>118447485.66</v>
      </c>
      <c r="E218"/>
    </row>
    <row r="219" spans="1:5">
      <c r="A219" s="494">
        <v>210904</v>
      </c>
      <c r="B219" s="489" t="s">
        <v>978</v>
      </c>
      <c r="C219" s="536">
        <v>0</v>
      </c>
      <c r="D219" s="536">
        <v>0</v>
      </c>
      <c r="E219"/>
    </row>
    <row r="220" spans="1:5">
      <c r="A220" s="490">
        <v>211</v>
      </c>
      <c r="B220" s="486" t="s">
        <v>979</v>
      </c>
      <c r="C220" s="903">
        <f>C221+C223</f>
        <v>0</v>
      </c>
      <c r="D220" s="903">
        <f>D221+D223</f>
        <v>0</v>
      </c>
      <c r="E220"/>
    </row>
    <row r="221" spans="1:5">
      <c r="A221" s="490">
        <v>2111</v>
      </c>
      <c r="B221" s="486" t="s">
        <v>980</v>
      </c>
      <c r="C221" s="903">
        <f>SUM(C222)</f>
        <v>0</v>
      </c>
      <c r="D221" s="903">
        <f>SUM(D222)</f>
        <v>0</v>
      </c>
      <c r="E221"/>
    </row>
    <row r="222" spans="1:5">
      <c r="A222" s="487">
        <v>211101</v>
      </c>
      <c r="B222" s="488" t="s">
        <v>981</v>
      </c>
      <c r="C222" s="536">
        <v>0</v>
      </c>
      <c r="D222" s="536">
        <v>0</v>
      </c>
      <c r="E222"/>
    </row>
    <row r="223" spans="1:5">
      <c r="A223" s="490">
        <v>2112</v>
      </c>
      <c r="B223" s="486" t="s">
        <v>982</v>
      </c>
      <c r="C223" s="903">
        <f>SUM(C224)</f>
        <v>0</v>
      </c>
      <c r="D223" s="903">
        <f>SUM(D224)</f>
        <v>0</v>
      </c>
      <c r="E223"/>
    </row>
    <row r="224" spans="1:5">
      <c r="A224" s="487">
        <v>211201</v>
      </c>
      <c r="B224" s="488" t="s">
        <v>983</v>
      </c>
      <c r="C224" s="536">
        <v>0</v>
      </c>
      <c r="D224" s="536">
        <v>0</v>
      </c>
      <c r="E224"/>
    </row>
    <row r="225" spans="1:5">
      <c r="A225" s="490">
        <v>212</v>
      </c>
      <c r="B225" s="486" t="s">
        <v>984</v>
      </c>
      <c r="C225" s="903">
        <f>C226+C228</f>
        <v>0</v>
      </c>
      <c r="D225" s="903">
        <f>D226+D228</f>
        <v>0</v>
      </c>
      <c r="E225"/>
    </row>
    <row r="226" spans="1:5">
      <c r="A226" s="490">
        <v>2121</v>
      </c>
      <c r="B226" s="486" t="s">
        <v>985</v>
      </c>
      <c r="C226" s="903">
        <f>SUM(C227)</f>
        <v>0</v>
      </c>
      <c r="D226" s="903">
        <f>SUM(D227)</f>
        <v>0</v>
      </c>
      <c r="E226"/>
    </row>
    <row r="227" spans="1:5">
      <c r="A227" s="487">
        <v>212101</v>
      </c>
      <c r="B227" s="488" t="s">
        <v>395</v>
      </c>
      <c r="C227" s="536">
        <v>0</v>
      </c>
      <c r="D227" s="536">
        <v>0</v>
      </c>
      <c r="E227"/>
    </row>
    <row r="228" spans="1:5">
      <c r="A228" s="490">
        <v>2122</v>
      </c>
      <c r="B228" s="486" t="s">
        <v>986</v>
      </c>
      <c r="C228" s="903">
        <f>SUM(C229)</f>
        <v>0</v>
      </c>
      <c r="D228" s="903">
        <f>SUM(D229)</f>
        <v>0</v>
      </c>
      <c r="E228"/>
    </row>
    <row r="229" spans="1:5">
      <c r="A229" s="487">
        <v>212201</v>
      </c>
      <c r="B229" s="488" t="s">
        <v>399</v>
      </c>
      <c r="C229" s="536">
        <v>0</v>
      </c>
      <c r="D229" s="536">
        <v>0</v>
      </c>
      <c r="E229"/>
    </row>
    <row r="230" spans="1:5">
      <c r="A230" s="490">
        <v>213</v>
      </c>
      <c r="B230" s="486" t="s">
        <v>987</v>
      </c>
      <c r="C230" s="903">
        <f>C231+C234+C243+C248+C253</f>
        <v>32435923.27</v>
      </c>
      <c r="D230" s="903">
        <f>D231+D234+D243+D248+D253</f>
        <v>345584301.69</v>
      </c>
      <c r="E230"/>
    </row>
    <row r="231" spans="1:5">
      <c r="A231" s="490">
        <v>2131</v>
      </c>
      <c r="B231" s="486" t="s">
        <v>988</v>
      </c>
      <c r="C231" s="903">
        <f>SUM(C232:C233)</f>
        <v>0</v>
      </c>
      <c r="D231" s="903">
        <f>SUM(D232:D233)</f>
        <v>0</v>
      </c>
      <c r="E231"/>
    </row>
    <row r="232" spans="1:5">
      <c r="A232" s="487">
        <v>213101</v>
      </c>
      <c r="B232" s="488" t="s">
        <v>990</v>
      </c>
      <c r="C232" s="536">
        <v>0</v>
      </c>
      <c r="D232" s="536">
        <v>0</v>
      </c>
      <c r="E232"/>
    </row>
    <row r="233" spans="1:5">
      <c r="A233" s="487">
        <v>213102</v>
      </c>
      <c r="B233" s="488" t="s">
        <v>991</v>
      </c>
      <c r="C233" s="536">
        <v>0</v>
      </c>
      <c r="D233" s="536">
        <v>0</v>
      </c>
      <c r="E233"/>
    </row>
    <row r="234" spans="1:5">
      <c r="A234" s="490">
        <v>2132</v>
      </c>
      <c r="B234" s="486" t="s">
        <v>989</v>
      </c>
      <c r="C234" s="903">
        <f>SUM(C235:C242)</f>
        <v>2568385</v>
      </c>
      <c r="D234" s="903">
        <f>SUM(D235:D242)</f>
        <v>3600000</v>
      </c>
      <c r="E234"/>
    </row>
    <row r="235" spans="1:5">
      <c r="A235" s="487">
        <v>213202</v>
      </c>
      <c r="B235" s="488" t="s">
        <v>992</v>
      </c>
      <c r="C235" s="536">
        <v>0</v>
      </c>
      <c r="D235" s="536">
        <v>0</v>
      </c>
      <c r="E235"/>
    </row>
    <row r="236" spans="1:5">
      <c r="A236" s="487">
        <v>213203</v>
      </c>
      <c r="B236" s="488" t="s">
        <v>993</v>
      </c>
      <c r="C236" s="536">
        <v>0</v>
      </c>
      <c r="D236" s="536">
        <v>0</v>
      </c>
      <c r="E236"/>
    </row>
    <row r="237" spans="1:5">
      <c r="A237" s="487">
        <v>213204</v>
      </c>
      <c r="B237" s="488" t="s">
        <v>994</v>
      </c>
      <c r="C237" s="536">
        <v>0</v>
      </c>
      <c r="D237" s="536">
        <v>0</v>
      </c>
      <c r="E237"/>
    </row>
    <row r="238" spans="1:5">
      <c r="A238" s="487">
        <v>213205</v>
      </c>
      <c r="B238" s="488" t="s">
        <v>995</v>
      </c>
      <c r="C238" s="536">
        <v>0</v>
      </c>
      <c r="D238" s="536">
        <v>0</v>
      </c>
      <c r="E238"/>
    </row>
    <row r="239" spans="1:5">
      <c r="A239" s="487">
        <v>213206</v>
      </c>
      <c r="B239" s="488" t="s">
        <v>996</v>
      </c>
      <c r="C239" s="536">
        <v>0</v>
      </c>
      <c r="D239" s="536">
        <v>0</v>
      </c>
      <c r="E239"/>
    </row>
    <row r="240" spans="1:5">
      <c r="A240" s="487">
        <v>213207</v>
      </c>
      <c r="B240" s="488" t="s">
        <v>997</v>
      </c>
      <c r="C240" s="536">
        <v>2568385</v>
      </c>
      <c r="D240" s="536">
        <v>0</v>
      </c>
      <c r="E240"/>
    </row>
    <row ht="30" r="241" spans="1:5">
      <c r="A241" s="487">
        <v>213208</v>
      </c>
      <c r="B241" s="488" t="s">
        <v>998</v>
      </c>
      <c r="C241" s="536">
        <v>0</v>
      </c>
      <c r="D241" s="536">
        <v>0</v>
      </c>
      <c r="E241"/>
    </row>
    <row customHeight="1" ht="18.75" r="242" spans="1:5">
      <c r="A242" s="487">
        <v>213209</v>
      </c>
      <c r="B242" s="488" t="s">
        <v>999</v>
      </c>
      <c r="C242" s="536">
        <v>0</v>
      </c>
      <c r="D242" s="536">
        <v>3600000</v>
      </c>
      <c r="E242"/>
    </row>
    <row r="243" spans="1:5">
      <c r="A243" s="490">
        <v>2133</v>
      </c>
      <c r="B243" s="486" t="s">
        <v>1000</v>
      </c>
      <c r="C243" s="903">
        <f>SUM(C244:C247)</f>
        <v>29867538.27</v>
      </c>
      <c r="D243" s="903">
        <f>SUM(D244:D247)</f>
        <v>341984301.69</v>
      </c>
      <c r="E243"/>
    </row>
    <row r="244" spans="1:5">
      <c r="A244" s="487">
        <v>213301</v>
      </c>
      <c r="B244" s="488" t="s">
        <v>1003</v>
      </c>
      <c r="C244" s="536">
        <v>0</v>
      </c>
      <c r="D244" s="536">
        <v>0</v>
      </c>
      <c r="E244"/>
    </row>
    <row r="245" spans="1:5">
      <c r="A245" s="487">
        <v>213302</v>
      </c>
      <c r="B245" s="488" t="s">
        <v>1002</v>
      </c>
      <c r="C245" s="536">
        <v>0</v>
      </c>
      <c r="D245" s="536">
        <v>0</v>
      </c>
      <c r="E245"/>
    </row>
    <row r="246" spans="1:5">
      <c r="A246" s="487">
        <v>213303</v>
      </c>
      <c r="B246" s="488" t="s">
        <v>1004</v>
      </c>
      <c r="C246" s="536">
        <v>29867538.27</v>
      </c>
      <c r="D246" s="536">
        <v>341984301.69</v>
      </c>
      <c r="E246"/>
    </row>
    <row r="247" spans="1:5">
      <c r="A247" s="487">
        <v>213304</v>
      </c>
      <c r="B247" s="488" t="s">
        <v>1005</v>
      </c>
      <c r="C247" s="536">
        <v>0</v>
      </c>
      <c r="D247" s="536">
        <v>0</v>
      </c>
      <c r="E247"/>
    </row>
    <row ht="28.5" r="248" spans="1:5">
      <c r="A248" s="490">
        <v>2134</v>
      </c>
      <c r="B248" s="486" t="s">
        <v>1006</v>
      </c>
      <c r="C248" s="903">
        <f>SUM(C249:C252)</f>
        <v>0</v>
      </c>
      <c r="D248" s="903">
        <f>SUM(D249:D252)</f>
        <v>0</v>
      </c>
      <c r="E248"/>
    </row>
    <row r="249" spans="1:5">
      <c r="A249" s="487">
        <v>213401</v>
      </c>
      <c r="B249" s="488" t="s">
        <v>1007</v>
      </c>
      <c r="C249" s="536">
        <v>0</v>
      </c>
      <c r="D249" s="536">
        <v>0</v>
      </c>
      <c r="E249"/>
    </row>
    <row r="250" spans="1:5">
      <c r="A250" s="487">
        <v>213402</v>
      </c>
      <c r="B250" s="488" t="s">
        <v>1008</v>
      </c>
      <c r="C250" s="536">
        <v>0</v>
      </c>
      <c r="D250" s="536">
        <v>0</v>
      </c>
      <c r="E250"/>
    </row>
    <row r="251" spans="1:5">
      <c r="A251" s="487">
        <v>213403</v>
      </c>
      <c r="B251" s="488" t="s">
        <v>1004</v>
      </c>
      <c r="C251" s="536">
        <v>0</v>
      </c>
      <c r="D251" s="536">
        <v>0</v>
      </c>
      <c r="E251"/>
    </row>
    <row r="252" spans="1:5">
      <c r="A252" s="487">
        <v>213404</v>
      </c>
      <c r="B252" s="488" t="s">
        <v>1005</v>
      </c>
      <c r="C252" s="536">
        <v>0</v>
      </c>
      <c r="D252" s="536">
        <v>0</v>
      </c>
      <c r="E252"/>
    </row>
    <row r="253" spans="1:5">
      <c r="A253" s="490">
        <v>2135</v>
      </c>
      <c r="B253" s="486" t="s">
        <v>1009</v>
      </c>
      <c r="C253" s="903">
        <f>SUM(C254:C258)</f>
        <v>0</v>
      </c>
      <c r="D253" s="903">
        <f>SUM(D254:D258)</f>
        <v>0</v>
      </c>
      <c r="E253"/>
    </row>
    <row r="254" spans="1:5">
      <c r="A254" s="487">
        <v>213501</v>
      </c>
      <c r="B254" s="488" t="s">
        <v>1001</v>
      </c>
      <c r="C254" s="536">
        <v>0</v>
      </c>
      <c r="D254" s="536">
        <v>0</v>
      </c>
      <c r="E254"/>
    </row>
    <row r="255" spans="1:5">
      <c r="A255" s="487">
        <v>213502</v>
      </c>
      <c r="B255" s="488" t="s">
        <v>1010</v>
      </c>
      <c r="C255" s="536">
        <v>0</v>
      </c>
      <c r="D255" s="536">
        <v>0</v>
      </c>
      <c r="E255"/>
    </row>
    <row r="256" spans="1:5">
      <c r="A256" s="487">
        <v>213503</v>
      </c>
      <c r="B256" s="488" t="s">
        <v>1011</v>
      </c>
      <c r="C256" s="536">
        <v>0</v>
      </c>
      <c r="D256" s="536">
        <v>0</v>
      </c>
      <c r="E256"/>
    </row>
    <row r="257" spans="1:5">
      <c r="A257" s="487">
        <v>213504</v>
      </c>
      <c r="B257" s="488" t="s">
        <v>1012</v>
      </c>
      <c r="C257" s="536">
        <v>0</v>
      </c>
      <c r="D257" s="536">
        <v>0</v>
      </c>
      <c r="E257"/>
    </row>
    <row r="258" spans="1:5">
      <c r="A258" s="487">
        <v>213505</v>
      </c>
      <c r="B258" s="488" t="s">
        <v>1013</v>
      </c>
      <c r="C258" s="536">
        <v>0</v>
      </c>
      <c r="D258" s="536">
        <v>0</v>
      </c>
      <c r="E258"/>
    </row>
    <row r="259" spans="1:5">
      <c r="A259" s="490">
        <v>22</v>
      </c>
      <c r="B259" s="486" t="s">
        <v>1014</v>
      </c>
      <c r="C259" s="902">
        <f>C260+C272</f>
        <v>0</v>
      </c>
      <c r="D259" s="902">
        <f>D260+D272</f>
        <v>0</v>
      </c>
      <c r="E259"/>
    </row>
    <row r="260" spans="1:5">
      <c r="A260" s="490">
        <v>2200</v>
      </c>
      <c r="B260" s="486" t="s">
        <v>1015</v>
      </c>
      <c r="C260" s="903">
        <f>SUM(C261:C271)</f>
        <v>0</v>
      </c>
      <c r="D260" s="903">
        <f>SUM(D261:D271)</f>
        <v>0</v>
      </c>
      <c r="E260"/>
    </row>
    <row r="261" spans="1:5">
      <c r="A261" s="487">
        <v>220001</v>
      </c>
      <c r="B261" s="488" t="s">
        <v>1016</v>
      </c>
      <c r="C261" s="536">
        <v>0</v>
      </c>
      <c r="D261" s="536">
        <v>0</v>
      </c>
      <c r="E261"/>
    </row>
    <row r="262" spans="1:5">
      <c r="A262" s="487">
        <v>221001</v>
      </c>
      <c r="B262" s="488" t="s">
        <v>1017</v>
      </c>
      <c r="C262" s="536">
        <v>0</v>
      </c>
      <c r="D262" s="536">
        <v>0</v>
      </c>
      <c r="E262"/>
    </row>
    <row r="263" spans="1:5">
      <c r="A263" s="487">
        <v>222001</v>
      </c>
      <c r="B263" s="488" t="s">
        <v>1018</v>
      </c>
      <c r="C263" s="536">
        <v>0</v>
      </c>
      <c r="D263" s="536">
        <v>0</v>
      </c>
      <c r="E263"/>
    </row>
    <row r="264" spans="1:5">
      <c r="A264" s="487">
        <v>223001</v>
      </c>
      <c r="B264" s="488" t="s">
        <v>1019</v>
      </c>
      <c r="C264" s="536">
        <v>0</v>
      </c>
      <c r="D264" s="536">
        <v>0</v>
      </c>
      <c r="E264"/>
    </row>
    <row r="265" spans="1:5">
      <c r="A265" s="487">
        <v>224001</v>
      </c>
      <c r="B265" s="488" t="s">
        <v>1020</v>
      </c>
      <c r="C265" s="536">
        <v>0</v>
      </c>
      <c r="D265" s="536">
        <v>0</v>
      </c>
      <c r="E265"/>
    </row>
    <row r="266" spans="1:5">
      <c r="A266" s="504">
        <v>225101</v>
      </c>
      <c r="B266" s="503" t="s">
        <v>3018</v>
      </c>
      <c r="C266" s="536">
        <v>0</v>
      </c>
      <c r="D266" s="536">
        <v>0</v>
      </c>
      <c r="E266"/>
    </row>
    <row r="267" spans="1:5">
      <c r="A267" s="504">
        <v>225102</v>
      </c>
      <c r="B267" s="503" t="s">
        <v>3017</v>
      </c>
      <c r="C267" s="536">
        <v>0</v>
      </c>
      <c r="D267" s="536">
        <v>0</v>
      </c>
      <c r="E267"/>
    </row>
    <row r="268" spans="1:5">
      <c r="A268" s="504">
        <v>225103</v>
      </c>
      <c r="B268" s="503" t="s">
        <v>3016</v>
      </c>
      <c r="C268" s="536">
        <v>0</v>
      </c>
      <c r="D268" s="536">
        <v>0</v>
      </c>
      <c r="E268"/>
    </row>
    <row r="269" spans="1:5">
      <c r="A269" s="504">
        <v>225104</v>
      </c>
      <c r="B269" s="503" t="s">
        <v>3015</v>
      </c>
      <c r="C269" s="536">
        <v>0</v>
      </c>
      <c r="D269" s="536">
        <v>0</v>
      </c>
      <c r="E269"/>
    </row>
    <row r="270" spans="1:5">
      <c r="A270" s="504">
        <v>225105</v>
      </c>
      <c r="B270" s="503" t="s">
        <v>1215</v>
      </c>
      <c r="C270" s="536">
        <v>0</v>
      </c>
      <c r="D270" s="536">
        <v>0</v>
      </c>
      <c r="E270"/>
    </row>
    <row r="271" spans="1:5">
      <c r="A271" s="504">
        <v>225106</v>
      </c>
      <c r="B271" s="503" t="s">
        <v>1076</v>
      </c>
      <c r="C271" s="536">
        <v>0</v>
      </c>
      <c r="D271" s="536">
        <v>0</v>
      </c>
      <c r="E271"/>
    </row>
    <row r="272" spans="1:5">
      <c r="A272" s="490">
        <v>2260</v>
      </c>
      <c r="B272" s="486" t="s">
        <v>1021</v>
      </c>
      <c r="C272" s="903">
        <f>SUM(C273)</f>
        <v>0</v>
      </c>
      <c r="D272" s="903">
        <f>SUM(D273)</f>
        <v>0</v>
      </c>
      <c r="E272"/>
    </row>
    <row r="273" spans="1:5">
      <c r="A273" s="494">
        <v>226001</v>
      </c>
      <c r="B273" s="489" t="s">
        <v>1022</v>
      </c>
      <c r="C273" s="536">
        <v>0</v>
      </c>
      <c r="D273" s="536">
        <v>0</v>
      </c>
      <c r="E273"/>
    </row>
    <row r="274" spans="1:5">
      <c r="A274" s="485">
        <v>3</v>
      </c>
      <c r="B274" s="486" t="s">
        <v>1083</v>
      </c>
      <c r="C274" s="906">
        <f>C8-C153</f>
        <v>-120186739.07999992</v>
      </c>
      <c r="D274" s="906">
        <f>D8-D153</f>
        <v>-126469028.59000015</v>
      </c>
      <c r="E274"/>
    </row>
    <row r="275" spans="1:5">
      <c r="A275" s="485">
        <v>145</v>
      </c>
      <c r="B275" s="486" t="s">
        <v>445</v>
      </c>
      <c r="C275" s="903">
        <f>SUM(C276:C281)</f>
        <v>0</v>
      </c>
      <c r="D275" s="903">
        <f>SUM(D276:D281)</f>
        <v>590000</v>
      </c>
      <c r="E275"/>
    </row>
    <row r="276" spans="1:5">
      <c r="A276" s="487">
        <v>145001</v>
      </c>
      <c r="B276" s="488" t="s">
        <v>1023</v>
      </c>
      <c r="C276" s="536">
        <v>0</v>
      </c>
      <c r="D276" s="536">
        <v>0</v>
      </c>
      <c r="E276"/>
    </row>
    <row r="277" spans="1:5">
      <c r="A277" s="487">
        <v>145002</v>
      </c>
      <c r="B277" s="488" t="s">
        <v>1024</v>
      </c>
      <c r="C277" s="536">
        <v>0</v>
      </c>
      <c r="D277" s="536">
        <v>590000</v>
      </c>
      <c r="E277"/>
    </row>
    <row r="278" spans="1:5">
      <c r="A278" s="487">
        <v>145003</v>
      </c>
      <c r="B278" s="488" t="s">
        <v>1025</v>
      </c>
      <c r="C278" s="536">
        <v>0</v>
      </c>
      <c r="D278" s="536">
        <v>0</v>
      </c>
      <c r="E278"/>
    </row>
    <row r="279" spans="1:5">
      <c r="A279" s="487">
        <v>145004</v>
      </c>
      <c r="B279" s="488" t="s">
        <v>2229</v>
      </c>
      <c r="C279" s="536">
        <v>0</v>
      </c>
      <c r="D279" s="536">
        <v>0</v>
      </c>
      <c r="E279"/>
    </row>
    <row r="280" spans="1:5">
      <c r="A280" s="487">
        <v>145005</v>
      </c>
      <c r="B280" s="488" t="s">
        <v>2230</v>
      </c>
      <c r="C280" s="536">
        <v>0</v>
      </c>
      <c r="D280" s="536">
        <v>0</v>
      </c>
      <c r="E280"/>
    </row>
    <row r="281" spans="1:5">
      <c r="A281" s="493">
        <v>145006</v>
      </c>
      <c r="B281" s="488" t="s">
        <v>2231</v>
      </c>
      <c r="C281" s="536">
        <v>0</v>
      </c>
      <c r="D281" s="536">
        <v>0</v>
      </c>
      <c r="E281"/>
    </row>
    <row r="282" spans="1:5">
      <c r="A282" s="485">
        <v>225</v>
      </c>
      <c r="B282" s="486" t="s">
        <v>447</v>
      </c>
      <c r="C282" s="903">
        <f>SUM(C283:C292)</f>
        <v>0</v>
      </c>
      <c r="D282" s="903">
        <f>SUM(D283:D292)</f>
        <v>1087559.51</v>
      </c>
      <c r="E282"/>
    </row>
    <row r="283" spans="1:5">
      <c r="A283" s="487">
        <v>225001</v>
      </c>
      <c r="B283" s="488" t="s">
        <v>1026</v>
      </c>
      <c r="C283" s="536">
        <v>0</v>
      </c>
      <c r="D283" s="536">
        <v>1087559.51</v>
      </c>
      <c r="E283"/>
    </row>
    <row r="284" spans="1:5">
      <c r="A284" s="487">
        <v>225002</v>
      </c>
      <c r="B284" s="488" t="s">
        <v>1027</v>
      </c>
      <c r="C284" s="536">
        <v>0</v>
      </c>
      <c r="D284" s="536">
        <v>0</v>
      </c>
      <c r="E284"/>
    </row>
    <row r="285" spans="1:5">
      <c r="A285" s="487">
        <v>225003</v>
      </c>
      <c r="B285" s="488" t="s">
        <v>1028</v>
      </c>
      <c r="C285" s="536">
        <v>0</v>
      </c>
      <c r="D285" s="536">
        <v>0</v>
      </c>
      <c r="E285"/>
    </row>
    <row r="286" spans="1:5">
      <c r="A286" s="487">
        <v>225004</v>
      </c>
      <c r="B286" s="488" t="s">
        <v>1029</v>
      </c>
      <c r="C286" s="536">
        <v>0</v>
      </c>
      <c r="D286" s="536">
        <v>0</v>
      </c>
      <c r="E286"/>
    </row>
    <row r="287" spans="1:5">
      <c r="A287" s="487">
        <v>225005</v>
      </c>
      <c r="B287" s="488" t="s">
        <v>1030</v>
      </c>
      <c r="C287" s="536">
        <v>0</v>
      </c>
      <c r="D287" s="536">
        <v>0</v>
      </c>
      <c r="E287"/>
    </row>
    <row r="288" spans="1:5">
      <c r="A288" s="487">
        <v>225006</v>
      </c>
      <c r="B288" s="488" t="s">
        <v>1031</v>
      </c>
      <c r="C288" s="536">
        <v>0</v>
      </c>
      <c r="D288" s="536">
        <v>0</v>
      </c>
      <c r="E288"/>
    </row>
    <row r="289" spans="1:5">
      <c r="A289" s="487">
        <v>225007</v>
      </c>
      <c r="B289" s="488" t="s">
        <v>1032</v>
      </c>
      <c r="C289" s="536">
        <v>0</v>
      </c>
      <c r="D289" s="536">
        <v>0</v>
      </c>
      <c r="E289"/>
    </row>
    <row r="290" spans="1:5">
      <c r="A290" s="487">
        <v>225008</v>
      </c>
      <c r="B290" s="488" t="s">
        <v>1033</v>
      </c>
      <c r="C290" s="536">
        <v>0</v>
      </c>
      <c r="D290" s="536">
        <v>0</v>
      </c>
      <c r="E290"/>
    </row>
    <row r="291" spans="1:5">
      <c r="A291" s="487">
        <v>225009</v>
      </c>
      <c r="B291" s="488" t="s">
        <v>1034</v>
      </c>
      <c r="C291" s="536">
        <v>0</v>
      </c>
      <c r="D291" s="536">
        <v>0</v>
      </c>
      <c r="E291"/>
    </row>
    <row r="292" spans="1:5">
      <c r="A292" s="500">
        <v>230001</v>
      </c>
      <c r="B292" s="501" t="s">
        <v>2232</v>
      </c>
      <c r="C292" s="536">
        <v>0</v>
      </c>
      <c r="D292" s="536">
        <v>0</v>
      </c>
      <c r="E292"/>
    </row>
    <row r="293" spans="1:5">
      <c r="A293" s="505">
        <v>4</v>
      </c>
      <c r="B293" s="486" t="s">
        <v>2037</v>
      </c>
      <c r="C293" s="904">
        <f>C275-C282</f>
        <v>0</v>
      </c>
      <c r="D293" s="904">
        <f>D275-D282</f>
        <v>-497559.51</v>
      </c>
      <c r="E293"/>
    </row>
    <row r="294" spans="1:5">
      <c r="A294" s="485">
        <v>5</v>
      </c>
      <c r="B294" s="506" t="s">
        <v>1084</v>
      </c>
      <c r="C294" s="907">
        <f>C274+C293</f>
        <v>-120186739.07999992</v>
      </c>
      <c r="D294" s="907">
        <f>D274+D293</f>
        <v>-126966588.10000016</v>
      </c>
      <c r="E294"/>
    </row>
    <row customHeight="1" ht="22.5" r="295" spans="1:5">
      <c r="A295" s="507" t="s">
        <v>102</v>
      </c>
      <c r="B295" s="508" t="s">
        <v>102</v>
      </c>
      <c r="C295" s="466" t="s">
        <v>102</v>
      </c>
      <c r="D295" s="466" t="s">
        <v>102</v>
      </c>
      <c r="E295"/>
    </row>
    <row r="296" spans="1:5">
      <c r="A296" s="507" t="s">
        <v>102</v>
      </c>
      <c r="B296" s="508" t="s">
        <v>102</v>
      </c>
      <c r="C296" s="466" t="s">
        <v>102</v>
      </c>
      <c r="D296" s="466" t="s">
        <v>102</v>
      </c>
      <c r="E296"/>
    </row>
    <row r="297" spans="1:5">
      <c r="A297" s="507" t="s">
        <v>102</v>
      </c>
      <c r="B297" s="508" t="s">
        <v>102</v>
      </c>
      <c r="C297" s="466" t="s">
        <v>102</v>
      </c>
      <c r="D297" s="466" t="s">
        <v>102</v>
      </c>
      <c r="E297"/>
    </row>
    <row r="298" spans="1:5">
      <c r="A298" s="507" t="s">
        <v>102</v>
      </c>
      <c r="B298" s="508" t="s">
        <v>102</v>
      </c>
      <c r="C298" s="466" t="s">
        <v>102</v>
      </c>
      <c r="D298" s="466" t="s">
        <v>102</v>
      </c>
      <c r="E298"/>
    </row>
    <row r="299" spans="1:5">
      <c r="A299" s="507" t="s">
        <v>102</v>
      </c>
      <c r="B299" s="508" t="s">
        <v>102</v>
      </c>
      <c r="C299" s="466" t="s">
        <v>102</v>
      </c>
      <c r="D299" s="466" t="s">
        <v>102</v>
      </c>
      <c r="E299"/>
    </row>
    <row r="300" spans="1:5">
      <c r="A300" s="507" t="s">
        <v>102</v>
      </c>
      <c r="B300" s="508" t="s">
        <v>102</v>
      </c>
      <c r="C300" s="466" t="s">
        <v>102</v>
      </c>
      <c r="D300" s="466" t="s">
        <v>102</v>
      </c>
      <c r="E300"/>
    </row>
    <row r="301" spans="1:5">
      <c r="A301" s="507" t="s">
        <v>102</v>
      </c>
      <c r="B301" s="508" t="s">
        <v>102</v>
      </c>
      <c r="C301" s="466" t="s">
        <v>102</v>
      </c>
      <c r="D301" s="466" t="s">
        <v>102</v>
      </c>
      <c r="E301"/>
    </row>
    <row r="302" spans="1:5">
      <c r="A302" s="507" t="s">
        <v>102</v>
      </c>
      <c r="B302" s="508" t="s">
        <v>102</v>
      </c>
      <c r="C302" s="466" t="s">
        <v>102</v>
      </c>
      <c r="D302" s="466" t="s">
        <v>102</v>
      </c>
      <c r="E302"/>
    </row>
    <row r="303" spans="1:5">
      <c r="A303" s="507" t="s">
        <v>102</v>
      </c>
      <c r="B303" s="508" t="s">
        <v>102</v>
      </c>
      <c r="C303" s="466" t="s">
        <v>102</v>
      </c>
      <c r="D303" s="466" t="s">
        <v>102</v>
      </c>
      <c r="E303"/>
    </row>
    <row r="304" spans="1:5">
      <c r="A304" s="507" t="s">
        <v>102</v>
      </c>
      <c r="B304" s="508" t="s">
        <v>102</v>
      </c>
      <c r="C304" s="466" t="s">
        <v>102</v>
      </c>
      <c r="D304" s="466" t="s">
        <v>102</v>
      </c>
      <c r="E304"/>
    </row>
    <row r="305" spans="1:5">
      <c r="A305" s="507" t="s">
        <v>102</v>
      </c>
      <c r="B305" s="508" t="s">
        <v>102</v>
      </c>
      <c r="C305" s="466" t="s">
        <v>102</v>
      </c>
      <c r="D305" s="466" t="s">
        <v>102</v>
      </c>
      <c r="E305"/>
    </row>
    <row r="306" spans="1:5">
      <c r="A306" s="507" t="s">
        <v>102</v>
      </c>
      <c r="B306" s="508" t="s">
        <v>102</v>
      </c>
      <c r="C306" s="466" t="s">
        <v>102</v>
      </c>
      <c r="D306" s="466" t="s">
        <v>102</v>
      </c>
      <c r="E306"/>
    </row>
    <row r="307" spans="1:5">
      <c r="A307" s="507" t="s">
        <v>102</v>
      </c>
      <c r="B307" s="508" t="s">
        <v>102</v>
      </c>
      <c r="C307" s="466" t="s">
        <v>102</v>
      </c>
      <c r="D307" s="466" t="s">
        <v>102</v>
      </c>
      <c r="E307"/>
    </row>
    <row r="308" spans="1:5">
      <c r="A308" s="507" t="s">
        <v>102</v>
      </c>
      <c r="B308" s="508" t="s">
        <v>102</v>
      </c>
      <c r="C308" s="466" t="s">
        <v>102</v>
      </c>
      <c r="D308" s="466" t="s">
        <v>102</v>
      </c>
      <c r="E308"/>
    </row>
    <row r="309" spans="1:5">
      <c r="A309" s="507" t="s">
        <v>102</v>
      </c>
      <c r="B309" s="508" t="s">
        <v>102</v>
      </c>
      <c r="C309" s="466" t="s">
        <v>102</v>
      </c>
      <c r="D309" s="466" t="s">
        <v>102</v>
      </c>
      <c r="E309"/>
    </row>
    <row r="310" spans="1:5">
      <c r="A310" s="507" t="s">
        <v>102</v>
      </c>
      <c r="B310" s="508" t="s">
        <v>102</v>
      </c>
      <c r="C310" s="466" t="s">
        <v>102</v>
      </c>
      <c r="D310" s="466" t="s">
        <v>102</v>
      </c>
      <c r="E310"/>
    </row>
    <row r="311" spans="1:5">
      <c r="A311" s="507" t="s">
        <v>102</v>
      </c>
      <c r="B311" s="508" t="s">
        <v>102</v>
      </c>
      <c r="C311" s="466" t="s">
        <v>102</v>
      </c>
      <c r="D311" s="466" t="s">
        <v>102</v>
      </c>
      <c r="E311"/>
    </row>
    <row r="312" spans="1:5">
      <c r="A312" s="507" t="s">
        <v>102</v>
      </c>
      <c r="B312" s="508" t="s">
        <v>102</v>
      </c>
      <c r="C312" s="466" t="s">
        <v>102</v>
      </c>
      <c r="D312" s="466" t="s">
        <v>102</v>
      </c>
      <c r="E312"/>
    </row>
    <row r="313" spans="1:5">
      <c r="A313" s="507" t="s">
        <v>102</v>
      </c>
      <c r="B313" s="508" t="s">
        <v>102</v>
      </c>
      <c r="C313" s="466" t="s">
        <v>102</v>
      </c>
      <c r="D313" s="466" t="s">
        <v>102</v>
      </c>
      <c r="E313"/>
    </row>
    <row r="314" spans="1:5">
      <c r="A314" s="507" t="s">
        <v>102</v>
      </c>
      <c r="B314" s="508" t="s">
        <v>102</v>
      </c>
      <c r="C314" s="466" t="s">
        <v>102</v>
      </c>
      <c r="D314" s="466" t="s">
        <v>102</v>
      </c>
      <c r="E314"/>
    </row>
    <row r="315" spans="1:5">
      <c r="A315" s="507" t="s">
        <v>102</v>
      </c>
      <c r="B315" s="508" t="s">
        <v>102</v>
      </c>
      <c r="C315" s="466" t="s">
        <v>102</v>
      </c>
      <c r="D315" s="466" t="s">
        <v>102</v>
      </c>
      <c r="E315"/>
    </row>
    <row r="316" spans="1:5">
      <c r="A316" s="507" t="s">
        <v>102</v>
      </c>
      <c r="B316" s="508" t="s">
        <v>102</v>
      </c>
      <c r="C316" s="466" t="s">
        <v>102</v>
      </c>
      <c r="D316" s="466" t="s">
        <v>102</v>
      </c>
      <c r="E316"/>
    </row>
    <row r="317" spans="1:5">
      <c r="A317" s="507" t="s">
        <v>102</v>
      </c>
      <c r="B317" s="508" t="s">
        <v>102</v>
      </c>
      <c r="C317" s="466" t="s">
        <v>102</v>
      </c>
      <c r="D317" s="466" t="s">
        <v>102</v>
      </c>
      <c r="E317"/>
    </row>
    <row r="318" spans="1:5">
      <c r="A318" s="507" t="s">
        <v>102</v>
      </c>
      <c r="B318" s="508" t="s">
        <v>102</v>
      </c>
      <c r="C318" s="466" t="s">
        <v>102</v>
      </c>
      <c r="D318" s="466" t="s">
        <v>102</v>
      </c>
      <c r="E318"/>
    </row>
    <row r="319" spans="1:5">
      <c r="A319" s="507" t="s">
        <v>102</v>
      </c>
      <c r="B319" s="508" t="s">
        <v>102</v>
      </c>
      <c r="C319" s="466" t="s">
        <v>102</v>
      </c>
      <c r="D319" s="466" t="s">
        <v>102</v>
      </c>
      <c r="E319"/>
    </row>
    <row r="320" spans="1:5">
      <c r="A320" s="507" t="s">
        <v>102</v>
      </c>
      <c r="B320" s="508" t="s">
        <v>102</v>
      </c>
      <c r="C320" s="466" t="s">
        <v>102</v>
      </c>
      <c r="D320" s="466" t="s">
        <v>102</v>
      </c>
      <c r="E320"/>
    </row>
    <row r="321" spans="1:5">
      <c r="A321" s="507" t="s">
        <v>102</v>
      </c>
      <c r="B321" s="508" t="s">
        <v>102</v>
      </c>
      <c r="C321" s="466" t="s">
        <v>102</v>
      </c>
      <c r="D321" s="466" t="s">
        <v>102</v>
      </c>
      <c r="E321"/>
    </row>
    <row r="322" spans="1:5">
      <c r="A322" s="507" t="s">
        <v>102</v>
      </c>
      <c r="B322" s="508" t="s">
        <v>102</v>
      </c>
      <c r="C322" s="466" t="s">
        <v>102</v>
      </c>
      <c r="D322" s="466" t="s">
        <v>102</v>
      </c>
      <c r="E322"/>
    </row>
    <row r="323" spans="1:5">
      <c r="A323" s="507" t="s">
        <v>102</v>
      </c>
      <c r="B323" s="508" t="s">
        <v>102</v>
      </c>
      <c r="C323" s="466" t="s">
        <v>102</v>
      </c>
      <c r="D323" s="466" t="s">
        <v>102</v>
      </c>
      <c r="E323"/>
    </row>
    <row r="324" spans="1:5">
      <c r="A324" s="507" t="s">
        <v>102</v>
      </c>
      <c r="B324" s="508" t="s">
        <v>102</v>
      </c>
      <c r="C324" s="466" t="s">
        <v>102</v>
      </c>
      <c r="D324" s="466" t="s">
        <v>102</v>
      </c>
      <c r="E324"/>
    </row>
    <row r="325" spans="1:5">
      <c r="A325" s="507" t="s">
        <v>102</v>
      </c>
      <c r="B325" s="508" t="s">
        <v>102</v>
      </c>
      <c r="C325" s="466" t="s">
        <v>102</v>
      </c>
      <c r="D325" s="466" t="s">
        <v>102</v>
      </c>
      <c r="E325"/>
    </row>
    <row r="326" spans="1:5">
      <c r="A326" s="507" t="s">
        <v>102</v>
      </c>
      <c r="B326" s="508" t="s">
        <v>102</v>
      </c>
      <c r="C326" s="466" t="s">
        <v>102</v>
      </c>
      <c r="D326" s="466" t="s">
        <v>102</v>
      </c>
      <c r="E326"/>
    </row>
    <row r="327" spans="1:5">
      <c r="A327" s="507" t="s">
        <v>102</v>
      </c>
      <c r="B327" s="508" t="s">
        <v>102</v>
      </c>
      <c r="C327" s="466" t="s">
        <v>102</v>
      </c>
      <c r="D327" s="466" t="s">
        <v>102</v>
      </c>
      <c r="E327"/>
    </row>
    <row r="328" spans="1:5">
      <c r="A328" s="507" t="s">
        <v>102</v>
      </c>
      <c r="B328" s="508" t="s">
        <v>102</v>
      </c>
      <c r="C328" s="466" t="s">
        <v>102</v>
      </c>
      <c r="D328" s="466" t="s">
        <v>102</v>
      </c>
      <c r="E328"/>
    </row>
    <row r="329" spans="1:5">
      <c r="A329" s="507" t="s">
        <v>102</v>
      </c>
      <c r="B329" s="508" t="s">
        <v>102</v>
      </c>
      <c r="C329" s="466" t="s">
        <v>102</v>
      </c>
      <c r="D329" s="466" t="s">
        <v>102</v>
      </c>
      <c r="E329"/>
    </row>
    <row r="330" spans="1:5">
      <c r="A330" s="507" t="s">
        <v>102</v>
      </c>
      <c r="B330" s="508" t="s">
        <v>102</v>
      </c>
      <c r="C330" s="466" t="s">
        <v>102</v>
      </c>
      <c r="D330" s="466" t="s">
        <v>102</v>
      </c>
      <c r="E330"/>
    </row>
    <row r="331" spans="1:5">
      <c r="A331" s="507" t="s">
        <v>102</v>
      </c>
      <c r="B331" s="508" t="s">
        <v>102</v>
      </c>
      <c r="C331" s="466" t="s">
        <v>102</v>
      </c>
      <c r="D331" s="466" t="s">
        <v>102</v>
      </c>
      <c r="E331"/>
    </row>
    <row r="332" spans="1:5">
      <c r="A332" s="507" t="s">
        <v>102</v>
      </c>
      <c r="B332" s="508" t="s">
        <v>102</v>
      </c>
      <c r="C332" s="466" t="s">
        <v>102</v>
      </c>
      <c r="D332" s="466" t="s">
        <v>102</v>
      </c>
      <c r="E332"/>
    </row>
    <row r="333" spans="1:5">
      <c r="A333" s="507" t="s">
        <v>102</v>
      </c>
      <c r="B333" s="508" t="s">
        <v>102</v>
      </c>
      <c r="C333" s="466" t="s">
        <v>102</v>
      </c>
      <c r="D333" s="466" t="s">
        <v>102</v>
      </c>
      <c r="E333"/>
    </row>
    <row r="334" spans="1:5">
      <c r="A334" s="507" t="s">
        <v>102</v>
      </c>
      <c r="B334" s="508" t="s">
        <v>102</v>
      </c>
      <c r="C334" s="466" t="s">
        <v>102</v>
      </c>
      <c r="D334" s="466" t="s">
        <v>102</v>
      </c>
      <c r="E334"/>
    </row>
    <row r="335" spans="1:5">
      <c r="A335" s="507" t="s">
        <v>102</v>
      </c>
      <c r="B335" s="508" t="s">
        <v>102</v>
      </c>
      <c r="C335" s="466" t="s">
        <v>102</v>
      </c>
      <c r="D335" s="466" t="s">
        <v>102</v>
      </c>
      <c r="E335"/>
    </row>
    <row r="336" spans="1:5">
      <c r="A336" s="507" t="s">
        <v>102</v>
      </c>
      <c r="B336" s="508" t="s">
        <v>102</v>
      </c>
      <c r="C336" s="466" t="s">
        <v>102</v>
      </c>
      <c r="D336" s="466" t="s">
        <v>102</v>
      </c>
      <c r="E336"/>
    </row>
    <row r="337" spans="1:5">
      <c r="A337" s="507" t="s">
        <v>102</v>
      </c>
      <c r="B337" s="508" t="s">
        <v>102</v>
      </c>
      <c r="C337" s="466" t="s">
        <v>102</v>
      </c>
      <c r="D337" s="466" t="s">
        <v>102</v>
      </c>
      <c r="E337"/>
    </row>
    <row r="338" spans="1:5">
      <c r="A338" s="507" t="s">
        <v>102</v>
      </c>
      <c r="B338" s="508" t="s">
        <v>102</v>
      </c>
      <c r="C338" s="466" t="s">
        <v>102</v>
      </c>
      <c r="D338" s="466" t="s">
        <v>102</v>
      </c>
      <c r="E338"/>
    </row>
    <row r="339" spans="1:5">
      <c r="A339" s="507" t="s">
        <v>102</v>
      </c>
      <c r="B339" s="508" t="s">
        <v>102</v>
      </c>
      <c r="C339" s="466" t="s">
        <v>102</v>
      </c>
      <c r="D339" s="466" t="s">
        <v>102</v>
      </c>
      <c r="E339"/>
    </row>
    <row r="340" spans="1:5">
      <c r="A340" s="507" t="s">
        <v>102</v>
      </c>
      <c r="B340" s="508" t="s">
        <v>102</v>
      </c>
      <c r="C340" s="466" t="s">
        <v>102</v>
      </c>
      <c r="D340" s="466" t="s">
        <v>102</v>
      </c>
      <c r="E340"/>
    </row>
    <row r="341" spans="1:5">
      <c r="A341" s="507" t="s">
        <v>102</v>
      </c>
      <c r="B341" s="508" t="s">
        <v>102</v>
      </c>
      <c r="C341" s="466" t="s">
        <v>102</v>
      </c>
      <c r="D341" s="466" t="s">
        <v>102</v>
      </c>
      <c r="E341"/>
    </row>
    <row r="342" spans="1:5">
      <c r="A342" s="507" t="s">
        <v>102</v>
      </c>
      <c r="B342" s="508" t="s">
        <v>102</v>
      </c>
      <c r="C342" s="466" t="s">
        <v>102</v>
      </c>
      <c r="D342" s="466" t="s">
        <v>102</v>
      </c>
      <c r="E342"/>
    </row>
    <row r="343" spans="1:5">
      <c r="A343" s="507" t="s">
        <v>102</v>
      </c>
      <c r="B343" s="508" t="s">
        <v>102</v>
      </c>
      <c r="C343" s="466" t="s">
        <v>102</v>
      </c>
      <c r="D343" s="466" t="s">
        <v>102</v>
      </c>
      <c r="E343"/>
    </row>
    <row r="344" spans="1:5">
      <c r="A344" s="507" t="s">
        <v>102</v>
      </c>
      <c r="B344" s="508" t="s">
        <v>102</v>
      </c>
      <c r="C344" s="466" t="s">
        <v>102</v>
      </c>
      <c r="D344" s="466" t="s">
        <v>102</v>
      </c>
      <c r="E344"/>
    </row>
    <row r="345" spans="1:5">
      <c r="A345" s="507" t="s">
        <v>102</v>
      </c>
      <c r="B345" s="508" t="s">
        <v>102</v>
      </c>
      <c r="C345" s="466" t="s">
        <v>102</v>
      </c>
      <c r="D345" s="466" t="s">
        <v>102</v>
      </c>
      <c r="E345"/>
    </row>
    <row r="346" spans="1:5">
      <c r="A346" s="507" t="s">
        <v>102</v>
      </c>
      <c r="B346" s="508" t="s">
        <v>102</v>
      </c>
      <c r="C346" s="466" t="s">
        <v>102</v>
      </c>
      <c r="D346" s="466" t="s">
        <v>102</v>
      </c>
      <c r="E346"/>
    </row>
    <row r="347" spans="1:5">
      <c r="A347" s="507" t="s">
        <v>102</v>
      </c>
      <c r="B347" s="508" t="s">
        <v>102</v>
      </c>
      <c r="C347" s="466" t="s">
        <v>102</v>
      </c>
      <c r="D347" s="466" t="s">
        <v>102</v>
      </c>
      <c r="E347"/>
    </row>
    <row r="348" spans="1:5">
      <c r="A348" s="507" t="s">
        <v>102</v>
      </c>
      <c r="B348" s="508" t="s">
        <v>102</v>
      </c>
      <c r="C348" s="466" t="s">
        <v>102</v>
      </c>
      <c r="D348" s="466" t="s">
        <v>102</v>
      </c>
      <c r="E348"/>
    </row>
    <row r="349" spans="1:5">
      <c r="A349" s="507" t="s">
        <v>102</v>
      </c>
      <c r="B349" s="508" t="s">
        <v>102</v>
      </c>
      <c r="C349" s="466" t="s">
        <v>102</v>
      </c>
      <c r="D349" s="466" t="s">
        <v>102</v>
      </c>
      <c r="E349"/>
    </row>
    <row r="350" spans="1:5">
      <c r="A350" s="507" t="s">
        <v>102</v>
      </c>
      <c r="B350" s="508" t="s">
        <v>102</v>
      </c>
      <c r="C350" s="466" t="s">
        <v>102</v>
      </c>
      <c r="D350" s="466" t="s">
        <v>102</v>
      </c>
      <c r="E350"/>
    </row>
    <row r="351" spans="1:5">
      <c r="A351" s="507" t="s">
        <v>102</v>
      </c>
      <c r="B351" s="508" t="s">
        <v>102</v>
      </c>
      <c r="C351" s="466" t="s">
        <v>102</v>
      </c>
      <c r="D351" s="466" t="s">
        <v>102</v>
      </c>
      <c r="E351"/>
    </row>
    <row r="352" spans="1:5">
      <c r="A352" s="507" t="s">
        <v>102</v>
      </c>
      <c r="B352" s="508" t="s">
        <v>102</v>
      </c>
      <c r="C352" s="466" t="s">
        <v>102</v>
      </c>
      <c r="D352" s="466" t="s">
        <v>102</v>
      </c>
      <c r="E352"/>
    </row>
    <row r="353" spans="1:5">
      <c r="A353" s="507" t="s">
        <v>102</v>
      </c>
      <c r="B353" s="508" t="s">
        <v>102</v>
      </c>
      <c r="C353" s="466" t="s">
        <v>102</v>
      </c>
      <c r="D353" s="466" t="s">
        <v>102</v>
      </c>
      <c r="E353"/>
    </row>
    <row r="354" spans="1:5">
      <c r="A354" s="507" t="s">
        <v>102</v>
      </c>
      <c r="B354" s="508" t="s">
        <v>102</v>
      </c>
      <c r="C354" s="466" t="s">
        <v>102</v>
      </c>
      <c r="D354" s="466" t="s">
        <v>102</v>
      </c>
      <c r="E354"/>
    </row>
    <row r="355" spans="1:5">
      <c r="A355" s="507" t="s">
        <v>102</v>
      </c>
      <c r="B355" s="508" t="s">
        <v>102</v>
      </c>
      <c r="C355" s="466" t="s">
        <v>102</v>
      </c>
      <c r="D355" s="466" t="s">
        <v>102</v>
      </c>
      <c r="E355"/>
    </row>
    <row r="356" spans="1:5">
      <c r="A356" s="507" t="s">
        <v>102</v>
      </c>
      <c r="B356" s="508" t="s">
        <v>102</v>
      </c>
      <c r="C356" s="466" t="s">
        <v>102</v>
      </c>
      <c r="D356" s="466" t="s">
        <v>102</v>
      </c>
      <c r="E356"/>
    </row>
    <row r="357" spans="1:5">
      <c r="A357" s="507" t="s">
        <v>102</v>
      </c>
      <c r="B357" s="508" t="s">
        <v>102</v>
      </c>
      <c r="C357" s="466" t="s">
        <v>102</v>
      </c>
      <c r="D357" s="466" t="s">
        <v>102</v>
      </c>
      <c r="E357"/>
    </row>
    <row r="358" spans="1:5">
      <c r="A358" s="507" t="s">
        <v>102</v>
      </c>
      <c r="B358" s="508" t="s">
        <v>102</v>
      </c>
      <c r="C358" s="466" t="s">
        <v>102</v>
      </c>
      <c r="D358" s="466" t="s">
        <v>102</v>
      </c>
      <c r="E358"/>
    </row>
    <row r="359" spans="1:5">
      <c r="A359" s="507" t="s">
        <v>102</v>
      </c>
      <c r="B359" s="508" t="s">
        <v>102</v>
      </c>
      <c r="C359" s="466" t="s">
        <v>102</v>
      </c>
      <c r="D359" s="466" t="s">
        <v>102</v>
      </c>
      <c r="E359"/>
    </row>
    <row r="360" spans="1:5">
      <c r="A360" s="507" t="s">
        <v>102</v>
      </c>
      <c r="B360" s="508" t="s">
        <v>102</v>
      </c>
      <c r="C360" s="466" t="s">
        <v>102</v>
      </c>
      <c r="D360" s="466" t="s">
        <v>102</v>
      </c>
      <c r="E360"/>
    </row>
    <row r="361" spans="1:5">
      <c r="A361" s="507" t="s">
        <v>102</v>
      </c>
      <c r="B361" s="508" t="s">
        <v>102</v>
      </c>
      <c r="C361" s="466" t="s">
        <v>102</v>
      </c>
      <c r="D361" s="466" t="s">
        <v>102</v>
      </c>
      <c r="E361"/>
    </row>
    <row r="362" spans="1:5">
      <c r="A362" s="507" t="s">
        <v>102</v>
      </c>
      <c r="B362" s="508" t="s">
        <v>102</v>
      </c>
      <c r="C362" s="466" t="s">
        <v>102</v>
      </c>
      <c r="D362" s="466" t="s">
        <v>102</v>
      </c>
      <c r="E362"/>
    </row>
    <row r="363" spans="1:5">
      <c r="A363" s="507" t="s">
        <v>102</v>
      </c>
      <c r="B363" s="508" t="s">
        <v>102</v>
      </c>
      <c r="C363" s="466" t="s">
        <v>102</v>
      </c>
      <c r="D363" s="466" t="s">
        <v>102</v>
      </c>
      <c r="E363"/>
    </row>
    <row r="364" spans="1:5">
      <c r="A364" s="507" t="s">
        <v>102</v>
      </c>
      <c r="B364" s="508" t="s">
        <v>102</v>
      </c>
      <c r="C364" s="466" t="s">
        <v>102</v>
      </c>
      <c r="D364" s="466" t="s">
        <v>102</v>
      </c>
      <c r="E364"/>
    </row>
    <row r="365" spans="1:5">
      <c r="A365" s="507" t="s">
        <v>102</v>
      </c>
      <c r="B365" s="508" t="s">
        <v>102</v>
      </c>
      <c r="C365" s="466" t="s">
        <v>102</v>
      </c>
      <c r="D365" s="466" t="s">
        <v>102</v>
      </c>
      <c r="E365"/>
    </row>
    <row r="366" spans="1:5">
      <c r="A366" s="507" t="s">
        <v>102</v>
      </c>
      <c r="B366" s="508" t="s">
        <v>102</v>
      </c>
      <c r="C366" s="466" t="s">
        <v>102</v>
      </c>
      <c r="D366" s="466" t="s">
        <v>102</v>
      </c>
      <c r="E366"/>
    </row>
    <row r="367" spans="1:5">
      <c r="A367" s="507" t="s">
        <v>102</v>
      </c>
      <c r="B367" s="508" t="s">
        <v>102</v>
      </c>
      <c r="C367" s="466" t="s">
        <v>102</v>
      </c>
      <c r="D367" s="466" t="s">
        <v>102</v>
      </c>
      <c r="E367"/>
    </row>
    <row r="368" spans="1:5">
      <c r="A368" s="507" t="s">
        <v>102</v>
      </c>
      <c r="B368" s="508" t="s">
        <v>102</v>
      </c>
      <c r="C368" s="466" t="s">
        <v>102</v>
      </c>
      <c r="D368" s="466" t="s">
        <v>102</v>
      </c>
      <c r="E368"/>
    </row>
    <row r="369" spans="1:5">
      <c r="A369" s="507" t="s">
        <v>102</v>
      </c>
      <c r="B369" s="508" t="s">
        <v>102</v>
      </c>
      <c r="C369" s="466" t="s">
        <v>102</v>
      </c>
      <c r="D369" s="466" t="s">
        <v>102</v>
      </c>
      <c r="E369"/>
    </row>
    <row r="370" spans="1:5">
      <c r="A370" s="507" t="s">
        <v>102</v>
      </c>
      <c r="B370" s="508" t="s">
        <v>102</v>
      </c>
      <c r="C370" s="466" t="s">
        <v>102</v>
      </c>
      <c r="D370" s="466" t="s">
        <v>102</v>
      </c>
      <c r="E370"/>
    </row>
    <row r="371" spans="1:5">
      <c r="A371" s="507" t="s">
        <v>102</v>
      </c>
      <c r="B371" s="508" t="s">
        <v>102</v>
      </c>
      <c r="C371" s="466" t="s">
        <v>102</v>
      </c>
      <c r="D371" s="466" t="s">
        <v>102</v>
      </c>
      <c r="E371"/>
    </row>
    <row r="372" spans="1:5">
      <c r="A372" s="507" t="s">
        <v>102</v>
      </c>
      <c r="B372" s="508" t="s">
        <v>102</v>
      </c>
      <c r="C372" s="466" t="s">
        <v>102</v>
      </c>
      <c r="D372" s="466" t="s">
        <v>102</v>
      </c>
      <c r="E372"/>
    </row>
    <row r="373" spans="1:5">
      <c r="A373" s="507" t="s">
        <v>102</v>
      </c>
      <c r="B373" s="508" t="s">
        <v>102</v>
      </c>
      <c r="C373" s="466" t="s">
        <v>102</v>
      </c>
      <c r="D373" s="466" t="s">
        <v>102</v>
      </c>
      <c r="E373"/>
    </row>
    <row r="374" spans="1:5">
      <c r="A374" s="507" t="s">
        <v>102</v>
      </c>
      <c r="B374" s="508" t="s">
        <v>102</v>
      </c>
      <c r="C374" s="466" t="s">
        <v>102</v>
      </c>
      <c r="D374" s="466" t="s">
        <v>102</v>
      </c>
      <c r="E374"/>
    </row>
    <row r="375" spans="1:5">
      <c r="A375" s="507" t="s">
        <v>102</v>
      </c>
      <c r="B375" s="508" t="s">
        <v>102</v>
      </c>
      <c r="C375" s="466" t="s">
        <v>102</v>
      </c>
      <c r="D375" s="466" t="s">
        <v>102</v>
      </c>
      <c r="E375"/>
    </row>
    <row r="376" spans="1:5">
      <c r="A376" s="507" t="s">
        <v>102</v>
      </c>
      <c r="B376" s="508" t="s">
        <v>102</v>
      </c>
      <c r="C376" s="466" t="s">
        <v>102</v>
      </c>
      <c r="D376" s="466" t="s">
        <v>102</v>
      </c>
      <c r="E376"/>
    </row>
    <row r="377" spans="1:5">
      <c r="A377" s="507" t="s">
        <v>102</v>
      </c>
      <c r="B377" s="508" t="s">
        <v>102</v>
      </c>
      <c r="C377" s="466" t="s">
        <v>102</v>
      </c>
      <c r="D377" s="466" t="s">
        <v>102</v>
      </c>
      <c r="E377"/>
    </row>
    <row r="378" spans="1:5">
      <c r="A378" s="507" t="s">
        <v>102</v>
      </c>
      <c r="B378" s="508" t="s">
        <v>102</v>
      </c>
      <c r="C378" s="466" t="s">
        <v>102</v>
      </c>
      <c r="D378" s="466" t="s">
        <v>102</v>
      </c>
      <c r="E378"/>
    </row>
    <row r="379" spans="1:5">
      <c r="A379" s="507" t="s">
        <v>102</v>
      </c>
      <c r="B379" s="508" t="s">
        <v>102</v>
      </c>
      <c r="C379" s="466" t="s">
        <v>102</v>
      </c>
      <c r="D379" s="466" t="s">
        <v>102</v>
      </c>
      <c r="E379"/>
    </row>
    <row r="380" spans="1:5">
      <c r="A380" s="507" t="s">
        <v>102</v>
      </c>
      <c r="B380" s="508" t="s">
        <v>102</v>
      </c>
      <c r="C380" s="466" t="s">
        <v>102</v>
      </c>
      <c r="D380" s="466" t="s">
        <v>102</v>
      </c>
      <c r="E380"/>
    </row>
    <row r="381" spans="1:5">
      <c r="A381" s="507" t="s">
        <v>102</v>
      </c>
      <c r="B381" s="508" t="s">
        <v>102</v>
      </c>
      <c r="C381" s="466" t="s">
        <v>102</v>
      </c>
      <c r="D381" s="466" t="s">
        <v>102</v>
      </c>
      <c r="E381"/>
    </row>
    <row r="382" spans="1:5">
      <c r="A382" s="507" t="s">
        <v>102</v>
      </c>
      <c r="B382" s="508" t="s">
        <v>102</v>
      </c>
      <c r="C382" s="466" t="s">
        <v>102</v>
      </c>
      <c r="D382" s="466" t="s">
        <v>102</v>
      </c>
      <c r="E382"/>
    </row>
    <row r="383" spans="1:5">
      <c r="A383" s="507" t="s">
        <v>102</v>
      </c>
      <c r="B383" s="508" t="s">
        <v>102</v>
      </c>
      <c r="C383" s="466" t="s">
        <v>102</v>
      </c>
      <c r="D383" s="466" t="s">
        <v>102</v>
      </c>
      <c r="E383"/>
    </row>
    <row r="384" spans="1:5">
      <c r="A384" s="507" t="s">
        <v>102</v>
      </c>
      <c r="B384" s="508" t="s">
        <v>102</v>
      </c>
      <c r="C384" s="466" t="s">
        <v>102</v>
      </c>
      <c r="D384" s="466" t="s">
        <v>102</v>
      </c>
      <c r="E384"/>
    </row>
    <row r="385" spans="1:5">
      <c r="A385" s="507" t="s">
        <v>102</v>
      </c>
      <c r="B385" s="508" t="s">
        <v>102</v>
      </c>
      <c r="C385" s="466" t="s">
        <v>102</v>
      </c>
      <c r="D385" s="466" t="s">
        <v>102</v>
      </c>
      <c r="E385"/>
    </row>
    <row r="386" spans="1:5">
      <c r="A386" s="507" t="s">
        <v>102</v>
      </c>
      <c r="B386" s="508" t="s">
        <v>102</v>
      </c>
      <c r="C386" s="466" t="s">
        <v>102</v>
      </c>
      <c r="D386" s="466" t="s">
        <v>102</v>
      </c>
      <c r="E386"/>
    </row>
    <row r="387" spans="1:5">
      <c r="A387" s="507" t="s">
        <v>102</v>
      </c>
      <c r="B387" s="508" t="s">
        <v>102</v>
      </c>
      <c r="C387" s="466" t="s">
        <v>102</v>
      </c>
      <c r="D387" s="466" t="s">
        <v>102</v>
      </c>
      <c r="E387"/>
    </row>
    <row r="388" spans="1:5">
      <c r="A388" s="507" t="s">
        <v>102</v>
      </c>
      <c r="B388" s="508" t="s">
        <v>102</v>
      </c>
      <c r="C388" s="466" t="s">
        <v>102</v>
      </c>
      <c r="D388" s="466" t="s">
        <v>102</v>
      </c>
      <c r="E388"/>
    </row>
    <row r="389" spans="1:5">
      <c r="A389" s="507" t="s">
        <v>102</v>
      </c>
      <c r="B389" s="508" t="s">
        <v>102</v>
      </c>
      <c r="C389" s="466" t="s">
        <v>102</v>
      </c>
      <c r="D389" s="466" t="s">
        <v>102</v>
      </c>
      <c r="E389"/>
    </row>
    <row r="390" spans="1:5">
      <c r="A390" s="507" t="s">
        <v>102</v>
      </c>
      <c r="B390" s="508" t="s">
        <v>102</v>
      </c>
      <c r="C390" s="466" t="s">
        <v>102</v>
      </c>
      <c r="D390" s="466" t="s">
        <v>102</v>
      </c>
      <c r="E390"/>
    </row>
    <row r="391" spans="1:5">
      <c r="A391" s="507" t="s">
        <v>102</v>
      </c>
      <c r="B391" s="508" t="s">
        <v>102</v>
      </c>
      <c r="C391" s="466" t="s">
        <v>102</v>
      </c>
      <c r="D391" s="466" t="s">
        <v>102</v>
      </c>
      <c r="E391"/>
    </row>
    <row r="392" spans="1:5">
      <c r="A392" s="507" t="s">
        <v>102</v>
      </c>
      <c r="B392" s="508" t="s">
        <v>102</v>
      </c>
      <c r="C392" s="466" t="s">
        <v>102</v>
      </c>
      <c r="D392" s="466" t="s">
        <v>102</v>
      </c>
      <c r="E392"/>
    </row>
    <row r="393" spans="1:5">
      <c r="A393" s="507" t="s">
        <v>102</v>
      </c>
      <c r="B393" s="508" t="s">
        <v>102</v>
      </c>
      <c r="C393" s="466" t="s">
        <v>102</v>
      </c>
      <c r="D393" s="466" t="s">
        <v>102</v>
      </c>
      <c r="E393"/>
    </row>
    <row r="394" spans="1:5">
      <c r="A394" s="507" t="s">
        <v>102</v>
      </c>
      <c r="B394" s="508" t="s">
        <v>102</v>
      </c>
      <c r="C394" s="466" t="s">
        <v>102</v>
      </c>
      <c r="D394" s="466" t="s">
        <v>102</v>
      </c>
      <c r="E394"/>
    </row>
    <row r="395" spans="1:5">
      <c r="A395" s="507" t="s">
        <v>102</v>
      </c>
      <c r="B395" s="508" t="s">
        <v>102</v>
      </c>
      <c r="C395" s="466" t="s">
        <v>102</v>
      </c>
      <c r="D395" s="466" t="s">
        <v>102</v>
      </c>
      <c r="E395"/>
    </row>
    <row r="396" spans="1:5">
      <c r="A396" s="507" t="s">
        <v>102</v>
      </c>
      <c r="B396" s="508" t="s">
        <v>102</v>
      </c>
      <c r="C396" s="466" t="s">
        <v>102</v>
      </c>
      <c r="D396" s="466" t="s">
        <v>102</v>
      </c>
      <c r="E396"/>
    </row>
    <row r="397" spans="1:5">
      <c r="A397" s="507" t="s">
        <v>102</v>
      </c>
      <c r="B397" s="508" t="s">
        <v>102</v>
      </c>
      <c r="C397" s="466" t="s">
        <v>102</v>
      </c>
      <c r="D397" s="466" t="s">
        <v>102</v>
      </c>
      <c r="E397"/>
    </row>
    <row r="398" spans="1:5">
      <c r="A398" s="507" t="s">
        <v>102</v>
      </c>
      <c r="B398" s="508" t="s">
        <v>102</v>
      </c>
      <c r="C398" s="466" t="s">
        <v>102</v>
      </c>
      <c r="D398" s="466" t="s">
        <v>102</v>
      </c>
      <c r="E398"/>
    </row>
    <row r="399" spans="1:5">
      <c r="A399" s="507" t="s">
        <v>102</v>
      </c>
      <c r="B399" s="508" t="s">
        <v>102</v>
      </c>
      <c r="C399" s="466" t="s">
        <v>102</v>
      </c>
      <c r="D399" s="466" t="s">
        <v>102</v>
      </c>
      <c r="E399"/>
    </row>
    <row r="400" spans="1:5">
      <c r="A400" s="507" t="s">
        <v>102</v>
      </c>
      <c r="B400" s="508" t="s">
        <v>102</v>
      </c>
      <c r="C400" s="466" t="s">
        <v>102</v>
      </c>
      <c r="D400" s="466" t="s">
        <v>102</v>
      </c>
      <c r="E400"/>
    </row>
    <row r="401" spans="1:5">
      <c r="A401" s="507" t="s">
        <v>102</v>
      </c>
      <c r="B401" s="508" t="s">
        <v>102</v>
      </c>
      <c r="C401" s="466" t="s">
        <v>102</v>
      </c>
      <c r="D401" s="466" t="s">
        <v>102</v>
      </c>
      <c r="E401"/>
    </row>
    <row r="402" spans="1:5">
      <c r="A402" s="507" t="s">
        <v>102</v>
      </c>
      <c r="B402" s="508" t="s">
        <v>102</v>
      </c>
      <c r="C402" s="466" t="s">
        <v>102</v>
      </c>
      <c r="D402" s="466" t="s">
        <v>102</v>
      </c>
      <c r="E402"/>
    </row>
    <row r="403" spans="1:5">
      <c r="A403" s="507" t="s">
        <v>102</v>
      </c>
      <c r="B403" s="508" t="s">
        <v>102</v>
      </c>
      <c r="C403" s="466" t="s">
        <v>102</v>
      </c>
      <c r="D403" s="466" t="s">
        <v>102</v>
      </c>
      <c r="E403"/>
    </row>
    <row r="404" spans="1:5">
      <c r="A404" s="507" t="s">
        <v>102</v>
      </c>
      <c r="B404" s="508" t="s">
        <v>102</v>
      </c>
      <c r="C404" s="466" t="s">
        <v>102</v>
      </c>
      <c r="D404" s="466" t="s">
        <v>102</v>
      </c>
      <c r="E404"/>
    </row>
    <row r="405" spans="1:5">
      <c r="A405" s="507" t="s">
        <v>102</v>
      </c>
      <c r="B405" s="508" t="s">
        <v>102</v>
      </c>
      <c r="C405" s="466" t="s">
        <v>102</v>
      </c>
      <c r="D405" s="466" t="s">
        <v>102</v>
      </c>
      <c r="E405"/>
    </row>
    <row r="406" spans="1:5">
      <c r="A406" s="507" t="s">
        <v>102</v>
      </c>
      <c r="B406" s="508" t="s">
        <v>102</v>
      </c>
      <c r="C406" s="466" t="s">
        <v>102</v>
      </c>
      <c r="D406" s="466" t="s">
        <v>102</v>
      </c>
      <c r="E406"/>
    </row>
    <row r="407" spans="1:5">
      <c r="A407" s="507" t="s">
        <v>102</v>
      </c>
      <c r="B407" s="508" t="s">
        <v>102</v>
      </c>
      <c r="C407" s="466" t="s">
        <v>102</v>
      </c>
      <c r="D407" s="466" t="s">
        <v>102</v>
      </c>
      <c r="E407"/>
    </row>
    <row r="408" spans="1:5">
      <c r="A408" s="507" t="s">
        <v>102</v>
      </c>
      <c r="B408" s="508" t="s">
        <v>102</v>
      </c>
      <c r="C408" s="466" t="s">
        <v>102</v>
      </c>
      <c r="D408" s="466" t="s">
        <v>102</v>
      </c>
      <c r="E408"/>
    </row>
    <row r="409" spans="1:5">
      <c r="A409" s="507" t="s">
        <v>102</v>
      </c>
      <c r="B409" s="508" t="s">
        <v>102</v>
      </c>
      <c r="C409" s="466" t="s">
        <v>102</v>
      </c>
      <c r="D409" s="466" t="s">
        <v>102</v>
      </c>
      <c r="E409"/>
    </row>
    <row r="410" spans="1:5">
      <c r="A410" s="507" t="s">
        <v>102</v>
      </c>
      <c r="B410" s="508" t="s">
        <v>102</v>
      </c>
      <c r="C410" s="466" t="s">
        <v>102</v>
      </c>
      <c r="D410" s="466" t="s">
        <v>102</v>
      </c>
      <c r="E410"/>
    </row>
    <row r="411" spans="1:5">
      <c r="A411" s="507" t="s">
        <v>102</v>
      </c>
      <c r="B411" s="508" t="s">
        <v>102</v>
      </c>
      <c r="C411" s="466" t="s">
        <v>102</v>
      </c>
      <c r="D411" s="466" t="s">
        <v>102</v>
      </c>
      <c r="E411"/>
    </row>
    <row r="412" spans="1:5">
      <c r="A412" s="507" t="s">
        <v>102</v>
      </c>
      <c r="B412" s="508" t="s">
        <v>102</v>
      </c>
      <c r="C412" s="466" t="s">
        <v>102</v>
      </c>
      <c r="D412" s="466" t="s">
        <v>102</v>
      </c>
      <c r="E412"/>
    </row>
    <row r="413" spans="1:5">
      <c r="A413" s="507" t="s">
        <v>102</v>
      </c>
      <c r="B413" s="508" t="s">
        <v>102</v>
      </c>
      <c r="C413" s="466" t="s">
        <v>102</v>
      </c>
      <c r="D413" s="466" t="s">
        <v>102</v>
      </c>
      <c r="E413"/>
    </row>
    <row r="414" spans="1:5">
      <c r="A414" s="507" t="s">
        <v>102</v>
      </c>
      <c r="B414" s="508" t="s">
        <v>102</v>
      </c>
      <c r="C414" s="466" t="s">
        <v>102</v>
      </c>
      <c r="D414" s="466" t="s">
        <v>102</v>
      </c>
      <c r="E414"/>
    </row>
    <row r="415" spans="1:5">
      <c r="A415" s="507" t="s">
        <v>102</v>
      </c>
      <c r="B415" s="508" t="s">
        <v>102</v>
      </c>
      <c r="C415" s="466" t="s">
        <v>102</v>
      </c>
      <c r="D415" s="466" t="s">
        <v>102</v>
      </c>
      <c r="E415"/>
    </row>
    <row r="416" spans="1:5">
      <c r="A416" s="507" t="s">
        <v>102</v>
      </c>
      <c r="B416" s="508" t="s">
        <v>102</v>
      </c>
      <c r="C416" s="466" t="s">
        <v>102</v>
      </c>
      <c r="D416" s="466" t="s">
        <v>102</v>
      </c>
      <c r="E416"/>
    </row>
    <row r="417" spans="1:5">
      <c r="A417" s="507" t="s">
        <v>102</v>
      </c>
      <c r="B417" s="508" t="s">
        <v>102</v>
      </c>
      <c r="C417" s="466" t="s">
        <v>102</v>
      </c>
      <c r="D417" s="466" t="s">
        <v>102</v>
      </c>
      <c r="E417"/>
    </row>
    <row r="418" spans="1:5">
      <c r="A418" s="507" t="s">
        <v>102</v>
      </c>
      <c r="B418" s="508" t="s">
        <v>102</v>
      </c>
      <c r="C418" s="466" t="s">
        <v>102</v>
      </c>
      <c r="D418" s="466" t="s">
        <v>102</v>
      </c>
      <c r="E418"/>
    </row>
    <row r="419" spans="1:5">
      <c r="A419" s="507" t="s">
        <v>102</v>
      </c>
      <c r="B419" s="508" t="s">
        <v>102</v>
      </c>
      <c r="C419" s="466" t="s">
        <v>102</v>
      </c>
      <c r="D419" s="466" t="s">
        <v>102</v>
      </c>
      <c r="E419"/>
    </row>
    <row r="420" spans="1:5">
      <c r="A420" s="507" t="s">
        <v>102</v>
      </c>
      <c r="B420" s="508" t="s">
        <v>102</v>
      </c>
      <c r="C420" s="466" t="s">
        <v>102</v>
      </c>
      <c r="D420" s="466" t="s">
        <v>102</v>
      </c>
      <c r="E420"/>
    </row>
    <row r="421" spans="1:5">
      <c r="A421" s="507" t="s">
        <v>102</v>
      </c>
      <c r="B421" s="508" t="s">
        <v>102</v>
      </c>
      <c r="C421" s="466" t="s">
        <v>102</v>
      </c>
      <c r="D421" s="466" t="s">
        <v>102</v>
      </c>
      <c r="E421"/>
    </row>
    <row r="422" spans="1:5">
      <c r="A422" s="507" t="s">
        <v>102</v>
      </c>
      <c r="B422" s="508" t="s">
        <v>102</v>
      </c>
      <c r="C422" s="466" t="s">
        <v>102</v>
      </c>
      <c r="D422" s="466" t="s">
        <v>102</v>
      </c>
      <c r="E422"/>
    </row>
    <row r="423" spans="1:5">
      <c r="A423" s="507" t="s">
        <v>102</v>
      </c>
      <c r="B423" s="508" t="s">
        <v>102</v>
      </c>
      <c r="C423" s="466" t="s">
        <v>102</v>
      </c>
      <c r="D423" s="466" t="s">
        <v>102</v>
      </c>
      <c r="E423"/>
    </row>
    <row r="424" spans="1:5">
      <c r="A424" s="507" t="s">
        <v>102</v>
      </c>
      <c r="B424" s="508" t="s">
        <v>102</v>
      </c>
      <c r="C424" s="466" t="s">
        <v>102</v>
      </c>
      <c r="D424" s="466" t="s">
        <v>102</v>
      </c>
      <c r="E424"/>
    </row>
    <row r="425" spans="1:5">
      <c r="A425" s="507" t="s">
        <v>102</v>
      </c>
      <c r="B425" s="508" t="s">
        <v>102</v>
      </c>
      <c r="C425" s="466" t="s">
        <v>102</v>
      </c>
      <c r="D425" s="466" t="s">
        <v>102</v>
      </c>
      <c r="E425"/>
    </row>
    <row r="426" spans="1:5">
      <c r="A426" s="507" t="s">
        <v>102</v>
      </c>
      <c r="B426" s="508" t="s">
        <v>102</v>
      </c>
      <c r="C426" s="466" t="s">
        <v>102</v>
      </c>
      <c r="D426" s="466" t="s">
        <v>102</v>
      </c>
      <c r="E426"/>
    </row>
    <row r="427" spans="1:5">
      <c r="A427" s="507" t="s">
        <v>102</v>
      </c>
      <c r="B427" s="508" t="s">
        <v>102</v>
      </c>
      <c r="C427" s="466" t="s">
        <v>102</v>
      </c>
      <c r="D427" s="466" t="s">
        <v>102</v>
      </c>
      <c r="E427"/>
    </row>
    <row r="428" spans="1:5">
      <c r="A428" s="507" t="s">
        <v>102</v>
      </c>
      <c r="B428" s="508" t="s">
        <v>102</v>
      </c>
      <c r="C428" s="466" t="s">
        <v>102</v>
      </c>
      <c r="D428" s="466" t="s">
        <v>102</v>
      </c>
      <c r="E428"/>
    </row>
    <row r="429" spans="1:5">
      <c r="A429" s="507" t="s">
        <v>102</v>
      </c>
      <c r="B429" s="508" t="s">
        <v>102</v>
      </c>
      <c r="C429" s="466" t="s">
        <v>102</v>
      </c>
      <c r="D429" s="466" t="s">
        <v>102</v>
      </c>
      <c r="E429"/>
    </row>
    <row r="430" spans="1:5">
      <c r="A430" s="507" t="s">
        <v>102</v>
      </c>
      <c r="B430" s="508" t="s">
        <v>102</v>
      </c>
      <c r="C430" s="466" t="s">
        <v>102</v>
      </c>
      <c r="D430" s="466" t="s">
        <v>102</v>
      </c>
      <c r="E430"/>
    </row>
    <row r="431" spans="1:5">
      <c r="A431" s="507" t="s">
        <v>102</v>
      </c>
      <c r="B431" s="508" t="s">
        <v>102</v>
      </c>
      <c r="C431" s="466" t="s">
        <v>102</v>
      </c>
      <c r="D431" s="466" t="s">
        <v>102</v>
      </c>
      <c r="E431"/>
    </row>
    <row r="432" spans="1:5">
      <c r="A432" s="507" t="s">
        <v>102</v>
      </c>
      <c r="B432" s="508" t="s">
        <v>102</v>
      </c>
      <c r="C432" s="466" t="s">
        <v>102</v>
      </c>
      <c r="D432" s="466" t="s">
        <v>102</v>
      </c>
      <c r="E432"/>
    </row>
    <row r="433" spans="1:5">
      <c r="A433" s="507" t="s">
        <v>102</v>
      </c>
      <c r="B433" s="508" t="s">
        <v>102</v>
      </c>
      <c r="C433" s="466" t="s">
        <v>102</v>
      </c>
      <c r="D433" s="466" t="s">
        <v>102</v>
      </c>
      <c r="E433"/>
    </row>
    <row r="434" spans="1:5">
      <c r="A434" s="507" t="s">
        <v>102</v>
      </c>
      <c r="B434" s="508" t="s">
        <v>102</v>
      </c>
      <c r="C434" s="466" t="s">
        <v>102</v>
      </c>
      <c r="D434" s="466" t="s">
        <v>102</v>
      </c>
      <c r="E434"/>
    </row>
    <row r="435" spans="1:5">
      <c r="A435" s="507" t="s">
        <v>102</v>
      </c>
      <c r="B435" s="508" t="s">
        <v>102</v>
      </c>
      <c r="C435" s="466" t="s">
        <v>102</v>
      </c>
      <c r="D435" s="466" t="s">
        <v>102</v>
      </c>
      <c r="E435"/>
    </row>
    <row r="436" spans="1:5">
      <c r="A436" s="507" t="s">
        <v>102</v>
      </c>
      <c r="B436" s="508" t="s">
        <v>102</v>
      </c>
      <c r="C436" s="466" t="s">
        <v>102</v>
      </c>
      <c r="D436" s="466" t="s">
        <v>102</v>
      </c>
      <c r="E436"/>
    </row>
    <row r="437" spans="1:5">
      <c r="A437" s="507" t="s">
        <v>102</v>
      </c>
      <c r="B437" s="508" t="s">
        <v>102</v>
      </c>
      <c r="C437" s="466" t="s">
        <v>102</v>
      </c>
      <c r="D437" s="466" t="s">
        <v>102</v>
      </c>
      <c r="E437"/>
    </row>
    <row r="438" spans="1:5">
      <c r="A438" s="507" t="s">
        <v>102</v>
      </c>
      <c r="B438" s="508" t="s">
        <v>102</v>
      </c>
      <c r="C438" s="466" t="s">
        <v>102</v>
      </c>
      <c r="D438" s="466" t="s">
        <v>102</v>
      </c>
      <c r="E438"/>
    </row>
    <row r="439" spans="1:5">
      <c r="A439" s="507" t="s">
        <v>102</v>
      </c>
      <c r="B439" s="508" t="s">
        <v>102</v>
      </c>
      <c r="C439" s="466" t="s">
        <v>102</v>
      </c>
      <c r="D439" s="466" t="s">
        <v>102</v>
      </c>
      <c r="E439"/>
    </row>
    <row r="440" spans="1:5">
      <c r="A440" s="507" t="s">
        <v>102</v>
      </c>
      <c r="B440" s="508" t="s">
        <v>102</v>
      </c>
      <c r="C440" s="466" t="s">
        <v>102</v>
      </c>
      <c r="D440" s="466" t="s">
        <v>102</v>
      </c>
      <c r="E440"/>
    </row>
    <row r="441" spans="1:5">
      <c r="A441" s="507" t="s">
        <v>102</v>
      </c>
      <c r="B441" s="508" t="s">
        <v>102</v>
      </c>
      <c r="C441" s="466" t="s">
        <v>102</v>
      </c>
      <c r="D441" s="466" t="s">
        <v>102</v>
      </c>
      <c r="E441"/>
    </row>
    <row r="442" spans="1:5">
      <c r="A442" s="507" t="s">
        <v>102</v>
      </c>
      <c r="B442" s="508" t="s">
        <v>102</v>
      </c>
      <c r="C442" s="466" t="s">
        <v>102</v>
      </c>
      <c r="D442" s="466" t="s">
        <v>102</v>
      </c>
      <c r="E442"/>
    </row>
    <row r="443" spans="1:5">
      <c r="A443" s="507" t="s">
        <v>102</v>
      </c>
      <c r="B443" s="508" t="s">
        <v>102</v>
      </c>
      <c r="C443" s="466" t="s">
        <v>102</v>
      </c>
      <c r="D443" s="466" t="s">
        <v>102</v>
      </c>
      <c r="E443"/>
    </row>
    <row r="444" spans="1:5">
      <c r="A444" s="507" t="s">
        <v>102</v>
      </c>
      <c r="B444" s="508" t="s">
        <v>102</v>
      </c>
      <c r="C444" s="466" t="s">
        <v>102</v>
      </c>
      <c r="D444" s="466" t="s">
        <v>102</v>
      </c>
      <c r="E444"/>
    </row>
    <row r="445" spans="1:5">
      <c r="A445" s="507" t="s">
        <v>102</v>
      </c>
      <c r="B445" s="508" t="s">
        <v>102</v>
      </c>
      <c r="C445" s="466" t="s">
        <v>102</v>
      </c>
      <c r="D445" s="466" t="s">
        <v>102</v>
      </c>
      <c r="E445"/>
    </row>
    <row r="446" spans="1:5">
      <c r="A446" s="507" t="s">
        <v>102</v>
      </c>
      <c r="B446" s="508" t="s">
        <v>102</v>
      </c>
      <c r="C446" s="466" t="s">
        <v>102</v>
      </c>
      <c r="D446" s="466" t="s">
        <v>102</v>
      </c>
      <c r="E446"/>
    </row>
    <row r="447" spans="1:5">
      <c r="A447" s="507" t="s">
        <v>102</v>
      </c>
      <c r="B447" s="508" t="s">
        <v>102</v>
      </c>
      <c r="C447" s="466" t="s">
        <v>102</v>
      </c>
      <c r="D447" s="466" t="s">
        <v>102</v>
      </c>
      <c r="E447"/>
    </row>
    <row r="448" spans="1:5">
      <c r="A448" s="507" t="s">
        <v>102</v>
      </c>
      <c r="B448" s="508" t="s">
        <v>102</v>
      </c>
      <c r="C448" s="466" t="s">
        <v>102</v>
      </c>
      <c r="D448" s="466" t="s">
        <v>102</v>
      </c>
      <c r="E448"/>
    </row>
    <row r="449" spans="1:5">
      <c r="A449" s="507" t="s">
        <v>102</v>
      </c>
      <c r="B449" s="508" t="s">
        <v>102</v>
      </c>
      <c r="C449" s="466" t="s">
        <v>102</v>
      </c>
      <c r="D449" s="466" t="s">
        <v>102</v>
      </c>
      <c r="E449"/>
    </row>
    <row r="450" spans="1:5">
      <c r="A450" s="507" t="s">
        <v>102</v>
      </c>
      <c r="B450" s="508" t="s">
        <v>102</v>
      </c>
      <c r="C450" s="466" t="s">
        <v>102</v>
      </c>
      <c r="D450" s="466" t="s">
        <v>102</v>
      </c>
      <c r="E450"/>
    </row>
    <row r="451" spans="1:5">
      <c r="A451" s="507" t="s">
        <v>102</v>
      </c>
      <c r="B451" s="508" t="s">
        <v>102</v>
      </c>
      <c r="C451" s="466" t="s">
        <v>102</v>
      </c>
      <c r="D451" s="466" t="s">
        <v>102</v>
      </c>
      <c r="E451"/>
    </row>
    <row r="452" spans="1:5">
      <c r="A452" s="507" t="s">
        <v>102</v>
      </c>
      <c r="B452" s="508" t="s">
        <v>102</v>
      </c>
      <c r="C452" s="466" t="s">
        <v>102</v>
      </c>
      <c r="D452" s="466" t="s">
        <v>102</v>
      </c>
      <c r="E452"/>
    </row>
    <row r="453" spans="1:5">
      <c r="A453" s="507" t="s">
        <v>102</v>
      </c>
      <c r="B453" s="508" t="s">
        <v>102</v>
      </c>
      <c r="C453" s="466" t="s">
        <v>102</v>
      </c>
      <c r="D453" s="466" t="s">
        <v>102</v>
      </c>
      <c r="E453"/>
    </row>
    <row r="454" spans="1:5">
      <c r="A454" s="507" t="s">
        <v>102</v>
      </c>
      <c r="B454" s="508" t="s">
        <v>102</v>
      </c>
      <c r="C454" s="466" t="s">
        <v>102</v>
      </c>
      <c r="D454" s="466" t="s">
        <v>102</v>
      </c>
      <c r="E454"/>
    </row>
    <row r="455" spans="1:5">
      <c r="A455" s="507" t="s">
        <v>102</v>
      </c>
      <c r="B455" s="508" t="s">
        <v>102</v>
      </c>
      <c r="C455" s="466" t="s">
        <v>102</v>
      </c>
      <c r="D455" s="466" t="s">
        <v>102</v>
      </c>
      <c r="E455"/>
    </row>
    <row r="456" spans="1:5">
      <c r="A456" s="507" t="s">
        <v>102</v>
      </c>
      <c r="B456" s="508" t="s">
        <v>102</v>
      </c>
      <c r="C456" s="466" t="s">
        <v>102</v>
      </c>
      <c r="D456" s="466" t="s">
        <v>102</v>
      </c>
      <c r="E456"/>
    </row>
    <row r="457" spans="1:5">
      <c r="A457" s="507" t="s">
        <v>102</v>
      </c>
      <c r="B457" s="508" t="s">
        <v>102</v>
      </c>
      <c r="C457" s="466" t="s">
        <v>102</v>
      </c>
      <c r="D457" s="466" t="s">
        <v>102</v>
      </c>
      <c r="E457"/>
    </row>
    <row r="458" spans="1:5">
      <c r="A458" s="507" t="s">
        <v>102</v>
      </c>
      <c r="B458" s="508" t="s">
        <v>102</v>
      </c>
      <c r="C458" s="466" t="s">
        <v>102</v>
      </c>
      <c r="D458" s="466" t="s">
        <v>102</v>
      </c>
      <c r="E458"/>
    </row>
    <row r="459" spans="1:5">
      <c r="A459" s="507" t="s">
        <v>102</v>
      </c>
      <c r="B459" s="508" t="s">
        <v>102</v>
      </c>
      <c r="C459" s="466" t="s">
        <v>102</v>
      </c>
      <c r="D459" s="466" t="s">
        <v>102</v>
      </c>
      <c r="E459"/>
    </row>
    <row r="460" spans="1:5">
      <c r="A460" s="507" t="s">
        <v>102</v>
      </c>
      <c r="B460" s="508" t="s">
        <v>102</v>
      </c>
      <c r="C460" s="466" t="s">
        <v>102</v>
      </c>
      <c r="D460" s="466" t="s">
        <v>102</v>
      </c>
      <c r="E460"/>
    </row>
    <row r="461" spans="1:5">
      <c r="A461" s="507" t="s">
        <v>102</v>
      </c>
      <c r="B461" s="508" t="s">
        <v>102</v>
      </c>
      <c r="C461" s="466" t="s">
        <v>102</v>
      </c>
      <c r="D461" s="466" t="s">
        <v>102</v>
      </c>
      <c r="E461"/>
    </row>
    <row r="462" spans="1:5">
      <c r="A462" s="507" t="s">
        <v>102</v>
      </c>
      <c r="B462" s="508" t="s">
        <v>102</v>
      </c>
      <c r="C462" s="466" t="s">
        <v>102</v>
      </c>
      <c r="D462" s="466" t="s">
        <v>102</v>
      </c>
      <c r="E462"/>
    </row>
    <row r="463" spans="1:5">
      <c r="A463" s="507" t="s">
        <v>102</v>
      </c>
      <c r="B463" s="508" t="s">
        <v>102</v>
      </c>
      <c r="C463" s="466" t="s">
        <v>102</v>
      </c>
      <c r="D463" s="466" t="s">
        <v>102</v>
      </c>
      <c r="E463"/>
    </row>
    <row r="464" spans="1:5">
      <c r="A464" s="507" t="s">
        <v>102</v>
      </c>
      <c r="B464" s="508" t="s">
        <v>102</v>
      </c>
      <c r="C464" s="466" t="s">
        <v>102</v>
      </c>
      <c r="D464" s="466" t="s">
        <v>102</v>
      </c>
      <c r="E464"/>
    </row>
    <row r="465" spans="1:5">
      <c r="A465" s="507" t="s">
        <v>102</v>
      </c>
      <c r="B465" s="508" t="s">
        <v>102</v>
      </c>
      <c r="C465" s="466" t="s">
        <v>102</v>
      </c>
      <c r="D465" s="466" t="s">
        <v>102</v>
      </c>
      <c r="E465"/>
    </row>
    <row r="466" spans="1:5">
      <c r="A466" s="507" t="s">
        <v>102</v>
      </c>
      <c r="B466" s="508" t="s">
        <v>102</v>
      </c>
      <c r="C466" s="466" t="s">
        <v>102</v>
      </c>
      <c r="D466" s="466" t="s">
        <v>102</v>
      </c>
      <c r="E466"/>
    </row>
    <row r="467" spans="1:5">
      <c r="A467" s="507" t="s">
        <v>102</v>
      </c>
      <c r="B467" s="508" t="s">
        <v>102</v>
      </c>
      <c r="C467" s="466" t="s">
        <v>102</v>
      </c>
      <c r="D467" s="466" t="s">
        <v>102</v>
      </c>
      <c r="E467"/>
    </row>
    <row r="468" spans="1:5">
      <c r="A468" s="507" t="s">
        <v>102</v>
      </c>
      <c r="B468" s="508" t="s">
        <v>102</v>
      </c>
      <c r="C468" s="466" t="s">
        <v>102</v>
      </c>
      <c r="D468" s="466" t="s">
        <v>102</v>
      </c>
      <c r="E468"/>
    </row>
    <row r="469" spans="1:5">
      <c r="A469" s="507" t="s">
        <v>102</v>
      </c>
      <c r="B469" s="508" t="s">
        <v>102</v>
      </c>
      <c r="C469" s="466" t="s">
        <v>102</v>
      </c>
      <c r="D469" s="466" t="s">
        <v>102</v>
      </c>
      <c r="E469"/>
    </row>
    <row r="470" spans="1:5">
      <c r="A470" s="507" t="s">
        <v>102</v>
      </c>
      <c r="B470" s="508" t="s">
        <v>102</v>
      </c>
      <c r="C470" s="466" t="s">
        <v>102</v>
      </c>
      <c r="D470" s="466" t="s">
        <v>102</v>
      </c>
      <c r="E470"/>
    </row>
    <row r="471" spans="1:5">
      <c r="A471" s="507" t="s">
        <v>102</v>
      </c>
      <c r="B471" s="508" t="s">
        <v>102</v>
      </c>
      <c r="C471" s="466" t="s">
        <v>102</v>
      </c>
      <c r="D471" s="466" t="s">
        <v>102</v>
      </c>
      <c r="E471"/>
    </row>
    <row r="472" spans="1:5">
      <c r="A472" s="507" t="s">
        <v>102</v>
      </c>
      <c r="B472" s="508" t="s">
        <v>102</v>
      </c>
      <c r="C472" s="466" t="s">
        <v>102</v>
      </c>
      <c r="D472" s="466" t="s">
        <v>102</v>
      </c>
      <c r="E472"/>
    </row>
    <row r="473" spans="1:5">
      <c r="A473" s="507" t="s">
        <v>102</v>
      </c>
      <c r="B473" s="508" t="s">
        <v>102</v>
      </c>
      <c r="C473" s="466" t="s">
        <v>102</v>
      </c>
      <c r="D473" s="466" t="s">
        <v>102</v>
      </c>
      <c r="E473"/>
    </row>
    <row r="474" spans="1:5">
      <c r="A474" s="507" t="s">
        <v>102</v>
      </c>
      <c r="B474" s="508" t="s">
        <v>102</v>
      </c>
      <c r="C474" s="466" t="s">
        <v>102</v>
      </c>
      <c r="D474" s="466" t="s">
        <v>102</v>
      </c>
      <c r="E474"/>
    </row>
    <row r="475" spans="1:5">
      <c r="A475" s="507" t="s">
        <v>102</v>
      </c>
      <c r="B475" s="508" t="s">
        <v>102</v>
      </c>
      <c r="C475" s="466" t="s">
        <v>102</v>
      </c>
      <c r="D475" s="466" t="s">
        <v>102</v>
      </c>
      <c r="E475"/>
    </row>
    <row r="476" spans="1:5">
      <c r="A476" s="507" t="s">
        <v>102</v>
      </c>
      <c r="B476" s="508" t="s">
        <v>102</v>
      </c>
      <c r="C476" s="466" t="s">
        <v>102</v>
      </c>
      <c r="D476" s="466" t="s">
        <v>102</v>
      </c>
      <c r="E476"/>
    </row>
    <row r="477" spans="1:5">
      <c r="A477" s="507" t="s">
        <v>102</v>
      </c>
      <c r="B477" s="508" t="s">
        <v>102</v>
      </c>
      <c r="C477" s="466" t="s">
        <v>102</v>
      </c>
      <c r="D477" s="466" t="s">
        <v>102</v>
      </c>
      <c r="E477"/>
    </row>
    <row r="478" spans="1:5">
      <c r="A478" s="507" t="s">
        <v>102</v>
      </c>
      <c r="B478" s="508" t="s">
        <v>102</v>
      </c>
      <c r="C478" s="466" t="s">
        <v>102</v>
      </c>
      <c r="D478" s="466" t="s">
        <v>102</v>
      </c>
      <c r="E478"/>
    </row>
    <row r="479" spans="1:5">
      <c r="A479" s="507" t="s">
        <v>102</v>
      </c>
      <c r="B479" s="508" t="s">
        <v>102</v>
      </c>
      <c r="C479" s="466" t="s">
        <v>102</v>
      </c>
      <c r="D479" s="466" t="s">
        <v>102</v>
      </c>
      <c r="E479"/>
    </row>
    <row r="480" spans="1:5">
      <c r="A480" s="507" t="s">
        <v>102</v>
      </c>
      <c r="B480" s="508" t="s">
        <v>102</v>
      </c>
      <c r="C480" s="466" t="s">
        <v>102</v>
      </c>
      <c r="D480" s="466" t="s">
        <v>102</v>
      </c>
      <c r="E480"/>
    </row>
    <row r="481" spans="1:5">
      <c r="A481" s="507" t="s">
        <v>102</v>
      </c>
      <c r="B481" s="508" t="s">
        <v>102</v>
      </c>
      <c r="C481" s="466" t="s">
        <v>102</v>
      </c>
      <c r="D481" s="466" t="s">
        <v>102</v>
      </c>
      <c r="E481"/>
    </row>
    <row r="482" spans="1:5">
      <c r="A482" s="507" t="s">
        <v>102</v>
      </c>
      <c r="B482" s="508" t="s">
        <v>102</v>
      </c>
      <c r="C482" s="466" t="s">
        <v>102</v>
      </c>
      <c r="D482" s="466" t="s">
        <v>102</v>
      </c>
      <c r="E482"/>
    </row>
    <row r="483" spans="1:5">
      <c r="A483" s="507" t="s">
        <v>102</v>
      </c>
      <c r="B483" s="508" t="s">
        <v>102</v>
      </c>
      <c r="C483" s="466" t="s">
        <v>102</v>
      </c>
      <c r="D483" s="466" t="s">
        <v>102</v>
      </c>
      <c r="E483"/>
    </row>
    <row r="484" spans="1:5">
      <c r="A484" s="507" t="s">
        <v>102</v>
      </c>
      <c r="B484" s="508" t="s">
        <v>102</v>
      </c>
      <c r="C484" s="466" t="s">
        <v>102</v>
      </c>
      <c r="D484" s="466" t="s">
        <v>102</v>
      </c>
      <c r="E484"/>
    </row>
    <row r="485" spans="1:5">
      <c r="A485" s="507" t="s">
        <v>102</v>
      </c>
      <c r="B485" s="508" t="s">
        <v>102</v>
      </c>
      <c r="C485" s="466" t="s">
        <v>102</v>
      </c>
      <c r="D485" s="466" t="s">
        <v>102</v>
      </c>
      <c r="E485"/>
    </row>
    <row r="486" spans="1:5">
      <c r="A486" s="507" t="s">
        <v>102</v>
      </c>
      <c r="B486" s="508" t="s">
        <v>102</v>
      </c>
      <c r="C486" s="466" t="s">
        <v>102</v>
      </c>
      <c r="D486" s="466" t="s">
        <v>102</v>
      </c>
      <c r="E486"/>
    </row>
    <row r="487" spans="1:5">
      <c r="A487" s="507" t="s">
        <v>102</v>
      </c>
      <c r="B487" s="508" t="s">
        <v>102</v>
      </c>
      <c r="C487" s="466" t="s">
        <v>102</v>
      </c>
      <c r="D487" s="466" t="s">
        <v>102</v>
      </c>
      <c r="E487"/>
    </row>
    <row r="488" spans="1:5">
      <c r="A488" s="507" t="s">
        <v>102</v>
      </c>
      <c r="B488" s="508" t="s">
        <v>102</v>
      </c>
      <c r="C488" s="466" t="s">
        <v>102</v>
      </c>
      <c r="D488" s="466" t="s">
        <v>102</v>
      </c>
      <c r="E488"/>
    </row>
    <row r="489" spans="1:5">
      <c r="A489" s="507" t="s">
        <v>102</v>
      </c>
      <c r="B489" s="508" t="s">
        <v>102</v>
      </c>
      <c r="C489" s="466" t="s">
        <v>102</v>
      </c>
      <c r="D489" s="466" t="s">
        <v>102</v>
      </c>
      <c r="E489"/>
    </row>
    <row r="490" spans="1:5">
      <c r="A490" s="507" t="s">
        <v>102</v>
      </c>
      <c r="B490" s="508" t="s">
        <v>102</v>
      </c>
      <c r="C490" s="466" t="s">
        <v>102</v>
      </c>
      <c r="D490" s="466" t="s">
        <v>102</v>
      </c>
      <c r="E490"/>
    </row>
    <row r="491" spans="1:5">
      <c r="A491" s="507" t="s">
        <v>102</v>
      </c>
      <c r="B491" s="508" t="s">
        <v>102</v>
      </c>
      <c r="C491" s="466" t="s">
        <v>102</v>
      </c>
      <c r="D491" s="466" t="s">
        <v>102</v>
      </c>
      <c r="E491"/>
    </row>
    <row r="492" spans="1:5">
      <c r="A492" s="507" t="s">
        <v>102</v>
      </c>
      <c r="B492" s="508" t="s">
        <v>102</v>
      </c>
      <c r="C492" s="466" t="s">
        <v>102</v>
      </c>
      <c r="D492" s="466" t="s">
        <v>102</v>
      </c>
      <c r="E492"/>
    </row>
    <row r="493" spans="1:5">
      <c r="A493" s="507" t="s">
        <v>102</v>
      </c>
      <c r="B493" s="508" t="s">
        <v>102</v>
      </c>
      <c r="C493" s="466" t="s">
        <v>102</v>
      </c>
      <c r="D493" s="466" t="s">
        <v>102</v>
      </c>
      <c r="E493"/>
    </row>
    <row r="494" spans="1:5">
      <c r="A494" s="507" t="s">
        <v>102</v>
      </c>
      <c r="B494" s="508" t="s">
        <v>102</v>
      </c>
      <c r="C494" s="466" t="s">
        <v>102</v>
      </c>
      <c r="D494" s="466" t="s">
        <v>102</v>
      </c>
      <c r="E494"/>
    </row>
    <row r="495" spans="1:5">
      <c r="A495" s="507" t="s">
        <v>102</v>
      </c>
      <c r="B495" s="508" t="s">
        <v>102</v>
      </c>
      <c r="C495" s="466" t="s">
        <v>102</v>
      </c>
      <c r="D495" s="466" t="s">
        <v>102</v>
      </c>
      <c r="E495"/>
    </row>
    <row r="496" spans="1:5">
      <c r="A496" s="507" t="s">
        <v>102</v>
      </c>
      <c r="B496" s="508" t="s">
        <v>102</v>
      </c>
      <c r="C496" s="466" t="s">
        <v>102</v>
      </c>
      <c r="D496" s="466" t="s">
        <v>102</v>
      </c>
      <c r="E496"/>
    </row>
    <row r="497" spans="1:5">
      <c r="A497" s="507" t="s">
        <v>102</v>
      </c>
      <c r="B497" s="508" t="s">
        <v>102</v>
      </c>
      <c r="C497" s="466" t="s">
        <v>102</v>
      </c>
      <c r="D497" s="466" t="s">
        <v>102</v>
      </c>
      <c r="E497"/>
    </row>
    <row r="498" spans="1:5">
      <c r="A498" s="507" t="s">
        <v>102</v>
      </c>
      <c r="B498" s="508" t="s">
        <v>102</v>
      </c>
      <c r="C498" s="466" t="s">
        <v>102</v>
      </c>
      <c r="D498" s="466" t="s">
        <v>102</v>
      </c>
      <c r="E498"/>
    </row>
    <row r="499" spans="1:5">
      <c r="A499" s="507" t="s">
        <v>102</v>
      </c>
      <c r="B499" s="508" t="s">
        <v>102</v>
      </c>
      <c r="C499" s="466" t="s">
        <v>102</v>
      </c>
      <c r="D499" s="466" t="s">
        <v>102</v>
      </c>
      <c r="E499"/>
    </row>
    <row r="500" spans="1:5">
      <c r="A500" s="507" t="s">
        <v>102</v>
      </c>
      <c r="B500" s="508" t="s">
        <v>102</v>
      </c>
      <c r="C500" s="466" t="s">
        <v>102</v>
      </c>
      <c r="D500" s="466" t="s">
        <v>102</v>
      </c>
      <c r="E500"/>
    </row>
    <row r="501" spans="1:5">
      <c r="A501" s="507" t="s">
        <v>102</v>
      </c>
      <c r="B501" s="508" t="s">
        <v>102</v>
      </c>
      <c r="C501" s="466" t="s">
        <v>102</v>
      </c>
      <c r="D501" s="466" t="s">
        <v>102</v>
      </c>
      <c r="E501"/>
    </row>
    <row r="502" spans="1:5">
      <c r="A502" s="507" t="s">
        <v>102</v>
      </c>
      <c r="B502" s="508" t="s">
        <v>102</v>
      </c>
      <c r="C502" s="466" t="s">
        <v>102</v>
      </c>
      <c r="D502" s="466" t="s">
        <v>102</v>
      </c>
      <c r="E502"/>
    </row>
    <row r="503" spans="1:5">
      <c r="A503" s="507" t="s">
        <v>102</v>
      </c>
      <c r="B503" s="508" t="s">
        <v>102</v>
      </c>
      <c r="C503" s="466" t="s">
        <v>102</v>
      </c>
      <c r="D503" s="466" t="s">
        <v>102</v>
      </c>
      <c r="E503"/>
    </row>
    <row r="504" spans="1:5">
      <c r="A504" s="507" t="s">
        <v>102</v>
      </c>
      <c r="B504" s="508" t="s">
        <v>102</v>
      </c>
      <c r="C504" s="466" t="s">
        <v>102</v>
      </c>
      <c r="D504" s="466" t="s">
        <v>102</v>
      </c>
      <c r="E504"/>
    </row>
    <row r="505" spans="1:5">
      <c r="A505" s="507" t="s">
        <v>102</v>
      </c>
      <c r="B505" s="508" t="s">
        <v>102</v>
      </c>
      <c r="C505" s="466" t="s">
        <v>102</v>
      </c>
      <c r="D505" s="466" t="s">
        <v>102</v>
      </c>
      <c r="E505"/>
    </row>
    <row r="506" spans="1:5">
      <c r="A506" s="507" t="s">
        <v>102</v>
      </c>
      <c r="B506" s="508" t="s">
        <v>102</v>
      </c>
      <c r="C506" s="466" t="s">
        <v>102</v>
      </c>
      <c r="D506" s="466" t="s">
        <v>102</v>
      </c>
      <c r="E506"/>
    </row>
    <row r="507" spans="1:5">
      <c r="A507" s="507" t="s">
        <v>102</v>
      </c>
      <c r="B507" s="508" t="s">
        <v>102</v>
      </c>
      <c r="C507" s="466" t="s">
        <v>102</v>
      </c>
      <c r="D507" s="466" t="s">
        <v>102</v>
      </c>
      <c r="E507"/>
    </row>
    <row r="508" spans="1:5">
      <c r="A508" s="507" t="s">
        <v>102</v>
      </c>
      <c r="B508" s="508" t="s">
        <v>102</v>
      </c>
      <c r="C508" s="466" t="s">
        <v>102</v>
      </c>
      <c r="D508" s="466" t="s">
        <v>102</v>
      </c>
      <c r="E508"/>
    </row>
    <row r="509" spans="1:5">
      <c r="A509" s="507"/>
      <c r="B509" s="508"/>
      <c r="C509" s="466"/>
      <c r="D509" s="466"/>
    </row>
  </sheetData>
  <mergeCells count="1">
    <mergeCell ref="A3:D3"/>
  </mergeCells>
  <pageMargins bottom="0.32" footer="0.3" header="0.3" left="0.25" right="0.25" top="0.36"/>
  <pageSetup fitToHeight="0" horizontalDpi="300" orientation="portrait" paperSize="9" r:id="rId1" scale="73" verticalDpi="300"/>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customWidth="true" style="381" width="9.140625" collapsed="false"/>
    <col min="2" max="2" customWidth="true" style="481" width="66.140625" collapsed="false"/>
    <col min="3" max="3" customWidth="true" style="924" width="18.28515625" collapsed="false"/>
    <col min="4" max="4" customWidth="true" style="924" width="17.140625" collapsed="false"/>
    <col min="5" max="5" customWidth="true" style="381" width="18.5703125" collapsed="false"/>
    <col min="6" max="16384" style="381" width="9.140625" collapsed="false"/>
  </cols>
  <sheetData>
    <row r="1" spans="1:4">
      <c r="D1" s="925" t="s">
        <v>449</v>
      </c>
    </row>
    <row r="3" spans="1:4">
      <c r="A3" s="2171" t="s">
        <v>7</v>
      </c>
      <c r="B3" s="2171"/>
      <c r="C3" s="2171"/>
      <c r="D3" s="2171"/>
    </row>
    <row r="4" spans="1:4">
      <c r="A4" s="916"/>
      <c r="B4" s="916"/>
      <c r="C4" s="926"/>
      <c r="D4" s="926"/>
    </row>
    <row r="5" spans="1:4">
      <c r="A5" s="386"/>
      <c r="B5" s="483"/>
      <c r="D5" s="927" t="s">
        <v>794</v>
      </c>
    </row>
    <row r="6" spans="1:4">
      <c r="A6" s="386"/>
      <c r="B6" s="483"/>
      <c r="D6" s="928"/>
    </row>
    <row customHeight="1" ht="33.75" r="7" spans="1:4">
      <c r="A7" s="510" t="s">
        <v>64</v>
      </c>
      <c r="B7" s="510" t="s">
        <v>12</v>
      </c>
      <c r="C7" s="929" t="s">
        <v>66</v>
      </c>
      <c r="D7" s="929" t="s">
        <v>65</v>
      </c>
    </row>
    <row customHeight="1" ht="26.25" r="8" spans="1:4">
      <c r="A8" s="511"/>
      <c r="B8" s="512" t="s">
        <v>2234</v>
      </c>
      <c r="C8" s="930"/>
      <c r="D8" s="930"/>
    </row>
    <row ht="16.5" r="9" spans="1:4">
      <c r="A9" s="513">
        <v>1</v>
      </c>
      <c r="B9" s="514" t="s">
        <v>1086</v>
      </c>
      <c r="C9" s="931">
        <f>C10+C84+C116</f>
        <v>1778494356</v>
      </c>
      <c r="D9" s="931">
        <f>D10+D84+D116</f>
        <v>7737199411</v>
      </c>
    </row>
    <row r="10" spans="1:4">
      <c r="A10" s="509">
        <v>11</v>
      </c>
      <c r="B10" s="514" t="s">
        <v>2235</v>
      </c>
      <c r="C10" s="932">
        <f>SUM(C11,C29,C35,C40,C44,C53,C55,C58)</f>
        <v>0</v>
      </c>
      <c r="D10" s="932">
        <f>SUM(D11,D29,D35,D40,D44,D53,D55,D58)</f>
        <v>0</v>
      </c>
    </row>
    <row r="11" spans="1:4">
      <c r="A11" s="509">
        <v>110</v>
      </c>
      <c r="B11" s="514" t="s">
        <v>2236</v>
      </c>
      <c r="C11" s="933">
        <f>SUM(C12,C21,C23,C25,C27)</f>
        <v>0</v>
      </c>
      <c r="D11" s="933">
        <f>SUM(D12,D21,D23,D25,D27)</f>
        <v>0</v>
      </c>
    </row>
    <row r="12" spans="1:4">
      <c r="A12" s="509">
        <v>1100</v>
      </c>
      <c r="B12" s="514" t="s">
        <v>2237</v>
      </c>
      <c r="C12" s="933">
        <f>SUM(C13:C20)</f>
        <v>0</v>
      </c>
      <c r="D12" s="933">
        <f>SUM(D13:D20)</f>
        <v>0</v>
      </c>
    </row>
    <row ht="30" r="13" spans="1:4">
      <c r="A13" s="502">
        <v>110001</v>
      </c>
      <c r="B13" s="503" t="s">
        <v>2238</v>
      </c>
      <c r="C13" s="934"/>
      <c r="D13" s="934"/>
    </row>
    <row r="14" spans="1:4">
      <c r="A14" s="502">
        <v>110002</v>
      </c>
      <c r="B14" s="503" t="s">
        <v>2239</v>
      </c>
      <c r="C14" s="934"/>
      <c r="D14" s="934"/>
    </row>
    <row r="15" spans="1:4">
      <c r="A15" s="502">
        <v>110003</v>
      </c>
      <c r="B15" s="503" t="s">
        <v>2240</v>
      </c>
      <c r="C15" s="934"/>
      <c r="D15" s="934"/>
    </row>
    <row r="16" spans="1:4">
      <c r="A16" s="502">
        <v>110004</v>
      </c>
      <c r="B16" s="503" t="s">
        <v>2241</v>
      </c>
      <c r="C16" s="934"/>
      <c r="D16" s="934"/>
    </row>
    <row ht="45" r="17" spans="1:4">
      <c r="A17" s="502">
        <v>110005</v>
      </c>
      <c r="B17" s="515" t="s">
        <v>2242</v>
      </c>
      <c r="C17" s="934"/>
      <c r="D17" s="934"/>
    </row>
    <row ht="30" r="18" spans="1:4">
      <c r="A18" s="502">
        <v>110006</v>
      </c>
      <c r="B18" s="503" t="s">
        <v>2243</v>
      </c>
      <c r="C18" s="934"/>
      <c r="D18" s="934"/>
    </row>
    <row ht="30" r="19" spans="1:4">
      <c r="A19" s="502">
        <v>110007</v>
      </c>
      <c r="B19" s="503" t="s">
        <v>2244</v>
      </c>
      <c r="C19" s="934"/>
      <c r="D19" s="934"/>
    </row>
    <row r="20" spans="1:4">
      <c r="A20" s="502">
        <v>110008</v>
      </c>
      <c r="B20" s="503" t="s">
        <v>2245</v>
      </c>
      <c r="C20" s="934"/>
      <c r="D20" s="934"/>
    </row>
    <row r="21" spans="1:4">
      <c r="A21" s="509">
        <v>1101</v>
      </c>
      <c r="B21" s="514" t="s">
        <v>2246</v>
      </c>
      <c r="C21" s="935">
        <f>+C22</f>
        <v>0</v>
      </c>
      <c r="D21" s="935">
        <f>+D22</f>
        <v>0</v>
      </c>
    </row>
    <row r="22" spans="1:4">
      <c r="A22" s="502">
        <v>110101</v>
      </c>
      <c r="B22" s="503" t="s">
        <v>2247</v>
      </c>
      <c r="C22" s="936"/>
      <c r="D22" s="936"/>
    </row>
    <row ht="28.5" r="23" spans="1:4">
      <c r="A23" s="509">
        <v>1102</v>
      </c>
      <c r="B23" s="514" t="s">
        <v>2248</v>
      </c>
      <c r="C23" s="935">
        <f>+C24</f>
        <v>0</v>
      </c>
      <c r="D23" s="935">
        <f>+D24</f>
        <v>0</v>
      </c>
    </row>
    <row ht="30" r="24" spans="1:4">
      <c r="A24" s="516">
        <v>110201</v>
      </c>
      <c r="B24" s="503" t="s">
        <v>2249</v>
      </c>
      <c r="C24" s="936"/>
      <c r="D24" s="936"/>
    </row>
    <row r="25" spans="1:4">
      <c r="A25" s="509">
        <v>1103</v>
      </c>
      <c r="B25" s="514" t="s">
        <v>2250</v>
      </c>
      <c r="C25" s="935">
        <f>+C26</f>
        <v>0</v>
      </c>
      <c r="D25" s="935">
        <f>+D26</f>
        <v>0</v>
      </c>
    </row>
    <row r="26" spans="1:4">
      <c r="A26" s="502">
        <v>110301</v>
      </c>
      <c r="B26" s="503" t="s">
        <v>2251</v>
      </c>
      <c r="C26" s="936"/>
      <c r="D26" s="936"/>
    </row>
    <row r="27" spans="1:4">
      <c r="A27" s="509">
        <v>1104</v>
      </c>
      <c r="B27" s="514" t="s">
        <v>2252</v>
      </c>
      <c r="C27" s="935">
        <f>+C28</f>
        <v>0</v>
      </c>
      <c r="D27" s="935">
        <f>+D28</f>
        <v>0</v>
      </c>
    </row>
    <row r="28" spans="1:4">
      <c r="A28" s="502">
        <v>110401</v>
      </c>
      <c r="B28" s="503" t="s">
        <v>294</v>
      </c>
      <c r="C28" s="936"/>
      <c r="D28" s="936"/>
    </row>
    <row r="29" spans="1:4">
      <c r="A29" s="509">
        <v>112</v>
      </c>
      <c r="B29" s="514" t="s">
        <v>2253</v>
      </c>
      <c r="C29" s="933">
        <f>SUM(C30:C34)</f>
        <v>0</v>
      </c>
      <c r="D29" s="933">
        <f>SUM(D30:D34)</f>
        <v>0</v>
      </c>
    </row>
    <row r="30" spans="1:4">
      <c r="A30" s="502">
        <v>112001</v>
      </c>
      <c r="B30" s="503" t="s">
        <v>2254</v>
      </c>
      <c r="C30" s="936"/>
      <c r="D30" s="936"/>
    </row>
    <row r="31" spans="1:4">
      <c r="A31" s="502">
        <v>112002</v>
      </c>
      <c r="B31" s="503" t="s">
        <v>2255</v>
      </c>
      <c r="C31" s="936"/>
      <c r="D31" s="936"/>
    </row>
    <row r="32" spans="1:4">
      <c r="A32" s="502">
        <v>112003</v>
      </c>
      <c r="B32" s="503" t="s">
        <v>2256</v>
      </c>
      <c r="C32" s="936"/>
      <c r="D32" s="936"/>
    </row>
    <row r="33" spans="1:4">
      <c r="A33" s="502">
        <v>112004</v>
      </c>
      <c r="B33" s="503" t="s">
        <v>2257</v>
      </c>
      <c r="C33" s="936"/>
      <c r="D33" s="936"/>
    </row>
    <row r="34" spans="1:4">
      <c r="A34" s="502">
        <v>112005</v>
      </c>
      <c r="B34" s="503" t="s">
        <v>2258</v>
      </c>
      <c r="C34" s="936"/>
      <c r="D34" s="936"/>
    </row>
    <row r="35" spans="1:4">
      <c r="A35" s="509">
        <v>113</v>
      </c>
      <c r="B35" s="514" t="s">
        <v>2259</v>
      </c>
      <c r="C35" s="933">
        <f>SUM(C36:C39)</f>
        <v>0</v>
      </c>
      <c r="D35" s="933">
        <f>SUM(D36:D39)</f>
        <v>0</v>
      </c>
    </row>
    <row r="36" spans="1:4">
      <c r="A36" s="502">
        <v>113001</v>
      </c>
      <c r="B36" s="503" t="s">
        <v>2260</v>
      </c>
      <c r="C36" s="936"/>
      <c r="D36" s="936"/>
    </row>
    <row r="37" spans="1:4">
      <c r="A37" s="502">
        <v>113002</v>
      </c>
      <c r="B37" s="503" t="s">
        <v>2261</v>
      </c>
      <c r="C37" s="936"/>
      <c r="D37" s="936"/>
    </row>
    <row r="38" spans="1:4">
      <c r="A38" s="502">
        <v>113003</v>
      </c>
      <c r="B38" s="503" t="s">
        <v>2262</v>
      </c>
      <c r="C38" s="936"/>
      <c r="D38" s="936"/>
    </row>
    <row r="39" spans="1:4">
      <c r="A39" s="502">
        <v>113004</v>
      </c>
      <c r="B39" s="503" t="s">
        <v>2263</v>
      </c>
      <c r="C39" s="936"/>
      <c r="D39" s="936"/>
    </row>
    <row r="40" spans="1:4">
      <c r="A40" s="509">
        <v>114</v>
      </c>
      <c r="B40" s="514" t="s">
        <v>2264</v>
      </c>
      <c r="C40" s="933">
        <f>SUM(C41:C43)</f>
        <v>0</v>
      </c>
      <c r="D40" s="933">
        <f>SUM(D41:D43)</f>
        <v>0</v>
      </c>
    </row>
    <row r="41" spans="1:4">
      <c r="A41" s="502">
        <v>114001</v>
      </c>
      <c r="B41" s="503" t="s">
        <v>2265</v>
      </c>
      <c r="C41" s="936"/>
      <c r="D41" s="936"/>
    </row>
    <row r="42" spans="1:4">
      <c r="A42" s="502">
        <v>114002</v>
      </c>
      <c r="B42" s="503" t="s">
        <v>2266</v>
      </c>
      <c r="C42" s="936"/>
      <c r="D42" s="936"/>
    </row>
    <row r="43" spans="1:4">
      <c r="A43" s="502">
        <v>114003</v>
      </c>
      <c r="B43" s="503" t="s">
        <v>2267</v>
      </c>
      <c r="C43" s="936"/>
      <c r="D43" s="936"/>
    </row>
    <row r="44" spans="1:4">
      <c r="A44" s="509">
        <v>115</v>
      </c>
      <c r="B44" s="514" t="s">
        <v>2268</v>
      </c>
      <c r="C44" s="933">
        <f>SUM(C45:C52)</f>
        <v>0</v>
      </c>
      <c r="D44" s="933">
        <f>SUM(D45:D52)</f>
        <v>0</v>
      </c>
    </row>
    <row r="45" spans="1:4">
      <c r="A45" s="502">
        <v>115001</v>
      </c>
      <c r="B45" s="503" t="s">
        <v>2269</v>
      </c>
      <c r="C45" s="936"/>
      <c r="D45" s="936"/>
    </row>
    <row r="46" spans="1:4">
      <c r="A46" s="502">
        <v>115002</v>
      </c>
      <c r="B46" s="503" t="s">
        <v>2270</v>
      </c>
      <c r="C46" s="936"/>
      <c r="D46" s="936"/>
    </row>
    <row r="47" spans="1:4">
      <c r="A47" s="502">
        <v>115003</v>
      </c>
      <c r="B47" s="503" t="s">
        <v>2271</v>
      </c>
      <c r="C47" s="936"/>
      <c r="D47" s="936"/>
    </row>
    <row r="48" spans="1:4">
      <c r="A48" s="502">
        <v>115004</v>
      </c>
      <c r="B48" s="503" t="s">
        <v>2272</v>
      </c>
      <c r="C48" s="936"/>
      <c r="D48" s="936"/>
    </row>
    <row r="49" spans="1:4">
      <c r="A49" s="502">
        <v>115005</v>
      </c>
      <c r="B49" s="503" t="s">
        <v>2273</v>
      </c>
      <c r="C49" s="936"/>
      <c r="D49" s="936"/>
    </row>
    <row r="50" spans="1:4">
      <c r="A50" s="502">
        <v>115006</v>
      </c>
      <c r="B50" s="503" t="s">
        <v>2274</v>
      </c>
      <c r="C50" s="936"/>
      <c r="D50" s="936"/>
    </row>
    <row r="51" spans="1:4">
      <c r="A51" s="502">
        <v>115007</v>
      </c>
      <c r="B51" s="503" t="s">
        <v>2275</v>
      </c>
      <c r="C51" s="936"/>
      <c r="D51" s="936"/>
    </row>
    <row r="52" spans="1:4">
      <c r="A52" s="502">
        <v>115008</v>
      </c>
      <c r="B52" s="503" t="s">
        <v>2276</v>
      </c>
      <c r="C52" s="936"/>
      <c r="D52" s="936"/>
    </row>
    <row r="53" spans="1:4">
      <c r="A53" s="509">
        <v>116</v>
      </c>
      <c r="B53" s="514" t="s">
        <v>2277</v>
      </c>
      <c r="C53" s="933">
        <f>+C54</f>
        <v>0</v>
      </c>
      <c r="D53" s="933">
        <f>+D54</f>
        <v>0</v>
      </c>
    </row>
    <row r="54" spans="1:4">
      <c r="A54" s="502">
        <v>116001</v>
      </c>
      <c r="B54" s="503" t="s">
        <v>2278</v>
      </c>
      <c r="C54" s="936"/>
      <c r="D54" s="936"/>
    </row>
    <row r="55" spans="1:4">
      <c r="A55" s="509">
        <v>117</v>
      </c>
      <c r="B55" s="514" t="s">
        <v>2279</v>
      </c>
      <c r="C55" s="933">
        <f>SUM(C56:C57)</f>
        <v>0</v>
      </c>
      <c r="D55" s="933">
        <f>SUM(D56:D57)</f>
        <v>0</v>
      </c>
    </row>
    <row r="56" spans="1:4">
      <c r="A56" s="502">
        <v>117001</v>
      </c>
      <c r="B56" s="503" t="s">
        <v>2280</v>
      </c>
      <c r="C56" s="936"/>
      <c r="D56" s="936"/>
    </row>
    <row r="57" spans="1:4">
      <c r="A57" s="502">
        <v>117002</v>
      </c>
      <c r="B57" s="503" t="s">
        <v>2281</v>
      </c>
      <c r="C57" s="936"/>
      <c r="D57" s="936"/>
    </row>
    <row r="58" spans="1:4">
      <c r="A58" s="509">
        <v>118</v>
      </c>
      <c r="B58" s="514" t="s">
        <v>2282</v>
      </c>
      <c r="C58" s="933">
        <f>SUM(C59,C71,C74,C79)</f>
        <v>0</v>
      </c>
      <c r="D58" s="933">
        <f>SUM(D59,D71,D74,D79)</f>
        <v>0</v>
      </c>
    </row>
    <row r="59" spans="1:4">
      <c r="A59" s="509">
        <v>1180</v>
      </c>
      <c r="B59" s="514" t="s">
        <v>2283</v>
      </c>
      <c r="C59" s="933">
        <f>SUM(C60:C70)</f>
        <v>0</v>
      </c>
      <c r="D59" s="933">
        <f>SUM(D60:D70)</f>
        <v>0</v>
      </c>
    </row>
    <row r="60" spans="1:4">
      <c r="A60" s="502">
        <v>118001</v>
      </c>
      <c r="B60" s="503" t="s">
        <v>2284</v>
      </c>
      <c r="C60" s="936"/>
      <c r="D60" s="936"/>
    </row>
    <row ht="30" r="61" spans="1:4">
      <c r="A61" s="502">
        <v>118002</v>
      </c>
      <c r="B61" s="503" t="s">
        <v>2285</v>
      </c>
      <c r="C61" s="936"/>
      <c r="D61" s="936"/>
    </row>
    <row r="62" spans="1:4">
      <c r="A62" s="502">
        <v>118003</v>
      </c>
      <c r="B62" s="503" t="s">
        <v>2286</v>
      </c>
      <c r="C62" s="936"/>
      <c r="D62" s="936"/>
    </row>
    <row r="63" spans="1:4">
      <c r="A63" s="502">
        <v>118004</v>
      </c>
      <c r="B63" s="503" t="s">
        <v>2287</v>
      </c>
      <c r="C63" s="936"/>
      <c r="D63" s="936"/>
    </row>
    <row r="64" spans="1:4">
      <c r="A64" s="502">
        <v>118005</v>
      </c>
      <c r="B64" s="503" t="s">
        <v>2288</v>
      </c>
      <c r="C64" s="936"/>
      <c r="D64" s="936"/>
    </row>
    <row r="65" spans="1:4">
      <c r="A65" s="502">
        <v>118006</v>
      </c>
      <c r="B65" s="503" t="s">
        <v>2289</v>
      </c>
      <c r="C65" s="936"/>
      <c r="D65" s="936"/>
    </row>
    <row r="66" spans="1:4">
      <c r="A66" s="502">
        <v>118007</v>
      </c>
      <c r="B66" s="503" t="s">
        <v>2290</v>
      </c>
      <c r="C66" s="936"/>
      <c r="D66" s="936"/>
    </row>
    <row ht="30" r="67" spans="1:4">
      <c r="A67" s="502">
        <v>118008</v>
      </c>
      <c r="B67" s="503" t="s">
        <v>2291</v>
      </c>
      <c r="C67" s="936"/>
      <c r="D67" s="936"/>
    </row>
    <row r="68" spans="1:4">
      <c r="A68" s="502">
        <v>118009</v>
      </c>
      <c r="B68" s="503" t="s">
        <v>1091</v>
      </c>
      <c r="C68" s="936"/>
      <c r="D68" s="936"/>
    </row>
    <row ht="30" r="69" spans="1:4">
      <c r="A69" s="502">
        <v>118010</v>
      </c>
      <c r="B69" s="503" t="s">
        <v>1092</v>
      </c>
      <c r="C69" s="936"/>
      <c r="D69" s="936"/>
    </row>
    <row r="70" spans="1:4">
      <c r="A70" s="502">
        <v>118011</v>
      </c>
      <c r="B70" s="503" t="s">
        <v>2038</v>
      </c>
      <c r="C70" s="936"/>
      <c r="D70" s="936"/>
    </row>
    <row r="71" spans="1:4">
      <c r="A71" s="509">
        <v>1181</v>
      </c>
      <c r="B71" s="514" t="s">
        <v>858</v>
      </c>
      <c r="C71" s="933">
        <f>SUM(C72:C73)</f>
        <v>0</v>
      </c>
      <c r="D71" s="933">
        <f>SUM(D72:D73)</f>
        <v>0</v>
      </c>
    </row>
    <row r="72" spans="1:4">
      <c r="A72" s="502">
        <v>118101</v>
      </c>
      <c r="B72" s="503" t="s">
        <v>1093</v>
      </c>
      <c r="C72" s="936"/>
      <c r="D72" s="936"/>
    </row>
    <row r="73" spans="1:4">
      <c r="A73" s="502">
        <v>118102</v>
      </c>
      <c r="B73" s="503" t="s">
        <v>1094</v>
      </c>
      <c r="C73" s="936"/>
      <c r="D73" s="936"/>
    </row>
    <row r="74" spans="1:4">
      <c r="A74" s="509">
        <v>1182</v>
      </c>
      <c r="B74" s="514" t="s">
        <v>1095</v>
      </c>
      <c r="C74" s="933">
        <f>SUM(C75:C78)</f>
        <v>0</v>
      </c>
      <c r="D74" s="933">
        <f>SUM(D75:D78)</f>
        <v>0</v>
      </c>
    </row>
    <row r="75" spans="1:4">
      <c r="A75" s="502">
        <v>118201</v>
      </c>
      <c r="B75" s="503" t="s">
        <v>1096</v>
      </c>
      <c r="C75" s="936"/>
      <c r="D75" s="936"/>
    </row>
    <row r="76" spans="1:4">
      <c r="A76" s="502">
        <v>118202</v>
      </c>
      <c r="B76" s="503" t="s">
        <v>1097</v>
      </c>
      <c r="C76" s="936"/>
      <c r="D76" s="936"/>
    </row>
    <row r="77" spans="1:4">
      <c r="A77" s="502">
        <v>118203</v>
      </c>
      <c r="B77" s="503" t="s">
        <v>1098</v>
      </c>
      <c r="C77" s="936"/>
      <c r="D77" s="936"/>
    </row>
    <row r="78" spans="1:4">
      <c r="A78" s="502">
        <v>118204</v>
      </c>
      <c r="B78" s="503" t="s">
        <v>1099</v>
      </c>
      <c r="C78" s="936"/>
      <c r="D78" s="936"/>
    </row>
    <row r="79" spans="1:4">
      <c r="A79" s="509">
        <v>1183</v>
      </c>
      <c r="B79" s="514" t="s">
        <v>1100</v>
      </c>
      <c r="C79" s="933">
        <f>SUM(C80:C83)</f>
        <v>0</v>
      </c>
      <c r="D79" s="933">
        <f>SUM(D80:D83)</f>
        <v>0</v>
      </c>
    </row>
    <row r="80" spans="1:4">
      <c r="A80" s="502">
        <v>118301</v>
      </c>
      <c r="B80" s="503" t="s">
        <v>295</v>
      </c>
      <c r="C80" s="936"/>
      <c r="D80" s="936"/>
    </row>
    <row r="81" spans="1:4">
      <c r="A81" s="502">
        <v>118302</v>
      </c>
      <c r="B81" s="503" t="s">
        <v>297</v>
      </c>
      <c r="C81" s="936"/>
      <c r="D81" s="936"/>
    </row>
    <row r="82" spans="1:4">
      <c r="A82" s="502">
        <v>118303</v>
      </c>
      <c r="B82" s="503" t="s">
        <v>298</v>
      </c>
      <c r="C82" s="936"/>
      <c r="D82" s="936"/>
    </row>
    <row r="83" spans="1:4">
      <c r="A83" s="502">
        <v>118304</v>
      </c>
      <c r="B83" s="503" t="s">
        <v>299</v>
      </c>
      <c r="C83" s="936"/>
      <c r="D83" s="936"/>
    </row>
    <row r="84" spans="1:4">
      <c r="A84" s="509">
        <v>12</v>
      </c>
      <c r="B84" s="514" t="s">
        <v>300</v>
      </c>
      <c r="C84" s="932">
        <f>SUM(C85,C103,C106,C109,C114)</f>
        <v>9760000</v>
      </c>
      <c r="D84" s="932">
        <f>SUM(D85,D103,D106,D109,D114)</f>
        <v>12364590</v>
      </c>
    </row>
    <row r="85" spans="1:4">
      <c r="A85" s="509">
        <v>120</v>
      </c>
      <c r="B85" s="514" t="s">
        <v>301</v>
      </c>
      <c r="C85" s="933">
        <f>C86+C87+C88+C89+C94+C95+C96+C97+C98+C99+C100+C101+C102</f>
        <v>9760000</v>
      </c>
      <c r="D85" s="933">
        <f>D86+D87+D88+D89+D94+D95+D96+D97+D98+D99+D100+D101+D102</f>
        <v>12364590</v>
      </c>
    </row>
    <row r="86" spans="1:4">
      <c r="A86" s="502">
        <v>120001</v>
      </c>
      <c r="B86" s="503" t="s">
        <v>1101</v>
      </c>
      <c r="C86" s="936"/>
      <c r="D86" s="936"/>
    </row>
    <row r="87" spans="1:4">
      <c r="A87" s="502">
        <v>120002</v>
      </c>
      <c r="B87" s="503" t="s">
        <v>1102</v>
      </c>
      <c r="C87" s="936"/>
      <c r="D87" s="936"/>
    </row>
    <row r="88" spans="1:4">
      <c r="A88" s="502">
        <v>120003</v>
      </c>
      <c r="B88" s="503" t="s">
        <v>1103</v>
      </c>
      <c r="C88" s="936"/>
      <c r="D88" s="936"/>
    </row>
    <row r="89" spans="1:4">
      <c r="A89" s="517">
        <v>120004</v>
      </c>
      <c r="B89" s="514" t="s">
        <v>1104</v>
      </c>
      <c r="C89" s="933">
        <f>SUM(C90:C93)</f>
        <v>9760000</v>
      </c>
      <c r="D89" s="933">
        <f>SUM(D90:D93)</f>
        <v>12364590</v>
      </c>
    </row>
    <row r="90" spans="1:4">
      <c r="A90" s="502">
        <v>1200041</v>
      </c>
      <c r="B90" s="503" t="s">
        <v>1105</v>
      </c>
      <c r="C90" s="936"/>
      <c r="D90" s="936"/>
    </row>
    <row r="91" spans="1:4">
      <c r="A91" s="502">
        <v>1200042</v>
      </c>
      <c r="B91" s="503" t="s">
        <v>1106</v>
      </c>
      <c r="C91" s="936">
        <v>9760000</v>
      </c>
      <c r="D91" s="936">
        <v>12364590</v>
      </c>
    </row>
    <row r="92" spans="1:4">
      <c r="A92" s="502">
        <v>1200043</v>
      </c>
      <c r="B92" s="503" t="s">
        <v>1107</v>
      </c>
      <c r="C92" s="936"/>
      <c r="D92" s="936"/>
    </row>
    <row r="93" spans="1:4">
      <c r="A93" s="502">
        <v>1200044</v>
      </c>
      <c r="B93" s="503" t="s">
        <v>877</v>
      </c>
      <c r="C93" s="936"/>
      <c r="D93" s="936"/>
    </row>
    <row r="94" spans="1:4">
      <c r="A94" s="502">
        <v>120005</v>
      </c>
      <c r="B94" s="503" t="s">
        <v>879</v>
      </c>
      <c r="C94" s="936"/>
      <c r="D94" s="936"/>
    </row>
    <row r="95" spans="1:4">
      <c r="A95" s="502">
        <v>120006</v>
      </c>
      <c r="B95" s="503" t="s">
        <v>880</v>
      </c>
      <c r="C95" s="936"/>
      <c r="D95" s="936"/>
    </row>
    <row r="96" spans="1:4">
      <c r="A96" s="502">
        <v>120007</v>
      </c>
      <c r="B96" s="503" t="s">
        <v>881</v>
      </c>
      <c r="C96" s="936"/>
      <c r="D96" s="936"/>
    </row>
    <row r="97" spans="1:4">
      <c r="A97" s="502">
        <v>120008</v>
      </c>
      <c r="B97" s="503" t="s">
        <v>882</v>
      </c>
      <c r="C97" s="936"/>
      <c r="D97" s="936"/>
    </row>
    <row r="98" spans="1:4">
      <c r="A98" s="502">
        <v>120009</v>
      </c>
      <c r="B98" s="503" t="s">
        <v>883</v>
      </c>
      <c r="C98" s="936"/>
      <c r="D98" s="936"/>
    </row>
    <row r="99" spans="1:4">
      <c r="A99" s="504">
        <v>120013</v>
      </c>
      <c r="B99" s="503" t="s">
        <v>1108</v>
      </c>
      <c r="C99" s="936"/>
      <c r="D99" s="936"/>
    </row>
    <row r="100" spans="1:4">
      <c r="A100" s="504">
        <v>120014</v>
      </c>
      <c r="B100" s="503" t="s">
        <v>1109</v>
      </c>
      <c r="C100" s="936"/>
      <c r="D100" s="936"/>
    </row>
    <row r="101" spans="1:4">
      <c r="A101" s="504">
        <v>120015</v>
      </c>
      <c r="B101" s="503" t="s">
        <v>1110</v>
      </c>
      <c r="C101" s="936"/>
      <c r="D101" s="936"/>
    </row>
    <row r="102" spans="1:4">
      <c r="A102" s="504">
        <v>120016</v>
      </c>
      <c r="B102" s="503" t="s">
        <v>1111</v>
      </c>
      <c r="C102" s="936"/>
      <c r="D102" s="936"/>
    </row>
    <row r="103" spans="1:4">
      <c r="A103" s="509">
        <v>121</v>
      </c>
      <c r="B103" s="514" t="s">
        <v>884</v>
      </c>
      <c r="C103" s="933">
        <f>SUM(C104:C105)</f>
        <v>0</v>
      </c>
      <c r="D103" s="933">
        <f>SUM(D104:D105)</f>
        <v>0</v>
      </c>
    </row>
    <row ht="30" r="104" spans="1:4">
      <c r="A104" s="502">
        <v>121001</v>
      </c>
      <c r="B104" s="503" t="s">
        <v>1112</v>
      </c>
      <c r="C104" s="936"/>
      <c r="D104" s="936"/>
    </row>
    <row r="105" spans="1:4">
      <c r="A105" s="502">
        <v>121002</v>
      </c>
      <c r="B105" s="503" t="s">
        <v>1113</v>
      </c>
      <c r="C105" s="936"/>
      <c r="D105" s="936"/>
    </row>
    <row r="106" spans="1:4">
      <c r="A106" s="509">
        <v>122</v>
      </c>
      <c r="B106" s="514" t="s">
        <v>1114</v>
      </c>
      <c r="C106" s="933">
        <f>SUM(C107:C108)</f>
        <v>0</v>
      </c>
      <c r="D106" s="933">
        <f>SUM(D107:D108)</f>
        <v>0</v>
      </c>
    </row>
    <row r="107" spans="1:4">
      <c r="A107" s="502">
        <v>122001</v>
      </c>
      <c r="B107" s="503" t="s">
        <v>1115</v>
      </c>
      <c r="C107" s="936"/>
      <c r="D107" s="936"/>
    </row>
    <row r="108" spans="1:4">
      <c r="A108" s="502">
        <v>122002</v>
      </c>
      <c r="B108" s="503" t="s">
        <v>1116</v>
      </c>
      <c r="C108" s="936"/>
      <c r="D108" s="936"/>
    </row>
    <row r="109" spans="1:4">
      <c r="A109" s="509">
        <v>123</v>
      </c>
      <c r="B109" s="514" t="s">
        <v>1117</v>
      </c>
      <c r="C109" s="933">
        <f>SUM(C110:C113)</f>
        <v>0</v>
      </c>
      <c r="D109" s="933">
        <f>SUM(D110:D113)</f>
        <v>0</v>
      </c>
    </row>
    <row r="110" spans="1:4">
      <c r="A110" s="502">
        <v>123001</v>
      </c>
      <c r="B110" s="503" t="s">
        <v>1118</v>
      </c>
      <c r="C110" s="936"/>
      <c r="D110" s="936"/>
    </row>
    <row r="111" spans="1:4">
      <c r="A111" s="502">
        <v>123002</v>
      </c>
      <c r="B111" s="503" t="s">
        <v>1119</v>
      </c>
      <c r="C111" s="936"/>
      <c r="D111" s="936"/>
    </row>
    <row r="112" spans="1:4">
      <c r="A112" s="502">
        <v>123003</v>
      </c>
      <c r="B112" s="503" t="s">
        <v>1120</v>
      </c>
      <c r="C112" s="936"/>
      <c r="D112" s="936"/>
    </row>
    <row r="113" spans="1:4">
      <c r="A113" s="502">
        <v>123004</v>
      </c>
      <c r="B113" s="503" t="s">
        <v>1121</v>
      </c>
      <c r="C113" s="936"/>
      <c r="D113" s="936"/>
    </row>
    <row r="114" spans="1:4">
      <c r="A114" s="498">
        <v>124</v>
      </c>
      <c r="B114" s="499" t="s">
        <v>1122</v>
      </c>
      <c r="C114" s="937">
        <f>SUM(C115:C115)</f>
        <v>0</v>
      </c>
      <c r="D114" s="937">
        <f>SUM(D115:D115)</f>
        <v>0</v>
      </c>
    </row>
    <row r="115" spans="1:4">
      <c r="A115" s="500">
        <v>141001</v>
      </c>
      <c r="B115" s="501" t="s">
        <v>1123</v>
      </c>
      <c r="C115" s="938"/>
      <c r="D115" s="938"/>
    </row>
    <row r="116" spans="1:4">
      <c r="A116" s="509">
        <v>13</v>
      </c>
      <c r="B116" s="514" t="s">
        <v>887</v>
      </c>
      <c r="C116" s="932">
        <f>SUM(C117,C127,C134,C142,C148)</f>
        <v>1768734356</v>
      </c>
      <c r="D116" s="932">
        <f>SUM(D117,D127,D134,D142,D148)</f>
        <v>7724834821</v>
      </c>
    </row>
    <row r="117" spans="1:4">
      <c r="A117" s="509">
        <v>1310</v>
      </c>
      <c r="B117" s="514" t="s">
        <v>1124</v>
      </c>
      <c r="C117" s="933">
        <f>SUM(C118:C126)</f>
        <v>223973485</v>
      </c>
      <c r="D117" s="933">
        <f>SUM(D118:D126)</f>
        <v>210667000</v>
      </c>
    </row>
    <row r="118" spans="1:4">
      <c r="A118" s="502">
        <v>131001</v>
      </c>
      <c r="B118" s="503" t="s">
        <v>1125</v>
      </c>
      <c r="C118" s="936">
        <v>223973485</v>
      </c>
      <c r="D118" s="936">
        <v>210667000</v>
      </c>
    </row>
    <row r="119" spans="1:4">
      <c r="A119" s="502">
        <v>131002</v>
      </c>
      <c r="B119" s="503" t="s">
        <v>1126</v>
      </c>
      <c r="C119" s="936"/>
      <c r="D119" s="936"/>
    </row>
    <row r="120" spans="1:4">
      <c r="A120" s="502">
        <v>131003</v>
      </c>
      <c r="B120" s="503" t="s">
        <v>1127</v>
      </c>
      <c r="C120" s="936"/>
      <c r="D120" s="936"/>
    </row>
    <row r="121" spans="1:4">
      <c r="A121" s="502">
        <v>131004</v>
      </c>
      <c r="B121" s="503" t="s">
        <v>1128</v>
      </c>
      <c r="C121" s="936"/>
      <c r="D121" s="936"/>
    </row>
    <row r="122" spans="1:4">
      <c r="A122" s="502">
        <v>131005</v>
      </c>
      <c r="B122" s="503" t="s">
        <v>1129</v>
      </c>
      <c r="C122" s="936"/>
      <c r="D122" s="936"/>
    </row>
    <row r="123" spans="1:4">
      <c r="A123" s="502">
        <v>131006</v>
      </c>
      <c r="B123" s="503" t="s">
        <v>1130</v>
      </c>
      <c r="C123" s="936"/>
      <c r="D123" s="936"/>
    </row>
    <row r="124" spans="1:4">
      <c r="A124" s="502">
        <v>131007</v>
      </c>
      <c r="B124" s="503" t="s">
        <v>1131</v>
      </c>
      <c r="C124" s="936"/>
      <c r="D124" s="936"/>
    </row>
    <row r="125" spans="1:4">
      <c r="A125" s="502">
        <v>131008</v>
      </c>
      <c r="B125" s="503" t="s">
        <v>1132</v>
      </c>
      <c r="C125" s="936"/>
      <c r="D125" s="936"/>
    </row>
    <row r="126" spans="1:4">
      <c r="A126" s="502">
        <v>131009</v>
      </c>
      <c r="B126" s="503" t="s">
        <v>1133</v>
      </c>
      <c r="C126" s="936"/>
      <c r="D126" s="936"/>
    </row>
    <row r="127" spans="1:4">
      <c r="A127" s="509">
        <v>1311</v>
      </c>
      <c r="B127" s="514" t="s">
        <v>1134</v>
      </c>
      <c r="C127" s="933">
        <f>SUM(C128:C133)</f>
        <v>1544760871</v>
      </c>
      <c r="D127" s="933">
        <f>SUM(D128:D133)</f>
        <v>7514167821</v>
      </c>
    </row>
    <row ht="30" r="128" spans="1:4">
      <c r="A128" s="502">
        <v>131101</v>
      </c>
      <c r="B128" s="503" t="s">
        <v>1135</v>
      </c>
      <c r="C128" s="936">
        <v>41448000</v>
      </c>
      <c r="D128" s="936">
        <v>83358902</v>
      </c>
    </row>
    <row ht="30" r="129" spans="1:4">
      <c r="A129" s="502">
        <v>131102</v>
      </c>
      <c r="B129" s="503" t="s">
        <v>1136</v>
      </c>
      <c r="C129" s="936"/>
      <c r="D129" s="936"/>
    </row>
    <row ht="30" r="130" spans="1:4">
      <c r="A130" s="502">
        <v>131103</v>
      </c>
      <c r="B130" s="503" t="s">
        <v>1137</v>
      </c>
      <c r="C130" s="936"/>
      <c r="D130" s="936"/>
    </row>
    <row ht="30" r="131" spans="1:4">
      <c r="A131" s="502">
        <v>131104</v>
      </c>
      <c r="B131" s="503" t="s">
        <v>1138</v>
      </c>
      <c r="C131" s="936">
        <v>1503312871</v>
      </c>
      <c r="D131" s="936">
        <v>7430808919</v>
      </c>
    </row>
    <row ht="30" r="132" spans="1:4">
      <c r="A132" s="502">
        <v>131105</v>
      </c>
      <c r="B132" s="503" t="s">
        <v>1139</v>
      </c>
      <c r="C132" s="936"/>
      <c r="D132" s="936"/>
    </row>
    <row r="133" spans="1:4">
      <c r="A133" s="502">
        <v>131106</v>
      </c>
      <c r="B133" s="503" t="s">
        <v>1140</v>
      </c>
      <c r="C133" s="936"/>
      <c r="D133" s="936"/>
    </row>
    <row r="134" spans="1:4">
      <c r="A134" s="509">
        <v>1320</v>
      </c>
      <c r="B134" s="514" t="s">
        <v>1141</v>
      </c>
      <c r="C134" s="933">
        <f>SUM(C135:C141)</f>
        <v>0</v>
      </c>
      <c r="D134" s="933">
        <f>SUM(D135:D141)</f>
        <v>0</v>
      </c>
    </row>
    <row ht="30" r="135" spans="1:4">
      <c r="A135" s="502">
        <v>132001</v>
      </c>
      <c r="B135" s="503" t="s">
        <v>1142</v>
      </c>
      <c r="C135" s="936"/>
      <c r="D135" s="936"/>
    </row>
    <row r="136" spans="1:4">
      <c r="A136" s="502">
        <v>132002</v>
      </c>
      <c r="B136" s="503" t="s">
        <v>1126</v>
      </c>
      <c r="C136" s="936"/>
      <c r="D136" s="936"/>
    </row>
    <row ht="30" r="137" spans="1:4">
      <c r="A137" s="502">
        <v>132003</v>
      </c>
      <c r="B137" s="503" t="s">
        <v>1143</v>
      </c>
      <c r="C137" s="936"/>
      <c r="D137" s="936"/>
    </row>
    <row r="138" spans="1:4">
      <c r="A138" s="502">
        <v>132004</v>
      </c>
      <c r="B138" s="503" t="s">
        <v>1144</v>
      </c>
      <c r="C138" s="936"/>
      <c r="D138" s="936"/>
    </row>
    <row r="139" spans="1:4">
      <c r="A139" s="502">
        <v>132005</v>
      </c>
      <c r="B139" s="503" t="s">
        <v>1145</v>
      </c>
      <c r="C139" s="936"/>
      <c r="D139" s="936"/>
    </row>
    <row ht="30" r="140" spans="1:4">
      <c r="A140" s="502">
        <v>132006</v>
      </c>
      <c r="B140" s="503" t="s">
        <v>1146</v>
      </c>
      <c r="C140" s="936"/>
      <c r="D140" s="936"/>
    </row>
    <row r="141" spans="1:4">
      <c r="A141" s="502">
        <v>132007</v>
      </c>
      <c r="B141" s="503" t="s">
        <v>1147</v>
      </c>
      <c r="C141" s="936"/>
      <c r="D141" s="936"/>
    </row>
    <row r="142" spans="1:4">
      <c r="A142" s="509">
        <v>1330</v>
      </c>
      <c r="B142" s="514" t="s">
        <v>1148</v>
      </c>
      <c r="C142" s="933">
        <f>SUM(C143:C147)</f>
        <v>0</v>
      </c>
      <c r="D142" s="933">
        <f>SUM(D143:D147)</f>
        <v>0</v>
      </c>
    </row>
    <row r="143" spans="1:4">
      <c r="A143" s="502">
        <v>133001</v>
      </c>
      <c r="B143" s="503" t="s">
        <v>1125</v>
      </c>
      <c r="C143" s="936"/>
      <c r="D143" s="936"/>
    </row>
    <row r="144" spans="1:4">
      <c r="A144" s="502">
        <v>133002</v>
      </c>
      <c r="B144" s="503" t="s">
        <v>1127</v>
      </c>
      <c r="C144" s="936"/>
      <c r="D144" s="936"/>
    </row>
    <row r="145" spans="1:4">
      <c r="A145" s="502">
        <v>133003</v>
      </c>
      <c r="B145" s="503" t="s">
        <v>1149</v>
      </c>
      <c r="C145" s="936"/>
      <c r="D145" s="936"/>
    </row>
    <row r="146" spans="1:4">
      <c r="A146" s="502">
        <v>133004</v>
      </c>
      <c r="B146" s="503" t="s">
        <v>1150</v>
      </c>
      <c r="C146" s="936"/>
      <c r="D146" s="936"/>
    </row>
    <row r="147" spans="1:4">
      <c r="A147" s="502">
        <v>133005</v>
      </c>
      <c r="B147" s="503" t="s">
        <v>1151</v>
      </c>
      <c r="C147" s="936"/>
      <c r="D147" s="936"/>
    </row>
    <row r="148" spans="1:4">
      <c r="A148" s="509">
        <v>1340</v>
      </c>
      <c r="B148" s="514" t="s">
        <v>1152</v>
      </c>
      <c r="C148" s="933">
        <f>SUM(C149:C151)</f>
        <v>0</v>
      </c>
      <c r="D148" s="933">
        <f>SUM(D149:D151)</f>
        <v>0</v>
      </c>
    </row>
    <row r="149" spans="1:4">
      <c r="A149" s="502">
        <v>134001</v>
      </c>
      <c r="B149" s="503" t="s">
        <v>1153</v>
      </c>
      <c r="C149" s="936"/>
      <c r="D149" s="936"/>
    </row>
    <row r="150" spans="1:4">
      <c r="A150" s="502">
        <v>134002</v>
      </c>
      <c r="B150" s="503" t="s">
        <v>1154</v>
      </c>
      <c r="C150" s="936"/>
      <c r="D150" s="936"/>
    </row>
    <row r="151" spans="1:4">
      <c r="A151" s="502">
        <v>134003</v>
      </c>
      <c r="B151" s="503" t="s">
        <v>1155</v>
      </c>
      <c r="C151" s="936"/>
      <c r="D151" s="936"/>
    </row>
    <row ht="16.5" r="152" spans="1:4">
      <c r="A152" s="513">
        <v>2</v>
      </c>
      <c r="B152" s="514" t="s">
        <v>1087</v>
      </c>
      <c r="C152" s="931">
        <f>C153</f>
        <v>1455165882</v>
      </c>
      <c r="D152" s="931">
        <f>D153</f>
        <v>7591507470</v>
      </c>
    </row>
    <row r="153" spans="1:4">
      <c r="A153" s="509">
        <v>21</v>
      </c>
      <c r="B153" s="514" t="s">
        <v>330</v>
      </c>
      <c r="C153" s="932">
        <f>SUM(C154,C216,C221,C226)</f>
        <v>1455165882</v>
      </c>
      <c r="D153" s="932">
        <f>SUM(D154,D216,D221,D226)</f>
        <v>7591507470</v>
      </c>
    </row>
    <row r="154" spans="1:4">
      <c r="A154" s="509">
        <v>210</v>
      </c>
      <c r="B154" s="514" t="s">
        <v>332</v>
      </c>
      <c r="C154" s="932">
        <f>SUM(C155,C162,C169,C175,C186,C190,C195,C199,C213)</f>
        <v>1422729958.73</v>
      </c>
      <c r="D154" s="932">
        <f>SUM(D155,D162,D169,D175,D186,D190,D195,D199,D213)</f>
        <v>7245923168.3100004</v>
      </c>
    </row>
    <row r="155" spans="1:4">
      <c r="A155" s="509">
        <v>2101</v>
      </c>
      <c r="B155" s="514" t="s">
        <v>922</v>
      </c>
      <c r="C155" s="933">
        <f>SUM(C156:C161)</f>
        <v>271763248</v>
      </c>
      <c r="D155" s="933">
        <f>SUM(D156:D161)</f>
        <v>283199422.96000004</v>
      </c>
    </row>
    <row r="156" spans="1:4">
      <c r="A156" s="502">
        <v>210101</v>
      </c>
      <c r="B156" s="503" t="s">
        <v>1174</v>
      </c>
      <c r="C156" s="936">
        <v>240921885</v>
      </c>
      <c r="D156" s="936">
        <v>216541274.96000001</v>
      </c>
    </row>
    <row r="157" spans="1:4">
      <c r="A157" s="502">
        <v>210102</v>
      </c>
      <c r="B157" s="503" t="s">
        <v>1173</v>
      </c>
      <c r="C157" s="936"/>
      <c r="D157" s="936">
        <v>34271520</v>
      </c>
    </row>
    <row r="158" spans="1:4">
      <c r="A158" s="502">
        <v>210103</v>
      </c>
      <c r="B158" s="503" t="s">
        <v>1172</v>
      </c>
      <c r="C158" s="936">
        <v>30841363</v>
      </c>
      <c r="D158" s="936">
        <v>32386628</v>
      </c>
    </row>
    <row r="159" spans="1:4">
      <c r="A159" s="502">
        <v>210104</v>
      </c>
      <c r="B159" s="503" t="s">
        <v>1171</v>
      </c>
      <c r="C159" s="936"/>
      <c r="D159" s="936"/>
    </row>
    <row r="160" spans="1:4">
      <c r="A160" s="502">
        <v>210105</v>
      </c>
      <c r="B160" s="503" t="s">
        <v>1170</v>
      </c>
      <c r="C160" s="936"/>
      <c r="D160" s="936"/>
    </row>
    <row r="161" spans="1:4">
      <c r="A161" s="502">
        <v>210106</v>
      </c>
      <c r="B161" s="503" t="s">
        <v>1169</v>
      </c>
      <c r="C161" s="936"/>
      <c r="D161" s="936"/>
    </row>
    <row r="162" spans="1:4">
      <c r="A162" s="509">
        <v>2102</v>
      </c>
      <c r="B162" s="514" t="s">
        <v>1168</v>
      </c>
      <c r="C162" s="933">
        <f>SUM(C163:C168)</f>
        <v>29447817.09</v>
      </c>
      <c r="D162" s="933">
        <f>SUM(D163:D168)</f>
        <v>32145283.07</v>
      </c>
    </row>
    <row r="163" spans="1:4">
      <c r="A163" s="502">
        <v>210201</v>
      </c>
      <c r="B163" s="503" t="s">
        <v>931</v>
      </c>
      <c r="C163" s="936">
        <v>19884023.09</v>
      </c>
      <c r="D163" s="936">
        <v>21125969.620000001</v>
      </c>
    </row>
    <row r="164" spans="1:4">
      <c r="A164" s="502">
        <v>210202</v>
      </c>
      <c r="B164" s="503" t="s">
        <v>932</v>
      </c>
      <c r="C164" s="936">
        <v>1995383.77</v>
      </c>
      <c r="D164" s="936">
        <v>2691123.69</v>
      </c>
    </row>
    <row r="165" spans="1:4">
      <c r="A165" s="502">
        <v>210203</v>
      </c>
      <c r="B165" s="503" t="s">
        <v>933</v>
      </c>
      <c r="C165" s="936">
        <v>2365126.67</v>
      </c>
      <c r="D165" s="936">
        <v>2215240.34</v>
      </c>
    </row>
    <row r="166" spans="1:4">
      <c r="A166" s="502">
        <v>210204</v>
      </c>
      <c r="B166" s="503" t="s">
        <v>934</v>
      </c>
      <c r="C166" s="936">
        <v>473025.54</v>
      </c>
      <c r="D166" s="936">
        <v>555506.57999999996</v>
      </c>
    </row>
    <row r="167" spans="1:4">
      <c r="A167" s="502">
        <v>210205</v>
      </c>
      <c r="B167" s="503" t="s">
        <v>935</v>
      </c>
      <c r="C167" s="936">
        <v>4730258.0199999996</v>
      </c>
      <c r="D167" s="936">
        <v>5557442.8399999999</v>
      </c>
    </row>
    <row r="168" spans="1:4">
      <c r="A168" s="502">
        <v>210206</v>
      </c>
      <c r="B168" s="503" t="s">
        <v>1056</v>
      </c>
      <c r="C168" s="936"/>
      <c r="D168" s="936"/>
    </row>
    <row r="169" spans="1:4">
      <c r="A169" s="509">
        <v>2103</v>
      </c>
      <c r="B169" s="514" t="s">
        <v>929</v>
      </c>
      <c r="C169" s="933">
        <f>SUM(C170:C174)</f>
        <v>10359638</v>
      </c>
      <c r="D169" s="933">
        <f>SUM(D170:D174)</f>
        <v>17859070</v>
      </c>
    </row>
    <row r="170" spans="1:4">
      <c r="A170" s="502">
        <v>210301</v>
      </c>
      <c r="B170" s="503" t="s">
        <v>1167</v>
      </c>
      <c r="C170" s="936">
        <v>2792350</v>
      </c>
      <c r="D170" s="936">
        <v>5452800</v>
      </c>
    </row>
    <row r="171" spans="1:4">
      <c r="A171" s="502">
        <v>210302</v>
      </c>
      <c r="B171" s="503" t="s">
        <v>1166</v>
      </c>
      <c r="C171" s="936">
        <v>5687288</v>
      </c>
      <c r="D171" s="936">
        <v>12406270</v>
      </c>
    </row>
    <row r="172" spans="1:4">
      <c r="A172" s="502">
        <v>210303</v>
      </c>
      <c r="B172" s="503" t="s">
        <v>1165</v>
      </c>
      <c r="C172" s="936">
        <v>705000</v>
      </c>
      <c r="D172" s="936"/>
    </row>
    <row r="173" spans="1:4">
      <c r="A173" s="502">
        <v>210304</v>
      </c>
      <c r="B173" s="503" t="s">
        <v>1164</v>
      </c>
      <c r="C173" s="936">
        <v>1175000</v>
      </c>
      <c r="D173" s="936"/>
    </row>
    <row r="174" spans="1:4">
      <c r="A174" s="502">
        <v>210305</v>
      </c>
      <c r="B174" s="503" t="s">
        <v>1163</v>
      </c>
      <c r="C174" s="936"/>
      <c r="D174" s="936"/>
    </row>
    <row r="175" spans="1:4">
      <c r="A175" s="509">
        <v>2104</v>
      </c>
      <c r="B175" s="514" t="s">
        <v>930</v>
      </c>
      <c r="C175" s="933">
        <f>SUM(C176:C185)</f>
        <v>38442308.640000001</v>
      </c>
      <c r="D175" s="933">
        <f>SUM(D176:D185)</f>
        <v>41262687.280000001</v>
      </c>
    </row>
    <row r="176" spans="1:4">
      <c r="A176" s="502">
        <v>210401</v>
      </c>
      <c r="B176" s="503" t="s">
        <v>1162</v>
      </c>
      <c r="C176" s="936">
        <v>9134785</v>
      </c>
      <c r="D176" s="936">
        <v>11821800</v>
      </c>
    </row>
    <row r="177" spans="1:4">
      <c r="A177" s="502">
        <v>210402</v>
      </c>
      <c r="B177" s="503" t="s">
        <v>1161</v>
      </c>
      <c r="C177" s="936">
        <v>11782000</v>
      </c>
      <c r="D177" s="936">
        <v>10975100</v>
      </c>
    </row>
    <row r="178" spans="1:4">
      <c r="A178" s="502">
        <v>210403</v>
      </c>
      <c r="B178" s="503" t="s">
        <v>1160</v>
      </c>
      <c r="C178" s="936">
        <v>10118323.640000001</v>
      </c>
      <c r="D178" s="936">
        <v>8973241.2799999993</v>
      </c>
    </row>
    <row r="179" spans="1:4">
      <c r="A179" s="502">
        <v>210404</v>
      </c>
      <c r="B179" s="503" t="s">
        <v>1159</v>
      </c>
      <c r="C179" s="936">
        <v>509500</v>
      </c>
      <c r="D179" s="936">
        <v>7386890</v>
      </c>
    </row>
    <row r="180" spans="1:4">
      <c r="A180" s="502">
        <v>210405</v>
      </c>
      <c r="B180" s="503" t="s">
        <v>1158</v>
      </c>
      <c r="C180" s="936"/>
      <c r="D180" s="936"/>
    </row>
    <row r="181" spans="1:4">
      <c r="A181" s="502">
        <v>210406</v>
      </c>
      <c r="B181" s="503" t="s">
        <v>1157</v>
      </c>
      <c r="C181" s="936">
        <v>6897700</v>
      </c>
      <c r="D181" s="936">
        <v>2105656</v>
      </c>
    </row>
    <row r="182" spans="1:4">
      <c r="A182" s="502">
        <v>210407</v>
      </c>
      <c r="B182" s="503" t="s">
        <v>1156</v>
      </c>
      <c r="C182" s="936"/>
      <c r="D182" s="936"/>
    </row>
    <row r="183" spans="1:4">
      <c r="A183" s="502">
        <v>210408</v>
      </c>
      <c r="B183" s="503" t="s">
        <v>946</v>
      </c>
      <c r="C183" s="936"/>
      <c r="D183" s="936"/>
    </row>
    <row r="184" spans="1:4">
      <c r="A184" s="504">
        <v>210409</v>
      </c>
      <c r="B184" s="503" t="s">
        <v>1058</v>
      </c>
      <c r="C184" s="936"/>
      <c r="D184" s="936"/>
    </row>
    <row r="185" spans="1:4">
      <c r="A185" s="504">
        <v>210410</v>
      </c>
      <c r="B185" s="503" t="s">
        <v>1050</v>
      </c>
      <c r="C185" s="936"/>
      <c r="D185" s="936"/>
    </row>
    <row r="186" spans="1:4">
      <c r="A186" s="509">
        <v>2105</v>
      </c>
      <c r="B186" s="514" t="s">
        <v>354</v>
      </c>
      <c r="C186" s="933">
        <f>SUM(C187:C189)</f>
        <v>7364130</v>
      </c>
      <c r="D186" s="933">
        <f>SUM(D187:D189)</f>
        <v>5218400</v>
      </c>
    </row>
    <row r="187" spans="1:4">
      <c r="A187" s="502">
        <v>210501</v>
      </c>
      <c r="B187" s="503" t="s">
        <v>355</v>
      </c>
      <c r="C187" s="936"/>
      <c r="D187" s="936"/>
    </row>
    <row r="188" spans="1:4">
      <c r="A188" s="502">
        <v>210502</v>
      </c>
      <c r="B188" s="503" t="s">
        <v>356</v>
      </c>
      <c r="C188" s="936"/>
      <c r="D188" s="936"/>
    </row>
    <row r="189" spans="1:4">
      <c r="A189" s="502">
        <v>210503</v>
      </c>
      <c r="B189" s="503" t="s">
        <v>357</v>
      </c>
      <c r="C189" s="936">
        <v>7364130</v>
      </c>
      <c r="D189" s="936">
        <v>5218400</v>
      </c>
    </row>
    <row r="190" spans="1:4">
      <c r="A190" s="509">
        <v>2106</v>
      </c>
      <c r="B190" s="514" t="s">
        <v>358</v>
      </c>
      <c r="C190" s="933">
        <f>SUM(C191:C194)</f>
        <v>30711612</v>
      </c>
      <c r="D190" s="933">
        <f>SUM(D191:D194)</f>
        <v>56266100</v>
      </c>
    </row>
    <row r="191" spans="1:4">
      <c r="A191" s="502">
        <v>210601</v>
      </c>
      <c r="B191" s="503" t="s">
        <v>359</v>
      </c>
      <c r="C191" s="936">
        <v>15849902</v>
      </c>
      <c r="D191" s="936">
        <v>45390900</v>
      </c>
    </row>
    <row r="192" spans="1:4">
      <c r="A192" s="502">
        <v>210602</v>
      </c>
      <c r="B192" s="503" t="s">
        <v>360</v>
      </c>
      <c r="C192" s="936"/>
      <c r="D192" s="936"/>
    </row>
    <row r="193" spans="1:4">
      <c r="A193" s="502">
        <v>210603</v>
      </c>
      <c r="B193" s="503" t="s">
        <v>361</v>
      </c>
      <c r="C193" s="936">
        <v>1770200</v>
      </c>
      <c r="D193" s="936">
        <v>1941000</v>
      </c>
    </row>
    <row r="194" spans="1:4">
      <c r="A194" s="502">
        <v>210604</v>
      </c>
      <c r="B194" s="503" t="s">
        <v>362</v>
      </c>
      <c r="C194" s="936">
        <v>13091510</v>
      </c>
      <c r="D194" s="936">
        <v>8934200</v>
      </c>
    </row>
    <row r="195" spans="1:4">
      <c r="A195" s="513">
        <v>2107</v>
      </c>
      <c r="B195" s="514" t="s">
        <v>363</v>
      </c>
      <c r="C195" s="933">
        <f>SUM(C196:C198)</f>
        <v>0</v>
      </c>
      <c r="D195" s="933">
        <f>SUM(D196:D198)</f>
        <v>79908250</v>
      </c>
    </row>
    <row r="196" spans="1:4">
      <c r="A196" s="502">
        <v>210701</v>
      </c>
      <c r="B196" s="503" t="s">
        <v>364</v>
      </c>
      <c r="C196" s="936"/>
      <c r="D196" s="936">
        <v>79908250</v>
      </c>
    </row>
    <row r="197" spans="1:4">
      <c r="A197" s="502">
        <v>210702</v>
      </c>
      <c r="B197" s="503" t="s">
        <v>365</v>
      </c>
      <c r="C197" s="936"/>
      <c r="D197" s="936"/>
    </row>
    <row r="198" spans="1:4">
      <c r="A198" s="502">
        <v>210703</v>
      </c>
      <c r="B198" s="503" t="s">
        <v>366</v>
      </c>
      <c r="C198" s="936"/>
      <c r="D198" s="936"/>
    </row>
    <row ht="28.5" r="199" spans="1:4">
      <c r="A199" s="509">
        <v>2108</v>
      </c>
      <c r="B199" s="514" t="s">
        <v>367</v>
      </c>
      <c r="C199" s="933">
        <f>SUM(C200:C212)</f>
        <v>994086445</v>
      </c>
      <c r="D199" s="933">
        <f>SUM(D200:D212)</f>
        <v>6689609465</v>
      </c>
    </row>
    <row ht="30" r="200" spans="1:4">
      <c r="A200" s="502">
        <v>210801</v>
      </c>
      <c r="B200" s="503" t="s">
        <v>368</v>
      </c>
      <c r="C200" s="936">
        <v>985381193</v>
      </c>
      <c r="D200" s="936">
        <v>6686115795</v>
      </c>
    </row>
    <row r="201" spans="1:4">
      <c r="A201" s="502">
        <v>210802</v>
      </c>
      <c r="B201" s="503" t="s">
        <v>456</v>
      </c>
      <c r="C201" s="936">
        <v>3000000</v>
      </c>
      <c r="D201" s="936"/>
    </row>
    <row r="202" spans="1:4">
      <c r="A202" s="502">
        <v>210803</v>
      </c>
      <c r="B202" s="503" t="s">
        <v>369</v>
      </c>
      <c r="C202" s="936">
        <v>4963752</v>
      </c>
      <c r="D202" s="936">
        <v>2701770</v>
      </c>
    </row>
    <row r="203" spans="1:4">
      <c r="A203" s="502">
        <v>210804</v>
      </c>
      <c r="B203" s="503" t="s">
        <v>370</v>
      </c>
      <c r="C203" s="936">
        <v>637000</v>
      </c>
      <c r="D203" s="936">
        <v>633500</v>
      </c>
    </row>
    <row r="204" spans="1:4">
      <c r="A204" s="502">
        <v>210805</v>
      </c>
      <c r="B204" s="503" t="s">
        <v>371</v>
      </c>
      <c r="C204" s="936">
        <v>104500</v>
      </c>
      <c r="D204" s="936">
        <v>158400</v>
      </c>
    </row>
    <row r="205" spans="1:4">
      <c r="A205" s="502">
        <v>210806</v>
      </c>
      <c r="B205" s="503" t="s">
        <v>372</v>
      </c>
      <c r="C205" s="936"/>
      <c r="D205" s="936"/>
    </row>
    <row r="206" spans="1:4">
      <c r="A206" s="502">
        <v>210807</v>
      </c>
      <c r="B206" s="503" t="s">
        <v>457</v>
      </c>
      <c r="C206" s="936"/>
      <c r="D206" s="936"/>
    </row>
    <row r="207" spans="1:4">
      <c r="A207" s="502">
        <v>210808</v>
      </c>
      <c r="B207" s="503" t="s">
        <v>374</v>
      </c>
      <c r="C207" s="936"/>
      <c r="D207" s="936"/>
    </row>
    <row r="208" spans="1:4">
      <c r="A208" s="502">
        <v>210809</v>
      </c>
      <c r="B208" s="503" t="s">
        <v>376</v>
      </c>
      <c r="C208" s="936"/>
      <c r="D208" s="936"/>
    </row>
    <row r="209" spans="1:4">
      <c r="A209" s="504">
        <v>210815</v>
      </c>
      <c r="B209" s="503" t="s">
        <v>657</v>
      </c>
      <c r="C209" s="936"/>
      <c r="D209" s="936"/>
    </row>
    <row r="210" spans="1:4">
      <c r="A210" s="504">
        <v>210816</v>
      </c>
      <c r="B210" s="503" t="s">
        <v>658</v>
      </c>
      <c r="C210" s="936"/>
      <c r="D210" s="936"/>
    </row>
    <row r="211" spans="1:4">
      <c r="A211" s="504">
        <v>210817</v>
      </c>
      <c r="B211" s="503" t="s">
        <v>659</v>
      </c>
      <c r="C211" s="936"/>
      <c r="D211" s="936"/>
    </row>
    <row r="212" spans="1:4">
      <c r="A212" s="504">
        <v>210818</v>
      </c>
      <c r="B212" s="503" t="s">
        <v>660</v>
      </c>
      <c r="C212" s="936"/>
      <c r="D212" s="936"/>
    </row>
    <row r="213" spans="1:4">
      <c r="A213" s="509">
        <v>2109</v>
      </c>
      <c r="B213" s="514" t="s">
        <v>378</v>
      </c>
      <c r="C213" s="933">
        <f>SUM(C214:C215)</f>
        <v>40554760</v>
      </c>
      <c r="D213" s="933">
        <f>SUM(D214:D215)</f>
        <v>40454490</v>
      </c>
    </row>
    <row r="214" spans="1:4">
      <c r="A214" s="502">
        <v>210901</v>
      </c>
      <c r="B214" s="503" t="s">
        <v>380</v>
      </c>
      <c r="C214" s="936">
        <v>10244760</v>
      </c>
      <c r="D214" s="936">
        <v>40254490</v>
      </c>
    </row>
    <row r="215" spans="1:4">
      <c r="A215" s="502">
        <v>210902</v>
      </c>
      <c r="B215" s="503" t="s">
        <v>458</v>
      </c>
      <c r="C215" s="936">
        <v>30310000</v>
      </c>
      <c r="D215" s="936">
        <v>200000</v>
      </c>
    </row>
    <row r="216" spans="1:4">
      <c r="A216" s="509">
        <v>211</v>
      </c>
      <c r="B216" s="514" t="s">
        <v>383</v>
      </c>
      <c r="C216" s="932">
        <f>C217+C219</f>
        <v>0</v>
      </c>
      <c r="D216" s="932">
        <f>D217+D219</f>
        <v>0</v>
      </c>
    </row>
    <row r="217" spans="1:4">
      <c r="A217" s="509">
        <v>2111</v>
      </c>
      <c r="B217" s="514" t="s">
        <v>385</v>
      </c>
      <c r="C217" s="933">
        <f>+C218</f>
        <v>0</v>
      </c>
      <c r="D217" s="933">
        <f>+D218</f>
        <v>0</v>
      </c>
    </row>
    <row r="218" spans="1:4">
      <c r="A218" s="502">
        <v>211101</v>
      </c>
      <c r="B218" s="503" t="s">
        <v>387</v>
      </c>
      <c r="C218" s="936"/>
      <c r="D218" s="936"/>
    </row>
    <row r="219" spans="1:4">
      <c r="A219" s="509">
        <v>2112</v>
      </c>
      <c r="B219" s="514" t="s">
        <v>389</v>
      </c>
      <c r="C219" s="933">
        <f>+C220</f>
        <v>0</v>
      </c>
      <c r="D219" s="933">
        <f>+D220</f>
        <v>0</v>
      </c>
    </row>
    <row r="220" spans="1:4">
      <c r="A220" s="502">
        <v>211201</v>
      </c>
      <c r="B220" s="503" t="s">
        <v>391</v>
      </c>
      <c r="C220" s="936"/>
      <c r="D220" s="936"/>
    </row>
    <row r="221" spans="1:4">
      <c r="A221" s="509">
        <v>212</v>
      </c>
      <c r="B221" s="514" t="s">
        <v>393</v>
      </c>
      <c r="C221" s="932">
        <f>C222+C224</f>
        <v>0</v>
      </c>
      <c r="D221" s="932">
        <f>D222+D224</f>
        <v>0</v>
      </c>
    </row>
    <row r="222" spans="1:4">
      <c r="A222" s="509">
        <v>2121</v>
      </c>
      <c r="B222" s="514" t="s">
        <v>395</v>
      </c>
      <c r="C222" s="933">
        <f>+C223</f>
        <v>0</v>
      </c>
      <c r="D222" s="933">
        <f>+D223</f>
        <v>0</v>
      </c>
    </row>
    <row r="223" spans="1:4">
      <c r="A223" s="502">
        <v>212101</v>
      </c>
      <c r="B223" s="503" t="s">
        <v>397</v>
      </c>
      <c r="C223" s="936"/>
      <c r="D223" s="936"/>
    </row>
    <row r="224" spans="1:4">
      <c r="A224" s="509">
        <v>2122</v>
      </c>
      <c r="B224" s="514" t="s">
        <v>399</v>
      </c>
      <c r="C224" s="933">
        <f>+C225</f>
        <v>0</v>
      </c>
      <c r="D224" s="933">
        <f>+D225</f>
        <v>0</v>
      </c>
    </row>
    <row r="225" spans="1:4">
      <c r="A225" s="502">
        <v>212201</v>
      </c>
      <c r="B225" s="503" t="s">
        <v>401</v>
      </c>
      <c r="C225" s="936"/>
      <c r="D225" s="936"/>
    </row>
    <row r="226" spans="1:4">
      <c r="A226" s="509">
        <v>213</v>
      </c>
      <c r="B226" s="514" t="s">
        <v>403</v>
      </c>
      <c r="C226" s="932">
        <f>SUM(C227,C230,C239,C244,C249)</f>
        <v>32435923.27</v>
      </c>
      <c r="D226" s="932">
        <f>SUM(D227,D230,D239,D244,D249)</f>
        <v>345584301.69</v>
      </c>
    </row>
    <row r="227" spans="1:4">
      <c r="A227" s="509">
        <v>2131</v>
      </c>
      <c r="B227" s="514" t="s">
        <v>405</v>
      </c>
      <c r="C227" s="933">
        <f>SUM(C228:C229)</f>
        <v>0</v>
      </c>
      <c r="D227" s="933">
        <f>SUM(D228:D229)</f>
        <v>0</v>
      </c>
    </row>
    <row r="228" spans="1:4">
      <c r="A228" s="502">
        <v>213101</v>
      </c>
      <c r="B228" s="503" t="s">
        <v>407</v>
      </c>
      <c r="C228" s="936"/>
      <c r="D228" s="936"/>
    </row>
    <row r="229" spans="1:4">
      <c r="A229" s="502">
        <v>213102</v>
      </c>
      <c r="B229" s="503" t="s">
        <v>409</v>
      </c>
      <c r="C229" s="936"/>
      <c r="D229" s="936"/>
    </row>
    <row r="230" spans="1:4">
      <c r="A230" s="509">
        <v>2132</v>
      </c>
      <c r="B230" s="514" t="s">
        <v>411</v>
      </c>
      <c r="C230" s="933">
        <f>SUM(C231:C238)</f>
        <v>2568385</v>
      </c>
      <c r="D230" s="933">
        <f>SUM(D231:D238)</f>
        <v>3600000</v>
      </c>
    </row>
    <row r="231" spans="1:4">
      <c r="A231" s="502">
        <v>213202</v>
      </c>
      <c r="B231" s="503" t="s">
        <v>413</v>
      </c>
      <c r="C231" s="936"/>
      <c r="D231" s="936"/>
    </row>
    <row r="232" spans="1:4">
      <c r="A232" s="502">
        <v>213203</v>
      </c>
      <c r="B232" s="503" t="s">
        <v>415</v>
      </c>
      <c r="C232" s="936"/>
      <c r="D232" s="936"/>
    </row>
    <row r="233" spans="1:4">
      <c r="A233" s="502">
        <v>213204</v>
      </c>
      <c r="B233" s="503" t="s">
        <v>459</v>
      </c>
      <c r="C233" s="936"/>
      <c r="D233" s="936"/>
    </row>
    <row r="234" spans="1:4">
      <c r="A234" s="502">
        <v>213205</v>
      </c>
      <c r="B234" s="503" t="s">
        <v>418</v>
      </c>
      <c r="C234" s="936"/>
      <c r="D234" s="936"/>
    </row>
    <row r="235" spans="1:4">
      <c r="A235" s="502">
        <v>213206</v>
      </c>
      <c r="B235" s="503" t="s">
        <v>420</v>
      </c>
      <c r="C235" s="936"/>
      <c r="D235" s="936"/>
    </row>
    <row r="236" spans="1:4">
      <c r="A236" s="502">
        <v>213207</v>
      </c>
      <c r="B236" s="503" t="s">
        <v>422</v>
      </c>
      <c r="C236" s="936">
        <v>2568385</v>
      </c>
      <c r="D236" s="936"/>
    </row>
    <row ht="30" r="237" spans="1:4">
      <c r="A237" s="502">
        <v>213208</v>
      </c>
      <c r="B237" s="503" t="s">
        <v>460</v>
      </c>
      <c r="C237" s="936"/>
      <c r="D237" s="936"/>
    </row>
    <row r="238" spans="1:4">
      <c r="A238" s="502">
        <v>213209</v>
      </c>
      <c r="B238" s="503" t="s">
        <v>461</v>
      </c>
      <c r="C238" s="936"/>
      <c r="D238" s="936">
        <v>3600000</v>
      </c>
    </row>
    <row r="239" spans="1:4">
      <c r="A239" s="509">
        <v>2133</v>
      </c>
      <c r="B239" s="514" t="s">
        <v>425</v>
      </c>
      <c r="C239" s="933">
        <f>SUM(C240:C243)</f>
        <v>29867538.27</v>
      </c>
      <c r="D239" s="933">
        <f>SUM(D240:D243)</f>
        <v>341984301.69</v>
      </c>
    </row>
    <row r="240" spans="1:4">
      <c r="A240" s="502">
        <v>213301</v>
      </c>
      <c r="B240" s="503" t="s">
        <v>310</v>
      </c>
      <c r="C240" s="936"/>
      <c r="D240" s="936"/>
    </row>
    <row r="241" spans="1:4">
      <c r="A241" s="502">
        <v>213302</v>
      </c>
      <c r="B241" s="503" t="s">
        <v>426</v>
      </c>
      <c r="C241" s="936"/>
      <c r="D241" s="936"/>
    </row>
    <row r="242" spans="1:4">
      <c r="A242" s="502">
        <v>213303</v>
      </c>
      <c r="B242" s="503" t="s">
        <v>311</v>
      </c>
      <c r="C242" s="936">
        <v>29867538.27</v>
      </c>
      <c r="D242" s="936">
        <v>341984301.69</v>
      </c>
    </row>
    <row r="243" spans="1:4">
      <c r="A243" s="502">
        <v>213304</v>
      </c>
      <c r="B243" s="503" t="s">
        <v>323</v>
      </c>
      <c r="C243" s="936"/>
      <c r="D243" s="936"/>
    </row>
    <row ht="28.5" r="244" spans="1:4">
      <c r="A244" s="509">
        <v>2134</v>
      </c>
      <c r="B244" s="514" t="s">
        <v>427</v>
      </c>
      <c r="C244" s="933">
        <f>SUM(C245:C248)</f>
        <v>0</v>
      </c>
      <c r="D244" s="933">
        <f>SUM(D245:D248)</f>
        <v>0</v>
      </c>
    </row>
    <row r="245" spans="1:4">
      <c r="A245" s="502">
        <v>213401</v>
      </c>
      <c r="B245" s="503" t="s">
        <v>428</v>
      </c>
      <c r="C245" s="936"/>
      <c r="D245" s="936"/>
    </row>
    <row r="246" spans="1:4">
      <c r="A246" s="502">
        <v>213402</v>
      </c>
      <c r="B246" s="503" t="s">
        <v>429</v>
      </c>
      <c r="C246" s="936"/>
      <c r="D246" s="936"/>
    </row>
    <row r="247" spans="1:4">
      <c r="A247" s="502">
        <v>213403</v>
      </c>
      <c r="B247" s="503" t="s">
        <v>311</v>
      </c>
      <c r="C247" s="936"/>
      <c r="D247" s="936"/>
    </row>
    <row r="248" spans="1:4">
      <c r="A248" s="502">
        <v>213404</v>
      </c>
      <c r="B248" s="503" t="s">
        <v>323</v>
      </c>
      <c r="C248" s="936"/>
      <c r="D248" s="936"/>
    </row>
    <row r="249" spans="1:4">
      <c r="A249" s="509">
        <v>2135</v>
      </c>
      <c r="B249" s="514" t="s">
        <v>430</v>
      </c>
      <c r="C249" s="933">
        <f>SUM(C250:C254)</f>
        <v>0</v>
      </c>
      <c r="D249" s="933">
        <f>SUM(D250:D254)</f>
        <v>0</v>
      </c>
    </row>
    <row r="250" spans="1:4">
      <c r="A250" s="502">
        <v>213501</v>
      </c>
      <c r="B250" s="503" t="s">
        <v>310</v>
      </c>
      <c r="C250" s="936"/>
      <c r="D250" s="936"/>
    </row>
    <row r="251" spans="1:4">
      <c r="A251" s="502">
        <v>213502</v>
      </c>
      <c r="B251" s="503" t="s">
        <v>426</v>
      </c>
      <c r="C251" s="936"/>
      <c r="D251" s="936"/>
    </row>
    <row r="252" spans="1:4">
      <c r="A252" s="502">
        <v>213503</v>
      </c>
      <c r="B252" s="503" t="s">
        <v>311</v>
      </c>
      <c r="C252" s="936"/>
      <c r="D252" s="936"/>
    </row>
    <row r="253" spans="1:4">
      <c r="A253" s="502">
        <v>213504</v>
      </c>
      <c r="B253" s="503" t="s">
        <v>323</v>
      </c>
      <c r="C253" s="936"/>
      <c r="D253" s="936"/>
    </row>
    <row r="254" spans="1:4">
      <c r="A254" s="502">
        <v>213505</v>
      </c>
      <c r="B254" s="503" t="s">
        <v>324</v>
      </c>
      <c r="C254" s="936"/>
      <c r="D254" s="936"/>
    </row>
    <row ht="28.5" r="255" spans="1:4">
      <c r="A255" s="513">
        <v>3</v>
      </c>
      <c r="B255" s="514" t="s">
        <v>2292</v>
      </c>
      <c r="C255" s="939">
        <f>C9-C152</f>
        <v>323328474</v>
      </c>
      <c r="D255" s="939">
        <f>D9-D152</f>
        <v>145691941</v>
      </c>
    </row>
    <row ht="28.5" r="256" spans="1:4">
      <c r="A256" s="518"/>
      <c r="B256" s="519" t="s">
        <v>633</v>
      </c>
      <c r="C256" s="940"/>
      <c r="D256" s="940"/>
    </row>
    <row r="257" spans="1:4">
      <c r="A257" s="513">
        <v>4</v>
      </c>
      <c r="B257" s="514" t="s">
        <v>1085</v>
      </c>
      <c r="C257" s="932">
        <f>SUM(C258:C265)</f>
        <v>0</v>
      </c>
      <c r="D257" s="932">
        <f>SUM(D258:D265)</f>
        <v>0</v>
      </c>
    </row>
    <row r="258" spans="1:4">
      <c r="A258" s="502">
        <v>140001</v>
      </c>
      <c r="B258" s="503" t="s">
        <v>462</v>
      </c>
      <c r="C258" s="936"/>
      <c r="D258" s="936"/>
    </row>
    <row r="259" spans="1:4">
      <c r="A259" s="502">
        <v>140002</v>
      </c>
      <c r="B259" s="503" t="s">
        <v>463</v>
      </c>
      <c r="C259" s="936"/>
      <c r="D259" s="936"/>
    </row>
    <row r="260" spans="1:4">
      <c r="A260" s="502">
        <v>140003</v>
      </c>
      <c r="B260" s="503" t="s">
        <v>464</v>
      </c>
      <c r="C260" s="936"/>
      <c r="D260" s="936"/>
    </row>
    <row r="261" spans="1:4">
      <c r="A261" s="502">
        <v>140004</v>
      </c>
      <c r="B261" s="503" t="s">
        <v>446</v>
      </c>
      <c r="C261" s="936"/>
      <c r="D261" s="936"/>
    </row>
    <row r="262" spans="1:4">
      <c r="A262" s="502">
        <v>140005</v>
      </c>
      <c r="B262" s="503" t="s">
        <v>640</v>
      </c>
      <c r="C262" s="936"/>
      <c r="D262" s="936"/>
    </row>
    <row r="263" spans="1:4">
      <c r="A263" s="502">
        <v>140006</v>
      </c>
      <c r="B263" s="503" t="s">
        <v>641</v>
      </c>
      <c r="C263" s="936"/>
      <c r="D263" s="936"/>
    </row>
    <row r="264" spans="1:4">
      <c r="A264" s="504">
        <v>140007</v>
      </c>
      <c r="B264" s="503" t="s">
        <v>642</v>
      </c>
      <c r="C264" s="936"/>
      <c r="D264" s="936"/>
    </row>
    <row r="265" spans="1:4">
      <c r="A265" s="504">
        <v>140008</v>
      </c>
      <c r="B265" s="503" t="s">
        <v>643</v>
      </c>
      <c r="C265" s="936"/>
      <c r="D265" s="936"/>
    </row>
    <row r="266" spans="1:4">
      <c r="A266" s="513">
        <v>5</v>
      </c>
      <c r="B266" s="514" t="s">
        <v>2293</v>
      </c>
      <c r="C266" s="932">
        <f>SUM(C267)</f>
        <v>162537120</v>
      </c>
      <c r="D266" s="932">
        <f>SUM(D267)</f>
        <v>0</v>
      </c>
    </row>
    <row r="267" spans="1:4">
      <c r="A267" s="513">
        <v>22</v>
      </c>
      <c r="B267" s="514" t="s">
        <v>432</v>
      </c>
      <c r="C267" s="932">
        <f>SUM(C268,C280)</f>
        <v>162537120</v>
      </c>
      <c r="D267" s="932">
        <f>SUM(D268,D280)</f>
        <v>0</v>
      </c>
    </row>
    <row r="268" spans="1:4">
      <c r="A268" s="509">
        <v>2200</v>
      </c>
      <c r="B268" s="514" t="s">
        <v>1070</v>
      </c>
      <c r="C268" s="933">
        <f>SUM(C269:C279)</f>
        <v>162537120</v>
      </c>
      <c r="D268" s="933">
        <f>SUM(D269:D279)</f>
        <v>0</v>
      </c>
    </row>
    <row r="269" spans="1:4">
      <c r="A269" s="502">
        <v>220001</v>
      </c>
      <c r="B269" s="503" t="s">
        <v>1071</v>
      </c>
      <c r="C269" s="936"/>
      <c r="D269" s="936"/>
    </row>
    <row r="270" spans="1:4">
      <c r="A270" s="502">
        <v>221001</v>
      </c>
      <c r="B270" s="503" t="s">
        <v>1072</v>
      </c>
      <c r="C270" s="936"/>
      <c r="D270" s="936"/>
    </row>
    <row r="271" spans="1:4">
      <c r="A271" s="502">
        <v>222001</v>
      </c>
      <c r="B271" s="503" t="s">
        <v>1073</v>
      </c>
      <c r="C271" s="936"/>
      <c r="D271" s="936"/>
    </row>
    <row r="272" spans="1:4">
      <c r="A272" s="502">
        <v>223001</v>
      </c>
      <c r="B272" s="503" t="s">
        <v>1074</v>
      </c>
      <c r="C272" s="936"/>
      <c r="D272" s="936"/>
    </row>
    <row r="273" spans="1:5">
      <c r="A273" s="502">
        <v>224001</v>
      </c>
      <c r="B273" s="503" t="s">
        <v>1075</v>
      </c>
      <c r="C273" s="936"/>
      <c r="D273" s="936"/>
    </row>
    <row r="274" spans="1:5">
      <c r="A274" s="504">
        <v>225101</v>
      </c>
      <c r="B274" s="503" t="s">
        <v>1077</v>
      </c>
      <c r="C274" s="936"/>
      <c r="D274" s="936"/>
      <c r="E274" s="382"/>
    </row>
    <row r="275" spans="1:5">
      <c r="A275" s="504">
        <v>225102</v>
      </c>
      <c r="B275" s="503" t="s">
        <v>1078</v>
      </c>
      <c r="C275" s="936">
        <v>162537120</v>
      </c>
      <c r="D275" s="936"/>
    </row>
    <row r="276" spans="1:5">
      <c r="A276" s="504">
        <v>225103</v>
      </c>
      <c r="B276" s="503" t="s">
        <v>1079</v>
      </c>
      <c r="C276" s="936"/>
      <c r="D276" s="936"/>
    </row>
    <row r="277" spans="1:5">
      <c r="A277" s="504">
        <v>225104</v>
      </c>
      <c r="B277" s="503" t="s">
        <v>1080</v>
      </c>
      <c r="C277" s="936"/>
      <c r="D277" s="936"/>
    </row>
    <row r="278" spans="1:5">
      <c r="A278" s="504">
        <v>225105</v>
      </c>
      <c r="B278" s="503" t="s">
        <v>1081</v>
      </c>
      <c r="C278" s="936"/>
      <c r="D278" s="936"/>
    </row>
    <row r="279" spans="1:5">
      <c r="A279" s="504">
        <v>225106</v>
      </c>
      <c r="B279" s="503" t="s">
        <v>1076</v>
      </c>
      <c r="C279" s="936"/>
      <c r="D279" s="936"/>
    </row>
    <row r="280" spans="1:5">
      <c r="A280" s="509">
        <v>2260</v>
      </c>
      <c r="B280" s="514" t="s">
        <v>1021</v>
      </c>
      <c r="C280" s="933">
        <f>+C281</f>
        <v>0</v>
      </c>
      <c r="D280" s="933">
        <f>+D281</f>
        <v>0</v>
      </c>
    </row>
    <row r="281" spans="1:5">
      <c r="A281" s="520">
        <v>226001</v>
      </c>
      <c r="B281" s="515" t="s">
        <v>1082</v>
      </c>
      <c r="C281" s="936"/>
      <c r="D281" s="936"/>
    </row>
    <row ht="28.5" r="282" spans="1:5">
      <c r="A282" s="513">
        <v>6</v>
      </c>
      <c r="B282" s="514" t="s">
        <v>2294</v>
      </c>
      <c r="C282" s="939">
        <f>C257-C266</f>
        <v>-162537120</v>
      </c>
      <c r="D282" s="939">
        <f>D257-D266</f>
        <v>0</v>
      </c>
    </row>
    <row ht="16.5" r="283" spans="1:5">
      <c r="A283" s="521"/>
      <c r="B283" s="522" t="s">
        <v>1051</v>
      </c>
      <c r="C283" s="940"/>
      <c r="D283" s="940"/>
    </row>
    <row r="284" spans="1:5">
      <c r="A284" s="523">
        <v>14</v>
      </c>
      <c r="B284" s="524" t="s">
        <v>625</v>
      </c>
      <c r="C284" s="933">
        <f>SUM(C285:C290)</f>
        <v>0</v>
      </c>
      <c r="D284" s="933">
        <f>SUM(D285:D290)</f>
        <v>0</v>
      </c>
    </row>
    <row r="285" spans="1:5">
      <c r="A285" s="504">
        <v>145004</v>
      </c>
      <c r="B285" s="503" t="s">
        <v>1064</v>
      </c>
      <c r="C285" s="936"/>
      <c r="D285" s="936"/>
    </row>
    <row r="286" spans="1:5">
      <c r="A286" s="502">
        <v>145005</v>
      </c>
      <c r="B286" s="503" t="s">
        <v>1065</v>
      </c>
      <c r="C286" s="936"/>
      <c r="D286" s="936"/>
    </row>
    <row r="287" spans="1:5">
      <c r="A287" s="502">
        <v>145006</v>
      </c>
      <c r="B287" s="503" t="s">
        <v>1066</v>
      </c>
      <c r="C287" s="936"/>
      <c r="D287" s="936"/>
    </row>
    <row r="288" spans="1:5">
      <c r="A288" s="504">
        <v>145007</v>
      </c>
      <c r="B288" s="503" t="s">
        <v>1067</v>
      </c>
      <c r="C288" s="936"/>
      <c r="D288" s="936"/>
    </row>
    <row r="289" spans="1:4">
      <c r="A289" s="502">
        <v>145008</v>
      </c>
      <c r="B289" s="503" t="s">
        <v>1068</v>
      </c>
      <c r="C289" s="936"/>
      <c r="D289" s="936"/>
    </row>
    <row r="290" spans="1:4">
      <c r="A290" s="502">
        <v>145009</v>
      </c>
      <c r="B290" s="503" t="s">
        <v>1069</v>
      </c>
      <c r="C290" s="936"/>
      <c r="D290" s="936"/>
    </row>
    <row r="291" spans="1:4">
      <c r="A291" s="509">
        <v>23</v>
      </c>
      <c r="B291" s="514" t="s">
        <v>466</v>
      </c>
      <c r="C291" s="933">
        <f>SUM(C292:C294)</f>
        <v>0</v>
      </c>
      <c r="D291" s="933">
        <f>SUM(D292:D294)</f>
        <v>0</v>
      </c>
    </row>
    <row r="292" spans="1:4">
      <c r="A292" s="502">
        <v>230001</v>
      </c>
      <c r="B292" s="503" t="s">
        <v>468</v>
      </c>
      <c r="C292" s="936"/>
      <c r="D292" s="936"/>
    </row>
    <row r="293" spans="1:4">
      <c r="A293" s="502">
        <v>231001</v>
      </c>
      <c r="B293" s="503" t="s">
        <v>470</v>
      </c>
      <c r="C293" s="936"/>
      <c r="D293" s="936"/>
    </row>
    <row r="294" spans="1:4">
      <c r="A294" s="502">
        <v>232001</v>
      </c>
      <c r="B294" s="503" t="s">
        <v>472</v>
      </c>
      <c r="C294" s="936"/>
      <c r="D294" s="936"/>
    </row>
    <row r="295" spans="1:4">
      <c r="A295" s="509">
        <v>24</v>
      </c>
      <c r="B295" s="514" t="s">
        <v>473</v>
      </c>
      <c r="C295" s="933">
        <f>SUM(C296:C298)</f>
        <v>0</v>
      </c>
      <c r="D295" s="933">
        <f>SUM(D296:D298)</f>
        <v>0</v>
      </c>
    </row>
    <row r="296" spans="1:4">
      <c r="A296" s="502">
        <v>240001</v>
      </c>
      <c r="B296" s="503" t="s">
        <v>474</v>
      </c>
      <c r="C296" s="936"/>
      <c r="D296" s="936"/>
    </row>
    <row r="297" spans="1:4">
      <c r="A297" s="502">
        <v>241001</v>
      </c>
      <c r="B297" s="503" t="s">
        <v>475</v>
      </c>
      <c r="C297" s="936"/>
      <c r="D297" s="936"/>
    </row>
    <row r="298" spans="1:4">
      <c r="A298" s="502">
        <v>242001</v>
      </c>
      <c r="B298" s="503" t="s">
        <v>476</v>
      </c>
      <c r="C298" s="936"/>
      <c r="D298" s="936"/>
    </row>
    <row r="299" spans="1:4">
      <c r="A299" s="523">
        <v>25</v>
      </c>
      <c r="B299" s="524" t="s">
        <v>644</v>
      </c>
      <c r="C299" s="933">
        <f>SUM(C300:C304)</f>
        <v>0</v>
      </c>
      <c r="D299" s="933">
        <f>SUM(D300:D304)</f>
        <v>0</v>
      </c>
    </row>
    <row r="300" spans="1:4">
      <c r="A300" s="502">
        <v>250001</v>
      </c>
      <c r="B300" s="503" t="s">
        <v>477</v>
      </c>
      <c r="C300" s="936"/>
      <c r="D300" s="936"/>
    </row>
    <row r="301" spans="1:4">
      <c r="A301" s="502">
        <v>250002</v>
      </c>
      <c r="B301" s="503" t="s">
        <v>645</v>
      </c>
      <c r="C301" s="936"/>
      <c r="D301" s="936"/>
    </row>
    <row r="302" spans="1:4">
      <c r="A302" s="502">
        <v>250003</v>
      </c>
      <c r="B302" s="503" t="s">
        <v>646</v>
      </c>
      <c r="C302" s="936"/>
      <c r="D302" s="936"/>
    </row>
    <row r="303" spans="1:4">
      <c r="A303" s="502">
        <v>250004</v>
      </c>
      <c r="B303" s="503" t="s">
        <v>647</v>
      </c>
      <c r="C303" s="936"/>
      <c r="D303" s="936"/>
    </row>
    <row r="304" spans="1:4">
      <c r="A304" s="502">
        <v>250005</v>
      </c>
      <c r="B304" s="503" t="s">
        <v>648</v>
      </c>
      <c r="C304" s="936"/>
      <c r="D304" s="936"/>
    </row>
    <row ht="28.5" r="305" spans="1:4">
      <c r="A305" s="525">
        <v>7</v>
      </c>
      <c r="B305" s="526" t="s">
        <v>2295</v>
      </c>
      <c r="C305" s="941">
        <f>C284-C291-C295-C299</f>
        <v>0</v>
      </c>
      <c r="D305" s="941">
        <f>D284-D291-D295-D299</f>
        <v>0</v>
      </c>
    </row>
    <row r="306" spans="1:4">
      <c r="A306" s="527">
        <v>8</v>
      </c>
      <c r="B306" s="528" t="s">
        <v>2296</v>
      </c>
      <c r="C306" s="933">
        <f>C255+C282+C305</f>
        <v>160791354</v>
      </c>
      <c r="D306" s="933">
        <f>D255+D282+D305</f>
        <v>145691941</v>
      </c>
    </row>
    <row r="307" spans="1:4">
      <c r="A307" s="527">
        <v>9</v>
      </c>
      <c r="B307" s="528" t="s">
        <v>478</v>
      </c>
      <c r="C307" s="933"/>
      <c r="D307" s="933"/>
    </row>
    <row r="308" spans="1:4">
      <c r="A308" s="527">
        <v>10</v>
      </c>
      <c r="B308" s="528" t="s">
        <v>479</v>
      </c>
      <c r="C308" s="933"/>
      <c r="D308" s="933"/>
    </row>
    <row r="309" spans="1:4">
      <c r="A309" s="391"/>
      <c r="B309" s="508"/>
    </row>
    <row r="310" spans="1:4">
      <c r="A310" s="391"/>
      <c r="B310" s="508"/>
    </row>
    <row r="311" spans="1:4">
      <c r="A311" s="391"/>
      <c r="B311" s="508"/>
    </row>
    <row r="312" spans="1:4">
      <c r="A312" s="391"/>
      <c r="B312" s="508"/>
    </row>
    <row r="313" spans="1:4">
      <c r="A313" s="391"/>
      <c r="B313" s="508"/>
    </row>
    <row r="314" spans="1:4">
      <c r="A314" s="391"/>
      <c r="B314" s="508"/>
    </row>
    <row r="315" spans="1:4">
      <c r="A315" s="391"/>
      <c r="B315" s="508"/>
    </row>
    <row r="316" spans="1:4">
      <c r="A316" s="391"/>
      <c r="B316" s="508"/>
    </row>
    <row r="317" spans="1:4">
      <c r="A317" s="391"/>
      <c r="B317" s="508"/>
    </row>
    <row r="318" spans="1:4">
      <c r="A318" s="391"/>
      <c r="B318" s="508"/>
    </row>
    <row r="319" spans="1:4">
      <c r="A319" s="391"/>
      <c r="B319" s="508"/>
    </row>
    <row r="320" spans="1:4">
      <c r="A320" s="391"/>
      <c r="B320" s="508"/>
    </row>
    <row r="321" spans="1:2">
      <c r="A321" s="391"/>
      <c r="B321" s="508"/>
    </row>
    <row r="322" spans="1:2">
      <c r="A322" s="391"/>
      <c r="B322" s="508"/>
    </row>
    <row r="323" spans="1:2">
      <c r="A323" s="391"/>
      <c r="B323" s="508"/>
    </row>
    <row r="324" spans="1:2">
      <c r="A324" s="391"/>
      <c r="B324" s="508"/>
    </row>
    <row r="325" spans="1:2">
      <c r="A325" s="391"/>
      <c r="B325" s="508"/>
    </row>
    <row r="326" spans="1:2">
      <c r="A326" s="391"/>
      <c r="B326" s="508"/>
    </row>
    <row r="327" spans="1:2">
      <c r="A327" s="391"/>
      <c r="B327" s="508"/>
    </row>
    <row r="328" spans="1:2">
      <c r="A328" s="391"/>
      <c r="B328" s="508"/>
    </row>
    <row r="329" spans="1:2">
      <c r="A329" s="391"/>
      <c r="B329" s="508"/>
    </row>
    <row r="330" spans="1:2">
      <c r="A330" s="391"/>
      <c r="B330" s="508"/>
    </row>
    <row r="331" spans="1:2">
      <c r="A331" s="391"/>
      <c r="B331" s="508"/>
    </row>
    <row r="332" spans="1:2">
      <c r="A332" s="391"/>
      <c r="B332" s="508"/>
    </row>
    <row r="333" spans="1:2">
      <c r="A333" s="391"/>
      <c r="B333" s="508"/>
    </row>
    <row r="334" spans="1:2">
      <c r="A334" s="391"/>
      <c r="B334" s="508"/>
    </row>
    <row r="335" spans="1:2">
      <c r="A335" s="391"/>
      <c r="B335" s="508"/>
    </row>
    <row r="336" spans="1:2">
      <c r="A336" s="391"/>
      <c r="B336" s="508"/>
    </row>
    <row r="337" spans="1:2">
      <c r="A337" s="391"/>
      <c r="B337" s="508"/>
    </row>
    <row r="338" spans="1:2">
      <c r="A338" s="391"/>
      <c r="B338" s="508"/>
    </row>
    <row r="339" spans="1:2">
      <c r="A339" s="391"/>
      <c r="B339" s="508"/>
    </row>
    <row r="340" spans="1:2">
      <c r="A340" s="391"/>
      <c r="B340" s="508"/>
    </row>
    <row r="341" spans="1:2">
      <c r="A341" s="391"/>
      <c r="B341" s="508"/>
    </row>
    <row r="342" spans="1:2">
      <c r="A342" s="391"/>
      <c r="B342" s="508"/>
    </row>
    <row r="343" spans="1:2">
      <c r="A343" s="391"/>
      <c r="B343" s="508"/>
    </row>
    <row r="344" spans="1:2">
      <c r="A344" s="391"/>
      <c r="B344" s="508"/>
    </row>
    <row r="345" spans="1:2">
      <c r="A345" s="391"/>
      <c r="B345" s="508"/>
    </row>
    <row r="346" spans="1:2">
      <c r="A346" s="391"/>
      <c r="B346" s="508"/>
    </row>
    <row r="347" spans="1:2">
      <c r="A347" s="391"/>
      <c r="B347" s="508"/>
    </row>
    <row r="348" spans="1:2">
      <c r="A348" s="391"/>
      <c r="B348" s="508"/>
    </row>
    <row r="349" spans="1:2">
      <c r="A349" s="391"/>
      <c r="B349" s="508"/>
    </row>
    <row r="350" spans="1:2">
      <c r="A350" s="391"/>
      <c r="B350" s="508"/>
    </row>
    <row r="351" spans="1:2">
      <c r="A351" s="391"/>
      <c r="B351" s="508"/>
    </row>
    <row r="352" spans="1:2">
      <c r="A352" s="391"/>
      <c r="B352" s="508"/>
    </row>
    <row r="353" spans="1:2">
      <c r="A353" s="391"/>
      <c r="B353" s="508"/>
    </row>
    <row r="354" spans="1:2">
      <c r="A354" s="391"/>
      <c r="B354" s="508"/>
    </row>
    <row r="355" spans="1:2">
      <c r="A355" s="391"/>
      <c r="B355" s="508"/>
    </row>
    <row r="356" spans="1:2">
      <c r="A356" s="391"/>
      <c r="B356" s="508"/>
    </row>
    <row r="357" spans="1:2">
      <c r="A357" s="391"/>
      <c r="B357" s="508"/>
    </row>
    <row r="358" spans="1:2">
      <c r="A358" s="391"/>
      <c r="B358" s="508"/>
    </row>
    <row r="359" spans="1:2">
      <c r="A359" s="391"/>
      <c r="B359" s="508"/>
    </row>
    <row r="360" spans="1:2">
      <c r="A360" s="391"/>
      <c r="B360" s="508"/>
    </row>
    <row r="361" spans="1:2">
      <c r="A361" s="391"/>
      <c r="B361" s="508"/>
    </row>
    <row r="362" spans="1:2">
      <c r="A362" s="391"/>
      <c r="B362" s="508"/>
    </row>
    <row r="363" spans="1:2">
      <c r="A363" s="391"/>
      <c r="B363" s="508"/>
    </row>
    <row r="364" spans="1:2">
      <c r="A364" s="391"/>
      <c r="B364" s="508"/>
    </row>
    <row r="365" spans="1:2">
      <c r="A365" s="391"/>
      <c r="B365" s="508"/>
    </row>
    <row r="366" spans="1:2">
      <c r="A366" s="391"/>
      <c r="B366" s="508"/>
    </row>
    <row r="367" spans="1:2">
      <c r="A367" s="391"/>
      <c r="B367" s="508"/>
    </row>
    <row r="368" spans="1:2">
      <c r="A368" s="391"/>
      <c r="B368" s="508"/>
    </row>
    <row r="369" spans="1:2">
      <c r="A369" s="391"/>
      <c r="B369" s="508"/>
    </row>
    <row r="370" spans="1:2">
      <c r="A370" s="391"/>
      <c r="B370" s="508"/>
    </row>
    <row r="371" spans="1:2">
      <c r="A371" s="391"/>
      <c r="B371" s="508"/>
    </row>
    <row r="372" spans="1:2">
      <c r="A372" s="391"/>
      <c r="B372" s="508"/>
    </row>
    <row r="373" spans="1:2">
      <c r="A373" s="391"/>
      <c r="B373" s="508"/>
    </row>
    <row r="374" spans="1:2">
      <c r="A374" s="391"/>
      <c r="B374" s="508"/>
    </row>
    <row r="375" spans="1:2">
      <c r="A375" s="391"/>
      <c r="B375" s="508"/>
    </row>
    <row r="376" spans="1:2">
      <c r="A376" s="391"/>
      <c r="B376" s="508"/>
    </row>
    <row r="377" spans="1:2">
      <c r="A377" s="391"/>
      <c r="B377" s="508"/>
    </row>
    <row r="378" spans="1:2">
      <c r="A378" s="391"/>
      <c r="B378" s="508"/>
    </row>
    <row r="379" spans="1:2">
      <c r="A379" s="391"/>
      <c r="B379" s="508"/>
    </row>
    <row r="380" spans="1:2">
      <c r="A380" s="391"/>
      <c r="B380" s="508"/>
    </row>
    <row r="381" spans="1:2">
      <c r="A381" s="391"/>
      <c r="B381" s="508"/>
    </row>
    <row r="382" spans="1:2">
      <c r="A382" s="391"/>
      <c r="B382" s="508"/>
    </row>
    <row r="383" spans="1:2">
      <c r="A383" s="391"/>
      <c r="B383" s="508"/>
    </row>
    <row r="384" spans="1:2">
      <c r="A384" s="391"/>
      <c r="B384" s="508"/>
    </row>
    <row r="385" spans="1:2">
      <c r="A385" s="391"/>
      <c r="B385" s="508"/>
    </row>
    <row r="386" spans="1:2">
      <c r="A386" s="391"/>
      <c r="B386" s="508"/>
    </row>
    <row r="387" spans="1:2">
      <c r="A387" s="391"/>
      <c r="B387" s="508"/>
    </row>
    <row r="388" spans="1:2">
      <c r="A388" s="391"/>
      <c r="B388" s="508"/>
    </row>
    <row r="389" spans="1:2">
      <c r="A389" s="391"/>
      <c r="B389" s="508"/>
    </row>
    <row r="390" spans="1:2">
      <c r="A390" s="391"/>
      <c r="B390" s="508"/>
    </row>
    <row r="391" spans="1:2">
      <c r="A391" s="391"/>
      <c r="B391" s="508"/>
    </row>
    <row r="392" spans="1:2">
      <c r="A392" s="391"/>
      <c r="B392" s="508"/>
    </row>
    <row r="393" spans="1:2">
      <c r="A393" s="391"/>
      <c r="B393" s="508"/>
    </row>
    <row r="394" spans="1:2">
      <c r="A394" s="391"/>
      <c r="B394" s="508"/>
    </row>
    <row r="395" spans="1:2">
      <c r="A395" s="391"/>
      <c r="B395" s="508"/>
    </row>
    <row r="396" spans="1:2">
      <c r="A396" s="391"/>
      <c r="B396" s="508"/>
    </row>
    <row r="397" spans="1:2">
      <c r="A397" s="391"/>
      <c r="B397" s="508"/>
    </row>
    <row r="398" spans="1:2">
      <c r="A398" s="391"/>
      <c r="B398" s="508"/>
    </row>
    <row r="399" spans="1:2">
      <c r="A399" s="391"/>
      <c r="B399" s="508"/>
    </row>
    <row r="400" spans="1:2">
      <c r="A400" s="391"/>
      <c r="B400" s="508"/>
    </row>
    <row r="401" spans="1:2">
      <c r="A401" s="391"/>
      <c r="B401" s="508"/>
    </row>
    <row r="402" spans="1:2">
      <c r="A402" s="391"/>
      <c r="B402" s="508"/>
    </row>
    <row r="403" spans="1:2">
      <c r="A403" s="391"/>
      <c r="B403" s="508"/>
    </row>
    <row r="404" spans="1:2">
      <c r="A404" s="391"/>
      <c r="B404" s="508"/>
    </row>
    <row r="405" spans="1:2">
      <c r="A405" s="391"/>
      <c r="B405" s="508"/>
    </row>
    <row r="406" spans="1:2">
      <c r="A406" s="391"/>
      <c r="B406" s="508"/>
    </row>
    <row r="407" spans="1:2">
      <c r="A407" s="391"/>
      <c r="B407" s="508"/>
    </row>
    <row r="408" spans="1:2">
      <c r="A408" s="391"/>
      <c r="B408" s="508"/>
    </row>
    <row r="409" spans="1:2">
      <c r="A409" s="391"/>
      <c r="B409" s="508"/>
    </row>
    <row r="410" spans="1:2">
      <c r="A410" s="391"/>
      <c r="B410" s="508"/>
    </row>
    <row r="411" spans="1:2">
      <c r="A411" s="391"/>
      <c r="B411" s="508"/>
    </row>
    <row r="412" spans="1:2">
      <c r="A412" s="391"/>
      <c r="B412" s="508"/>
    </row>
    <row r="413" spans="1:2">
      <c r="A413" s="391"/>
      <c r="B413" s="508"/>
    </row>
    <row r="414" spans="1:2">
      <c r="A414" s="391"/>
      <c r="B414" s="508"/>
    </row>
    <row r="415" spans="1:2">
      <c r="A415" s="391"/>
      <c r="B415" s="508"/>
    </row>
    <row r="416" spans="1:2">
      <c r="A416" s="391"/>
      <c r="B416" s="508"/>
    </row>
    <row r="417" spans="1:2">
      <c r="A417" s="391"/>
      <c r="B417" s="508"/>
    </row>
    <row r="418" spans="1:2">
      <c r="A418" s="391"/>
      <c r="B418" s="508"/>
    </row>
    <row r="419" spans="1:2">
      <c r="A419" s="391"/>
      <c r="B419" s="508"/>
    </row>
    <row r="420" spans="1:2">
      <c r="A420" s="391"/>
      <c r="B420" s="508"/>
    </row>
    <row r="421" spans="1:2">
      <c r="A421" s="391"/>
      <c r="B421" s="508"/>
    </row>
    <row r="422" spans="1:2">
      <c r="A422" s="391"/>
      <c r="B422" s="508"/>
    </row>
    <row r="423" spans="1:2">
      <c r="A423" s="391"/>
      <c r="B423" s="508"/>
    </row>
    <row r="424" spans="1:2">
      <c r="A424" s="391"/>
      <c r="B424" s="508"/>
    </row>
    <row r="425" spans="1:2">
      <c r="A425" s="391"/>
      <c r="B425" s="508"/>
    </row>
    <row r="426" spans="1:2">
      <c r="A426" s="391"/>
      <c r="B426" s="508"/>
    </row>
    <row r="427" spans="1:2">
      <c r="A427" s="391"/>
      <c r="B427" s="508"/>
    </row>
    <row r="428" spans="1:2">
      <c r="A428" s="391"/>
      <c r="B428" s="508"/>
    </row>
    <row r="429" spans="1:2">
      <c r="A429" s="391"/>
      <c r="B429" s="508"/>
    </row>
    <row r="430" spans="1:2">
      <c r="A430" s="391"/>
      <c r="B430" s="508"/>
    </row>
    <row r="431" spans="1:2">
      <c r="A431" s="391"/>
      <c r="B431" s="508"/>
    </row>
    <row r="432" spans="1:2">
      <c r="A432" s="391"/>
      <c r="B432" s="508"/>
    </row>
    <row r="433" spans="1:2">
      <c r="A433" s="391"/>
      <c r="B433" s="508"/>
    </row>
    <row r="434" spans="1:2">
      <c r="A434" s="391"/>
      <c r="B434" s="508"/>
    </row>
    <row r="435" spans="1:2">
      <c r="A435" s="391"/>
      <c r="B435" s="508"/>
    </row>
    <row r="436" spans="1:2">
      <c r="A436" s="391"/>
      <c r="B436" s="508"/>
    </row>
    <row r="437" spans="1:2">
      <c r="A437" s="391"/>
      <c r="B437" s="508"/>
    </row>
    <row r="438" spans="1:2">
      <c r="A438" s="391"/>
      <c r="B438" s="508"/>
    </row>
    <row r="439" spans="1:2">
      <c r="A439" s="391"/>
      <c r="B439" s="508"/>
    </row>
    <row r="440" spans="1:2">
      <c r="A440" s="391"/>
      <c r="B440" s="508"/>
    </row>
    <row r="441" spans="1:2">
      <c r="A441" s="391"/>
      <c r="B441" s="508"/>
    </row>
    <row r="442" spans="1:2">
      <c r="A442" s="391"/>
      <c r="B442" s="508"/>
    </row>
    <row r="443" spans="1:2">
      <c r="A443" s="391"/>
      <c r="B443" s="508"/>
    </row>
    <row r="444" spans="1:2">
      <c r="A444" s="391"/>
      <c r="B444" s="508"/>
    </row>
    <row r="445" spans="1:2">
      <c r="A445" s="391"/>
      <c r="B445" s="508"/>
    </row>
    <row r="446" spans="1:2">
      <c r="A446" s="391"/>
      <c r="B446" s="508"/>
    </row>
    <row r="447" spans="1:2">
      <c r="A447" s="391"/>
      <c r="B447" s="508"/>
    </row>
    <row r="448" spans="1:2">
      <c r="A448" s="391"/>
      <c r="B448" s="508"/>
    </row>
    <row r="449" spans="1:2">
      <c r="A449" s="391"/>
      <c r="B449" s="508"/>
    </row>
    <row r="450" spans="1:2">
      <c r="A450" s="391"/>
      <c r="B450" s="508"/>
    </row>
    <row r="451" spans="1:2">
      <c r="A451" s="391"/>
      <c r="B451" s="508"/>
    </row>
    <row r="452" spans="1:2">
      <c r="A452" s="391"/>
      <c r="B452" s="508"/>
    </row>
    <row r="453" spans="1:2">
      <c r="A453" s="391"/>
      <c r="B453" s="508"/>
    </row>
    <row r="454" spans="1:2">
      <c r="A454" s="391"/>
      <c r="B454" s="508"/>
    </row>
    <row r="455" spans="1:2">
      <c r="A455" s="391"/>
      <c r="B455" s="508"/>
    </row>
    <row r="456" spans="1:2">
      <c r="A456" s="391"/>
      <c r="B456" s="508"/>
    </row>
    <row r="457" spans="1:2">
      <c r="A457" s="391"/>
      <c r="B457" s="508"/>
    </row>
    <row r="458" spans="1:2">
      <c r="A458" s="391"/>
      <c r="B458" s="508"/>
    </row>
    <row r="459" spans="1:2">
      <c r="A459" s="391"/>
      <c r="B459" s="508"/>
    </row>
    <row r="460" spans="1:2">
      <c r="A460" s="391"/>
      <c r="B460" s="508"/>
    </row>
    <row r="461" spans="1:2">
      <c r="A461" s="391"/>
      <c r="B461" s="508"/>
    </row>
    <row r="462" spans="1:2">
      <c r="A462" s="391"/>
      <c r="B462" s="508"/>
    </row>
    <row r="463" spans="1:2">
      <c r="A463" s="391"/>
      <c r="B463" s="508"/>
    </row>
    <row r="464" spans="1:2">
      <c r="A464" s="391"/>
      <c r="B464" s="508"/>
    </row>
    <row r="465" spans="1:2">
      <c r="A465" s="391"/>
      <c r="B465" s="508"/>
    </row>
    <row r="466" spans="1:2">
      <c r="A466" s="391"/>
      <c r="B466" s="508"/>
    </row>
    <row r="467" spans="1:2">
      <c r="A467" s="391"/>
      <c r="B467" s="508"/>
    </row>
    <row r="468" spans="1:2">
      <c r="A468" s="391"/>
      <c r="B468" s="508"/>
    </row>
    <row r="469" spans="1:2">
      <c r="A469" s="391"/>
      <c r="B469" s="508"/>
    </row>
    <row r="470" spans="1:2">
      <c r="A470" s="391"/>
      <c r="B470" s="508"/>
    </row>
    <row r="471" spans="1:2">
      <c r="A471" s="391"/>
      <c r="B471" s="508"/>
    </row>
    <row r="472" spans="1:2">
      <c r="A472" s="391"/>
      <c r="B472" s="508"/>
    </row>
    <row r="473" spans="1:2">
      <c r="A473" s="391"/>
      <c r="B473" s="508"/>
    </row>
    <row r="474" spans="1:2">
      <c r="A474" s="391"/>
      <c r="B474" s="508"/>
    </row>
    <row r="475" spans="1:2">
      <c r="A475" s="391"/>
      <c r="B475" s="508"/>
    </row>
    <row r="476" spans="1:2">
      <c r="A476" s="391"/>
      <c r="B476" s="508"/>
    </row>
    <row r="477" spans="1:2">
      <c r="A477" s="391"/>
      <c r="B477" s="508"/>
    </row>
    <row r="478" spans="1:2">
      <c r="A478" s="391"/>
      <c r="B478" s="508"/>
    </row>
    <row r="479" spans="1:2">
      <c r="A479" s="391"/>
      <c r="B479" s="508"/>
    </row>
    <row r="480" spans="1:2">
      <c r="A480" s="391"/>
      <c r="B480" s="508"/>
    </row>
    <row r="481" spans="1:2">
      <c r="A481" s="391"/>
      <c r="B481" s="508"/>
    </row>
    <row r="482" spans="1:2">
      <c r="A482" s="391"/>
      <c r="B482" s="508"/>
    </row>
    <row r="483" spans="1:2">
      <c r="A483" s="391"/>
      <c r="B483" s="508"/>
    </row>
    <row r="484" spans="1:2">
      <c r="A484" s="391"/>
      <c r="B484" s="508"/>
    </row>
    <row r="485" spans="1:2">
      <c r="A485" s="391"/>
      <c r="B485" s="508"/>
    </row>
    <row r="486" spans="1:2">
      <c r="A486" s="391"/>
      <c r="B486" s="508"/>
    </row>
    <row r="487" spans="1:2">
      <c r="A487" s="391"/>
      <c r="B487" s="508"/>
    </row>
    <row r="488" spans="1:2">
      <c r="A488" s="391"/>
      <c r="B488" s="508"/>
    </row>
    <row r="489" spans="1:2">
      <c r="A489" s="391"/>
      <c r="B489" s="508"/>
    </row>
    <row r="490" spans="1:2">
      <c r="A490" s="391"/>
      <c r="B490" s="508"/>
    </row>
    <row r="491" spans="1:2">
      <c r="A491" s="391"/>
      <c r="B491" s="508"/>
    </row>
    <row r="492" spans="1:2">
      <c r="A492" s="391"/>
      <c r="B492" s="508"/>
    </row>
    <row r="493" spans="1:2">
      <c r="A493" s="391"/>
      <c r="B493" s="508"/>
    </row>
    <row r="494" spans="1:2">
      <c r="A494" s="391"/>
      <c r="B494" s="508"/>
    </row>
    <row r="495" spans="1:2">
      <c r="A495" s="391"/>
      <c r="B495" s="508"/>
    </row>
    <row r="496" spans="1:2">
      <c r="A496" s="391"/>
      <c r="B496" s="508"/>
    </row>
    <row r="497" spans="1:2">
      <c r="A497" s="391"/>
      <c r="B497" s="508"/>
    </row>
    <row r="498" spans="1:2">
      <c r="A498" s="391"/>
      <c r="B498" s="508"/>
    </row>
    <row r="499" spans="1:2">
      <c r="A499" s="391"/>
      <c r="B499" s="508"/>
    </row>
    <row r="500" spans="1:2">
      <c r="A500" s="391"/>
      <c r="B500" s="508"/>
    </row>
    <row r="501" spans="1:2">
      <c r="A501" s="391"/>
      <c r="B501" s="508"/>
    </row>
    <row r="502" spans="1:2">
      <c r="A502" s="391"/>
      <c r="B502" s="508"/>
    </row>
    <row r="503" spans="1:2">
      <c r="A503" s="391"/>
      <c r="B503" s="508"/>
    </row>
    <row r="504" spans="1:2">
      <c r="A504" s="391"/>
      <c r="B504" s="508"/>
    </row>
    <row r="505" spans="1:2">
      <c r="A505" s="391"/>
      <c r="B505" s="508"/>
    </row>
    <row r="506" spans="1:2">
      <c r="A506" s="391"/>
      <c r="B506" s="508"/>
    </row>
    <row r="507" spans="1:2">
      <c r="A507" s="391"/>
      <c r="B507" s="508"/>
    </row>
    <row r="508" spans="1:2">
      <c r="A508" s="391"/>
      <c r="B508" s="508"/>
    </row>
    <row r="509" spans="1:2">
      <c r="A509" s="391"/>
      <c r="B509" s="508"/>
    </row>
    <row r="510" spans="1:2">
      <c r="A510" s="391"/>
      <c r="B510" s="508"/>
    </row>
    <row r="511" spans="1:2">
      <c r="A511" s="391"/>
      <c r="B511" s="508"/>
    </row>
    <row r="512" spans="1:2">
      <c r="A512" s="391"/>
      <c r="B512" s="508"/>
    </row>
  </sheetData>
  <mergeCells count="1">
    <mergeCell ref="A3:D3"/>
  </mergeCells>
  <dataValidations count="1">
    <dataValidation allowBlank="1" error="Toon utga bish baina" errorTitle="Toon utga bish baina" operator="greaterThanOrEqual" showErrorMessage="1" showInputMessage="1" sqref="C13:D20" type="decimal">
      <formula1>-9999999999999990</formula1>
    </dataValidation>
  </dataValidations>
  <printOptions horizontalCentered="1"/>
  <pageMargins bottom="0.28000000000000003" footer="0.3" header="0.3" left="0.25" right="0.25" top="0.34"/>
  <pageSetup fitToHeight="6" horizontalDpi="300" orientation="portrait" paperSize="9" r:id="rId1" scale="95" verticalDpi="300"/>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24"/>
  <sheetViews>
    <sheetView topLeftCell="A4" workbookViewId="0">
      <selection activeCell="A7" sqref="A7"/>
    </sheetView>
  </sheetViews>
  <sheetFormatPr defaultColWidth="9.140625" defaultRowHeight="15"/>
  <cols>
    <col min="1" max="1" bestFit="true" customWidth="true" style="381" width="9.140625" collapsed="false"/>
    <col min="2" max="2" customWidth="true" style="381" width="46.5703125" collapsed="false"/>
    <col min="3" max="6" customWidth="true" style="381" width="19.140625" collapsed="false"/>
    <col min="7" max="7" bestFit="true" customWidth="true" style="381" width="18.0" collapsed="false"/>
    <col min="8" max="16384" style="381" width="9.140625" collapsed="false"/>
  </cols>
  <sheetData>
    <row r="1" spans="1:7">
      <c r="A1" s="942"/>
      <c r="G1" s="943" t="s">
        <v>480</v>
      </c>
    </row>
    <row r="3" spans="1:7">
      <c r="A3" s="2172" t="s">
        <v>481</v>
      </c>
      <c r="B3" s="2172"/>
      <c r="C3" s="2172"/>
      <c r="D3" s="2172"/>
      <c r="E3" s="2172"/>
      <c r="F3" s="2172"/>
      <c r="G3" s="2172"/>
    </row>
    <row r="4" spans="1:7">
      <c r="A4" s="944"/>
      <c r="B4" s="944"/>
      <c r="C4" s="944"/>
      <c r="D4" s="944"/>
      <c r="E4" s="944"/>
      <c r="F4" s="944"/>
      <c r="G4" s="944"/>
    </row>
    <row r="5" spans="1:7">
      <c r="G5" s="945" t="s">
        <v>482</v>
      </c>
    </row>
    <row r="6" spans="1:7">
      <c r="G6" s="945"/>
    </row>
    <row ht="57" r="7" spans="1:7">
      <c r="A7" s="946" t="s">
        <v>11</v>
      </c>
      <c r="B7" s="947" t="s">
        <v>12</v>
      </c>
      <c r="C7" s="948" t="s">
        <v>484</v>
      </c>
      <c r="D7" s="947" t="s">
        <v>485</v>
      </c>
      <c r="E7" s="947" t="s">
        <v>486</v>
      </c>
      <c r="F7" s="947" t="s">
        <v>82</v>
      </c>
      <c r="G7" s="947" t="s">
        <v>487</v>
      </c>
    </row>
    <row r="8" spans="1:7">
      <c r="A8" s="949" t="s">
        <v>1216</v>
      </c>
      <c r="B8" s="950" t="s">
        <v>3623</v>
      </c>
      <c r="C8" s="951">
        <v>536870268.13999999</v>
      </c>
      <c r="D8" s="951"/>
      <c r="E8" s="951">
        <v>1111057145.6400001</v>
      </c>
      <c r="F8" s="951"/>
      <c r="G8" s="952">
        <f>SUM(C8:F8)</f>
        <v>1647927413.7800002</v>
      </c>
    </row>
    <row r="9" spans="1:7">
      <c r="A9" s="949" t="s">
        <v>1217</v>
      </c>
      <c r="B9" s="503" t="s">
        <v>104</v>
      </c>
      <c r="C9" s="951"/>
      <c r="D9" s="951"/>
      <c r="E9" s="951"/>
      <c r="F9" s="951"/>
      <c r="G9" s="952">
        <f ref="G9:G23" si="0" t="shared">SUM(C9:F9)</f>
        <v>0</v>
      </c>
    </row>
    <row r="10" spans="1:7">
      <c r="A10" s="953" t="s">
        <v>1218</v>
      </c>
      <c r="B10" s="514" t="s">
        <v>105</v>
      </c>
      <c r="C10" s="954">
        <f>C8+C9</f>
        <v>536870268.13999999</v>
      </c>
      <c r="D10" s="954">
        <f ref="D10:F10" si="1" t="shared">D8+D9</f>
        <v>0</v>
      </c>
      <c r="E10" s="954">
        <f si="1" t="shared"/>
        <v>1111057145.6400001</v>
      </c>
      <c r="F10" s="954">
        <f si="1" t="shared"/>
        <v>0</v>
      </c>
      <c r="G10" s="952">
        <f si="0" t="shared"/>
        <v>1647927413.7800002</v>
      </c>
    </row>
    <row r="11" spans="1:7">
      <c r="A11" s="949" t="s">
        <v>1219</v>
      </c>
      <c r="B11" s="503" t="s">
        <v>2300</v>
      </c>
      <c r="C11" s="951"/>
      <c r="D11" s="951"/>
      <c r="E11" s="951"/>
      <c r="F11" s="951"/>
      <c r="G11" s="952">
        <f si="0" t="shared"/>
        <v>0</v>
      </c>
    </row>
    <row r="12" spans="1:7">
      <c r="A12" s="949" t="s">
        <v>1220</v>
      </c>
      <c r="B12" s="503" t="s">
        <v>2301</v>
      </c>
      <c r="C12" s="951"/>
      <c r="D12" s="951"/>
      <c r="E12" s="951"/>
      <c r="F12" s="951"/>
      <c r="G12" s="952">
        <f si="0" t="shared"/>
        <v>0</v>
      </c>
    </row>
    <row r="13" spans="1:7">
      <c r="A13" s="949" t="s">
        <v>1221</v>
      </c>
      <c r="B13" s="503" t="s">
        <v>2302</v>
      </c>
      <c r="C13" s="951"/>
      <c r="D13" s="951"/>
      <c r="E13" s="951"/>
      <c r="F13" s="951"/>
      <c r="G13" s="952">
        <f si="0" t="shared"/>
        <v>0</v>
      </c>
    </row>
    <row r="14" spans="1:7">
      <c r="A14" s="949" t="s">
        <v>1222</v>
      </c>
      <c r="B14" s="503" t="s">
        <v>103</v>
      </c>
      <c r="C14" s="951"/>
      <c r="D14" s="951"/>
      <c r="E14" s="951">
        <v>-38048200.369999997</v>
      </c>
      <c r="F14" s="951"/>
      <c r="G14" s="952">
        <f si="0" t="shared"/>
        <v>-38048200.369999997</v>
      </c>
    </row>
    <row r="15" spans="1:7">
      <c r="A15" s="953" t="s">
        <v>1223</v>
      </c>
      <c r="B15" s="514" t="s">
        <v>3624</v>
      </c>
      <c r="C15" s="954">
        <f>C10+C11+C12+C13+C14</f>
        <v>536870268.13999999</v>
      </c>
      <c r="D15" s="954">
        <f ref="D15:E15" si="2" t="shared">D10+D11+D12+D13+D14</f>
        <v>0</v>
      </c>
      <c r="E15" s="954">
        <f si="2" t="shared"/>
        <v>1073008945.2700001</v>
      </c>
      <c r="F15" s="954">
        <f>F10+F11+F12+F13+F14</f>
        <v>0</v>
      </c>
      <c r="G15" s="952">
        <f si="0" t="shared"/>
        <v>1609879213.4100001</v>
      </c>
    </row>
    <row r="16" spans="1:7">
      <c r="A16" s="953" t="s">
        <v>1224</v>
      </c>
      <c r="B16" s="514" t="s">
        <v>3625</v>
      </c>
      <c r="C16" s="954">
        <f>C10+C11+C12+C13+C14</f>
        <v>536870268.13999999</v>
      </c>
      <c r="D16" s="954">
        <f ref="D16:E16" si="3" t="shared">D10+D11+D12+D13+D14</f>
        <v>0</v>
      </c>
      <c r="E16" s="954">
        <f si="3" t="shared"/>
        <v>1034960744.9000001</v>
      </c>
      <c r="F16" s="954">
        <f>F10+F11+F12+F13+F14</f>
        <v>0</v>
      </c>
      <c r="G16" s="952">
        <f si="0" t="shared"/>
        <v>0</v>
      </c>
    </row>
    <row r="17" spans="1:7">
      <c r="A17" s="949" t="s">
        <v>1225</v>
      </c>
      <c r="B17" s="503" t="s">
        <v>104</v>
      </c>
      <c r="C17" s="951"/>
      <c r="D17" s="951"/>
      <c r="E17" s="951"/>
      <c r="F17" s="951"/>
      <c r="G17" s="952">
        <f si="0" t="shared"/>
        <v>0</v>
      </c>
    </row>
    <row r="18" spans="1:7">
      <c r="A18" s="953" t="s">
        <v>1226</v>
      </c>
      <c r="B18" s="514" t="s">
        <v>105</v>
      </c>
      <c r="C18" s="954">
        <f>C15+C17</f>
        <v>536870268.13999999</v>
      </c>
      <c r="D18" s="954">
        <f>D15+D17</f>
        <v>0</v>
      </c>
      <c r="E18" s="954">
        <f>E15+E17</f>
        <v>1073008945.2700001</v>
      </c>
      <c r="F18" s="954">
        <f>F15+F17</f>
        <v>0</v>
      </c>
      <c r="G18" s="952">
        <f si="0" t="shared"/>
        <v>1609879213.4100001</v>
      </c>
    </row>
    <row customHeight="1" ht="25.5" r="19" spans="1:7">
      <c r="A19" s="949" t="s">
        <v>1227</v>
      </c>
      <c r="B19" s="503" t="s">
        <v>2303</v>
      </c>
      <c r="C19" s="951"/>
      <c r="D19" s="951"/>
      <c r="E19" s="951"/>
      <c r="F19" s="951"/>
      <c r="G19" s="952">
        <f si="0" t="shared"/>
        <v>0</v>
      </c>
    </row>
    <row r="20" spans="1:7">
      <c r="A20" s="949" t="s">
        <v>1228</v>
      </c>
      <c r="B20" s="503" t="s">
        <v>2304</v>
      </c>
      <c r="C20" s="951"/>
      <c r="D20" s="951"/>
      <c r="E20" s="951"/>
      <c r="F20" s="951"/>
      <c r="G20" s="952">
        <f si="0" t="shared"/>
        <v>0</v>
      </c>
    </row>
    <row r="21" spans="1:7">
      <c r="A21" s="949" t="s">
        <v>1229</v>
      </c>
      <c r="B21" s="503" t="s">
        <v>2302</v>
      </c>
      <c r="C21" s="951"/>
      <c r="D21" s="951"/>
      <c r="E21" s="951"/>
      <c r="F21" s="951"/>
      <c r="G21" s="952">
        <f si="0" t="shared"/>
        <v>0</v>
      </c>
    </row>
    <row r="22" spans="1:7">
      <c r="A22" s="949" t="s">
        <v>1230</v>
      </c>
      <c r="B22" s="503" t="s">
        <v>2305</v>
      </c>
      <c r="C22" s="955"/>
      <c r="D22" s="955"/>
      <c r="E22" s="955"/>
      <c r="F22" s="955"/>
      <c r="G22" s="956">
        <f si="0" t="shared"/>
        <v>0</v>
      </c>
    </row>
    <row r="23" spans="1:7">
      <c r="A23" s="949" t="s">
        <v>1231</v>
      </c>
      <c r="B23" s="503" t="s">
        <v>103</v>
      </c>
      <c r="C23" s="951"/>
      <c r="D23" s="951"/>
      <c r="E23" s="951">
        <v>-126966588.09999999</v>
      </c>
      <c r="F23" s="951"/>
      <c r="G23" s="952">
        <f si="0" t="shared"/>
        <v>-126966588.09999999</v>
      </c>
    </row>
    <row r="24" spans="1:7">
      <c r="A24" s="953" t="s">
        <v>1232</v>
      </c>
      <c r="B24" s="514" t="s">
        <v>3625</v>
      </c>
      <c r="C24" s="954">
        <f>C18+C19+C20+C21+C22+C23</f>
        <v>536870268.13999999</v>
      </c>
      <c r="D24" s="954">
        <f ref="D24:F24" si="4" t="shared">D18+D19+D20+D21+D22+D23</f>
        <v>0</v>
      </c>
      <c r="E24" s="954">
        <f si="4" t="shared"/>
        <v>946042357.17000008</v>
      </c>
      <c r="F24" s="954">
        <f si="4" t="shared"/>
        <v>0</v>
      </c>
      <c r="G24" s="952">
        <f ref="G24" si="5" t="shared">SUM(C24:F24)</f>
        <v>1482912625.3099999</v>
      </c>
    </row>
  </sheetData>
  <mergeCells count="1">
    <mergeCell ref="A3:G3"/>
  </mergeCells>
  <pageMargins bottom="0.75" footer="0.3" header="0.3" left="0.25" right="0.25" top="0.75"/>
  <pageSetup fitToHeight="0" horizontalDpi="300" orientation="portrait" paperSize="9" r:id="rId1" scale="64" verticalDpi="300"/>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style="464" width="9.0" collapsed="false"/>
    <col min="2" max="2" customWidth="true" style="465" width="40.7109375" collapsed="false"/>
    <col min="3" max="3" customWidth="true" style="465" width="21.7109375" collapsed="false"/>
    <col min="4" max="4" customWidth="true" style="465" width="18.28515625" collapsed="false"/>
    <col min="5" max="5" customWidth="true" style="465" width="17.42578125" collapsed="false"/>
    <col min="6" max="6" customWidth="true" style="465" width="16.28515625" collapsed="false"/>
    <col min="7" max="16384" style="465" width="9.0" collapsed="false"/>
  </cols>
  <sheetData>
    <row r="1" spans="1:6">
      <c r="F1" s="957" t="s">
        <v>1038</v>
      </c>
    </row>
    <row r="3" spans="1:6">
      <c r="A3" s="2172" t="s">
        <v>1041</v>
      </c>
      <c r="B3" s="2172"/>
      <c r="C3" s="2172"/>
      <c r="D3" s="2172"/>
      <c r="E3" s="2172"/>
      <c r="F3" s="2172"/>
    </row>
    <row r="4" spans="1:6">
      <c r="A4" s="944"/>
      <c r="B4" s="944"/>
      <c r="C4" s="944"/>
      <c r="D4" s="944"/>
      <c r="E4" s="944"/>
      <c r="F4" s="944"/>
    </row>
    <row customHeight="1" ht="15" r="5" spans="1:6">
      <c r="F5" s="958" t="s">
        <v>794</v>
      </c>
    </row>
    <row customHeight="1" ht="49.5" r="7" spans="1:6">
      <c r="A7" s="454" t="s">
        <v>11</v>
      </c>
      <c r="B7" s="454" t="s">
        <v>12</v>
      </c>
      <c r="C7" s="454" t="s">
        <v>49</v>
      </c>
      <c r="D7" s="454" t="s">
        <v>795</v>
      </c>
      <c r="E7" s="454" t="s">
        <v>796</v>
      </c>
      <c r="F7" s="454" t="s">
        <v>50</v>
      </c>
    </row>
    <row r="8" spans="1:6">
      <c r="A8" s="456">
        <v>31</v>
      </c>
      <c r="B8" s="457" t="s">
        <v>123</v>
      </c>
      <c r="C8" s="959">
        <f>C9+C14+C27+C28</f>
        <v>0</v>
      </c>
      <c r="D8" s="959">
        <f ref="D8:F8" si="0" t="shared">D9+D14+D27+D28</f>
        <v>7784633460</v>
      </c>
      <c r="E8" s="959">
        <f si="0" t="shared"/>
        <v>7784633460</v>
      </c>
      <c r="F8" s="959">
        <f si="0" t="shared"/>
        <v>0</v>
      </c>
    </row>
    <row r="9" spans="1:6">
      <c r="A9" s="458">
        <v>311</v>
      </c>
      <c r="B9" s="457" t="s">
        <v>124</v>
      </c>
      <c r="C9" s="959">
        <f>SUM(C10:C13)</f>
        <v>0</v>
      </c>
      <c r="D9" s="959">
        <f ref="D9:F9" si="1" t="shared">SUM(D10:D13)</f>
        <v>0</v>
      </c>
      <c r="E9" s="959">
        <f si="1" t="shared"/>
        <v>0</v>
      </c>
      <c r="F9" s="959">
        <f si="1" t="shared"/>
        <v>0</v>
      </c>
    </row>
    <row r="10" spans="1:6">
      <c r="A10" s="459">
        <v>31110</v>
      </c>
      <c r="B10" s="460" t="s">
        <v>125</v>
      </c>
      <c r="C10" s="960"/>
      <c r="D10" s="960"/>
      <c r="E10" s="960"/>
      <c r="F10" s="960"/>
    </row>
    <row r="11" spans="1:6">
      <c r="A11" s="459">
        <v>31120</v>
      </c>
      <c r="B11" s="460" t="s">
        <v>126</v>
      </c>
      <c r="C11" s="960"/>
      <c r="D11" s="960"/>
      <c r="E11" s="960"/>
      <c r="F11" s="960"/>
    </row>
    <row r="12" spans="1:6">
      <c r="A12" s="459">
        <v>31130</v>
      </c>
      <c r="B12" s="460" t="s">
        <v>127</v>
      </c>
      <c r="C12" s="960"/>
      <c r="D12" s="960"/>
      <c r="E12" s="960"/>
      <c r="F12" s="960"/>
    </row>
    <row r="13" spans="1:6">
      <c r="A13" s="461">
        <v>31140</v>
      </c>
      <c r="B13" s="460" t="s">
        <v>656</v>
      </c>
      <c r="C13" s="960"/>
      <c r="D13" s="960"/>
      <c r="E13" s="960"/>
      <c r="F13" s="960"/>
    </row>
    <row r="14" spans="1:6">
      <c r="A14" s="458">
        <v>312</v>
      </c>
      <c r="B14" s="457" t="s">
        <v>128</v>
      </c>
      <c r="C14" s="959">
        <f>C15+C22</f>
        <v>0</v>
      </c>
      <c r="D14" s="959">
        <f ref="D14:F14" si="2" t="shared">D15+D22</f>
        <v>7784633460</v>
      </c>
      <c r="E14" s="959">
        <f si="2" t="shared"/>
        <v>7784633460</v>
      </c>
      <c r="F14" s="959">
        <f si="2" t="shared"/>
        <v>0</v>
      </c>
    </row>
    <row r="15" spans="1:6">
      <c r="A15" s="458">
        <v>3121</v>
      </c>
      <c r="B15" s="457" t="s">
        <v>129</v>
      </c>
      <c r="C15" s="959">
        <f>SUM(C16:C21)</f>
        <v>0</v>
      </c>
      <c r="D15" s="959">
        <f ref="D15:F15" si="3" t="shared">SUM(D16:D21)</f>
        <v>7784633460</v>
      </c>
      <c r="E15" s="959">
        <f si="3" t="shared"/>
        <v>7784633460</v>
      </c>
      <c r="F15" s="959">
        <f si="3" t="shared"/>
        <v>0</v>
      </c>
    </row>
    <row r="16" spans="1:6">
      <c r="A16" s="459">
        <v>31211</v>
      </c>
      <c r="B16" s="460" t="s">
        <v>130</v>
      </c>
      <c r="C16" s="960"/>
      <c r="D16" s="960">
        <v>226399742</v>
      </c>
      <c r="E16" s="960">
        <v>226399742</v>
      </c>
      <c r="F16" s="960"/>
    </row>
    <row r="17" spans="1:6">
      <c r="A17" s="459">
        <v>31212</v>
      </c>
      <c r="B17" s="460" t="s">
        <v>131</v>
      </c>
      <c r="C17" s="960"/>
      <c r="D17" s="960"/>
      <c r="E17" s="960"/>
      <c r="F17" s="960"/>
    </row>
    <row r="18" spans="1:6">
      <c r="A18" s="459">
        <v>31213</v>
      </c>
      <c r="B18" s="460" t="s">
        <v>132</v>
      </c>
      <c r="C18" s="960"/>
      <c r="D18" s="960"/>
      <c r="E18" s="960"/>
      <c r="F18" s="960"/>
    </row>
    <row r="19" spans="1:6">
      <c r="A19" s="459">
        <v>31214</v>
      </c>
      <c r="B19" s="460" t="s">
        <v>133</v>
      </c>
      <c r="C19" s="960"/>
      <c r="D19" s="960"/>
      <c r="E19" s="960"/>
      <c r="F19" s="960"/>
    </row>
    <row r="20" spans="1:6">
      <c r="A20" s="459">
        <v>31215</v>
      </c>
      <c r="B20" s="460" t="s">
        <v>134</v>
      </c>
      <c r="C20" s="960"/>
      <c r="D20" s="960">
        <v>7558233718</v>
      </c>
      <c r="E20" s="960">
        <v>7558233718</v>
      </c>
      <c r="F20" s="960"/>
    </row>
    <row r="21" spans="1:6">
      <c r="A21" s="461">
        <v>31216</v>
      </c>
      <c r="B21" s="460" t="s">
        <v>655</v>
      </c>
      <c r="C21" s="960"/>
      <c r="D21" s="960"/>
      <c r="E21" s="960"/>
      <c r="F21" s="960"/>
    </row>
    <row r="22" spans="1:6">
      <c r="A22" s="458">
        <v>3122</v>
      </c>
      <c r="B22" s="457" t="s">
        <v>135</v>
      </c>
      <c r="C22" s="959">
        <f>SUM(C23:C26)</f>
        <v>0</v>
      </c>
      <c r="D22" s="959">
        <f ref="D22:F22" si="4" t="shared">SUM(D23:D26)</f>
        <v>0</v>
      </c>
      <c r="E22" s="959">
        <f si="4" t="shared"/>
        <v>0</v>
      </c>
      <c r="F22" s="959">
        <f si="4" t="shared"/>
        <v>0</v>
      </c>
    </row>
    <row r="23" spans="1:6">
      <c r="A23" s="459">
        <v>31221</v>
      </c>
      <c r="B23" s="460" t="s">
        <v>130</v>
      </c>
      <c r="C23" s="960"/>
      <c r="D23" s="960"/>
      <c r="E23" s="960"/>
      <c r="F23" s="960"/>
    </row>
    <row r="24" spans="1:6">
      <c r="A24" s="459">
        <v>31222</v>
      </c>
      <c r="B24" s="460" t="s">
        <v>136</v>
      </c>
      <c r="C24" s="960"/>
      <c r="D24" s="960"/>
      <c r="E24" s="960"/>
      <c r="F24" s="960"/>
    </row>
    <row r="25" spans="1:6">
      <c r="A25" s="459">
        <v>31223</v>
      </c>
      <c r="B25" s="460" t="s">
        <v>132</v>
      </c>
      <c r="C25" s="960"/>
      <c r="D25" s="960"/>
      <c r="E25" s="960"/>
      <c r="F25" s="960"/>
    </row>
    <row r="26" spans="1:6">
      <c r="A26" s="459">
        <v>31224</v>
      </c>
      <c r="B26" s="460" t="s">
        <v>133</v>
      </c>
      <c r="C26" s="960"/>
      <c r="D26" s="960"/>
      <c r="E26" s="960"/>
      <c r="F26" s="960"/>
    </row>
    <row r="27" spans="1:6">
      <c r="A27" s="462">
        <v>314</v>
      </c>
      <c r="B27" s="463" t="s">
        <v>137</v>
      </c>
      <c r="C27" s="961"/>
      <c r="D27" s="961"/>
      <c r="E27" s="961"/>
      <c r="F27" s="961"/>
    </row>
    <row r="28" spans="1:6">
      <c r="A28" s="462">
        <v>315</v>
      </c>
      <c r="B28" s="463" t="s">
        <v>138</v>
      </c>
      <c r="C28" s="961"/>
      <c r="D28" s="961"/>
      <c r="E28" s="961"/>
      <c r="F28" s="961"/>
    </row>
    <row r="31" spans="1:6">
      <c r="B31" s="2173" t="s">
        <v>3019</v>
      </c>
      <c r="C31" s="2173"/>
      <c r="D31" s="2173"/>
      <c r="E31" s="2173"/>
      <c r="F31" s="2173"/>
    </row>
  </sheetData>
  <mergeCells count="2">
    <mergeCell ref="A3:F3"/>
    <mergeCell ref="B31:F31"/>
  </mergeCells>
  <printOptions horizontalCentered="1"/>
  <pageMargins bottom="0.3" footer="0.3" header="0.3" left="0.45" right="0.25" top="0.3"/>
  <pageSetup fitToHeight="0" orientation="portrait" paperSize="9" r:id="rId1" scale="95"/>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style="72" width="9.0" collapsed="false"/>
    <col min="2" max="2" customWidth="true" style="1" width="53.42578125" collapsed="false"/>
    <col min="3" max="6" customWidth="true" style="1" width="12.7109375" collapsed="false"/>
    <col min="7" max="16384" style="1" width="9.0" collapsed="false"/>
  </cols>
  <sheetData>
    <row ht="15" r="1" spans="1:6">
      <c r="A1" t="s">
        <v>102</v>
      </c>
      <c r="B1" t="s">
        <v>102</v>
      </c>
      <c r="C1" t="s">
        <v>102</v>
      </c>
      <c r="D1" t="s">
        <v>102</v>
      </c>
      <c r="E1" t="s">
        <v>102</v>
      </c>
      <c r="F1" s="249" t="s">
        <v>1040</v>
      </c>
    </row>
    <row r="3" spans="1:6">
      <c r="A3" s="1717" t="s">
        <v>1039</v>
      </c>
      <c r="B3" s="1717" t="s">
        <v>102</v>
      </c>
      <c r="C3" s="1717" t="s">
        <v>102</v>
      </c>
      <c r="D3" s="1717" t="s">
        <v>102</v>
      </c>
      <c r="E3" s="1717" t="s">
        <v>102</v>
      </c>
      <c r="F3" s="1717" t="s">
        <v>102</v>
      </c>
    </row>
    <row r="4" spans="1:6">
      <c r="A4" s="251" t="s">
        <v>102</v>
      </c>
      <c r="B4" s="251" t="s">
        <v>102</v>
      </c>
      <c r="C4" s="251" t="s">
        <v>102</v>
      </c>
      <c r="D4" s="251" t="s">
        <v>102</v>
      </c>
      <c r="E4" s="251" t="s">
        <v>102</v>
      </c>
      <c r="F4" s="251" t="s">
        <v>102</v>
      </c>
    </row>
    <row ht="15" r="5" spans="1:6">
      <c r="A5" t="s">
        <v>102</v>
      </c>
      <c r="B5" t="s">
        <v>102</v>
      </c>
      <c r="C5" t="s">
        <v>102</v>
      </c>
      <c r="D5" t="s">
        <v>102</v>
      </c>
      <c r="E5" t="s">
        <v>102</v>
      </c>
      <c r="F5" s="13" t="s">
        <v>794</v>
      </c>
    </row>
    <row ht="15" r="6" spans="1:6">
      <c r="A6" t="s">
        <v>102</v>
      </c>
      <c r="B6" t="s">
        <v>102</v>
      </c>
      <c r="C6" t="s">
        <v>102</v>
      </c>
      <c r="D6" t="s">
        <v>102</v>
      </c>
      <c r="E6" t="s">
        <v>102</v>
      </c>
      <c r="F6" s="13" t="s">
        <v>102</v>
      </c>
    </row>
    <row ht="38.25" r="7" spans="1:6">
      <c r="A7" s="132" t="s">
        <v>11</v>
      </c>
      <c r="B7" s="132" t="s">
        <v>12</v>
      </c>
      <c r="C7" s="132" t="s">
        <v>49</v>
      </c>
      <c r="D7" s="132" t="s">
        <v>795</v>
      </c>
      <c r="E7" s="132" t="s">
        <v>796</v>
      </c>
      <c r="F7" s="132" t="s">
        <v>50</v>
      </c>
    </row>
    <row r="8" spans="1:6">
      <c r="A8" s="202">
        <v>32</v>
      </c>
      <c r="B8" s="182" t="s">
        <v>140</v>
      </c>
      <c r="C8" s="253">
        <f>SUM(C9)</f>
        <v>0</v>
      </c>
      <c r="D8" s="253">
        <f>SUM(D9)</f>
        <v>0</v>
      </c>
      <c r="E8" s="253">
        <f>SUM(E9)</f>
        <v>0</v>
      </c>
      <c r="F8" s="253">
        <f>SUM(F9)</f>
        <v>0</v>
      </c>
    </row>
    <row r="9" spans="1:6">
      <c r="A9" s="202">
        <v>321</v>
      </c>
      <c r="B9" s="182" t="s">
        <v>141</v>
      </c>
      <c r="C9" s="253">
        <f>SUM(C10:C11)</f>
        <v>0</v>
      </c>
      <c r="D9" s="253">
        <f>SUM(D10:D11)</f>
        <v>0</v>
      </c>
      <c r="E9" s="253">
        <f>SUM(E10:E11)</f>
        <v>0</v>
      </c>
      <c r="F9" s="253">
        <f>SUM(F10:F11)</f>
        <v>0</v>
      </c>
    </row>
    <row r="10" spans="1:6">
      <c r="A10" s="211">
        <v>32110</v>
      </c>
      <c r="B10" s="110" t="s">
        <v>125</v>
      </c>
      <c r="C10" s="254">
        <v>0</v>
      </c>
      <c r="D10" s="263" t="s">
        <v>102</v>
      </c>
      <c r="E10" s="263" t="s">
        <v>102</v>
      </c>
      <c r="F10" s="254">
        <v>0</v>
      </c>
    </row>
    <row r="11" spans="1:6">
      <c r="A11" s="211">
        <v>32120</v>
      </c>
      <c r="B11" s="110" t="s">
        <v>126</v>
      </c>
      <c r="C11" s="254">
        <v>0</v>
      </c>
      <c r="D11" s="263" t="s">
        <v>102</v>
      </c>
      <c r="E11" s="263" t="s">
        <v>102</v>
      </c>
      <c r="F11" s="254">
        <v>0</v>
      </c>
    </row>
    <row customHeight="1" ht="37.5" r="15" spans="1:6">
      <c r="B15" s="2174" t="s">
        <v>1193</v>
      </c>
      <c r="C15" s="2174"/>
      <c r="D15" s="2174"/>
      <c r="E15" s="2174"/>
      <c r="F15" s="2174"/>
    </row>
    <row r="38" spans="1:1">
      <c r="A38" s="84"/>
    </row>
  </sheetData>
  <mergeCells count="2">
    <mergeCell ref="A3:F3"/>
    <mergeCell ref="B15:F15"/>
  </mergeCells>
  <pageMargins bottom="0.75" footer="0.3" header="0.3" left="0.7" right="0.7" top="0.75"/>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customWidth="true" style="1" width="8.5703125" collapsed="false"/>
    <col min="2" max="2" bestFit="true" customWidth="true" style="1" width="65.85546875" collapsed="false"/>
    <col min="3" max="6" customWidth="true" style="1" width="18.5703125" collapsed="false"/>
    <col min="7" max="16384" style="1" width="9.0" collapsed="false"/>
  </cols>
  <sheetData>
    <row ht="15" r="1" spans="1:6">
      <c r="A1" s="72" t="s">
        <v>102</v>
      </c>
      <c r="B1" t="s">
        <v>102</v>
      </c>
      <c r="C1" t="s">
        <v>102</v>
      </c>
      <c r="D1" t="s">
        <v>102</v>
      </c>
      <c r="E1" t="s">
        <v>102</v>
      </c>
      <c r="F1" s="249" t="s">
        <v>1042</v>
      </c>
    </row>
    <row ht="15" r="2" spans="1:6">
      <c r="A2" s="72" t="s">
        <v>102</v>
      </c>
      <c r="B2" t="s">
        <v>102</v>
      </c>
      <c r="C2" t="s">
        <v>102</v>
      </c>
      <c r="D2" t="s">
        <v>102</v>
      </c>
      <c r="E2" t="s">
        <v>102</v>
      </c>
    </row>
    <row r="3" spans="1:6">
      <c r="A3" s="1717" t="s">
        <v>650</v>
      </c>
      <c r="B3" s="1717" t="s">
        <v>102</v>
      </c>
      <c r="C3" s="1717" t="s">
        <v>102</v>
      </c>
      <c r="D3" s="1717" t="s">
        <v>102</v>
      </c>
      <c r="E3" s="1717" t="s">
        <v>102</v>
      </c>
      <c r="F3" s="1717" t="s">
        <v>102</v>
      </c>
    </row>
    <row r="4" spans="1:6">
      <c r="A4" s="251" t="s">
        <v>102</v>
      </c>
      <c r="B4" s="251" t="s">
        <v>102</v>
      </c>
      <c r="C4" s="251" t="s">
        <v>102</v>
      </c>
      <c r="D4" s="251" t="s">
        <v>102</v>
      </c>
      <c r="E4" s="251" t="s">
        <v>102</v>
      </c>
      <c r="F4" s="251" t="s">
        <v>102</v>
      </c>
    </row>
    <row ht="15" r="5" spans="1:6">
      <c r="A5" s="72" t="s">
        <v>102</v>
      </c>
      <c r="B5" t="s">
        <v>102</v>
      </c>
      <c r="C5" t="s">
        <v>102</v>
      </c>
      <c r="D5" t="s">
        <v>102</v>
      </c>
      <c r="E5" t="s">
        <v>102</v>
      </c>
      <c r="F5" s="13" t="s">
        <v>794</v>
      </c>
    </row>
    <row ht="15" r="6" spans="1:6">
      <c r="A6" s="72" t="s">
        <v>102</v>
      </c>
      <c r="B6" t="s">
        <v>102</v>
      </c>
      <c r="C6" t="s">
        <v>102</v>
      </c>
      <c r="D6" t="s">
        <v>102</v>
      </c>
      <c r="E6" t="s">
        <v>102</v>
      </c>
    </row>
    <row ht="25.5" r="7" spans="1:6">
      <c r="A7" s="132" t="s">
        <v>11</v>
      </c>
      <c r="B7" s="132" t="s">
        <v>12</v>
      </c>
      <c r="C7" s="132" t="s">
        <v>49</v>
      </c>
      <c r="D7" s="132" t="s">
        <v>795</v>
      </c>
      <c r="E7" s="132" t="s">
        <v>796</v>
      </c>
      <c r="F7" s="132" t="s">
        <v>50</v>
      </c>
    </row>
    <row ht="14.25" r="8" spans="1:6">
      <c r="A8" s="529">
        <v>33</v>
      </c>
      <c r="B8" s="530" t="s">
        <v>2297</v>
      </c>
      <c r="C8" s="260">
        <f>C9+C10+C11+C12+C13+C14+C15+C31</f>
        <v>0</v>
      </c>
      <c r="D8" s="260">
        <f>D9+D10+D11+D12+D13+D14+D15+D31</f>
        <v>245791652.12</v>
      </c>
      <c r="E8" s="260">
        <f>E9+E10+E11+E12+E13+E14+E15+E31</f>
        <v>245791652.12</v>
      </c>
      <c r="F8" s="260">
        <f>F9+F10+F11+F12+F13+F14+F15+F31</f>
        <v>0</v>
      </c>
    </row>
    <row ht="15" r="9" spans="1:6">
      <c r="A9" s="531">
        <v>33100</v>
      </c>
      <c r="B9" s="378" t="s">
        <v>144</v>
      </c>
      <c r="C9" s="261">
        <v>0</v>
      </c>
      <c r="D9" s="261">
        <v>0</v>
      </c>
      <c r="E9" s="261">
        <v>0</v>
      </c>
      <c r="F9" s="261">
        <v>0</v>
      </c>
    </row>
    <row ht="15" r="10" spans="1:6">
      <c r="A10" s="531">
        <v>33200</v>
      </c>
      <c r="B10" s="378" t="s">
        <v>145</v>
      </c>
      <c r="C10" s="261">
        <v>0</v>
      </c>
      <c r="D10" s="261">
        <v>0</v>
      </c>
      <c r="E10" s="261">
        <v>0</v>
      </c>
      <c r="F10" s="261">
        <v>0</v>
      </c>
    </row>
    <row ht="15" r="11" spans="1:6">
      <c r="A11" s="531">
        <v>33300</v>
      </c>
      <c r="B11" s="378" t="s">
        <v>146</v>
      </c>
      <c r="C11" s="261">
        <v>0</v>
      </c>
      <c r="D11" s="261">
        <v>0</v>
      </c>
      <c r="E11" s="261">
        <v>0</v>
      </c>
      <c r="F11" s="261">
        <v>0</v>
      </c>
    </row>
    <row ht="15" r="12" spans="1:6">
      <c r="A12" s="531">
        <v>33400</v>
      </c>
      <c r="B12" s="378" t="s">
        <v>147</v>
      </c>
      <c r="C12" s="261">
        <v>0</v>
      </c>
      <c r="D12" s="261">
        <v>0</v>
      </c>
      <c r="E12" s="261">
        <v>0</v>
      </c>
      <c r="F12" s="261">
        <v>0</v>
      </c>
    </row>
    <row ht="15" r="13" spans="1:6">
      <c r="A13" s="532">
        <v>33401</v>
      </c>
      <c r="B13" s="378" t="s">
        <v>634</v>
      </c>
      <c r="C13" s="261">
        <v>0</v>
      </c>
      <c r="D13" s="261">
        <v>0</v>
      </c>
      <c r="E13" s="261">
        <v>0</v>
      </c>
      <c r="F13" s="261">
        <v>0</v>
      </c>
    </row>
    <row ht="15" r="14" spans="1:6">
      <c r="A14" s="532">
        <v>33402</v>
      </c>
      <c r="B14" s="378" t="s">
        <v>2298</v>
      </c>
      <c r="C14" s="261">
        <v>0</v>
      </c>
      <c r="D14" s="261">
        <v>0</v>
      </c>
      <c r="E14" s="261">
        <v>0</v>
      </c>
      <c r="F14" s="261">
        <v>0</v>
      </c>
    </row>
    <row ht="14.25" r="15" spans="1:6">
      <c r="A15" s="529">
        <v>335</v>
      </c>
      <c r="B15" s="530" t="s">
        <v>2299</v>
      </c>
      <c r="C15" s="262">
        <f>C16+C30</f>
        <v>0</v>
      </c>
      <c r="D15" s="262">
        <f>D16+D30</f>
        <v>245791652.12</v>
      </c>
      <c r="E15" s="262">
        <f>E16+E30</f>
        <v>245791652.12</v>
      </c>
      <c r="F15" s="262">
        <f>F16+F30</f>
        <v>0</v>
      </c>
    </row>
    <row ht="14.25" r="16" spans="1:6">
      <c r="A16" s="529">
        <v>33510</v>
      </c>
      <c r="B16" s="530" t="s">
        <v>149</v>
      </c>
      <c r="C16" s="262">
        <f>SUM(C17:C29)</f>
        <v>0</v>
      </c>
      <c r="D16" s="262">
        <f>SUM(D17:D29)</f>
        <v>245791652.12</v>
      </c>
      <c r="E16" s="262">
        <f>SUM(E17:E29)</f>
        <v>245791652.12</v>
      </c>
      <c r="F16" s="262">
        <f>SUM(F17:F29)</f>
        <v>0</v>
      </c>
    </row>
    <row ht="15" r="17" spans="1:6">
      <c r="A17" s="531">
        <v>335101</v>
      </c>
      <c r="B17" s="533" t="s">
        <v>560</v>
      </c>
      <c r="C17" s="261" t="s">
        <v>102</v>
      </c>
      <c r="D17" s="261">
        <v>2352800</v>
      </c>
      <c r="E17" s="261">
        <v>2352800</v>
      </c>
      <c r="F17" s="261" t="s">
        <v>102</v>
      </c>
    </row>
    <row ht="15" r="18" spans="1:6">
      <c r="A18" s="531">
        <v>335102</v>
      </c>
      <c r="B18" s="533" t="s">
        <v>561</v>
      </c>
      <c r="C18" s="261" t="s">
        <v>102</v>
      </c>
      <c r="D18" s="261">
        <v>6339830</v>
      </c>
      <c r="E18" s="261">
        <v>6339830</v>
      </c>
      <c r="F18" s="261" t="s">
        <v>102</v>
      </c>
    </row>
    <row ht="15" r="19" spans="1:6">
      <c r="A19" s="531">
        <v>335103</v>
      </c>
      <c r="B19" s="533" t="s">
        <v>562</v>
      </c>
      <c r="C19" s="261" t="s">
        <v>102</v>
      </c>
      <c r="D19" s="261">
        <v>3384296.12</v>
      </c>
      <c r="E19" s="261">
        <v>3384296.12</v>
      </c>
      <c r="F19" s="261" t="s">
        <v>102</v>
      </c>
    </row>
    <row ht="15" r="20" spans="1:6">
      <c r="A20" s="531">
        <v>335104</v>
      </c>
      <c r="B20" s="533" t="s">
        <v>563</v>
      </c>
      <c r="C20" s="261" t="s">
        <v>102</v>
      </c>
      <c r="D20" s="261" t="s">
        <v>102</v>
      </c>
      <c r="E20" s="261" t="s">
        <v>102</v>
      </c>
      <c r="F20" s="261" t="s">
        <v>102</v>
      </c>
    </row>
    <row ht="15" r="21" spans="1:6">
      <c r="A21" s="531">
        <v>335105</v>
      </c>
      <c r="B21" s="533" t="s">
        <v>564</v>
      </c>
      <c r="C21" s="261" t="s">
        <v>102</v>
      </c>
      <c r="D21" s="261">
        <v>77869476</v>
      </c>
      <c r="E21" s="261">
        <v>77869476</v>
      </c>
      <c r="F21" s="261" t="s">
        <v>102</v>
      </c>
    </row>
    <row ht="15" r="22" spans="1:6">
      <c r="A22" s="531">
        <v>335106</v>
      </c>
      <c r="B22" s="533" t="s">
        <v>565</v>
      </c>
      <c r="C22" s="261" t="s">
        <v>102</v>
      </c>
      <c r="D22" s="261">
        <v>155845250</v>
      </c>
      <c r="E22" s="261">
        <v>155845250</v>
      </c>
      <c r="F22" s="261" t="s">
        <v>102</v>
      </c>
    </row>
    <row ht="15" r="23" spans="1:6">
      <c r="A23" s="531">
        <v>335107</v>
      </c>
      <c r="B23" s="533" t="s">
        <v>566</v>
      </c>
      <c r="C23" s="261" t="s">
        <v>102</v>
      </c>
      <c r="D23" s="261" t="s">
        <v>102</v>
      </c>
      <c r="E23" s="261" t="s">
        <v>102</v>
      </c>
      <c r="F23" s="261" t="s">
        <v>102</v>
      </c>
    </row>
    <row ht="15" r="24" spans="1:6">
      <c r="A24" s="531">
        <v>335108</v>
      </c>
      <c r="B24" s="533" t="s">
        <v>567</v>
      </c>
      <c r="C24" s="261" t="s">
        <v>102</v>
      </c>
      <c r="D24" s="261" t="s">
        <v>102</v>
      </c>
      <c r="E24" s="261" t="s">
        <v>102</v>
      </c>
      <c r="F24" s="261" t="s">
        <v>102</v>
      </c>
    </row>
    <row ht="15" r="25" spans="1:6">
      <c r="A25" s="531">
        <v>335109</v>
      </c>
      <c r="B25" s="533" t="s">
        <v>568</v>
      </c>
      <c r="C25" s="261" t="s">
        <v>102</v>
      </c>
      <c r="D25" s="261" t="s">
        <v>102</v>
      </c>
      <c r="E25" s="261" t="s">
        <v>102</v>
      </c>
      <c r="F25" s="261" t="s">
        <v>102</v>
      </c>
    </row>
    <row ht="15" r="26" spans="1:6">
      <c r="A26" s="531">
        <v>335110</v>
      </c>
      <c r="B26" s="533" t="s">
        <v>569</v>
      </c>
      <c r="C26" s="261" t="s">
        <v>102</v>
      </c>
      <c r="D26" s="261" t="s">
        <v>102</v>
      </c>
      <c r="E26" s="261" t="s">
        <v>102</v>
      </c>
      <c r="F26" s="261" t="s">
        <v>102</v>
      </c>
    </row>
    <row ht="15" r="27" spans="1:6">
      <c r="A27" s="531">
        <v>335111</v>
      </c>
      <c r="B27" s="533" t="s">
        <v>570</v>
      </c>
      <c r="C27" s="261" t="s">
        <v>102</v>
      </c>
      <c r="D27" s="261" t="s">
        <v>102</v>
      </c>
      <c r="E27" s="261" t="s">
        <v>102</v>
      </c>
      <c r="F27" s="261" t="s">
        <v>102</v>
      </c>
    </row>
    <row ht="15" r="28" spans="1:6">
      <c r="A28" s="531">
        <v>335112</v>
      </c>
      <c r="B28" s="533" t="s">
        <v>571</v>
      </c>
      <c r="C28" s="261" t="s">
        <v>102</v>
      </c>
      <c r="D28" s="261" t="s">
        <v>102</v>
      </c>
      <c r="E28" s="261" t="s">
        <v>102</v>
      </c>
      <c r="F28" s="261" t="s">
        <v>102</v>
      </c>
    </row>
    <row ht="15" r="29" spans="1:6">
      <c r="A29" s="531">
        <v>335113</v>
      </c>
      <c r="B29" s="533" t="s">
        <v>572</v>
      </c>
      <c r="C29" s="261">
        <v>0</v>
      </c>
      <c r="D29" s="261">
        <v>0</v>
      </c>
      <c r="E29" s="261">
        <v>0</v>
      </c>
      <c r="F29" s="261">
        <v>0</v>
      </c>
    </row>
    <row ht="14.25" r="30" spans="1:6">
      <c r="A30" s="534">
        <v>33520</v>
      </c>
      <c r="B30" s="535" t="s">
        <v>150</v>
      </c>
      <c r="C30" s="261">
        <v>0</v>
      </c>
      <c r="D30" s="261">
        <v>0</v>
      </c>
      <c r="E30" s="261">
        <v>0</v>
      </c>
      <c r="F30" s="261">
        <v>0</v>
      </c>
    </row>
    <row ht="14.25" r="31" spans="1:6">
      <c r="A31" s="529">
        <v>336</v>
      </c>
      <c r="B31" s="530" t="s">
        <v>151</v>
      </c>
      <c r="C31" s="262">
        <f>C32+C38</f>
        <v>0</v>
      </c>
      <c r="D31" s="262">
        <f>D32+D38</f>
        <v>0</v>
      </c>
      <c r="E31" s="262">
        <f>E32+E38</f>
        <v>0</v>
      </c>
      <c r="F31" s="262">
        <f>F32+F38</f>
        <v>0</v>
      </c>
    </row>
    <row ht="14.25" r="32" spans="1:6">
      <c r="A32" s="529">
        <v>3361</v>
      </c>
      <c r="B32" s="530" t="s">
        <v>152</v>
      </c>
      <c r="C32" s="262">
        <f>SUM(C33:C37)</f>
        <v>0</v>
      </c>
      <c r="D32" s="262">
        <f>SUM(D33:D37)</f>
        <v>0</v>
      </c>
      <c r="E32" s="262">
        <f>SUM(E33:E37)</f>
        <v>0</v>
      </c>
      <c r="F32" s="262">
        <f>SUM(F33:F37)</f>
        <v>0</v>
      </c>
    </row>
    <row ht="15" r="33" spans="1:6">
      <c r="A33" s="531">
        <v>33611</v>
      </c>
      <c r="B33" s="378" t="s">
        <v>153</v>
      </c>
      <c r="C33" s="261">
        <v>0</v>
      </c>
      <c r="D33" s="261">
        <v>0</v>
      </c>
      <c r="E33" s="261">
        <v>0</v>
      </c>
      <c r="F33" s="261">
        <v>0</v>
      </c>
    </row>
    <row ht="15" r="34" spans="1:6">
      <c r="A34" s="531">
        <v>33612</v>
      </c>
      <c r="B34" s="378" t="s">
        <v>154</v>
      </c>
      <c r="C34" s="261">
        <v>0</v>
      </c>
      <c r="D34" s="261">
        <v>0</v>
      </c>
      <c r="E34" s="261">
        <v>0</v>
      </c>
      <c r="F34" s="261">
        <v>0</v>
      </c>
    </row>
    <row ht="15" r="35" spans="1:6">
      <c r="A35" s="531">
        <v>33613</v>
      </c>
      <c r="B35" s="378" t="s">
        <v>155</v>
      </c>
      <c r="C35" s="261">
        <v>0</v>
      </c>
      <c r="D35" s="261">
        <v>0</v>
      </c>
      <c r="E35" s="261">
        <v>0</v>
      </c>
      <c r="F35" s="261">
        <v>0</v>
      </c>
    </row>
    <row ht="15" r="36" spans="1:6">
      <c r="A36" s="531">
        <v>33614</v>
      </c>
      <c r="B36" s="378" t="s">
        <v>156</v>
      </c>
      <c r="C36" s="261">
        <v>0</v>
      </c>
      <c r="D36" s="261">
        <v>0</v>
      </c>
      <c r="E36" s="261">
        <v>0</v>
      </c>
      <c r="F36" s="261">
        <v>0</v>
      </c>
    </row>
    <row ht="15" r="37" spans="1:6">
      <c r="A37" s="531">
        <v>33615</v>
      </c>
      <c r="B37" s="378" t="s">
        <v>157</v>
      </c>
      <c r="C37" s="261">
        <v>0</v>
      </c>
      <c r="D37" s="261">
        <v>0</v>
      </c>
      <c r="E37" s="261">
        <v>0</v>
      </c>
      <c r="F37" s="261">
        <v>0</v>
      </c>
    </row>
    <row ht="14.25" r="38" spans="1:6">
      <c r="A38" s="529">
        <v>3362</v>
      </c>
      <c r="B38" s="530" t="s">
        <v>158</v>
      </c>
      <c r="C38" s="262">
        <f>SUM(C39:C41)</f>
        <v>0</v>
      </c>
      <c r="D38" s="262">
        <f>SUM(D39:D41)</f>
        <v>0</v>
      </c>
      <c r="E38" s="262">
        <f>SUM(E39:E41)</f>
        <v>0</v>
      </c>
      <c r="F38" s="262">
        <f>SUM(F39:F41)</f>
        <v>0</v>
      </c>
    </row>
    <row ht="15" r="39" spans="1:6">
      <c r="A39" s="531">
        <v>33621</v>
      </c>
      <c r="B39" s="378" t="s">
        <v>153</v>
      </c>
      <c r="C39" s="261">
        <v>0</v>
      </c>
      <c r="D39" s="261">
        <v>0</v>
      </c>
      <c r="E39" s="261">
        <v>0</v>
      </c>
      <c r="F39" s="261">
        <v>0</v>
      </c>
    </row>
    <row ht="15" r="40" spans="1:6">
      <c r="A40" s="531">
        <v>33622</v>
      </c>
      <c r="B40" s="378" t="s">
        <v>156</v>
      </c>
      <c r="C40" s="261">
        <v>0</v>
      </c>
      <c r="D40" s="261">
        <v>0</v>
      </c>
      <c r="E40" s="261">
        <v>0</v>
      </c>
      <c r="F40" s="261">
        <v>0</v>
      </c>
    </row>
    <row ht="15" r="41" spans="1:6">
      <c r="A41" s="531">
        <v>33623</v>
      </c>
      <c r="B41" s="378" t="s">
        <v>157</v>
      </c>
      <c r="C41" s="261">
        <v>0</v>
      </c>
      <c r="D41" s="261">
        <v>0</v>
      </c>
      <c r="E41" s="261">
        <v>0</v>
      </c>
      <c r="F41" s="261">
        <v>0</v>
      </c>
    </row>
    <row r="43" spans="1:6">
      <c r="C43" s="479"/>
      <c r="D43" s="479"/>
      <c r="E43" s="479"/>
      <c r="F43" s="479"/>
    </row>
    <row customHeight="1" ht="33" r="44" spans="1:6">
      <c r="B44" s="479" t="s">
        <v>1185</v>
      </c>
    </row>
  </sheetData>
  <mergeCells count="1">
    <mergeCell ref="A3:F3"/>
  </mergeCells>
  <pageMargins bottom="0.22" footer="0.3" header="0.3" left="0.25" right="0.25" top="0.32"/>
  <pageSetup fitToHeight="0" orientation="portrait" paperSize="9" r:id="rId1" scale="66"/>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49" t="s">
        <v>1043</v>
      </c>
    </row>
    <row r="2" spans="1:6">
      <c r="A2" s="72" t="s">
        <v>102</v>
      </c>
      <c r="B2" s="1" t="s">
        <v>102</v>
      </c>
      <c r="C2" s="1" t="s">
        <v>102</v>
      </c>
      <c r="D2" s="1" t="s">
        <v>102</v>
      </c>
      <c r="E2" s="1" t="s">
        <v>102</v>
      </c>
      <c r="F2" s="1" t="s">
        <v>102</v>
      </c>
    </row>
    <row r="3" spans="1:6">
      <c r="A3" s="1717" t="s">
        <v>1188</v>
      </c>
      <c r="B3" s="1717" t="s">
        <v>102</v>
      </c>
      <c r="C3" s="1717" t="s">
        <v>102</v>
      </c>
      <c r="D3" s="1717" t="s">
        <v>102</v>
      </c>
      <c r="E3" s="1717" t="s">
        <v>102</v>
      </c>
      <c r="F3" s="171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199">
        <v>34</v>
      </c>
      <c r="B8" s="182" t="s">
        <v>160</v>
      </c>
      <c r="C8" s="253">
        <f>SUM(C9:C15)</f>
        <v>0</v>
      </c>
      <c r="D8" s="253">
        <f>SUM(D9:D15)</f>
        <v>6058769495</v>
      </c>
      <c r="E8" s="253">
        <f>SUM(E9:E15)</f>
        <v>6058769495</v>
      </c>
      <c r="F8" s="253">
        <f>SUM(F9:F15)</f>
        <v>0</v>
      </c>
    </row>
    <row r="9" spans="1:6">
      <c r="A9" s="211">
        <v>34100</v>
      </c>
      <c r="B9" s="110" t="s">
        <v>161</v>
      </c>
      <c r="C9" s="254">
        <v>0</v>
      </c>
      <c r="D9" s="254">
        <v>0</v>
      </c>
      <c r="E9" s="254">
        <v>0</v>
      </c>
      <c r="F9" s="254">
        <v>0</v>
      </c>
    </row>
    <row r="10" spans="1:6">
      <c r="A10" s="211">
        <v>34200</v>
      </c>
      <c r="B10" s="110" t="s">
        <v>162</v>
      </c>
      <c r="C10" s="254">
        <v>0</v>
      </c>
      <c r="D10" s="254">
        <v>0</v>
      </c>
      <c r="E10" s="254">
        <v>0</v>
      </c>
      <c r="F10" s="254">
        <v>0</v>
      </c>
    </row>
    <row r="11" spans="1:6">
      <c r="A11" s="211">
        <v>34300</v>
      </c>
      <c r="B11" s="110" t="s">
        <v>163</v>
      </c>
      <c r="C11" s="254">
        <v>0</v>
      </c>
      <c r="D11" s="254">
        <v>0</v>
      </c>
      <c r="E11" s="254">
        <v>0</v>
      </c>
      <c r="F11" s="254">
        <v>0</v>
      </c>
    </row>
    <row r="12" spans="1:6">
      <c r="A12" s="211">
        <v>34400</v>
      </c>
      <c r="B12" s="110" t="s">
        <v>164</v>
      </c>
      <c r="C12" s="254">
        <v>0</v>
      </c>
      <c r="D12" s="254">
        <v>0</v>
      </c>
      <c r="E12" s="254">
        <v>0</v>
      </c>
      <c r="F12" s="254">
        <v>0</v>
      </c>
    </row>
    <row r="13" spans="1:6">
      <c r="A13" s="211">
        <v>34500</v>
      </c>
      <c r="B13" s="110" t="s">
        <v>165</v>
      </c>
      <c r="C13" s="254">
        <v>0</v>
      </c>
      <c r="D13" s="254">
        <v>0</v>
      </c>
      <c r="E13" s="254">
        <v>0</v>
      </c>
      <c r="F13" s="254">
        <v>0</v>
      </c>
    </row>
    <row r="14" spans="1:6">
      <c r="A14" s="211">
        <v>34600</v>
      </c>
      <c r="B14" s="110" t="s">
        <v>166</v>
      </c>
      <c r="C14" s="254">
        <v>0</v>
      </c>
      <c r="D14" s="254">
        <v>6009519495</v>
      </c>
      <c r="E14" s="254">
        <v>6009519495</v>
      </c>
      <c r="F14" s="254">
        <v>0</v>
      </c>
    </row>
    <row r="15" spans="1:6">
      <c r="A15" s="202">
        <v>3471</v>
      </c>
      <c r="B15" s="182" t="s">
        <v>167</v>
      </c>
      <c r="C15" s="253">
        <f>SUM(C16:C19)</f>
        <v>0</v>
      </c>
      <c r="D15" s="253">
        <f>SUM(D16:D19)</f>
        <v>49250000</v>
      </c>
      <c r="E15" s="253">
        <f>SUM(E16:E19)</f>
        <v>49250000</v>
      </c>
      <c r="F15" s="253">
        <f>SUM(F16:F19)</f>
        <v>0</v>
      </c>
    </row>
    <row r="16" spans="1:6">
      <c r="A16" s="211">
        <v>34711</v>
      </c>
      <c r="B16" s="110" t="s">
        <v>168</v>
      </c>
      <c r="C16" s="254">
        <v>0</v>
      </c>
      <c r="D16" s="254">
        <v>0</v>
      </c>
      <c r="E16" s="254">
        <v>0</v>
      </c>
      <c r="F16" s="254">
        <v>0</v>
      </c>
    </row>
    <row r="17" spans="1:6">
      <c r="A17" s="211">
        <v>34712</v>
      </c>
      <c r="B17" s="110" t="s">
        <v>169</v>
      </c>
      <c r="C17" s="254">
        <v>0</v>
      </c>
      <c r="D17" s="254">
        <v>0</v>
      </c>
      <c r="E17" s="254">
        <v>0</v>
      </c>
      <c r="F17" s="254">
        <v>0</v>
      </c>
    </row>
    <row r="18" spans="1:6">
      <c r="A18" s="211">
        <v>34713</v>
      </c>
      <c r="B18" s="110" t="s">
        <v>170</v>
      </c>
      <c r="C18" s="254">
        <v>0</v>
      </c>
      <c r="D18" s="254">
        <v>49250000</v>
      </c>
      <c r="E18" s="254">
        <v>49250000</v>
      </c>
      <c r="F18" s="254">
        <v>0</v>
      </c>
    </row>
    <row r="19" spans="1:6">
      <c r="A19" s="211">
        <v>34714</v>
      </c>
      <c r="B19" s="110" t="s">
        <v>171</v>
      </c>
      <c r="C19" s="254">
        <v>0</v>
      </c>
      <c r="D19" s="254">
        <v>0</v>
      </c>
      <c r="E19" s="254">
        <v>0</v>
      </c>
      <c r="F19" s="254">
        <v>0</v>
      </c>
    </row>
    <row customHeight="1" ht="33.75" r="22" spans="1:6">
      <c r="B22" s="2174" t="s">
        <v>1189</v>
      </c>
      <c r="C22" s="2174"/>
      <c r="D22" s="2174"/>
      <c r="E22" s="2174"/>
      <c r="F22" s="2174"/>
    </row>
  </sheetData>
  <mergeCells count="2">
    <mergeCell ref="A3:F3"/>
    <mergeCell ref="B22:F22"/>
  </mergeCells>
  <pageMargins bottom="0.75" footer="0.3" header="0.3" left="0.25" right="0.25" top="0.34"/>
  <pageSetup fitToHeight="0" orientation="portrait" paperSize="9" r:id="rId1" scale="75"/>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customWidth="true" style="381" width="4.140625" collapsed="false"/>
    <col min="2" max="2" customWidth="true" style="481" width="22.85546875" collapsed="false"/>
    <col min="3" max="17" customWidth="true" style="381" width="15.140625" collapsed="false"/>
    <col min="18" max="18" bestFit="true" customWidth="true" style="381" width="10.28515625" collapsed="false"/>
    <col min="19" max="16384" style="962" width="9.140625" collapsed="false"/>
  </cols>
  <sheetData>
    <row r="1" spans="1:17">
      <c r="G1" s="962"/>
      <c r="Q1" s="963" t="s">
        <v>1045</v>
      </c>
    </row>
    <row customHeight="1" ht="12.75" r="3" spans="1:17">
      <c r="A3" s="2177" t="s">
        <v>651</v>
      </c>
      <c r="B3" s="2177"/>
      <c r="C3" s="2177"/>
      <c r="D3" s="2177"/>
      <c r="E3" s="2177"/>
      <c r="F3" s="2177"/>
      <c r="G3" s="2177"/>
      <c r="H3" s="2177"/>
      <c r="I3" s="2177"/>
      <c r="J3" s="2177"/>
      <c r="K3" s="2177"/>
      <c r="L3" s="2177"/>
      <c r="M3" s="2177"/>
      <c r="N3" s="2177"/>
      <c r="O3" s="2177"/>
      <c r="P3" s="2177"/>
      <c r="Q3" s="2177"/>
    </row>
    <row customFormat="1" r="5" s="381" spans="1:17">
      <c r="A5" s="381" t="s">
        <v>102</v>
      </c>
      <c r="B5" s="481" t="s">
        <v>102</v>
      </c>
      <c r="C5" s="381" t="s">
        <v>102</v>
      </c>
      <c r="D5" s="381" t="s">
        <v>102</v>
      </c>
      <c r="E5" s="381" t="s">
        <v>102</v>
      </c>
      <c r="Q5" s="964" t="s">
        <v>1044</v>
      </c>
    </row>
    <row customFormat="1" r="6" s="381" spans="1:17">
      <c r="B6" s="481"/>
    </row>
    <row customFormat="1" customHeight="1" ht="52.5" r="7" s="381" spans="1:17">
      <c r="A7" s="2175" t="s">
        <v>649</v>
      </c>
      <c r="B7" s="455" t="s">
        <v>12</v>
      </c>
      <c r="C7" s="455" t="s">
        <v>553</v>
      </c>
      <c r="D7" s="455" t="s">
        <v>554</v>
      </c>
      <c r="E7" s="455" t="s">
        <v>555</v>
      </c>
      <c r="F7" s="455" t="s">
        <v>556</v>
      </c>
      <c r="G7" s="455" t="s">
        <v>557</v>
      </c>
      <c r="H7" s="455" t="s">
        <v>558</v>
      </c>
      <c r="I7" s="455" t="s">
        <v>71</v>
      </c>
      <c r="J7" s="455" t="s">
        <v>72</v>
      </c>
      <c r="K7" s="455" t="s">
        <v>73</v>
      </c>
      <c r="L7" s="455" t="s">
        <v>74</v>
      </c>
      <c r="M7" s="455" t="s">
        <v>75</v>
      </c>
      <c r="N7" s="455" t="s">
        <v>559</v>
      </c>
      <c r="O7" s="455" t="s">
        <v>76</v>
      </c>
      <c r="P7" s="455" t="s">
        <v>77</v>
      </c>
      <c r="Q7" s="455" t="s">
        <v>36</v>
      </c>
    </row>
    <row customFormat="1" customHeight="1" ht="21.75" r="8" s="968" spans="1:17">
      <c r="A8" s="2176"/>
      <c r="B8" s="965" t="s">
        <v>64</v>
      </c>
      <c r="C8" s="966" t="s">
        <v>174</v>
      </c>
      <c r="D8" s="966" t="s">
        <v>176</v>
      </c>
      <c r="E8" s="966" t="s">
        <v>178</v>
      </c>
      <c r="F8" s="966" t="s">
        <v>180</v>
      </c>
      <c r="G8" s="966" t="s">
        <v>183</v>
      </c>
      <c r="H8" s="966" t="s">
        <v>185</v>
      </c>
      <c r="I8" s="966" t="s">
        <v>187</v>
      </c>
      <c r="J8" s="966" t="s">
        <v>189</v>
      </c>
      <c r="K8" s="966" t="s">
        <v>191</v>
      </c>
      <c r="L8" s="966" t="s">
        <v>193</v>
      </c>
      <c r="M8" s="966" t="s">
        <v>195</v>
      </c>
      <c r="N8" s="966" t="s">
        <v>197</v>
      </c>
      <c r="O8" s="966" t="s">
        <v>199</v>
      </c>
      <c r="P8" s="967">
        <v>0</v>
      </c>
      <c r="Q8" s="967"/>
    </row>
    <row customFormat="1" customHeight="1" ht="17.25" r="9" s="381" spans="1:17">
      <c r="A9" s="969">
        <v>1</v>
      </c>
      <c r="B9" s="970" t="s">
        <v>110</v>
      </c>
      <c r="C9" s="971">
        <v>42546313.100000001</v>
      </c>
      <c r="D9" s="971"/>
      <c r="E9" s="971"/>
      <c r="F9" s="971">
        <v>26063798.800000001</v>
      </c>
      <c r="G9" s="971">
        <v>1520663.12</v>
      </c>
      <c r="H9" s="971"/>
      <c r="I9" s="971"/>
      <c r="J9" s="971">
        <v>1439526</v>
      </c>
      <c r="K9" s="971"/>
      <c r="L9" s="971"/>
      <c r="M9" s="971">
        <v>654219333.69000006</v>
      </c>
      <c r="N9" s="971"/>
      <c r="O9" s="971"/>
      <c r="P9" s="971"/>
      <c r="Q9" s="972">
        <f>SUM(C9:P9)</f>
        <v>725789634.71000004</v>
      </c>
    </row>
    <row customFormat="1" customHeight="1" ht="17.25" r="10" s="381" spans="1:17">
      <c r="A10" s="969">
        <v>2</v>
      </c>
      <c r="B10" s="970" t="s">
        <v>2306</v>
      </c>
      <c r="C10" s="971">
        <f>SUM(C11:C15)</f>
        <v>612450000</v>
      </c>
      <c r="D10" s="971">
        <f ref="D10:P10" si="0" t="shared">SUM(D11:D15)</f>
        <v>0</v>
      </c>
      <c r="E10" s="971">
        <f si="0" t="shared"/>
        <v>0</v>
      </c>
      <c r="F10" s="971">
        <f si="0" t="shared"/>
        <v>13483600</v>
      </c>
      <c r="G10" s="971">
        <f si="0" t="shared"/>
        <v>12360300</v>
      </c>
      <c r="H10" s="971">
        <f si="0" t="shared"/>
        <v>0</v>
      </c>
      <c r="I10" s="971">
        <f si="0" t="shared"/>
        <v>5685500</v>
      </c>
      <c r="J10" s="971">
        <f si="0" t="shared"/>
        <v>78859041</v>
      </c>
      <c r="K10" s="971">
        <f si="0" t="shared"/>
        <v>0</v>
      </c>
      <c r="L10" s="971">
        <f si="0" t="shared"/>
        <v>0</v>
      </c>
      <c r="M10" s="971">
        <f si="0" t="shared"/>
        <v>56767106</v>
      </c>
      <c r="N10" s="971">
        <f si="0" t="shared"/>
        <v>0</v>
      </c>
      <c r="O10" s="971">
        <f si="0" t="shared"/>
        <v>0</v>
      </c>
      <c r="P10" s="971">
        <f si="0" t="shared"/>
        <v>0</v>
      </c>
      <c r="Q10" s="972">
        <f ref="Q10:Q21" si="1" t="shared">SUM(C10:P10)</f>
        <v>779605547</v>
      </c>
    </row>
    <row customFormat="1" customHeight="1" ht="17.25" r="11" s="381" spans="1:17">
      <c r="A11" s="973">
        <v>2.1</v>
      </c>
      <c r="B11" s="974" t="s">
        <v>2307</v>
      </c>
      <c r="C11" s="975">
        <v>612450000</v>
      </c>
      <c r="D11" s="975"/>
      <c r="E11" s="975"/>
      <c r="F11" s="975">
        <v>13483600</v>
      </c>
      <c r="G11" s="975">
        <v>11390300</v>
      </c>
      <c r="H11" s="975"/>
      <c r="I11" s="975">
        <v>5685500</v>
      </c>
      <c r="J11" s="975">
        <v>78859041</v>
      </c>
      <c r="K11" s="975"/>
      <c r="L11" s="975"/>
      <c r="M11" s="975">
        <v>56767106</v>
      </c>
      <c r="N11" s="975"/>
      <c r="O11" s="975"/>
      <c r="P11" s="975"/>
      <c r="Q11" s="972">
        <f si="1" t="shared"/>
        <v>778635547</v>
      </c>
    </row>
    <row customFormat="1" customHeight="1" ht="17.25" r="12" s="381" spans="1:17">
      <c r="A12" s="973">
        <v>2.2000000000000002</v>
      </c>
      <c r="B12" s="974" t="s">
        <v>2308</v>
      </c>
      <c r="C12" s="975"/>
      <c r="D12" s="975"/>
      <c r="E12" s="975"/>
      <c r="F12" s="975"/>
      <c r="G12" s="975">
        <v>970000</v>
      </c>
      <c r="H12" s="975"/>
      <c r="I12" s="975"/>
      <c r="J12" s="975"/>
      <c r="K12" s="975"/>
      <c r="L12" s="975"/>
      <c r="M12" s="975"/>
      <c r="N12" s="975"/>
      <c r="O12" s="975"/>
      <c r="P12" s="975"/>
      <c r="Q12" s="972">
        <f si="1" t="shared"/>
        <v>970000</v>
      </c>
    </row>
    <row customFormat="1" customHeight="1" ht="17.25" r="13" s="381" spans="1:17">
      <c r="A13" s="973">
        <v>2.2999999999999998</v>
      </c>
      <c r="B13" s="974" t="s">
        <v>106</v>
      </c>
      <c r="C13" s="975"/>
      <c r="D13" s="975"/>
      <c r="E13" s="975"/>
      <c r="F13" s="975"/>
      <c r="G13" s="975"/>
      <c r="H13" s="975"/>
      <c r="I13" s="975"/>
      <c r="J13" s="975"/>
      <c r="K13" s="975"/>
      <c r="L13" s="975"/>
      <c r="M13" s="975"/>
      <c r="N13" s="975"/>
      <c r="O13" s="975"/>
      <c r="P13" s="975"/>
      <c r="Q13" s="972">
        <f si="1" t="shared"/>
        <v>0</v>
      </c>
    </row>
    <row customFormat="1" customHeight="1" ht="29.25" r="14" s="381" spans="1:17">
      <c r="A14" s="973">
        <v>2.4</v>
      </c>
      <c r="B14" s="974" t="s">
        <v>2309</v>
      </c>
      <c r="C14" s="975"/>
      <c r="D14" s="975"/>
      <c r="E14" s="975"/>
      <c r="F14" s="975"/>
      <c r="G14" s="975"/>
      <c r="H14" s="975"/>
      <c r="I14" s="975"/>
      <c r="J14" s="975"/>
      <c r="K14" s="975"/>
      <c r="L14" s="975"/>
      <c r="M14" s="975"/>
      <c r="N14" s="975"/>
      <c r="O14" s="975"/>
      <c r="P14" s="975"/>
      <c r="Q14" s="972">
        <f si="1" t="shared"/>
        <v>0</v>
      </c>
    </row>
    <row customFormat="1" customHeight="1" ht="20.25" r="15" s="381" spans="1:17">
      <c r="A15" s="973">
        <v>2.5</v>
      </c>
      <c r="B15" s="974" t="s">
        <v>82</v>
      </c>
      <c r="C15" s="975"/>
      <c r="D15" s="975"/>
      <c r="E15" s="975"/>
      <c r="F15" s="975"/>
      <c r="G15" s="975"/>
      <c r="H15" s="975"/>
      <c r="I15" s="975"/>
      <c r="J15" s="975"/>
      <c r="K15" s="975"/>
      <c r="L15" s="975"/>
      <c r="M15" s="975"/>
      <c r="N15" s="975"/>
      <c r="O15" s="975"/>
      <c r="P15" s="975"/>
      <c r="Q15" s="972">
        <f si="1" t="shared"/>
        <v>0</v>
      </c>
    </row>
    <row customFormat="1" customHeight="1" ht="20.25" r="16" s="381" spans="1:17">
      <c r="A16" s="976">
        <v>3</v>
      </c>
      <c r="B16" s="970" t="s">
        <v>2310</v>
      </c>
      <c r="C16" s="971">
        <f>SUM(C17:C20)</f>
        <v>640070112.29999995</v>
      </c>
      <c r="D16" s="971">
        <f ref="D16:P16" si="2" t="shared">SUM(D17:D20)</f>
        <v>0</v>
      </c>
      <c r="E16" s="971">
        <f si="2" t="shared"/>
        <v>0</v>
      </c>
      <c r="F16" s="971">
        <f si="2" t="shared"/>
        <v>24270480</v>
      </c>
      <c r="G16" s="971">
        <f si="2" t="shared"/>
        <v>11226963.119999999</v>
      </c>
      <c r="H16" s="971">
        <f si="2" t="shared"/>
        <v>0</v>
      </c>
      <c r="I16" s="971">
        <f si="2" t="shared"/>
        <v>5685500</v>
      </c>
      <c r="J16" s="971">
        <f si="2" t="shared"/>
        <v>80298567</v>
      </c>
      <c r="K16" s="971">
        <f si="2" t="shared"/>
        <v>0</v>
      </c>
      <c r="L16" s="971">
        <f si="2" t="shared"/>
        <v>0</v>
      </c>
      <c r="M16" s="971">
        <f si="2" t="shared"/>
        <v>66198581.109999999</v>
      </c>
      <c r="N16" s="971">
        <f si="2" t="shared"/>
        <v>0</v>
      </c>
      <c r="O16" s="971">
        <f si="2" t="shared"/>
        <v>0</v>
      </c>
      <c r="P16" s="971">
        <f si="2" t="shared"/>
        <v>0</v>
      </c>
      <c r="Q16" s="972">
        <f si="1" t="shared"/>
        <v>827750203.52999997</v>
      </c>
    </row>
    <row customFormat="1" customHeight="1" ht="20.25" r="17" s="381" spans="1:18">
      <c r="A17" s="973">
        <v>3.1</v>
      </c>
      <c r="B17" s="974" t="s">
        <v>2311</v>
      </c>
      <c r="C17" s="975">
        <v>615455612.29999995</v>
      </c>
      <c r="D17" s="975"/>
      <c r="E17" s="975"/>
      <c r="F17" s="975"/>
      <c r="G17" s="975">
        <v>11226963.119999999</v>
      </c>
      <c r="H17" s="975"/>
      <c r="I17" s="975">
        <v>5685500</v>
      </c>
      <c r="J17" s="975">
        <v>80298567</v>
      </c>
      <c r="K17" s="975"/>
      <c r="L17" s="975"/>
      <c r="M17" s="975">
        <v>66198581.109999999</v>
      </c>
      <c r="N17" s="975"/>
      <c r="O17" s="975"/>
      <c r="P17" s="975"/>
      <c r="Q17" s="972">
        <f si="1" t="shared"/>
        <v>778865223.52999997</v>
      </c>
    </row>
    <row customFormat="1" customHeight="1" ht="20.25" r="18" s="381" spans="1:18">
      <c r="A18" s="973">
        <v>3.2</v>
      </c>
      <c r="B18" s="974" t="s">
        <v>548</v>
      </c>
      <c r="C18" s="975">
        <v>24614500</v>
      </c>
      <c r="D18" s="975"/>
      <c r="E18" s="975"/>
      <c r="F18" s="975">
        <v>24270480</v>
      </c>
      <c r="G18" s="975"/>
      <c r="H18" s="975"/>
      <c r="I18" s="975"/>
      <c r="J18" s="975"/>
      <c r="K18" s="975"/>
      <c r="L18" s="975"/>
      <c r="M18" s="975"/>
      <c r="N18" s="975"/>
      <c r="O18" s="975"/>
      <c r="P18" s="975"/>
      <c r="Q18" s="972">
        <f si="1" t="shared"/>
        <v>48884980</v>
      </c>
    </row>
    <row customFormat="1" customHeight="1" ht="29.25" r="19" s="381" spans="1:18">
      <c r="A19" s="973">
        <v>3.3</v>
      </c>
      <c r="B19" s="974" t="s">
        <v>2312</v>
      </c>
      <c r="C19" s="975"/>
      <c r="D19" s="975"/>
      <c r="E19" s="975"/>
      <c r="F19" s="975"/>
      <c r="G19" s="975"/>
      <c r="H19" s="975"/>
      <c r="I19" s="975"/>
      <c r="J19" s="975"/>
      <c r="K19" s="975"/>
      <c r="L19" s="975"/>
      <c r="M19" s="975"/>
      <c r="N19" s="975"/>
      <c r="O19" s="975"/>
      <c r="P19" s="975"/>
      <c r="Q19" s="972">
        <f si="1" t="shared"/>
        <v>0</v>
      </c>
    </row>
    <row customFormat="1" customHeight="1" ht="21" r="20" s="381" spans="1:18">
      <c r="A20" s="973">
        <v>3.4</v>
      </c>
      <c r="B20" s="974" t="s">
        <v>82</v>
      </c>
      <c r="C20" s="975"/>
      <c r="D20" s="975"/>
      <c r="E20" s="975"/>
      <c r="F20" s="975"/>
      <c r="G20" s="975"/>
      <c r="H20" s="975"/>
      <c r="I20" s="975"/>
      <c r="J20" s="975"/>
      <c r="K20" s="975"/>
      <c r="L20" s="975"/>
      <c r="M20" s="975"/>
      <c r="N20" s="975"/>
      <c r="O20" s="975"/>
      <c r="P20" s="975"/>
      <c r="Q20" s="972">
        <f si="1" t="shared"/>
        <v>0</v>
      </c>
    </row>
    <row customFormat="1" customHeight="1" ht="17.25" r="21" s="381" spans="1:18">
      <c r="A21" s="976">
        <v>4</v>
      </c>
      <c r="B21" s="970" t="s">
        <v>50</v>
      </c>
      <c r="C21" s="971">
        <f>C9+C10-C16</f>
        <v>14926200.800000072</v>
      </c>
      <c r="D21" s="971">
        <f ref="D21:P21" si="3" t="shared">D9+D10-D16</f>
        <v>0</v>
      </c>
      <c r="E21" s="971">
        <f si="3" t="shared"/>
        <v>0</v>
      </c>
      <c r="F21" s="971">
        <f si="3" t="shared"/>
        <v>15276918.799999997</v>
      </c>
      <c r="G21" s="971">
        <f si="3" t="shared"/>
        <v>2654000.0000000019</v>
      </c>
      <c r="H21" s="971">
        <f si="3" t="shared"/>
        <v>0</v>
      </c>
      <c r="I21" s="971">
        <f si="3" t="shared"/>
        <v>0</v>
      </c>
      <c r="J21" s="971">
        <f si="3" t="shared"/>
        <v>0</v>
      </c>
      <c r="K21" s="971">
        <f si="3" t="shared"/>
        <v>0</v>
      </c>
      <c r="L21" s="971">
        <f si="3" t="shared"/>
        <v>0</v>
      </c>
      <c r="M21" s="971">
        <f si="3" t="shared"/>
        <v>644787858.58000004</v>
      </c>
      <c r="N21" s="971">
        <f si="3" t="shared"/>
        <v>0</v>
      </c>
      <c r="O21" s="971">
        <f si="3" t="shared"/>
        <v>0</v>
      </c>
      <c r="P21" s="971">
        <f si="3" t="shared"/>
        <v>0</v>
      </c>
      <c r="Q21" s="972">
        <f si="1" t="shared"/>
        <v>677644978.18000007</v>
      </c>
    </row>
    <row r="22" spans="1:18">
      <c r="A22" s="977"/>
      <c r="B22" s="508"/>
      <c r="C22" s="391"/>
      <c r="D22" s="978"/>
      <c r="E22" s="978"/>
      <c r="F22" s="978"/>
      <c r="G22" s="978"/>
      <c r="H22" s="978"/>
      <c r="I22" s="978"/>
      <c r="J22" s="978"/>
      <c r="K22" s="978"/>
      <c r="L22" s="978"/>
      <c r="M22" s="978"/>
      <c r="N22" s="978"/>
      <c r="O22" s="978"/>
      <c r="P22" s="978"/>
      <c r="Q22" s="978"/>
      <c r="R22" s="978"/>
    </row>
    <row r="23" spans="1:18">
      <c r="A23" s="977"/>
      <c r="B23" s="508"/>
      <c r="C23" s="391"/>
      <c r="D23" s="978"/>
      <c r="E23" s="978"/>
      <c r="F23" s="978"/>
      <c r="G23" s="978"/>
      <c r="H23" s="978"/>
      <c r="I23" s="978"/>
      <c r="J23" s="978"/>
      <c r="K23" s="978"/>
      <c r="L23" s="978"/>
      <c r="M23" s="978"/>
      <c r="N23" s="978"/>
      <c r="O23" s="978"/>
      <c r="P23" s="978"/>
      <c r="Q23" s="978"/>
      <c r="R23" s="978"/>
    </row>
  </sheetData>
  <mergeCells count="2">
    <mergeCell ref="A7:A8"/>
    <mergeCell ref="A3:Q3"/>
  </mergeCells>
  <pageMargins bottom="0.75" footer="0.3" header="0.3" left="0.25" right="0.25" top="0.41"/>
  <pageSetup fitToHeight="0" horizontalDpi="300" orientation="landscape" paperSize="9" r:id="rId1" scale="56" verticalDpi="300"/>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49" t="s">
        <v>1046</v>
      </c>
    </row>
    <row r="2" spans="1:6">
      <c r="A2" s="72" t="s">
        <v>102</v>
      </c>
      <c r="B2" s="1" t="s">
        <v>102</v>
      </c>
      <c r="C2" s="1" t="s">
        <v>102</v>
      </c>
      <c r="D2" s="1" t="s">
        <v>102</v>
      </c>
      <c r="E2" s="1" t="s">
        <v>102</v>
      </c>
      <c r="F2" s="1" t="s">
        <v>102</v>
      </c>
    </row>
    <row r="3" spans="1:6">
      <c r="A3" s="1717" t="s">
        <v>1186</v>
      </c>
      <c r="B3" s="1717" t="s">
        <v>102</v>
      </c>
      <c r="C3" s="1717" t="s">
        <v>102</v>
      </c>
      <c r="D3" s="1717" t="s">
        <v>102</v>
      </c>
      <c r="E3" s="1717" t="s">
        <v>102</v>
      </c>
      <c r="F3" s="171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2">
        <v>37</v>
      </c>
      <c r="B8" s="182" t="s">
        <v>211</v>
      </c>
      <c r="C8" s="253">
        <f>C9+C12+C15</f>
        <v>0</v>
      </c>
      <c r="D8" s="253">
        <f>D9+D12+D15</f>
        <v>0</v>
      </c>
      <c r="E8" s="253">
        <f>E9+E12+E15</f>
        <v>0</v>
      </c>
      <c r="F8" s="253">
        <f>F9+F12+F15</f>
        <v>0</v>
      </c>
    </row>
    <row r="9" spans="1:6">
      <c r="A9" s="202">
        <v>37100</v>
      </c>
      <c r="B9" s="182" t="s">
        <v>212</v>
      </c>
      <c r="C9" s="253">
        <f>SUM(C10:C11)</f>
        <v>0</v>
      </c>
      <c r="D9" s="253">
        <f>SUM(D10:D11)</f>
        <v>0</v>
      </c>
      <c r="E9" s="253">
        <f>SUM(E10:E11)</f>
        <v>0</v>
      </c>
      <c r="F9" s="253">
        <f>SUM(F10:F11)</f>
        <v>0</v>
      </c>
    </row>
    <row r="10" spans="1:6">
      <c r="A10" s="211">
        <v>37110</v>
      </c>
      <c r="B10" s="110" t="s">
        <v>125</v>
      </c>
      <c r="C10" s="254">
        <v>0</v>
      </c>
      <c r="D10" s="254">
        <v>0</v>
      </c>
      <c r="E10" s="254">
        <v>0</v>
      </c>
      <c r="F10" s="254">
        <v>0</v>
      </c>
    </row>
    <row r="11" spans="1:6">
      <c r="A11" s="211">
        <v>37120</v>
      </c>
      <c r="B11" s="110" t="s">
        <v>126</v>
      </c>
      <c r="C11" s="254">
        <v>0</v>
      </c>
      <c r="D11" s="254">
        <v>0</v>
      </c>
      <c r="E11" s="254">
        <v>0</v>
      </c>
      <c r="F11" s="254">
        <v>0</v>
      </c>
    </row>
    <row r="12" spans="1:6">
      <c r="A12" s="202">
        <v>37200</v>
      </c>
      <c r="B12" s="182" t="s">
        <v>141</v>
      </c>
      <c r="C12" s="253">
        <f>SUM(C13:C14)</f>
        <v>0</v>
      </c>
      <c r="D12" s="253">
        <f>SUM(D13:D14)</f>
        <v>0</v>
      </c>
      <c r="E12" s="253">
        <f>SUM(E13:E14)</f>
        <v>0</v>
      </c>
      <c r="F12" s="253">
        <f>SUM(F13:F14)</f>
        <v>0</v>
      </c>
    </row>
    <row r="13" spans="1:6">
      <c r="A13" s="211">
        <v>37210</v>
      </c>
      <c r="B13" s="110" t="s">
        <v>125</v>
      </c>
      <c r="C13" s="254">
        <v>0</v>
      </c>
      <c r="D13" s="254">
        <v>0</v>
      </c>
      <c r="E13" s="254">
        <v>0</v>
      </c>
      <c r="F13" s="254">
        <v>0</v>
      </c>
    </row>
    <row r="14" spans="1:6">
      <c r="A14" s="211">
        <v>37220</v>
      </c>
      <c r="B14" s="110" t="s">
        <v>126</v>
      </c>
      <c r="C14" s="254">
        <v>0</v>
      </c>
      <c r="D14" s="254">
        <v>0</v>
      </c>
      <c r="E14" s="254">
        <v>0</v>
      </c>
      <c r="F14" s="254">
        <v>0</v>
      </c>
    </row>
    <row r="15" spans="1:6">
      <c r="A15" s="202">
        <v>37300</v>
      </c>
      <c r="B15" s="182" t="s">
        <v>213</v>
      </c>
      <c r="C15" s="253">
        <f>C16+C22+C26</f>
        <v>0</v>
      </c>
      <c r="D15" s="253">
        <f>D16+D22+D26</f>
        <v>0</v>
      </c>
      <c r="E15" s="253">
        <f>E16+E22+E26</f>
        <v>0</v>
      </c>
      <c r="F15" s="253">
        <f>F16+F22+F26</f>
        <v>0</v>
      </c>
    </row>
    <row r="16" spans="1:6">
      <c r="A16" s="202">
        <v>37310</v>
      </c>
      <c r="B16" s="182" t="s">
        <v>152</v>
      </c>
      <c r="C16" s="253">
        <f>SUM(C17:C21)</f>
        <v>0</v>
      </c>
      <c r="D16" s="253">
        <f>SUM(D17:D21)</f>
        <v>0</v>
      </c>
      <c r="E16" s="253">
        <f>SUM(E17:E21)</f>
        <v>0</v>
      </c>
      <c r="F16" s="253">
        <f>SUM(F17:F21)</f>
        <v>0</v>
      </c>
    </row>
    <row r="17" spans="1:6">
      <c r="A17" s="109">
        <v>37311</v>
      </c>
      <c r="B17" s="110" t="s">
        <v>153</v>
      </c>
      <c r="C17" s="254">
        <v>0</v>
      </c>
      <c r="D17" s="254">
        <v>0</v>
      </c>
      <c r="E17" s="254">
        <v>0</v>
      </c>
      <c r="F17" s="254">
        <v>0</v>
      </c>
    </row>
    <row r="18" spans="1:6">
      <c r="A18" s="211">
        <v>37312</v>
      </c>
      <c r="B18" s="110" t="s">
        <v>154</v>
      </c>
      <c r="C18" s="254">
        <v>0</v>
      </c>
      <c r="D18" s="254">
        <v>0</v>
      </c>
      <c r="E18" s="254">
        <v>0</v>
      </c>
      <c r="F18" s="254">
        <v>0</v>
      </c>
    </row>
    <row r="19" spans="1:6">
      <c r="A19" s="211">
        <v>37313</v>
      </c>
      <c r="B19" s="110" t="s">
        <v>155</v>
      </c>
      <c r="C19" s="254">
        <v>0</v>
      </c>
      <c r="D19" s="254">
        <v>0</v>
      </c>
      <c r="E19" s="254">
        <v>0</v>
      </c>
      <c r="F19" s="254">
        <v>0</v>
      </c>
    </row>
    <row r="20" spans="1:6">
      <c r="A20" s="211">
        <v>37314</v>
      </c>
      <c r="B20" s="110" t="s">
        <v>156</v>
      </c>
      <c r="C20" s="254">
        <v>0</v>
      </c>
      <c r="D20" s="254">
        <v>0</v>
      </c>
      <c r="E20" s="254">
        <v>0</v>
      </c>
      <c r="F20" s="254">
        <v>0</v>
      </c>
    </row>
    <row r="21" spans="1:6">
      <c r="A21" s="211">
        <v>37315</v>
      </c>
      <c r="B21" s="110" t="s">
        <v>157</v>
      </c>
      <c r="C21" s="254">
        <v>0</v>
      </c>
      <c r="D21" s="254">
        <v>0</v>
      </c>
      <c r="E21" s="254">
        <v>0</v>
      </c>
      <c r="F21" s="254">
        <v>0</v>
      </c>
    </row>
    <row r="22" spans="1:6">
      <c r="A22" s="202">
        <v>37320</v>
      </c>
      <c r="B22" s="257" t="s">
        <v>632</v>
      </c>
      <c r="C22" s="253">
        <f>SUM(C23:C25)</f>
        <v>0</v>
      </c>
      <c r="D22" s="253">
        <f>SUM(D23:D25)</f>
        <v>0</v>
      </c>
      <c r="E22" s="253">
        <f>SUM(E23:E25)</f>
        <v>0</v>
      </c>
      <c r="F22" s="253">
        <f>SUM(F23:F25)</f>
        <v>0</v>
      </c>
    </row>
    <row r="23" spans="1:6">
      <c r="A23" s="109">
        <v>37321</v>
      </c>
      <c r="B23" s="110" t="s">
        <v>153</v>
      </c>
      <c r="C23" s="254">
        <v>0</v>
      </c>
      <c r="D23" s="254">
        <v>0</v>
      </c>
      <c r="E23" s="254">
        <v>0</v>
      </c>
      <c r="F23" s="254">
        <v>0</v>
      </c>
    </row>
    <row r="24" spans="1:6">
      <c r="A24" s="109">
        <v>37323</v>
      </c>
      <c r="B24" s="110" t="s">
        <v>156</v>
      </c>
      <c r="C24" s="254">
        <v>0</v>
      </c>
      <c r="D24" s="254">
        <v>0</v>
      </c>
      <c r="E24" s="254">
        <v>0</v>
      </c>
      <c r="F24" s="254">
        <v>0</v>
      </c>
    </row>
    <row r="25" spans="1:6">
      <c r="A25" s="109">
        <v>37324</v>
      </c>
      <c r="B25" s="110" t="s">
        <v>157</v>
      </c>
      <c r="C25" s="254">
        <v>0</v>
      </c>
      <c r="D25" s="254">
        <v>0</v>
      </c>
      <c r="E25" s="254">
        <v>0</v>
      </c>
      <c r="F25" s="254">
        <v>0</v>
      </c>
    </row>
    <row r="26" spans="1:6">
      <c r="A26" s="258">
        <v>37330</v>
      </c>
      <c r="B26" s="259" t="s">
        <v>214</v>
      </c>
      <c r="C26" s="254">
        <v>0</v>
      </c>
      <c r="D26" s="254">
        <v>0</v>
      </c>
      <c r="E26" s="254">
        <v>0</v>
      </c>
      <c r="F26" s="254">
        <v>0</v>
      </c>
    </row>
    <row customHeight="1" ht="33.75" r="29" spans="1:6">
      <c r="B29" s="2174" t="s">
        <v>1190</v>
      </c>
      <c r="C29" s="2174"/>
      <c r="D29" s="2174"/>
      <c r="E29" s="2174"/>
      <c r="F29" s="2174"/>
    </row>
  </sheetData>
  <mergeCells count="2">
    <mergeCell ref="A3:F3"/>
    <mergeCell ref="B29:F29"/>
  </mergeCells>
  <pageMargins bottom="0.75" footer="0.3" header="0.3" left="0.7" right="0.7" top="0.75"/>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P35"/>
  <sheetViews>
    <sheetView workbookViewId="0" zoomScale="66" zoomScaleNormal="66">
      <selection activeCell="A7" sqref="A7:A9"/>
    </sheetView>
  </sheetViews>
  <sheetFormatPr defaultColWidth="9.140625" defaultRowHeight="15"/>
  <cols>
    <col min="1" max="1" customWidth="true" style="979" width="6.28515625" collapsed="false"/>
    <col min="2" max="2" customWidth="true" style="980" width="36.42578125" collapsed="false"/>
    <col min="3" max="15" customWidth="true" style="979" width="14.28515625" collapsed="false"/>
    <col min="16" max="16" customWidth="true" style="979" width="24.7109375" collapsed="false"/>
    <col min="17" max="16384" style="979" width="9.140625" collapsed="false"/>
  </cols>
  <sheetData>
    <row r="1" spans="1:16">
      <c r="A1" s="381"/>
      <c r="B1" s="481"/>
      <c r="C1" s="381"/>
      <c r="D1" s="381"/>
      <c r="E1" s="381"/>
      <c r="F1" s="381"/>
      <c r="G1" s="962"/>
      <c r="H1" s="381"/>
      <c r="I1" s="381"/>
      <c r="J1" s="381"/>
      <c r="K1" s="381"/>
      <c r="L1" s="381"/>
      <c r="M1" s="381"/>
      <c r="N1" s="381"/>
      <c r="O1" s="381"/>
      <c r="P1" s="963" t="s">
        <v>2313</v>
      </c>
    </row>
    <row r="2" spans="1:16">
      <c r="A2" s="381"/>
      <c r="B2" s="481"/>
      <c r="C2" s="381"/>
      <c r="D2" s="381"/>
      <c r="E2" s="381"/>
      <c r="F2" s="381"/>
      <c r="G2" s="381"/>
      <c r="H2" s="381"/>
      <c r="I2" s="381"/>
      <c r="J2" s="381"/>
      <c r="K2" s="381"/>
      <c r="L2" s="381"/>
      <c r="M2" s="381"/>
      <c r="N2" s="381"/>
      <c r="O2" s="381"/>
      <c r="P2" s="381"/>
    </row>
    <row customHeight="1" ht="15" r="3" spans="1:16">
      <c r="A3" s="2177" t="s">
        <v>652</v>
      </c>
      <c r="B3" s="2177"/>
      <c r="C3" s="2177"/>
      <c r="D3" s="2177"/>
      <c r="E3" s="2177"/>
      <c r="F3" s="2177"/>
      <c r="G3" s="2177"/>
      <c r="H3" s="2177"/>
      <c r="I3" s="2177"/>
      <c r="J3" s="2177"/>
      <c r="K3" s="2177"/>
      <c r="L3" s="2177"/>
      <c r="M3" s="2177"/>
      <c r="N3" s="2177"/>
      <c r="O3" s="2177"/>
      <c r="P3" s="2177"/>
    </row>
    <row r="4" spans="1:16">
      <c r="A4" s="381"/>
      <c r="B4" s="481"/>
      <c r="C4" s="381"/>
      <c r="D4" s="381"/>
      <c r="E4" s="381"/>
      <c r="F4" s="381"/>
      <c r="G4" s="381"/>
      <c r="H4" s="381"/>
      <c r="I4" s="381"/>
      <c r="J4" s="381"/>
      <c r="K4" s="381"/>
      <c r="L4" s="381"/>
      <c r="M4" s="381"/>
      <c r="N4" s="381"/>
      <c r="O4" s="381"/>
      <c r="P4" s="381"/>
    </row>
    <row r="5" spans="1:16">
      <c r="A5" s="381" t="s">
        <v>102</v>
      </c>
      <c r="B5" s="481" t="s">
        <v>102</v>
      </c>
      <c r="C5" s="381" t="s">
        <v>102</v>
      </c>
      <c r="D5" s="381" t="s">
        <v>102</v>
      </c>
      <c r="E5" s="381" t="s">
        <v>102</v>
      </c>
      <c r="F5" s="381"/>
      <c r="G5" s="381"/>
      <c r="H5" s="381"/>
      <c r="I5" s="381"/>
      <c r="J5" s="381"/>
      <c r="K5" s="381"/>
      <c r="L5" s="381"/>
      <c r="M5" s="381"/>
      <c r="N5" s="381"/>
      <c r="O5" s="381"/>
      <c r="P5" s="964" t="s">
        <v>1044</v>
      </c>
    </row>
    <row customFormat="1" customHeight="1" ht="19.5" r="7" s="799" spans="1:16">
      <c r="A7" s="2178" t="s">
        <v>649</v>
      </c>
      <c r="B7" s="2178" t="s">
        <v>12</v>
      </c>
      <c r="C7" s="2179" t="s">
        <v>2314</v>
      </c>
      <c r="D7" s="2179"/>
      <c r="E7" s="2179"/>
      <c r="F7" s="2179"/>
      <c r="G7" s="2179"/>
      <c r="H7" s="2179"/>
      <c r="I7" s="2179"/>
      <c r="J7" s="2179"/>
      <c r="K7" s="2179"/>
      <c r="L7" s="2179"/>
      <c r="M7" s="2179" t="s">
        <v>2315</v>
      </c>
      <c r="N7" s="2179"/>
      <c r="O7" s="2180" t="s">
        <v>624</v>
      </c>
      <c r="P7" s="2180" t="s">
        <v>36</v>
      </c>
    </row>
    <row customFormat="1" ht="57" r="8" s="381" spans="1:16">
      <c r="A8" s="2178"/>
      <c r="B8" s="2178"/>
      <c r="C8" s="454" t="s">
        <v>2039</v>
      </c>
      <c r="D8" s="454" t="s">
        <v>2040</v>
      </c>
      <c r="E8" s="454" t="s">
        <v>2041</v>
      </c>
      <c r="F8" s="454" t="s">
        <v>2042</v>
      </c>
      <c r="G8" s="454" t="s">
        <v>2043</v>
      </c>
      <c r="H8" s="454" t="s">
        <v>2044</v>
      </c>
      <c r="I8" s="454" t="s">
        <v>2045</v>
      </c>
      <c r="J8" s="454" t="s">
        <v>2046</v>
      </c>
      <c r="K8" s="454" t="s">
        <v>69</v>
      </c>
      <c r="L8" s="454" t="s">
        <v>546</v>
      </c>
      <c r="M8" s="454" t="s">
        <v>70</v>
      </c>
      <c r="N8" s="454" t="s">
        <v>547</v>
      </c>
      <c r="O8" s="2181"/>
      <c r="P8" s="2181"/>
    </row>
    <row customFormat="1" customHeight="1" ht="20.25" r="9" s="798" spans="1:16">
      <c r="A9" s="2178"/>
      <c r="B9" s="981" t="s">
        <v>64</v>
      </c>
      <c r="C9" s="982" t="s">
        <v>218</v>
      </c>
      <c r="D9" s="982" t="s">
        <v>221</v>
      </c>
      <c r="E9" s="982" t="s">
        <v>223</v>
      </c>
      <c r="F9" s="982" t="s">
        <v>224</v>
      </c>
      <c r="G9" s="982" t="s">
        <v>226</v>
      </c>
      <c r="H9" s="982" t="s">
        <v>228</v>
      </c>
      <c r="I9" s="982" t="s">
        <v>230</v>
      </c>
      <c r="J9" s="982" t="s">
        <v>234</v>
      </c>
      <c r="K9" s="982" t="s">
        <v>236</v>
      </c>
      <c r="L9" s="982" t="s">
        <v>232</v>
      </c>
      <c r="M9" s="982" t="s">
        <v>239</v>
      </c>
      <c r="N9" s="982" t="s">
        <v>241</v>
      </c>
      <c r="O9" s="982">
        <v>0</v>
      </c>
      <c r="P9" s="981"/>
    </row>
    <row customFormat="1" ht="28.5" r="10" s="381" spans="1:16">
      <c r="A10" s="529">
        <v>1</v>
      </c>
      <c r="B10" s="983" t="s">
        <v>2316</v>
      </c>
      <c r="C10" s="984">
        <v>257733446.40000001</v>
      </c>
      <c r="D10" s="984">
        <v>497205481.38</v>
      </c>
      <c r="E10" s="984">
        <v>1116375693.1300001</v>
      </c>
      <c r="F10" s="984">
        <v>72263594.180000007</v>
      </c>
      <c r="G10" s="984"/>
      <c r="H10" s="984"/>
      <c r="I10" s="984"/>
      <c r="J10" s="984"/>
      <c r="K10" s="984"/>
      <c r="L10" s="984">
        <v>32813449.800000001</v>
      </c>
      <c r="M10" s="984">
        <v>600000</v>
      </c>
      <c r="N10" s="984"/>
      <c r="O10" s="984"/>
      <c r="P10" s="985">
        <f>SUM(C10:O10)</f>
        <v>1976991664.8900001</v>
      </c>
    </row>
    <row customFormat="1" r="11" s="381" spans="1:16">
      <c r="A11" s="529">
        <v>2</v>
      </c>
      <c r="B11" s="514" t="s">
        <v>2306</v>
      </c>
      <c r="C11" s="954">
        <f>SUM(C12:C17)</f>
        <v>0</v>
      </c>
      <c r="D11" s="954">
        <f ref="D11:O11" si="0" t="shared">SUM(D12:D17)</f>
        <v>0</v>
      </c>
      <c r="E11" s="954">
        <f si="0" t="shared"/>
        <v>30960100</v>
      </c>
      <c r="F11" s="954">
        <f si="0" t="shared"/>
        <v>10000000</v>
      </c>
      <c r="G11" s="954">
        <f si="0" t="shared"/>
        <v>0</v>
      </c>
      <c r="H11" s="954">
        <f si="0" t="shared"/>
        <v>0</v>
      </c>
      <c r="I11" s="954">
        <f si="0" t="shared"/>
        <v>0</v>
      </c>
      <c r="J11" s="954">
        <f si="0" t="shared"/>
        <v>0</v>
      </c>
      <c r="K11" s="954">
        <f si="0" t="shared"/>
        <v>0</v>
      </c>
      <c r="L11" s="954">
        <f si="0" t="shared"/>
        <v>0</v>
      </c>
      <c r="M11" s="954">
        <f si="0" t="shared"/>
        <v>0</v>
      </c>
      <c r="N11" s="954">
        <f si="0" t="shared"/>
        <v>0</v>
      </c>
      <c r="O11" s="954">
        <f si="0" t="shared"/>
        <v>0</v>
      </c>
      <c r="P11" s="985">
        <f ref="P11:P35" si="1" t="shared">SUM(C11:O11)</f>
        <v>40960100</v>
      </c>
    </row>
    <row customFormat="1" r="12" s="381" spans="1:16">
      <c r="A12" s="532">
        <v>2.1</v>
      </c>
      <c r="B12" s="363" t="s">
        <v>2307</v>
      </c>
      <c r="C12" s="986"/>
      <c r="D12" s="986"/>
      <c r="E12" s="986">
        <v>30960100</v>
      </c>
      <c r="F12" s="986">
        <v>10000000</v>
      </c>
      <c r="G12" s="986"/>
      <c r="H12" s="986"/>
      <c r="I12" s="986"/>
      <c r="J12" s="986"/>
      <c r="K12" s="986"/>
      <c r="L12" s="986"/>
      <c r="M12" s="986"/>
      <c r="N12" s="986"/>
      <c r="O12" s="986"/>
      <c r="P12" s="985">
        <f si="1" t="shared"/>
        <v>40960100</v>
      </c>
    </row>
    <row customFormat="1" r="13" s="381" spans="1:16">
      <c r="A13" s="532">
        <v>2.2000000000000002</v>
      </c>
      <c r="B13" s="363" t="s">
        <v>2308</v>
      </c>
      <c r="C13" s="986"/>
      <c r="D13" s="986"/>
      <c r="E13" s="986"/>
      <c r="F13" s="986"/>
      <c r="G13" s="986"/>
      <c r="H13" s="986"/>
      <c r="I13" s="986"/>
      <c r="J13" s="986"/>
      <c r="K13" s="986"/>
      <c r="L13" s="986"/>
      <c r="M13" s="986"/>
      <c r="N13" s="986"/>
      <c r="O13" s="986"/>
      <c r="P13" s="985">
        <f si="1" t="shared"/>
        <v>0</v>
      </c>
    </row>
    <row customFormat="1" r="14" s="381" spans="1:16">
      <c r="A14" s="532">
        <v>2.2999999999999998</v>
      </c>
      <c r="B14" s="363" t="s">
        <v>106</v>
      </c>
      <c r="C14" s="986"/>
      <c r="D14" s="986"/>
      <c r="E14" s="986"/>
      <c r="F14" s="986"/>
      <c r="G14" s="986"/>
      <c r="H14" s="986"/>
      <c r="I14" s="986"/>
      <c r="J14" s="986"/>
      <c r="K14" s="986"/>
      <c r="L14" s="986"/>
      <c r="M14" s="986"/>
      <c r="N14" s="986"/>
      <c r="O14" s="986"/>
      <c r="P14" s="985">
        <f si="1" t="shared"/>
        <v>0</v>
      </c>
    </row>
    <row customFormat="1" ht="30" r="15" s="381" spans="1:16">
      <c r="A15" s="532">
        <v>2.4</v>
      </c>
      <c r="B15" s="363" t="s">
        <v>2309</v>
      </c>
      <c r="C15" s="986"/>
      <c r="D15" s="986"/>
      <c r="E15" s="986"/>
      <c r="F15" s="986"/>
      <c r="G15" s="986"/>
      <c r="H15" s="986"/>
      <c r="I15" s="986"/>
      <c r="J15" s="986"/>
      <c r="K15" s="986"/>
      <c r="L15" s="986"/>
      <c r="M15" s="986"/>
      <c r="N15" s="986"/>
      <c r="O15" s="986"/>
      <c r="P15" s="985">
        <f si="1" t="shared"/>
        <v>0</v>
      </c>
    </row>
    <row customFormat="1" r="16" s="381" spans="1:16">
      <c r="A16" s="532">
        <v>2.5</v>
      </c>
      <c r="B16" s="363" t="s">
        <v>82</v>
      </c>
      <c r="C16" s="986"/>
      <c r="D16" s="986"/>
      <c r="E16" s="986"/>
      <c r="F16" s="986"/>
      <c r="G16" s="986"/>
      <c r="H16" s="986"/>
      <c r="I16" s="986"/>
      <c r="J16" s="986"/>
      <c r="K16" s="986"/>
      <c r="L16" s="986"/>
      <c r="M16" s="986"/>
      <c r="N16" s="986"/>
      <c r="O16" s="986"/>
      <c r="P16" s="985">
        <f si="1" t="shared"/>
        <v>0</v>
      </c>
    </row>
    <row customFormat="1" r="17" s="381" spans="1:16">
      <c r="A17" s="532">
        <v>2.6</v>
      </c>
      <c r="B17" s="363" t="s">
        <v>107</v>
      </c>
      <c r="C17" s="986"/>
      <c r="D17" s="986"/>
      <c r="E17" s="986"/>
      <c r="F17" s="986"/>
      <c r="G17" s="986"/>
      <c r="H17" s="986"/>
      <c r="I17" s="986"/>
      <c r="J17" s="986"/>
      <c r="K17" s="986"/>
      <c r="L17" s="986"/>
      <c r="M17" s="986"/>
      <c r="N17" s="986"/>
      <c r="O17" s="986"/>
      <c r="P17" s="985">
        <f si="1" t="shared"/>
        <v>0</v>
      </c>
    </row>
    <row customFormat="1" r="18" s="381" spans="1:16">
      <c r="A18" s="529">
        <v>3</v>
      </c>
      <c r="B18" s="514" t="s">
        <v>2310</v>
      </c>
      <c r="C18" s="954">
        <f>SUM(C19:C24)</f>
        <v>0</v>
      </c>
      <c r="D18" s="954">
        <f ref="D18:O18" si="2" t="shared">SUM(D19:D24)</f>
        <v>0</v>
      </c>
      <c r="E18" s="954">
        <f si="2" t="shared"/>
        <v>504416576.31999999</v>
      </c>
      <c r="F18" s="954">
        <f si="2" t="shared"/>
        <v>41405264.850000001</v>
      </c>
      <c r="G18" s="954">
        <f si="2" t="shared"/>
        <v>0</v>
      </c>
      <c r="H18" s="954">
        <f si="2" t="shared"/>
        <v>0</v>
      </c>
      <c r="I18" s="954">
        <f si="2" t="shared"/>
        <v>0</v>
      </c>
      <c r="J18" s="954">
        <f si="2" t="shared"/>
        <v>0</v>
      </c>
      <c r="K18" s="954">
        <f si="2" t="shared"/>
        <v>0</v>
      </c>
      <c r="L18" s="954">
        <f si="2" t="shared"/>
        <v>8876226.8000000007</v>
      </c>
      <c r="M18" s="954">
        <f si="2" t="shared"/>
        <v>0</v>
      </c>
      <c r="N18" s="954">
        <f si="2" t="shared"/>
        <v>0</v>
      </c>
      <c r="O18" s="954">
        <f si="2" t="shared"/>
        <v>0</v>
      </c>
      <c r="P18" s="985">
        <f si="1" t="shared"/>
        <v>554698067.96999991</v>
      </c>
    </row>
    <row customFormat="1" r="19" s="381" spans="1:16">
      <c r="A19" s="531">
        <v>301</v>
      </c>
      <c r="B19" s="363" t="s">
        <v>108</v>
      </c>
      <c r="C19" s="986"/>
      <c r="D19" s="986"/>
      <c r="E19" s="986"/>
      <c r="F19" s="986"/>
      <c r="G19" s="986"/>
      <c r="H19" s="986"/>
      <c r="I19" s="986"/>
      <c r="J19" s="986"/>
      <c r="K19" s="986"/>
      <c r="L19" s="986"/>
      <c r="M19" s="986"/>
      <c r="N19" s="986"/>
      <c r="O19" s="986"/>
      <c r="P19" s="985">
        <f si="1" t="shared"/>
        <v>0</v>
      </c>
    </row>
    <row customFormat="1" r="20" s="381" spans="1:16">
      <c r="A20" s="531">
        <v>302</v>
      </c>
      <c r="B20" s="363" t="s">
        <v>2317</v>
      </c>
      <c r="C20" s="986"/>
      <c r="D20" s="986"/>
      <c r="E20" s="986">
        <v>504416576.31999999</v>
      </c>
      <c r="F20" s="986">
        <v>41405264.850000001</v>
      </c>
      <c r="G20" s="986"/>
      <c r="H20" s="986"/>
      <c r="I20" s="986"/>
      <c r="J20" s="986"/>
      <c r="K20" s="986"/>
      <c r="L20" s="986">
        <v>8876226.8000000007</v>
      </c>
      <c r="M20" s="986"/>
      <c r="N20" s="986"/>
      <c r="O20" s="986"/>
      <c r="P20" s="985">
        <f si="1" t="shared"/>
        <v>554698067.96999991</v>
      </c>
    </row>
    <row customFormat="1" r="21" s="381" spans="1:16">
      <c r="A21" s="531">
        <v>303</v>
      </c>
      <c r="B21" s="363" t="s">
        <v>548</v>
      </c>
      <c r="C21" s="986"/>
      <c r="D21" s="986"/>
      <c r="E21" s="986"/>
      <c r="F21" s="986"/>
      <c r="G21" s="986"/>
      <c r="H21" s="986"/>
      <c r="I21" s="986"/>
      <c r="J21" s="986"/>
      <c r="K21" s="986"/>
      <c r="L21" s="986"/>
      <c r="M21" s="986"/>
      <c r="N21" s="986"/>
      <c r="O21" s="986"/>
      <c r="P21" s="985">
        <f si="1" t="shared"/>
        <v>0</v>
      </c>
    </row>
    <row customFormat="1" r="22" s="381" spans="1:16">
      <c r="A22" s="531">
        <v>304</v>
      </c>
      <c r="B22" s="363" t="s">
        <v>2312</v>
      </c>
      <c r="C22" s="986"/>
      <c r="D22" s="986"/>
      <c r="E22" s="986"/>
      <c r="F22" s="986"/>
      <c r="G22" s="986"/>
      <c r="H22" s="986"/>
      <c r="I22" s="986"/>
      <c r="J22" s="986"/>
      <c r="K22" s="986"/>
      <c r="L22" s="986"/>
      <c r="M22" s="986"/>
      <c r="N22" s="986"/>
      <c r="O22" s="986"/>
      <c r="P22" s="985">
        <f si="1" t="shared"/>
        <v>0</v>
      </c>
    </row>
    <row customFormat="1" r="23" s="381" spans="1:16">
      <c r="A23" s="531">
        <v>305</v>
      </c>
      <c r="B23" s="363" t="s">
        <v>82</v>
      </c>
      <c r="C23" s="986"/>
      <c r="D23" s="986"/>
      <c r="E23" s="986"/>
      <c r="F23" s="986"/>
      <c r="G23" s="986"/>
      <c r="H23" s="986"/>
      <c r="I23" s="986"/>
      <c r="J23" s="986"/>
      <c r="K23" s="986"/>
      <c r="L23" s="986"/>
      <c r="M23" s="986"/>
      <c r="N23" s="986"/>
      <c r="O23" s="986"/>
      <c r="P23" s="985">
        <f si="1" t="shared"/>
        <v>0</v>
      </c>
    </row>
    <row customFormat="1" r="24" s="381" spans="1:16">
      <c r="A24" s="531">
        <v>306</v>
      </c>
      <c r="B24" s="363" t="s">
        <v>109</v>
      </c>
      <c r="C24" s="986"/>
      <c r="D24" s="986"/>
      <c r="E24" s="986"/>
      <c r="F24" s="986"/>
      <c r="G24" s="986"/>
      <c r="H24" s="986"/>
      <c r="I24" s="986"/>
      <c r="J24" s="986"/>
      <c r="K24" s="986"/>
      <c r="L24" s="986"/>
      <c r="M24" s="986"/>
      <c r="N24" s="986"/>
      <c r="O24" s="986"/>
      <c r="P24" s="985">
        <f si="1" t="shared"/>
        <v>0</v>
      </c>
    </row>
    <row customFormat="1" ht="28.5" r="25" s="381" spans="1:16">
      <c r="A25" s="529">
        <v>4</v>
      </c>
      <c r="B25" s="514" t="s">
        <v>2318</v>
      </c>
      <c r="C25" s="954">
        <f>C10+C11-C18</f>
        <v>257733446.40000001</v>
      </c>
      <c r="D25" s="954">
        <f ref="D25:O25" si="3" t="shared">D10+D11-D18</f>
        <v>497205481.38</v>
      </c>
      <c r="E25" s="954">
        <f si="3" t="shared"/>
        <v>642919216.81000018</v>
      </c>
      <c r="F25" s="954">
        <f si="3" t="shared"/>
        <v>40858329.330000006</v>
      </c>
      <c r="G25" s="954">
        <f si="3" t="shared"/>
        <v>0</v>
      </c>
      <c r="H25" s="954">
        <f si="3" t="shared"/>
        <v>0</v>
      </c>
      <c r="I25" s="954">
        <f si="3" t="shared"/>
        <v>0</v>
      </c>
      <c r="J25" s="954">
        <f si="3" t="shared"/>
        <v>0</v>
      </c>
      <c r="K25" s="954">
        <f si="3" t="shared"/>
        <v>0</v>
      </c>
      <c r="L25" s="954">
        <f si="3" t="shared"/>
        <v>23937223</v>
      </c>
      <c r="M25" s="954">
        <f si="3" t="shared"/>
        <v>600000</v>
      </c>
      <c r="N25" s="954">
        <f si="3" t="shared"/>
        <v>0</v>
      </c>
      <c r="O25" s="954">
        <f si="3" t="shared"/>
        <v>0</v>
      </c>
      <c r="P25" s="985">
        <f si="1" t="shared"/>
        <v>1463253696.9200001</v>
      </c>
    </row>
    <row customFormat="1" ht="28.5" r="26" s="381" spans="1:16">
      <c r="A26" s="529">
        <v>6</v>
      </c>
      <c r="B26" s="983" t="s">
        <v>2319</v>
      </c>
      <c r="C26" s="984">
        <v>154466171.59</v>
      </c>
      <c r="D26" s="984">
        <v>242552663.56999999</v>
      </c>
      <c r="E26" s="984">
        <v>691190701.60000002</v>
      </c>
      <c r="F26" s="984">
        <v>54393823.340000004</v>
      </c>
      <c r="G26" s="984"/>
      <c r="H26" s="984"/>
      <c r="I26" s="984"/>
      <c r="J26" s="984"/>
      <c r="K26" s="984"/>
      <c r="L26" s="984">
        <v>32138449.800000001</v>
      </c>
      <c r="M26" s="984">
        <v>600000</v>
      </c>
      <c r="N26" s="984"/>
      <c r="O26" s="984"/>
      <c r="P26" s="985">
        <f si="1" t="shared"/>
        <v>1175341809.8999999</v>
      </c>
    </row>
    <row customFormat="1" r="27" s="381" spans="1:16">
      <c r="A27" s="531">
        <v>7</v>
      </c>
      <c r="B27" s="363" t="s">
        <v>111</v>
      </c>
      <c r="C27" s="986"/>
      <c r="D27" s="986"/>
      <c r="E27" s="986"/>
      <c r="F27" s="986"/>
      <c r="G27" s="986"/>
      <c r="H27" s="986"/>
      <c r="I27" s="986"/>
      <c r="J27" s="986"/>
      <c r="K27" s="986"/>
      <c r="L27" s="986"/>
      <c r="M27" s="986"/>
      <c r="N27" s="986"/>
      <c r="O27" s="986"/>
      <c r="P27" s="985">
        <f si="1" t="shared"/>
        <v>0</v>
      </c>
    </row>
    <row customFormat="1" r="28" s="381" spans="1:16">
      <c r="A28" s="529">
        <v>8</v>
      </c>
      <c r="B28" s="514" t="s">
        <v>92</v>
      </c>
      <c r="C28" s="954">
        <f>SUM(C29:C30)</f>
        <v>2786303.16</v>
      </c>
      <c r="D28" s="954">
        <f ref="D28:O28" si="4" t="shared">SUM(D29:D30)</f>
        <v>57289780.32</v>
      </c>
      <c r="E28" s="954">
        <f si="4" t="shared"/>
        <v>53339010.810000002</v>
      </c>
      <c r="F28" s="954">
        <f si="4" t="shared"/>
        <v>4357391.37</v>
      </c>
      <c r="G28" s="954">
        <f si="4" t="shared"/>
        <v>0</v>
      </c>
      <c r="H28" s="954">
        <f si="4" t="shared"/>
        <v>0</v>
      </c>
      <c r="I28" s="954">
        <f si="4" t="shared"/>
        <v>0</v>
      </c>
      <c r="J28" s="954">
        <f si="4" t="shared"/>
        <v>0</v>
      </c>
      <c r="K28" s="954">
        <f si="4" t="shared"/>
        <v>0</v>
      </c>
      <c r="L28" s="954">
        <f si="4" t="shared"/>
        <v>675000</v>
      </c>
      <c r="M28" s="954">
        <f si="4" t="shared"/>
        <v>0</v>
      </c>
      <c r="N28" s="954">
        <f si="4" t="shared"/>
        <v>0</v>
      </c>
      <c r="O28" s="954">
        <f si="4" t="shared"/>
        <v>0</v>
      </c>
      <c r="P28" s="985">
        <f si="1" t="shared"/>
        <v>118447485.66000001</v>
      </c>
    </row>
    <row customFormat="1" r="29" s="381" spans="1:16">
      <c r="A29" s="531">
        <v>801</v>
      </c>
      <c r="B29" s="363" t="s">
        <v>2320</v>
      </c>
      <c r="C29" s="986">
        <v>2786303.16</v>
      </c>
      <c r="D29" s="986">
        <v>57289780.32</v>
      </c>
      <c r="E29" s="986">
        <v>53339010.810000002</v>
      </c>
      <c r="F29" s="986">
        <v>4357391.37</v>
      </c>
      <c r="G29" s="986"/>
      <c r="H29" s="986"/>
      <c r="I29" s="986"/>
      <c r="J29" s="986"/>
      <c r="K29" s="986"/>
      <c r="L29" s="986">
        <v>675000</v>
      </c>
      <c r="M29" s="986"/>
      <c r="N29" s="986"/>
      <c r="O29" s="986"/>
      <c r="P29" s="985">
        <f si="1" t="shared"/>
        <v>118447485.66000001</v>
      </c>
    </row>
    <row customFormat="1" r="30" s="381" spans="1:16">
      <c r="A30" s="531">
        <v>802</v>
      </c>
      <c r="B30" s="363" t="s">
        <v>549</v>
      </c>
      <c r="C30" s="986"/>
      <c r="D30" s="986"/>
      <c r="E30" s="986"/>
      <c r="F30" s="986"/>
      <c r="G30" s="986"/>
      <c r="H30" s="986"/>
      <c r="I30" s="986"/>
      <c r="J30" s="986"/>
      <c r="K30" s="986"/>
      <c r="L30" s="986"/>
      <c r="M30" s="986"/>
      <c r="N30" s="986"/>
      <c r="O30" s="986"/>
      <c r="P30" s="985">
        <f si="1" t="shared"/>
        <v>0</v>
      </c>
    </row>
    <row customFormat="1" r="31" s="381" spans="1:16">
      <c r="A31" s="529">
        <v>9</v>
      </c>
      <c r="B31" s="514" t="s">
        <v>550</v>
      </c>
      <c r="C31" s="954">
        <f>SUM(C32:C33)</f>
        <v>0</v>
      </c>
      <c r="D31" s="954">
        <f ref="D31:O31" si="5" t="shared">SUM(D32:D33)</f>
        <v>0</v>
      </c>
      <c r="E31" s="954">
        <f si="5" t="shared"/>
        <v>503683419.83999997</v>
      </c>
      <c r="F31" s="954">
        <f si="5" t="shared"/>
        <v>41050861.82</v>
      </c>
      <c r="G31" s="954">
        <f si="5" t="shared"/>
        <v>0</v>
      </c>
      <c r="H31" s="954">
        <f si="5" t="shared"/>
        <v>0</v>
      </c>
      <c r="I31" s="954">
        <f si="5" t="shared"/>
        <v>0</v>
      </c>
      <c r="J31" s="954">
        <f si="5" t="shared"/>
        <v>0</v>
      </c>
      <c r="K31" s="954">
        <f si="5" t="shared"/>
        <v>0</v>
      </c>
      <c r="L31" s="954">
        <f si="5" t="shared"/>
        <v>8876226.8000000007</v>
      </c>
      <c r="M31" s="954">
        <f si="5" t="shared"/>
        <v>0</v>
      </c>
      <c r="N31" s="954">
        <f si="5" t="shared"/>
        <v>0</v>
      </c>
      <c r="O31" s="954">
        <f si="5" t="shared"/>
        <v>0</v>
      </c>
      <c r="P31" s="985">
        <f si="1" t="shared"/>
        <v>553610508.45999992</v>
      </c>
    </row>
    <row customFormat="1" r="32" s="381" spans="1:16">
      <c r="A32" s="531">
        <v>901</v>
      </c>
      <c r="B32" s="363" t="s">
        <v>82</v>
      </c>
      <c r="C32" s="986"/>
      <c r="D32" s="986"/>
      <c r="E32" s="986">
        <v>503683419.83999997</v>
      </c>
      <c r="F32" s="986">
        <v>41050861.82</v>
      </c>
      <c r="G32" s="986"/>
      <c r="H32" s="986"/>
      <c r="I32" s="986"/>
      <c r="J32" s="986"/>
      <c r="K32" s="986"/>
      <c r="L32" s="986">
        <v>8876226.8000000007</v>
      </c>
      <c r="M32" s="986"/>
      <c r="N32" s="986"/>
      <c r="O32" s="986"/>
      <c r="P32" s="985">
        <f si="1" t="shared"/>
        <v>553610508.45999992</v>
      </c>
    </row>
    <row customFormat="1" r="33" s="381" spans="1:16">
      <c r="A33" s="531">
        <v>902</v>
      </c>
      <c r="B33" s="363" t="s">
        <v>2321</v>
      </c>
      <c r="C33" s="986"/>
      <c r="D33" s="986"/>
      <c r="E33" s="986"/>
      <c r="F33" s="986"/>
      <c r="G33" s="986"/>
      <c r="H33" s="986"/>
      <c r="I33" s="986"/>
      <c r="J33" s="986"/>
      <c r="K33" s="986"/>
      <c r="L33" s="986"/>
      <c r="M33" s="986"/>
      <c r="N33" s="986"/>
      <c r="O33" s="986"/>
      <c r="P33" s="985">
        <f si="1" t="shared"/>
        <v>0</v>
      </c>
    </row>
    <row customFormat="1" ht="28.5" r="34" s="381" spans="1:16">
      <c r="A34" s="529">
        <v>10</v>
      </c>
      <c r="B34" s="514" t="s">
        <v>551</v>
      </c>
      <c r="C34" s="954">
        <f>C26+C27+C28+C31</f>
        <v>157252474.75</v>
      </c>
      <c r="D34" s="954">
        <f ref="D34:O34" si="6" t="shared">D26+D27+D28+D31</f>
        <v>299842443.88999999</v>
      </c>
      <c r="E34" s="954">
        <f si="6" t="shared"/>
        <v>1248213132.25</v>
      </c>
      <c r="F34" s="954">
        <f si="6" t="shared"/>
        <v>99802076.530000001</v>
      </c>
      <c r="G34" s="954">
        <f si="6" t="shared"/>
        <v>0</v>
      </c>
      <c r="H34" s="954">
        <f si="6" t="shared"/>
        <v>0</v>
      </c>
      <c r="I34" s="954">
        <f si="6" t="shared"/>
        <v>0</v>
      </c>
      <c r="J34" s="954">
        <f si="6" t="shared"/>
        <v>0</v>
      </c>
      <c r="K34" s="954">
        <f si="6" t="shared"/>
        <v>0</v>
      </c>
      <c r="L34" s="954">
        <f si="6" t="shared"/>
        <v>41689676.600000001</v>
      </c>
      <c r="M34" s="954">
        <f si="6" t="shared"/>
        <v>600000</v>
      </c>
      <c r="N34" s="954">
        <f si="6" t="shared"/>
        <v>0</v>
      </c>
      <c r="O34" s="954">
        <f si="6" t="shared"/>
        <v>0</v>
      </c>
      <c r="P34" s="985">
        <f si="1" t="shared"/>
        <v>1847399804.0199997</v>
      </c>
    </row>
    <row customFormat="1" r="35" s="381" spans="1:16">
      <c r="A35" s="529">
        <v>11</v>
      </c>
      <c r="B35" s="514" t="s">
        <v>552</v>
      </c>
      <c r="C35" s="954">
        <f>C25-C34</f>
        <v>100480971.65000001</v>
      </c>
      <c r="D35" s="954">
        <f ref="D35:O35" si="7" t="shared">D25-D34</f>
        <v>197363037.49000001</v>
      </c>
      <c r="E35" s="954">
        <f si="7" t="shared"/>
        <v>-605293915.43999982</v>
      </c>
      <c r="F35" s="954">
        <f si="7" t="shared"/>
        <v>-58943747.199999996</v>
      </c>
      <c r="G35" s="954">
        <f si="7" t="shared"/>
        <v>0</v>
      </c>
      <c r="H35" s="954">
        <f si="7" t="shared"/>
        <v>0</v>
      </c>
      <c r="I35" s="954">
        <f si="7" t="shared"/>
        <v>0</v>
      </c>
      <c r="J35" s="954">
        <f si="7" t="shared"/>
        <v>0</v>
      </c>
      <c r="K35" s="954">
        <f si="7" t="shared"/>
        <v>0</v>
      </c>
      <c r="L35" s="954">
        <f si="7" t="shared"/>
        <v>-17752453.600000001</v>
      </c>
      <c r="M35" s="954">
        <f si="7" t="shared"/>
        <v>0</v>
      </c>
      <c r="N35" s="954">
        <f si="7" t="shared"/>
        <v>0</v>
      </c>
      <c r="O35" s="954">
        <f si="7" t="shared"/>
        <v>0</v>
      </c>
      <c r="P35" s="985">
        <f si="1" t="shared"/>
        <v>-384146107.09999985</v>
      </c>
    </row>
  </sheetData>
  <mergeCells count="7">
    <mergeCell ref="A3:P3"/>
    <mergeCell ref="A7:A9"/>
    <mergeCell ref="B7:B8"/>
    <mergeCell ref="C7:L7"/>
    <mergeCell ref="M7:N7"/>
    <mergeCell ref="O7:O8"/>
    <mergeCell ref="P7:P8"/>
  </mergeCells>
  <printOptions horizontalCentered="1"/>
  <pageMargins bottom="0.28000000000000003" footer="0.3" header="0.3" left="0.25" right="0.25" top="0.32"/>
  <pageSetup fitToHeight="0" orientation="landscape" paperSize="9" r:id="rId1" scale="58"/>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customWidth="true" style="464" width="9.140625" collapsed="false"/>
    <col min="2" max="2" bestFit="true" customWidth="true" style="465" width="65.85546875" collapsed="false"/>
    <col min="3" max="3" customWidth="true" style="465" width="20.42578125" collapsed="false"/>
    <col min="4" max="6" customWidth="true" style="465" width="17.5703125" collapsed="false"/>
    <col min="7" max="16384" style="465" width="9.0" collapsed="false"/>
  </cols>
  <sheetData>
    <row r="1" spans="1:6">
      <c r="F1" s="957" t="s">
        <v>1049</v>
      </c>
    </row>
    <row r="3" spans="1:6">
      <c r="A3" s="2172" t="s">
        <v>1047</v>
      </c>
      <c r="B3" s="2172"/>
      <c r="C3" s="2172"/>
      <c r="D3" s="2172"/>
      <c r="E3" s="2172"/>
      <c r="F3" s="2172"/>
    </row>
    <row r="4" spans="1:6">
      <c r="A4" s="987"/>
      <c r="B4" s="944"/>
      <c r="C4" s="944"/>
      <c r="D4" s="944"/>
      <c r="E4" s="944"/>
      <c r="F4" s="944"/>
    </row>
    <row r="5" spans="1:6">
      <c r="F5" s="958" t="s">
        <v>794</v>
      </c>
    </row>
    <row ht="28.5" r="7" spans="1:6">
      <c r="A7" s="988" t="s">
        <v>11</v>
      </c>
      <c r="B7" s="454" t="s">
        <v>12</v>
      </c>
      <c r="C7" s="454" t="s">
        <v>49</v>
      </c>
      <c r="D7" s="454" t="s">
        <v>795</v>
      </c>
      <c r="E7" s="454" t="s">
        <v>796</v>
      </c>
      <c r="F7" s="454" t="s">
        <v>50</v>
      </c>
    </row>
    <row r="8" spans="1:6">
      <c r="A8" s="509">
        <v>41</v>
      </c>
      <c r="B8" s="530" t="s">
        <v>2322</v>
      </c>
      <c r="C8" s="954">
        <f>C9+C18+C33+C63</f>
        <v>58815</v>
      </c>
      <c r="D8" s="954">
        <f ref="D8:F8" si="0" t="shared">D9+D18+D33+D63</f>
        <v>249990423.42000002</v>
      </c>
      <c r="E8" s="954">
        <f si="0" t="shared"/>
        <v>249931608.43000001</v>
      </c>
      <c r="F8" s="954">
        <f si="0" t="shared"/>
        <v>0</v>
      </c>
    </row>
    <row r="9" spans="1:6">
      <c r="A9" s="509">
        <v>411</v>
      </c>
      <c r="B9" s="514" t="s">
        <v>245</v>
      </c>
      <c r="C9" s="954">
        <f>C10+C14</f>
        <v>0</v>
      </c>
      <c r="D9" s="954">
        <f ref="D9:F9" si="1" t="shared">D10+D14</f>
        <v>0</v>
      </c>
      <c r="E9" s="954">
        <f si="1" t="shared"/>
        <v>0</v>
      </c>
      <c r="F9" s="954">
        <f si="1" t="shared"/>
        <v>0</v>
      </c>
    </row>
    <row r="10" spans="1:6">
      <c r="A10" s="509">
        <v>4111</v>
      </c>
      <c r="B10" s="514" t="s">
        <v>129</v>
      </c>
      <c r="C10" s="954">
        <f>SUM(C11:C13)</f>
        <v>0</v>
      </c>
      <c r="D10" s="954">
        <f ref="D10:F10" si="2" t="shared">SUM(D11:D13)</f>
        <v>0</v>
      </c>
      <c r="E10" s="954">
        <f si="2" t="shared"/>
        <v>0</v>
      </c>
      <c r="F10" s="954">
        <f si="2" t="shared"/>
        <v>0</v>
      </c>
    </row>
    <row r="11" spans="1:6">
      <c r="A11" s="362">
        <v>41111</v>
      </c>
      <c r="B11" s="363" t="s">
        <v>246</v>
      </c>
      <c r="C11" s="986"/>
      <c r="D11" s="986"/>
      <c r="E11" s="986"/>
      <c r="F11" s="986"/>
    </row>
    <row r="12" spans="1:6">
      <c r="A12" s="362">
        <v>41112</v>
      </c>
      <c r="B12" s="363" t="s">
        <v>247</v>
      </c>
      <c r="C12" s="986"/>
      <c r="D12" s="986"/>
      <c r="E12" s="986"/>
      <c r="F12" s="986"/>
    </row>
    <row r="13" spans="1:6">
      <c r="A13" s="362">
        <v>41113</v>
      </c>
      <c r="B13" s="363" t="s">
        <v>248</v>
      </c>
      <c r="C13" s="986"/>
      <c r="D13" s="986"/>
      <c r="E13" s="986"/>
      <c r="F13" s="986"/>
    </row>
    <row r="14" spans="1:6">
      <c r="A14" s="509">
        <v>4112</v>
      </c>
      <c r="B14" s="514" t="s">
        <v>135</v>
      </c>
      <c r="C14" s="954">
        <f>SUM(C15:C17)</f>
        <v>0</v>
      </c>
      <c r="D14" s="954">
        <f ref="D14:F14" si="3" t="shared">SUM(D15:D17)</f>
        <v>0</v>
      </c>
      <c r="E14" s="954">
        <f si="3" t="shared"/>
        <v>0</v>
      </c>
      <c r="F14" s="954">
        <f si="3" t="shared"/>
        <v>0</v>
      </c>
    </row>
    <row r="15" spans="1:6">
      <c r="A15" s="362">
        <v>41121</v>
      </c>
      <c r="B15" s="363" t="s">
        <v>246</v>
      </c>
      <c r="C15" s="986"/>
      <c r="D15" s="986"/>
      <c r="E15" s="986"/>
      <c r="F15" s="986"/>
    </row>
    <row r="16" spans="1:6">
      <c r="A16" s="362">
        <v>41122</v>
      </c>
      <c r="B16" s="363" t="s">
        <v>247</v>
      </c>
      <c r="C16" s="986"/>
      <c r="D16" s="986"/>
      <c r="E16" s="986"/>
      <c r="F16" s="986"/>
    </row>
    <row r="17" spans="1:6">
      <c r="A17" s="362">
        <v>41123</v>
      </c>
      <c r="B17" s="363" t="s">
        <v>248</v>
      </c>
      <c r="C17" s="986"/>
      <c r="D17" s="986"/>
      <c r="E17" s="986"/>
      <c r="F17" s="986"/>
    </row>
    <row r="18" spans="1:6">
      <c r="A18" s="509">
        <v>412</v>
      </c>
      <c r="B18" s="514" t="s">
        <v>249</v>
      </c>
      <c r="C18" s="954">
        <f>C19+C27</f>
        <v>0</v>
      </c>
      <c r="D18" s="954">
        <f ref="D18:F18" si="4" t="shared">D19+D27</f>
        <v>0</v>
      </c>
      <c r="E18" s="954">
        <f si="4" t="shared"/>
        <v>0</v>
      </c>
      <c r="F18" s="954">
        <f si="4" t="shared"/>
        <v>0</v>
      </c>
    </row>
    <row r="19" spans="1:6">
      <c r="A19" s="509">
        <v>4121</v>
      </c>
      <c r="B19" s="514" t="s">
        <v>129</v>
      </c>
      <c r="C19" s="952">
        <f>SUM(C20:C26)</f>
        <v>0</v>
      </c>
      <c r="D19" s="952">
        <f ref="D19:F19" si="5" t="shared">SUM(D20:D26)</f>
        <v>0</v>
      </c>
      <c r="E19" s="952">
        <f si="5" t="shared"/>
        <v>0</v>
      </c>
      <c r="F19" s="952">
        <f si="5" t="shared"/>
        <v>0</v>
      </c>
    </row>
    <row r="20" spans="1:6">
      <c r="A20" s="362">
        <v>41211</v>
      </c>
      <c r="B20" s="378" t="s">
        <v>250</v>
      </c>
      <c r="C20" s="986"/>
      <c r="D20" s="986"/>
      <c r="E20" s="986"/>
      <c r="F20" s="986"/>
    </row>
    <row r="21" spans="1:6">
      <c r="A21" s="362">
        <v>41212</v>
      </c>
      <c r="B21" s="378" t="s">
        <v>154</v>
      </c>
      <c r="C21" s="986"/>
      <c r="D21" s="986"/>
      <c r="E21" s="986"/>
      <c r="F21" s="986"/>
    </row>
    <row r="22" spans="1:6">
      <c r="A22" s="362">
        <v>41213</v>
      </c>
      <c r="B22" s="378" t="s">
        <v>251</v>
      </c>
      <c r="C22" s="986"/>
      <c r="D22" s="986"/>
      <c r="E22" s="986"/>
      <c r="F22" s="986"/>
    </row>
    <row r="23" spans="1:6">
      <c r="A23" s="362">
        <v>41214</v>
      </c>
      <c r="B23" s="378" t="s">
        <v>252</v>
      </c>
      <c r="C23" s="986"/>
      <c r="D23" s="986"/>
      <c r="E23" s="986"/>
      <c r="F23" s="986"/>
    </row>
    <row r="24" spans="1:6">
      <c r="A24" s="362">
        <v>41215</v>
      </c>
      <c r="B24" s="378" t="s">
        <v>253</v>
      </c>
      <c r="C24" s="986"/>
      <c r="D24" s="986"/>
      <c r="E24" s="986"/>
      <c r="F24" s="986"/>
    </row>
    <row r="25" spans="1:6">
      <c r="A25" s="362">
        <v>41216</v>
      </c>
      <c r="B25" s="363" t="s">
        <v>254</v>
      </c>
      <c r="C25" s="986"/>
      <c r="D25" s="986"/>
      <c r="E25" s="986"/>
      <c r="F25" s="986"/>
    </row>
    <row r="26" spans="1:6">
      <c r="A26" s="362">
        <v>41217</v>
      </c>
      <c r="B26" s="363" t="s">
        <v>255</v>
      </c>
      <c r="C26" s="986"/>
      <c r="D26" s="986"/>
      <c r="E26" s="986"/>
      <c r="F26" s="986"/>
    </row>
    <row r="27" spans="1:6">
      <c r="A27" s="509">
        <v>4122</v>
      </c>
      <c r="B27" s="514" t="s">
        <v>135</v>
      </c>
      <c r="C27" s="952">
        <f>SUM(C28:C32)</f>
        <v>0</v>
      </c>
      <c r="D27" s="952">
        <f ref="D27:F27" si="6" t="shared">SUM(D28:D32)</f>
        <v>0</v>
      </c>
      <c r="E27" s="952">
        <f si="6" t="shared"/>
        <v>0</v>
      </c>
      <c r="F27" s="952">
        <f si="6" t="shared"/>
        <v>0</v>
      </c>
    </row>
    <row r="28" spans="1:6">
      <c r="A28" s="362">
        <v>41221</v>
      </c>
      <c r="B28" s="363" t="s">
        <v>256</v>
      </c>
      <c r="C28" s="986"/>
      <c r="D28" s="986"/>
      <c r="E28" s="986"/>
      <c r="F28" s="986"/>
    </row>
    <row r="29" spans="1:6">
      <c r="A29" s="362">
        <v>41222</v>
      </c>
      <c r="B29" s="363" t="s">
        <v>257</v>
      </c>
      <c r="C29" s="986"/>
      <c r="D29" s="986"/>
      <c r="E29" s="986"/>
      <c r="F29" s="986"/>
    </row>
    <row r="30" spans="1:6">
      <c r="A30" s="362">
        <v>41223</v>
      </c>
      <c r="B30" s="363" t="s">
        <v>258</v>
      </c>
      <c r="C30" s="986"/>
      <c r="D30" s="986"/>
      <c r="E30" s="986"/>
      <c r="F30" s="986"/>
    </row>
    <row r="31" spans="1:6">
      <c r="A31" s="362">
        <v>41224</v>
      </c>
      <c r="B31" s="363" t="s">
        <v>259</v>
      </c>
      <c r="C31" s="986"/>
      <c r="D31" s="986"/>
      <c r="E31" s="986"/>
      <c r="F31" s="986"/>
    </row>
    <row r="32" spans="1:6">
      <c r="A32" s="989">
        <v>41225</v>
      </c>
      <c r="B32" s="363" t="s">
        <v>261</v>
      </c>
      <c r="C32" s="986"/>
      <c r="D32" s="986"/>
      <c r="E32" s="986"/>
      <c r="F32" s="986"/>
    </row>
    <row r="33" spans="1:6">
      <c r="A33" s="509">
        <v>413</v>
      </c>
      <c r="B33" s="514" t="s">
        <v>262</v>
      </c>
      <c r="C33" s="954">
        <f>C34+C39+C53+C54+C55+C56</f>
        <v>58815</v>
      </c>
      <c r="D33" s="954">
        <f ref="D33:F33" si="7" t="shared">D34+D39+D53+D54+D55+D56</f>
        <v>249990423.42000002</v>
      </c>
      <c r="E33" s="954">
        <f si="7" t="shared"/>
        <v>249931608.43000001</v>
      </c>
      <c r="F33" s="954">
        <f si="7" t="shared"/>
        <v>0</v>
      </c>
    </row>
    <row r="34" spans="1:6">
      <c r="A34" s="509">
        <v>4131</v>
      </c>
      <c r="B34" s="514" t="s">
        <v>263</v>
      </c>
      <c r="C34" s="952">
        <f>SUM(C35:C38)</f>
        <v>58815</v>
      </c>
      <c r="D34" s="952">
        <f ref="D34:F34" si="8" t="shared">SUM(D35:D38)</f>
        <v>248695858.42000002</v>
      </c>
      <c r="E34" s="952">
        <f si="8" t="shared"/>
        <v>248637043.43000001</v>
      </c>
      <c r="F34" s="952">
        <f si="8" t="shared"/>
        <v>0</v>
      </c>
    </row>
    <row r="35" spans="1:6">
      <c r="A35" s="990">
        <v>413101</v>
      </c>
      <c r="B35" s="991" t="s">
        <v>573</v>
      </c>
      <c r="C35" s="986"/>
      <c r="D35" s="986">
        <v>172087780.96000001</v>
      </c>
      <c r="E35" s="986">
        <v>172087780.96000001</v>
      </c>
      <c r="F35" s="986"/>
    </row>
    <row r="36" spans="1:6">
      <c r="A36" s="990">
        <v>413102</v>
      </c>
      <c r="B36" s="991" t="s">
        <v>574</v>
      </c>
      <c r="C36" s="986">
        <v>58815</v>
      </c>
      <c r="D36" s="986">
        <v>55128099.460000001</v>
      </c>
      <c r="E36" s="986">
        <v>55069284.469999999</v>
      </c>
      <c r="F36" s="986"/>
    </row>
    <row r="37" spans="1:6">
      <c r="A37" s="990">
        <v>413103</v>
      </c>
      <c r="B37" s="991" t="s">
        <v>575</v>
      </c>
      <c r="C37" s="986"/>
      <c r="D37" s="986">
        <v>21479978</v>
      </c>
      <c r="E37" s="986">
        <v>21479978</v>
      </c>
      <c r="F37" s="986"/>
    </row>
    <row r="38" spans="1:6">
      <c r="A38" s="990">
        <v>413104</v>
      </c>
      <c r="B38" s="991" t="s">
        <v>576</v>
      </c>
      <c r="C38" s="986"/>
      <c r="D38" s="986"/>
      <c r="E38" s="986"/>
      <c r="F38" s="986"/>
    </row>
    <row r="39" spans="1:6">
      <c r="A39" s="509">
        <v>4132</v>
      </c>
      <c r="B39" s="514" t="s">
        <v>264</v>
      </c>
      <c r="C39" s="952">
        <f>SUM(C40:C52)</f>
        <v>0</v>
      </c>
      <c r="D39" s="952">
        <f ref="D39:F39" si="9" t="shared">SUM(D40:D52)</f>
        <v>1294565</v>
      </c>
      <c r="E39" s="952">
        <f si="9" t="shared"/>
        <v>1294565</v>
      </c>
      <c r="F39" s="952">
        <f si="9" t="shared"/>
        <v>0</v>
      </c>
    </row>
    <row r="40" spans="1:6">
      <c r="A40" s="362">
        <v>413201</v>
      </c>
      <c r="B40" s="992" t="s">
        <v>577</v>
      </c>
      <c r="C40" s="986"/>
      <c r="D40" s="986"/>
      <c r="E40" s="986"/>
      <c r="F40" s="986"/>
    </row>
    <row r="41" spans="1:6">
      <c r="A41" s="362">
        <v>413202</v>
      </c>
      <c r="B41" s="992" t="s">
        <v>578</v>
      </c>
      <c r="C41" s="986"/>
      <c r="D41" s="986"/>
      <c r="E41" s="986"/>
      <c r="F41" s="986"/>
    </row>
    <row r="42" spans="1:6">
      <c r="A42" s="362">
        <v>413203</v>
      </c>
      <c r="B42" s="992" t="s">
        <v>579</v>
      </c>
      <c r="C42" s="986"/>
      <c r="D42" s="986"/>
      <c r="E42" s="986"/>
      <c r="F42" s="986"/>
    </row>
    <row r="43" spans="1:6">
      <c r="A43" s="362">
        <v>413204</v>
      </c>
      <c r="B43" s="992" t="s">
        <v>580</v>
      </c>
      <c r="C43" s="986"/>
      <c r="D43" s="986"/>
      <c r="E43" s="986"/>
      <c r="F43" s="986"/>
    </row>
    <row r="44" spans="1:6">
      <c r="A44" s="362">
        <v>413205</v>
      </c>
      <c r="B44" s="992" t="s">
        <v>581</v>
      </c>
      <c r="C44" s="986"/>
      <c r="D44" s="986">
        <v>1294565</v>
      </c>
      <c r="E44" s="986">
        <v>1294565</v>
      </c>
      <c r="F44" s="986"/>
    </row>
    <row r="45" spans="1:6">
      <c r="A45" s="362">
        <v>413206</v>
      </c>
      <c r="B45" s="992" t="s">
        <v>582</v>
      </c>
      <c r="C45" s="986"/>
      <c r="D45" s="986"/>
      <c r="E45" s="986"/>
      <c r="F45" s="986"/>
    </row>
    <row r="46" spans="1:6">
      <c r="A46" s="362">
        <v>413207</v>
      </c>
      <c r="B46" s="992" t="s">
        <v>583</v>
      </c>
      <c r="C46" s="986"/>
      <c r="D46" s="986"/>
      <c r="E46" s="986"/>
      <c r="F46" s="986"/>
    </row>
    <row r="47" spans="1:6">
      <c r="A47" s="362">
        <v>413208</v>
      </c>
      <c r="B47" s="992" t="s">
        <v>584</v>
      </c>
      <c r="C47" s="986"/>
      <c r="D47" s="986"/>
      <c r="E47" s="986"/>
      <c r="F47" s="986"/>
    </row>
    <row r="48" spans="1:6">
      <c r="A48" s="362">
        <v>413209</v>
      </c>
      <c r="B48" s="992" t="s">
        <v>585</v>
      </c>
      <c r="C48" s="986"/>
      <c r="D48" s="986"/>
      <c r="E48" s="986"/>
      <c r="F48" s="986"/>
    </row>
    <row r="49" spans="1:6">
      <c r="A49" s="362">
        <v>413210</v>
      </c>
      <c r="B49" s="992" t="s">
        <v>586</v>
      </c>
      <c r="C49" s="986"/>
      <c r="D49" s="986"/>
      <c r="E49" s="986"/>
      <c r="F49" s="986"/>
    </row>
    <row r="50" spans="1:6">
      <c r="A50" s="362">
        <v>413211</v>
      </c>
      <c r="B50" s="992" t="s">
        <v>587</v>
      </c>
      <c r="C50" s="986"/>
      <c r="D50" s="986"/>
      <c r="E50" s="986"/>
      <c r="F50" s="986"/>
    </row>
    <row r="51" spans="1:6">
      <c r="A51" s="362">
        <v>413212</v>
      </c>
      <c r="B51" s="992" t="s">
        <v>588</v>
      </c>
      <c r="C51" s="986"/>
      <c r="D51" s="986"/>
      <c r="E51" s="986"/>
      <c r="F51" s="986"/>
    </row>
    <row r="52" spans="1:6">
      <c r="A52" s="362">
        <v>413213</v>
      </c>
      <c r="B52" s="992" t="s">
        <v>589</v>
      </c>
      <c r="C52" s="986"/>
      <c r="D52" s="986"/>
      <c r="E52" s="986"/>
      <c r="F52" s="986"/>
    </row>
    <row r="53" spans="1:6">
      <c r="A53" s="359">
        <v>41330</v>
      </c>
      <c r="B53" s="360" t="s">
        <v>265</v>
      </c>
      <c r="C53" s="361"/>
      <c r="D53" s="361"/>
      <c r="E53" s="361"/>
      <c r="F53" s="361"/>
    </row>
    <row r="54" spans="1:6">
      <c r="A54" s="359">
        <v>41340</v>
      </c>
      <c r="B54" s="360" t="s">
        <v>266</v>
      </c>
      <c r="C54" s="361"/>
      <c r="D54" s="361"/>
      <c r="E54" s="361"/>
      <c r="F54" s="361"/>
    </row>
    <row r="55" spans="1:6">
      <c r="A55" s="359">
        <v>41350</v>
      </c>
      <c r="B55" s="360" t="s">
        <v>267</v>
      </c>
      <c r="C55" s="361"/>
      <c r="D55" s="361"/>
      <c r="E55" s="361"/>
      <c r="F55" s="361"/>
    </row>
    <row r="56" spans="1:6">
      <c r="A56" s="355">
        <v>4136</v>
      </c>
      <c r="B56" s="356" t="s">
        <v>1090</v>
      </c>
      <c r="C56" s="358">
        <f>SUM(C57:C62)</f>
        <v>0</v>
      </c>
      <c r="D56" s="358">
        <f ref="D56:F56" si="10" t="shared">SUM(D57:D62)</f>
        <v>0</v>
      </c>
      <c r="E56" s="358">
        <f si="10" t="shared"/>
        <v>0</v>
      </c>
      <c r="F56" s="358">
        <f si="10" t="shared"/>
        <v>0</v>
      </c>
    </row>
    <row r="57" spans="1:6">
      <c r="A57" s="359">
        <v>41361</v>
      </c>
      <c r="B57" s="360" t="s">
        <v>1088</v>
      </c>
      <c r="C57" s="361"/>
      <c r="D57" s="361"/>
      <c r="E57" s="361"/>
      <c r="F57" s="361"/>
    </row>
    <row r="58" spans="1:6">
      <c r="A58" s="359">
        <v>41362</v>
      </c>
      <c r="B58" s="360" t="s">
        <v>1089</v>
      </c>
      <c r="C58" s="361"/>
      <c r="D58" s="361"/>
      <c r="E58" s="361"/>
      <c r="F58" s="361"/>
    </row>
    <row r="59" spans="1:6">
      <c r="A59" s="359">
        <v>41363</v>
      </c>
      <c r="B59" s="372" t="s">
        <v>653</v>
      </c>
      <c r="C59" s="361"/>
      <c r="D59" s="361"/>
      <c r="E59" s="361"/>
      <c r="F59" s="361"/>
    </row>
    <row r="60" spans="1:6">
      <c r="A60" s="359">
        <v>41364</v>
      </c>
      <c r="B60" s="373" t="s">
        <v>679</v>
      </c>
      <c r="C60" s="361"/>
      <c r="D60" s="361"/>
      <c r="E60" s="361"/>
      <c r="F60" s="361"/>
    </row>
    <row r="61" spans="1:6">
      <c r="A61" s="359">
        <v>41365</v>
      </c>
      <c r="B61" s="373" t="s">
        <v>680</v>
      </c>
      <c r="C61" s="361"/>
      <c r="D61" s="361"/>
      <c r="E61" s="361"/>
      <c r="F61" s="361"/>
    </row>
    <row r="62" spans="1:6">
      <c r="A62" s="359">
        <v>41366</v>
      </c>
      <c r="B62" s="373" t="s">
        <v>681</v>
      </c>
      <c r="C62" s="361"/>
      <c r="D62" s="361"/>
      <c r="E62" s="361"/>
      <c r="F62" s="361"/>
    </row>
    <row r="63" spans="1:6">
      <c r="A63" s="355">
        <v>414</v>
      </c>
      <c r="B63" s="356" t="s">
        <v>270</v>
      </c>
      <c r="C63" s="358">
        <f>SUM(C64:C68)</f>
        <v>0</v>
      </c>
      <c r="D63" s="358">
        <f ref="D63:F63" si="11" t="shared">SUM(D64:D68)</f>
        <v>0</v>
      </c>
      <c r="E63" s="358">
        <f si="11" t="shared"/>
        <v>0</v>
      </c>
      <c r="F63" s="358">
        <f si="11" t="shared"/>
        <v>0</v>
      </c>
    </row>
    <row r="64" spans="1:6">
      <c r="A64" s="359">
        <v>41410</v>
      </c>
      <c r="B64" s="360" t="s">
        <v>271</v>
      </c>
      <c r="C64" s="361"/>
      <c r="D64" s="361"/>
      <c r="E64" s="361"/>
      <c r="F64" s="361"/>
    </row>
    <row r="65" spans="1:6">
      <c r="A65" s="359">
        <v>41420</v>
      </c>
      <c r="B65" s="360" t="s">
        <v>272</v>
      </c>
      <c r="C65" s="361"/>
      <c r="D65" s="361"/>
      <c r="E65" s="361"/>
      <c r="F65" s="361"/>
    </row>
    <row r="66" spans="1:6">
      <c r="A66" s="359">
        <v>41430</v>
      </c>
      <c r="B66" s="360" t="s">
        <v>273</v>
      </c>
      <c r="C66" s="361"/>
      <c r="D66" s="361"/>
      <c r="E66" s="361"/>
      <c r="F66" s="361"/>
    </row>
    <row r="67" spans="1:6">
      <c r="A67" s="359">
        <v>41440</v>
      </c>
      <c r="B67" s="360" t="s">
        <v>274</v>
      </c>
      <c r="C67" s="361"/>
      <c r="D67" s="361"/>
      <c r="E67" s="361"/>
      <c r="F67" s="361"/>
    </row>
    <row r="68" spans="1:6">
      <c r="A68" s="359">
        <v>41450</v>
      </c>
      <c r="B68" s="360" t="s">
        <v>275</v>
      </c>
      <c r="C68" s="361"/>
      <c r="D68" s="361"/>
      <c r="E68" s="361"/>
      <c r="F68" s="361"/>
    </row>
    <row r="69" spans="1:6">
      <c r="B69" s="993"/>
      <c r="C69" s="993"/>
      <c r="D69" s="994"/>
      <c r="E69" s="994"/>
      <c r="F69" s="994"/>
    </row>
    <row r="70" spans="1:6">
      <c r="B70" s="993"/>
      <c r="C70" s="993"/>
      <c r="D70" s="994"/>
      <c r="E70" s="994"/>
      <c r="F70" s="994"/>
    </row>
    <row customHeight="1" ht="33" r="71" spans="1:6">
      <c r="B71" s="2173" t="s">
        <v>1191</v>
      </c>
      <c r="C71" s="2173"/>
      <c r="D71" s="2173"/>
      <c r="E71" s="2173"/>
      <c r="F71" s="2173"/>
    </row>
    <row r="72" spans="1:6">
      <c r="B72" s="993"/>
      <c r="C72" s="993"/>
      <c r="D72" s="994"/>
      <c r="E72" s="994"/>
      <c r="F72" s="994"/>
    </row>
    <row r="73" spans="1:6">
      <c r="B73" s="993"/>
      <c r="C73" s="993"/>
      <c r="D73" s="994"/>
      <c r="E73" s="994"/>
      <c r="F73" s="994"/>
    </row>
    <row r="74" spans="1:6">
      <c r="B74" s="993"/>
      <c r="C74" s="993"/>
      <c r="D74" s="994"/>
      <c r="E74" s="994"/>
      <c r="F74" s="994"/>
    </row>
    <row r="75" spans="1:6">
      <c r="B75" s="993"/>
      <c r="C75" s="993"/>
      <c r="D75" s="994"/>
      <c r="E75" s="994"/>
      <c r="F75" s="994"/>
    </row>
    <row r="76" spans="1:6">
      <c r="B76" s="993"/>
      <c r="C76" s="993"/>
      <c r="D76" s="994"/>
      <c r="E76" s="994"/>
      <c r="F76" s="994"/>
    </row>
    <row r="77" spans="1:6">
      <c r="B77" s="993"/>
      <c r="C77" s="993"/>
      <c r="D77" s="994"/>
      <c r="E77" s="994"/>
      <c r="F77" s="994"/>
    </row>
    <row r="78" spans="1:6">
      <c r="B78" s="993"/>
      <c r="C78" s="993"/>
      <c r="D78" s="994"/>
      <c r="E78" s="994"/>
      <c r="F78" s="994"/>
    </row>
    <row r="79" spans="1:6">
      <c r="B79" s="993"/>
      <c r="C79" s="993"/>
      <c r="D79" s="994"/>
      <c r="E79" s="994"/>
      <c r="F79" s="994"/>
    </row>
    <row r="80" spans="1:6">
      <c r="B80" s="993"/>
      <c r="C80" s="993"/>
      <c r="D80" s="994"/>
      <c r="E80" s="994"/>
      <c r="F80" s="994"/>
    </row>
    <row r="81" spans="2:6">
      <c r="B81" s="993"/>
      <c r="C81" s="993"/>
      <c r="D81" s="994"/>
      <c r="E81" s="994"/>
      <c r="F81" s="994"/>
    </row>
    <row r="82" spans="2:6">
      <c r="B82" s="993"/>
      <c r="C82" s="993"/>
      <c r="D82" s="994"/>
      <c r="E82" s="994"/>
      <c r="F82" s="994"/>
    </row>
    <row r="83" spans="2:6">
      <c r="B83" s="993"/>
      <c r="C83" s="993"/>
      <c r="D83" s="994"/>
      <c r="E83" s="994"/>
      <c r="F83" s="994"/>
    </row>
    <row r="84" spans="2:6">
      <c r="B84" s="993"/>
      <c r="C84" s="993"/>
      <c r="D84" s="994"/>
      <c r="E84" s="994"/>
      <c r="F84" s="994"/>
    </row>
    <row r="85" spans="2:6">
      <c r="B85" s="993"/>
      <c r="C85" s="993"/>
      <c r="D85" s="994"/>
      <c r="E85" s="994"/>
      <c r="F85" s="994"/>
    </row>
    <row r="86" spans="2:6">
      <c r="B86" s="993"/>
      <c r="C86" s="993"/>
      <c r="D86" s="994"/>
      <c r="E86" s="994"/>
      <c r="F86" s="994"/>
    </row>
    <row r="87" spans="2:6">
      <c r="B87" s="993"/>
      <c r="C87" s="993"/>
      <c r="D87" s="994"/>
      <c r="E87" s="994"/>
      <c r="F87" s="994"/>
    </row>
    <row r="88" spans="2:6">
      <c r="B88" s="993"/>
      <c r="C88" s="993"/>
      <c r="D88" s="994"/>
      <c r="E88" s="994"/>
      <c r="F88" s="994"/>
    </row>
    <row r="89" spans="2:6">
      <c r="B89" s="993"/>
      <c r="C89" s="993"/>
      <c r="D89" s="994"/>
      <c r="E89" s="994"/>
      <c r="F89" s="994"/>
    </row>
    <row r="90" spans="2:6">
      <c r="B90" s="993"/>
      <c r="C90" s="993"/>
      <c r="D90" s="994"/>
      <c r="E90" s="994"/>
      <c r="F90" s="994"/>
    </row>
    <row r="91" spans="2:6">
      <c r="B91" s="993"/>
      <c r="C91" s="993"/>
      <c r="D91" s="994"/>
      <c r="E91" s="994"/>
      <c r="F91" s="994"/>
    </row>
    <row r="92" spans="2:6">
      <c r="B92" s="993"/>
      <c r="C92" s="993"/>
      <c r="D92" s="994"/>
      <c r="E92" s="994"/>
      <c r="F92" s="994"/>
    </row>
    <row r="93" spans="2:6">
      <c r="B93" s="993"/>
      <c r="C93" s="993"/>
      <c r="D93" s="994"/>
      <c r="E93" s="994"/>
      <c r="F93" s="994"/>
    </row>
    <row r="94" spans="2:6">
      <c r="B94" s="993"/>
      <c r="C94" s="993"/>
      <c r="D94" s="994"/>
      <c r="E94" s="994"/>
      <c r="F94" s="994"/>
    </row>
  </sheetData>
  <mergeCells count="2">
    <mergeCell ref="A3:F3"/>
    <mergeCell ref="B71:F71"/>
  </mergeCells>
  <pageMargins bottom="0.3" footer="0.3" header="0.3" left="0.25" right="0.25" top="0.42"/>
  <pageSetup fitToHeight="0" orientation="portrait" paperSize="9" r:id="rId1" scale="68"/>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style="84" width="9.140625" collapsed="false"/>
    <col min="2" max="2" customWidth="true" style="85" width="56.28515625" collapsed="false"/>
    <col min="3" max="3" customWidth="true" style="85" width="15.140625" collapsed="false"/>
    <col min="4" max="5" customWidth="true" style="85" width="17.140625" collapsed="false"/>
    <col min="6" max="6" customWidth="true" style="85" width="15.5703125" collapsed="false"/>
    <col min="7" max="16384" style="85" width="9.140625" collapsed="false"/>
  </cols>
  <sheetData>
    <row r="1" spans="1:6">
      <c r="A1" s="72" t="s">
        <v>102</v>
      </c>
      <c r="B1" s="1" t="s">
        <v>102</v>
      </c>
      <c r="C1" s="1" t="s">
        <v>102</v>
      </c>
      <c r="D1" s="1" t="s">
        <v>102</v>
      </c>
      <c r="E1" s="1" t="s">
        <v>102</v>
      </c>
      <c r="F1" s="249" t="s">
        <v>1187</v>
      </c>
    </row>
    <row r="2" spans="1:6">
      <c r="A2" s="72" t="s">
        <v>102</v>
      </c>
      <c r="B2" s="1" t="s">
        <v>102</v>
      </c>
      <c r="C2" s="1" t="s">
        <v>102</v>
      </c>
      <c r="D2" s="1" t="s">
        <v>102</v>
      </c>
      <c r="E2" s="1" t="s">
        <v>102</v>
      </c>
      <c r="F2" s="1" t="s">
        <v>102</v>
      </c>
    </row>
    <row r="3" spans="1:6">
      <c r="A3" s="1717" t="s">
        <v>1048</v>
      </c>
      <c r="B3" s="1717" t="s">
        <v>102</v>
      </c>
      <c r="C3" s="1717" t="s">
        <v>102</v>
      </c>
      <c r="D3" s="1717" t="s">
        <v>102</v>
      </c>
      <c r="E3" s="1717" t="s">
        <v>102</v>
      </c>
      <c r="F3" s="1717" t="s">
        <v>102</v>
      </c>
    </row>
    <row r="4" spans="1:6">
      <c r="A4" s="250"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33.75" r="7" spans="1:6">
      <c r="A7" s="252" t="s">
        <v>11</v>
      </c>
      <c r="B7" s="132" t="s">
        <v>12</v>
      </c>
      <c r="C7" s="132" t="s">
        <v>49</v>
      </c>
      <c r="D7" s="132" t="s">
        <v>795</v>
      </c>
      <c r="E7" s="132" t="s">
        <v>796</v>
      </c>
      <c r="F7" s="132" t="s">
        <v>50</v>
      </c>
    </row>
    <row r="8" spans="1:6">
      <c r="A8" s="202">
        <v>42</v>
      </c>
      <c r="B8" s="182" t="s">
        <v>276</v>
      </c>
      <c r="C8" s="253">
        <f>C9+C18</f>
        <v>0</v>
      </c>
      <c r="D8" s="253">
        <f>D9+D18</f>
        <v>0</v>
      </c>
      <c r="E8" s="253">
        <f>E9+E18</f>
        <v>0</v>
      </c>
      <c r="F8" s="253">
        <f>F9+F18</f>
        <v>0</v>
      </c>
    </row>
    <row r="9" spans="1:6">
      <c r="A9" s="202">
        <v>421</v>
      </c>
      <c r="B9" s="182" t="s">
        <v>277</v>
      </c>
      <c r="C9" s="253">
        <f>C10+C14</f>
        <v>0</v>
      </c>
      <c r="D9" s="253">
        <f>D10+D14</f>
        <v>0</v>
      </c>
      <c r="E9" s="253">
        <f>E10+E14</f>
        <v>0</v>
      </c>
      <c r="F9" s="253">
        <f>F10+F14</f>
        <v>0</v>
      </c>
    </row>
    <row r="10" spans="1:6">
      <c r="A10" s="202">
        <v>4211</v>
      </c>
      <c r="B10" s="182" t="s">
        <v>129</v>
      </c>
      <c r="C10" s="253">
        <f>SUM(C11:C13)</f>
        <v>0</v>
      </c>
      <c r="D10" s="253">
        <f>SUM(D11:D13)</f>
        <v>0</v>
      </c>
      <c r="E10" s="253">
        <f>SUM(E11:E13)</f>
        <v>0</v>
      </c>
      <c r="F10" s="253">
        <f>SUM(F11:F13)</f>
        <v>0</v>
      </c>
    </row>
    <row r="11" spans="1:6">
      <c r="A11" s="109">
        <v>42111</v>
      </c>
      <c r="B11" s="110" t="s">
        <v>246</v>
      </c>
      <c r="C11" s="254">
        <v>0</v>
      </c>
      <c r="D11" s="254">
        <v>0</v>
      </c>
      <c r="E11" s="254">
        <v>0</v>
      </c>
      <c r="F11" s="254">
        <v>0</v>
      </c>
    </row>
    <row r="12" spans="1:6">
      <c r="A12" s="109">
        <v>42112</v>
      </c>
      <c r="B12" s="110" t="s">
        <v>247</v>
      </c>
      <c r="C12" s="254">
        <v>0</v>
      </c>
      <c r="D12" s="254">
        <v>0</v>
      </c>
      <c r="E12" s="254">
        <v>0</v>
      </c>
      <c r="F12" s="254">
        <v>0</v>
      </c>
    </row>
    <row r="13" spans="1:6">
      <c r="A13" s="109">
        <v>42113</v>
      </c>
      <c r="B13" s="110" t="s">
        <v>248</v>
      </c>
      <c r="C13" s="254">
        <v>0</v>
      </c>
      <c r="D13" s="254">
        <v>0</v>
      </c>
      <c r="E13" s="254">
        <v>0</v>
      </c>
      <c r="F13" s="254">
        <v>0</v>
      </c>
    </row>
    <row r="14" spans="1:6">
      <c r="A14" s="215">
        <v>4212</v>
      </c>
      <c r="B14" s="188" t="s">
        <v>135</v>
      </c>
      <c r="C14" s="255">
        <f>SUM(C15:C17)</f>
        <v>0</v>
      </c>
      <c r="D14" s="255">
        <f>SUM(D15:D17)</f>
        <v>0</v>
      </c>
      <c r="E14" s="255">
        <f>SUM(E15:E17)</f>
        <v>0</v>
      </c>
      <c r="F14" s="255">
        <f>SUM(F15:F17)</f>
        <v>0</v>
      </c>
    </row>
    <row r="15" spans="1:6">
      <c r="A15" s="109">
        <v>42121</v>
      </c>
      <c r="B15" s="110" t="s">
        <v>246</v>
      </c>
      <c r="C15" s="254">
        <v>0</v>
      </c>
      <c r="D15" s="254">
        <v>0</v>
      </c>
      <c r="E15" s="254">
        <v>0</v>
      </c>
      <c r="F15" s="254">
        <v>0</v>
      </c>
    </row>
    <row r="16" spans="1:6">
      <c r="A16" s="109">
        <v>42122</v>
      </c>
      <c r="B16" s="110" t="s">
        <v>247</v>
      </c>
      <c r="C16" s="254">
        <v>0</v>
      </c>
      <c r="D16" s="254">
        <v>0</v>
      </c>
      <c r="E16" s="254">
        <v>0</v>
      </c>
      <c r="F16" s="254">
        <v>0</v>
      </c>
    </row>
    <row r="17" spans="1:6">
      <c r="A17" s="109">
        <v>42123</v>
      </c>
      <c r="B17" s="110" t="s">
        <v>248</v>
      </c>
      <c r="C17" s="254">
        <v>0</v>
      </c>
      <c r="D17" s="254">
        <v>0</v>
      </c>
      <c r="E17" s="254">
        <v>0</v>
      </c>
      <c r="F17" s="254">
        <v>0</v>
      </c>
    </row>
    <row r="18" spans="1:6">
      <c r="A18" s="202">
        <v>422</v>
      </c>
      <c r="B18" s="182" t="s">
        <v>213</v>
      </c>
      <c r="C18" s="253">
        <f>C19+C27</f>
        <v>0</v>
      </c>
      <c r="D18" s="253">
        <f>D19+D27</f>
        <v>0</v>
      </c>
      <c r="E18" s="253">
        <f>E19+E27</f>
        <v>0</v>
      </c>
      <c r="F18" s="253">
        <f>F19+F27</f>
        <v>0</v>
      </c>
    </row>
    <row r="19" spans="1:6">
      <c r="A19" s="202">
        <v>4221</v>
      </c>
      <c r="B19" s="182" t="s">
        <v>129</v>
      </c>
      <c r="C19" s="253">
        <f>SUM(C20:C26)</f>
        <v>0</v>
      </c>
      <c r="D19" s="253">
        <f>SUM(D20:D26)</f>
        <v>0</v>
      </c>
      <c r="E19" s="253">
        <f>SUM(E20:E26)</f>
        <v>0</v>
      </c>
      <c r="F19" s="253">
        <f>SUM(F20:F26)</f>
        <v>0</v>
      </c>
    </row>
    <row r="20" spans="1:6">
      <c r="A20" s="211">
        <v>42211</v>
      </c>
      <c r="B20" s="110" t="s">
        <v>250</v>
      </c>
      <c r="C20" s="254">
        <v>0</v>
      </c>
      <c r="D20" s="254">
        <v>0</v>
      </c>
      <c r="E20" s="254">
        <v>0</v>
      </c>
      <c r="F20" s="254">
        <v>0</v>
      </c>
    </row>
    <row r="21" spans="1:6">
      <c r="A21" s="211">
        <v>42212</v>
      </c>
      <c r="B21" s="110" t="s">
        <v>278</v>
      </c>
      <c r="C21" s="254">
        <v>0</v>
      </c>
      <c r="D21" s="254">
        <v>0</v>
      </c>
      <c r="E21" s="254">
        <v>0</v>
      </c>
      <c r="F21" s="254">
        <v>0</v>
      </c>
    </row>
    <row r="22" spans="1:6">
      <c r="A22" s="211">
        <v>42213</v>
      </c>
      <c r="B22" s="110" t="s">
        <v>251</v>
      </c>
      <c r="C22" s="254">
        <v>0</v>
      </c>
      <c r="D22" s="254">
        <v>0</v>
      </c>
      <c r="E22" s="254">
        <v>0</v>
      </c>
      <c r="F22" s="254">
        <v>0</v>
      </c>
    </row>
    <row r="23" spans="1:6">
      <c r="A23" s="211">
        <v>42214</v>
      </c>
      <c r="B23" s="110" t="s">
        <v>252</v>
      </c>
      <c r="C23" s="254">
        <v>0</v>
      </c>
      <c r="D23" s="254">
        <v>0</v>
      </c>
      <c r="E23" s="254">
        <v>0</v>
      </c>
      <c r="F23" s="254">
        <v>0</v>
      </c>
    </row>
    <row r="24" spans="1:6">
      <c r="A24" s="211">
        <v>42215</v>
      </c>
      <c r="B24" s="110" t="s">
        <v>253</v>
      </c>
      <c r="C24" s="254">
        <v>0</v>
      </c>
      <c r="D24" s="254">
        <v>0</v>
      </c>
      <c r="E24" s="254">
        <v>0</v>
      </c>
      <c r="F24" s="254">
        <v>0</v>
      </c>
    </row>
    <row r="25" spans="1:6">
      <c r="A25" s="211">
        <v>42216</v>
      </c>
      <c r="B25" s="110" t="s">
        <v>254</v>
      </c>
      <c r="C25" s="254">
        <v>0</v>
      </c>
      <c r="D25" s="254">
        <v>0</v>
      </c>
      <c r="E25" s="254">
        <v>0</v>
      </c>
      <c r="F25" s="254">
        <v>0</v>
      </c>
    </row>
    <row r="26" spans="1:6">
      <c r="A26" s="211">
        <v>42217</v>
      </c>
      <c r="B26" s="110" t="s">
        <v>255</v>
      </c>
      <c r="C26" s="254">
        <v>0</v>
      </c>
      <c r="D26" s="254">
        <v>0</v>
      </c>
      <c r="E26" s="254">
        <v>0</v>
      </c>
      <c r="F26" s="254">
        <v>0</v>
      </c>
    </row>
    <row r="27" spans="1:6">
      <c r="A27" s="202">
        <v>4222</v>
      </c>
      <c r="B27" s="182" t="s">
        <v>135</v>
      </c>
      <c r="C27" s="253">
        <f>SUM(C28:C38)</f>
        <v>0</v>
      </c>
      <c r="D27" s="253">
        <f>SUM(D28:D38)</f>
        <v>0</v>
      </c>
      <c r="E27" s="253">
        <f>SUM(E28:E38)</f>
        <v>0</v>
      </c>
      <c r="F27" s="253">
        <f>SUM(F28:F38)</f>
        <v>0</v>
      </c>
    </row>
    <row r="28" spans="1:6">
      <c r="A28" s="211">
        <v>42221</v>
      </c>
      <c r="B28" s="110" t="s">
        <v>279</v>
      </c>
      <c r="C28" s="254">
        <v>0</v>
      </c>
      <c r="D28" s="254">
        <v>0</v>
      </c>
      <c r="E28" s="254">
        <v>0</v>
      </c>
      <c r="F28" s="254">
        <v>0</v>
      </c>
    </row>
    <row r="29" spans="1:6">
      <c r="A29" s="211">
        <v>42222</v>
      </c>
      <c r="B29" s="110" t="s">
        <v>280</v>
      </c>
      <c r="C29" s="254">
        <v>0</v>
      </c>
      <c r="D29" s="254">
        <v>0</v>
      </c>
      <c r="E29" s="254">
        <v>0</v>
      </c>
      <c r="F29" s="254">
        <v>0</v>
      </c>
    </row>
    <row r="30" spans="1:6">
      <c r="A30" s="211">
        <v>42223</v>
      </c>
      <c r="B30" s="110" t="s">
        <v>258</v>
      </c>
      <c r="C30" s="254">
        <v>0</v>
      </c>
      <c r="D30" s="254">
        <v>0</v>
      </c>
      <c r="E30" s="254">
        <v>0</v>
      </c>
      <c r="F30" s="254">
        <v>0</v>
      </c>
    </row>
    <row r="31" spans="1:6">
      <c r="A31" s="211">
        <v>42224</v>
      </c>
      <c r="B31" s="110" t="s">
        <v>259</v>
      </c>
      <c r="C31" s="254">
        <v>0</v>
      </c>
      <c r="D31" s="254">
        <v>0</v>
      </c>
      <c r="E31" s="254">
        <v>0</v>
      </c>
      <c r="F31" s="254">
        <v>0</v>
      </c>
    </row>
    <row r="32" spans="1:6">
      <c r="A32" s="211">
        <v>42225</v>
      </c>
      <c r="B32" s="110" t="s">
        <v>260</v>
      </c>
      <c r="C32" s="254">
        <v>0</v>
      </c>
      <c r="D32" s="254">
        <v>0</v>
      </c>
      <c r="E32" s="254">
        <v>0</v>
      </c>
      <c r="F32" s="254">
        <v>0</v>
      </c>
    </row>
    <row r="33" spans="1:6">
      <c r="A33" s="211">
        <v>42226</v>
      </c>
      <c r="B33" s="110" t="s">
        <v>261</v>
      </c>
      <c r="C33" s="254">
        <v>0</v>
      </c>
      <c r="D33" s="254">
        <v>0</v>
      </c>
      <c r="E33" s="254">
        <v>0</v>
      </c>
      <c r="F33" s="254">
        <v>0</v>
      </c>
    </row>
    <row r="34" spans="1:6">
      <c r="A34" s="161">
        <v>42227</v>
      </c>
      <c r="B34" s="254" t="s">
        <v>627</v>
      </c>
      <c r="C34" s="254">
        <v>0</v>
      </c>
      <c r="D34" s="254">
        <v>0</v>
      </c>
      <c r="E34" s="254">
        <v>0</v>
      </c>
      <c r="F34" s="254">
        <v>0</v>
      </c>
    </row>
    <row r="35" spans="1:6">
      <c r="A35" s="161">
        <v>42228</v>
      </c>
      <c r="B35" s="254" t="s">
        <v>682</v>
      </c>
      <c r="C35" s="254">
        <v>0</v>
      </c>
      <c r="D35" s="254">
        <v>0</v>
      </c>
      <c r="E35" s="254">
        <v>0</v>
      </c>
      <c r="F35" s="254">
        <v>0</v>
      </c>
    </row>
    <row r="36" spans="1:6">
      <c r="A36" s="216">
        <v>42229</v>
      </c>
      <c r="B36" s="256" t="s">
        <v>683</v>
      </c>
      <c r="C36" s="254">
        <v>0</v>
      </c>
      <c r="D36" s="254">
        <v>0</v>
      </c>
      <c r="E36" s="254">
        <v>0</v>
      </c>
      <c r="F36" s="254">
        <v>0</v>
      </c>
    </row>
    <row r="37" spans="1:6">
      <c r="A37" s="161">
        <v>42230</v>
      </c>
      <c r="B37" s="256" t="s">
        <v>684</v>
      </c>
      <c r="C37" s="254">
        <v>0</v>
      </c>
      <c r="D37" s="254">
        <v>0</v>
      </c>
      <c r="E37" s="254">
        <v>0</v>
      </c>
      <c r="F37" s="254">
        <v>0</v>
      </c>
    </row>
    <row r="38" spans="1:6">
      <c r="A38" s="161">
        <v>42231</v>
      </c>
      <c r="B38" s="256" t="s">
        <v>654</v>
      </c>
      <c r="C38" s="254">
        <v>0</v>
      </c>
      <c r="D38" s="254">
        <v>0</v>
      </c>
      <c r="E38" s="254">
        <v>0</v>
      </c>
      <c r="F38" s="254">
        <v>0</v>
      </c>
    </row>
    <row customHeight="1" ht="35.25" r="42" spans="1:6">
      <c r="B42" s="2174" t="s">
        <v>1192</v>
      </c>
      <c r="C42" s="2174"/>
      <c r="D42" s="2174"/>
      <c r="E42" s="2174"/>
      <c r="F42" s="2174"/>
    </row>
  </sheetData>
  <mergeCells count="2">
    <mergeCell ref="A3:F3"/>
    <mergeCell ref="B42:F42"/>
  </mergeCells>
  <pageMargins bottom="0.75" footer="0.3" header="0.3" left="0.25" right="0.25" top="0.42"/>
  <pageSetup fitToHeight="0" orientation="portrait" paperSize="9" r:id="rId1" scale="76"/>
</worksheet>
</file>

<file path=xl/worksheets/sheet1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bestFit="true" customWidth="true" style="381" width="9.0" collapsed="false"/>
    <col min="2" max="2" bestFit="true" customWidth="true" style="381" width="11.140625" collapsed="false"/>
    <col min="3" max="3" customWidth="true" style="381" width="12.0" collapsed="false"/>
    <col min="4" max="4" customWidth="true" style="381" width="25.7109375" collapsed="false"/>
    <col min="5" max="5" bestFit="true" customWidth="true" style="381" width="15.140625" collapsed="false"/>
    <col min="6" max="6" customWidth="true" style="381" width="20.7109375" collapsed="false"/>
    <col min="7" max="7" customWidth="true" style="381" width="15.42578125" collapsed="false"/>
    <col min="8" max="8" customWidth="true" style="381" width="14.0" collapsed="false"/>
    <col min="9" max="9" customWidth="true" style="381" width="15.28515625" collapsed="false"/>
    <col min="10" max="10" customWidth="true" style="381" width="23.0" collapsed="false"/>
    <col min="11" max="11" customWidth="true" style="381" width="12.140625" collapsed="false"/>
    <col min="12" max="12" customWidth="true" style="381" width="31.85546875" collapsed="false"/>
    <col min="13" max="13" customWidth="true" style="381" width="13.28515625" collapsed="false"/>
    <col min="14" max="14" customWidth="true" style="381" width="11.0" collapsed="false"/>
    <col min="15" max="15" customWidth="true" style="381" width="20.7109375" collapsed="false"/>
    <col min="16" max="16" customWidth="true" style="381" width="18.0" collapsed="false"/>
    <col min="17" max="17" bestFit="true" customWidth="true" style="381" width="14.85546875" collapsed="false"/>
    <col min="18" max="19" customWidth="true" style="381" width="18.42578125" collapsed="false"/>
    <col min="20" max="20" customWidth="true" style="381" width="13.5703125" collapsed="false"/>
    <col min="21" max="21" customWidth="true" style="381" width="13.85546875" collapsed="false"/>
    <col min="22" max="16384" style="381" width="9.140625" collapsed="false"/>
  </cols>
  <sheetData>
    <row r="2" spans="1:23">
      <c r="A2" s="2171" t="s">
        <v>1</v>
      </c>
      <c r="B2" s="2171"/>
      <c r="C2" s="2171"/>
      <c r="D2" s="2171"/>
      <c r="E2" s="2171"/>
      <c r="F2" s="2171"/>
      <c r="G2" s="2171"/>
      <c r="H2" s="2171"/>
      <c r="I2" s="2171"/>
      <c r="J2" s="2171"/>
      <c r="K2" s="2171"/>
      <c r="L2" s="2171"/>
      <c r="M2" s="2171"/>
      <c r="N2" s="2171"/>
      <c r="O2" s="2171"/>
      <c r="P2" s="2171"/>
      <c r="Q2" s="2171"/>
      <c r="R2" s="2171"/>
      <c r="S2" s="2171"/>
      <c r="T2" s="2171"/>
      <c r="U2" s="2171"/>
    </row>
    <row customHeight="1" ht="19.5" r="3" spans="1:23">
      <c r="A3" s="995"/>
      <c r="B3" s="995"/>
      <c r="C3" s="995"/>
      <c r="D3" s="995"/>
      <c r="E3" s="995"/>
      <c r="F3" s="995"/>
      <c r="G3" s="995"/>
      <c r="H3" s="995"/>
      <c r="I3" s="995"/>
      <c r="J3" s="995"/>
      <c r="K3" s="995"/>
      <c r="L3" s="995"/>
      <c r="M3" s="995"/>
      <c r="N3" s="995"/>
      <c r="O3" s="995"/>
      <c r="P3" s="995"/>
      <c r="Q3" s="995"/>
      <c r="R3" s="995"/>
    </row>
    <row ht="30" r="4" spans="1:23">
      <c r="A4" s="996" t="s">
        <v>37</v>
      </c>
      <c r="B4" s="996" t="s">
        <v>27</v>
      </c>
      <c r="C4" s="996" t="s">
        <v>28</v>
      </c>
      <c r="D4" s="996" t="s">
        <v>0</v>
      </c>
      <c r="E4" s="996" t="s">
        <v>60</v>
      </c>
      <c r="F4" s="996" t="s">
        <v>88</v>
      </c>
      <c r="G4" s="996" t="s">
        <v>87</v>
      </c>
      <c r="H4" s="996" t="s">
        <v>38</v>
      </c>
      <c r="I4" s="996" t="s">
        <v>39</v>
      </c>
      <c r="J4" s="996" t="s">
        <v>40</v>
      </c>
      <c r="K4" s="996" t="s">
        <v>115</v>
      </c>
      <c r="L4" s="996" t="s">
        <v>43</v>
      </c>
      <c r="M4" s="996" t="s">
        <v>41</v>
      </c>
      <c r="N4" s="996" t="s">
        <v>116</v>
      </c>
      <c r="O4" s="996" t="s">
        <v>117</v>
      </c>
      <c r="P4" s="996" t="s">
        <v>34</v>
      </c>
      <c r="Q4" s="996" t="s">
        <v>112</v>
      </c>
      <c r="R4" s="996" t="s">
        <v>113</v>
      </c>
      <c r="S4" s="997" t="s">
        <v>118</v>
      </c>
      <c r="T4" s="997" t="s">
        <v>42</v>
      </c>
      <c r="U4" s="997" t="s">
        <v>86</v>
      </c>
    </row>
    <row r="5" spans="1:23">
      <c r="A5" s="998"/>
      <c r="B5" s="999"/>
      <c r="C5" s="1000"/>
      <c r="D5" s="1000"/>
      <c r="E5" s="1000"/>
      <c r="F5" s="1000"/>
      <c r="G5" s="1000"/>
      <c r="H5" s="1000"/>
      <c r="I5" s="1000"/>
      <c r="J5" s="1001"/>
      <c r="K5" s="1002"/>
      <c r="L5" s="1003"/>
      <c r="M5" s="1002"/>
      <c r="N5" s="1000"/>
      <c r="O5" s="1000"/>
      <c r="P5" s="1000"/>
      <c r="Q5" s="1000"/>
      <c r="R5" s="1000"/>
      <c r="S5" s="1004"/>
      <c r="T5" s="1004"/>
      <c r="U5" s="1004"/>
    </row>
    <row r="6" spans="1:23">
      <c r="A6" s="1005"/>
      <c r="B6" s="1006"/>
      <c r="C6" s="1007"/>
      <c r="D6" s="1007"/>
      <c r="E6" s="1007"/>
      <c r="F6" s="1007"/>
      <c r="G6" s="1007"/>
      <c r="H6" s="1007"/>
      <c r="I6" s="1007"/>
      <c r="J6" s="1008"/>
      <c r="K6" s="1005"/>
      <c r="L6" s="1007"/>
      <c r="M6" s="1005"/>
      <c r="N6" s="1007"/>
      <c r="O6" s="1008"/>
      <c r="P6" s="1007"/>
      <c r="Q6" s="1007"/>
      <c r="R6" s="1007"/>
      <c r="S6" s="1004"/>
      <c r="T6" s="1004"/>
      <c r="U6" s="1004"/>
    </row>
    <row r="7" spans="1:23">
      <c r="A7" s="978"/>
      <c r="B7" s="1009"/>
      <c r="C7" s="391"/>
      <c r="D7" s="391"/>
      <c r="E7" s="391"/>
      <c r="F7" s="391"/>
      <c r="G7" s="391"/>
      <c r="H7" s="391"/>
      <c r="I7" s="391"/>
      <c r="J7" s="1010"/>
      <c r="K7" s="978"/>
      <c r="L7" s="391"/>
      <c r="M7" s="978"/>
      <c r="N7" s="391"/>
      <c r="O7" s="391"/>
      <c r="P7" s="391"/>
      <c r="Q7" s="391"/>
      <c r="R7" s="391"/>
      <c r="W7" s="1011"/>
    </row>
    <row r="8" spans="1:23">
      <c r="A8" s="978"/>
      <c r="B8" s="1009"/>
      <c r="C8" s="391"/>
      <c r="D8" s="391"/>
      <c r="E8" s="391"/>
      <c r="F8" s="391"/>
      <c r="G8" s="391"/>
      <c r="H8" s="391"/>
      <c r="I8" s="391"/>
      <c r="J8" s="1010"/>
      <c r="K8" s="978"/>
      <c r="L8" s="391"/>
      <c r="M8" s="978"/>
      <c r="N8" s="391"/>
      <c r="O8" s="391"/>
      <c r="P8" s="391"/>
      <c r="Q8" s="391"/>
      <c r="R8" s="391"/>
    </row>
    <row ht="15.75" r="9" spans="1:23" thickBot="1">
      <c r="A9" s="978"/>
      <c r="B9" s="1009"/>
      <c r="C9" s="391"/>
      <c r="D9" s="391"/>
      <c r="E9" s="391"/>
      <c r="F9" s="391"/>
      <c r="G9" s="391"/>
      <c r="H9" s="391"/>
      <c r="I9" s="391"/>
      <c r="J9" s="1010"/>
      <c r="K9" s="978"/>
      <c r="L9" s="391"/>
      <c r="M9" s="978"/>
      <c r="N9" s="391"/>
      <c r="O9" s="391"/>
      <c r="P9" s="391"/>
      <c r="Q9" s="391"/>
      <c r="R9" s="391"/>
      <c r="V9" s="2182" t="s">
        <v>86</v>
      </c>
      <c r="W9" s="2183"/>
    </row>
    <row ht="15.75" r="10" spans="1:23" thickTop="1">
      <c r="A10" s="978"/>
      <c r="B10" s="1009"/>
      <c r="C10" s="391"/>
      <c r="D10" s="391"/>
      <c r="E10" s="391"/>
      <c r="F10" s="391"/>
      <c r="G10" s="391"/>
      <c r="H10" s="391"/>
      <c r="I10" s="391"/>
      <c r="J10" s="1010"/>
      <c r="K10" s="978"/>
      <c r="L10" s="391"/>
      <c r="M10" s="978"/>
      <c r="N10" s="391"/>
      <c r="O10" s="391"/>
      <c r="P10" s="391"/>
      <c r="Q10" s="391"/>
      <c r="R10" s="391"/>
      <c r="V10" s="1012" t="s">
        <v>612</v>
      </c>
      <c r="W10" s="1012" t="s">
        <v>590</v>
      </c>
    </row>
    <row r="11" spans="1:23">
      <c r="A11" s="978"/>
      <c r="B11" s="1009"/>
      <c r="C11" s="391"/>
      <c r="D11" s="391"/>
      <c r="E11" s="391"/>
      <c r="F11" s="391"/>
      <c r="G11" s="391"/>
      <c r="H11" s="391"/>
      <c r="I11" s="391"/>
      <c r="J11" s="1010"/>
      <c r="K11" s="978"/>
      <c r="L11" s="391"/>
      <c r="M11" s="978"/>
      <c r="N11" s="391"/>
      <c r="O11" s="391"/>
      <c r="P11" s="391"/>
      <c r="Q11" s="391"/>
      <c r="R11" s="391"/>
      <c r="V11" s="1013" t="s">
        <v>613</v>
      </c>
      <c r="W11" s="1013" t="s">
        <v>591</v>
      </c>
    </row>
    <row r="12" spans="1:23">
      <c r="A12" s="978"/>
      <c r="B12" s="1009"/>
      <c r="C12" s="391"/>
      <c r="D12" s="391"/>
      <c r="E12" s="391"/>
      <c r="F12" s="391"/>
      <c r="G12" s="391"/>
      <c r="H12" s="391"/>
      <c r="I12" s="391"/>
      <c r="J12" s="1010"/>
      <c r="K12" s="978"/>
      <c r="L12" s="391"/>
      <c r="M12" s="978"/>
      <c r="N12" s="391"/>
      <c r="O12" s="391"/>
      <c r="P12" s="391"/>
      <c r="Q12" s="391"/>
      <c r="V12" s="1013" t="s">
        <v>592</v>
      </c>
      <c r="W12" s="1013" t="s">
        <v>594</v>
      </c>
    </row>
    <row r="13" spans="1:23">
      <c r="A13" s="978"/>
      <c r="B13" s="1009"/>
      <c r="C13" s="391"/>
      <c r="D13" s="391"/>
      <c r="E13" s="391"/>
      <c r="F13" s="391"/>
      <c r="G13" s="391"/>
      <c r="H13" s="391"/>
      <c r="I13" s="391"/>
      <c r="J13" s="1010"/>
      <c r="K13" s="978"/>
      <c r="L13" s="391"/>
      <c r="M13" s="978"/>
      <c r="N13" s="391"/>
      <c r="O13" s="391"/>
      <c r="P13" s="391"/>
      <c r="Q13" s="391"/>
      <c r="V13" s="1013" t="s">
        <v>593</v>
      </c>
      <c r="W13" s="1013" t="s">
        <v>595</v>
      </c>
    </row>
    <row r="14" spans="1:23">
      <c r="A14" s="978"/>
      <c r="B14" s="1009"/>
      <c r="C14" s="391"/>
      <c r="D14" s="391"/>
      <c r="E14" s="391"/>
      <c r="F14" s="391"/>
      <c r="G14" s="391"/>
      <c r="H14" s="391"/>
      <c r="I14" s="391"/>
      <c r="J14" s="1010"/>
      <c r="K14" s="978"/>
      <c r="L14" s="391"/>
      <c r="M14" s="978"/>
      <c r="N14" s="391"/>
      <c r="O14" s="391"/>
      <c r="P14" s="391"/>
      <c r="Q14" s="391"/>
      <c r="V14" s="1013" t="s">
        <v>607</v>
      </c>
      <c r="W14" s="1013" t="s">
        <v>596</v>
      </c>
    </row>
    <row r="15" spans="1:23">
      <c r="A15" s="978"/>
      <c r="B15" s="1009"/>
      <c r="C15" s="391"/>
      <c r="D15" s="391"/>
      <c r="E15" s="391"/>
      <c r="F15" s="391"/>
      <c r="G15" s="391"/>
      <c r="H15" s="391"/>
      <c r="I15" s="391"/>
      <c r="J15" s="1010"/>
      <c r="K15" s="978"/>
      <c r="L15" s="391"/>
      <c r="M15" s="978"/>
      <c r="N15" s="391"/>
      <c r="O15" s="391"/>
      <c r="P15" s="391"/>
      <c r="Q15" s="391"/>
      <c r="V15" s="1013" t="s">
        <v>608</v>
      </c>
      <c r="W15" s="1013" t="s">
        <v>597</v>
      </c>
    </row>
    <row r="16" spans="1:23">
      <c r="A16" s="978"/>
      <c r="B16" s="1009"/>
      <c r="C16" s="391"/>
      <c r="D16" s="391"/>
      <c r="E16" s="391"/>
      <c r="F16" s="391"/>
      <c r="G16" s="391"/>
      <c r="H16" s="391"/>
      <c r="I16" s="391"/>
      <c r="J16" s="1010"/>
      <c r="K16" s="978"/>
      <c r="L16" s="391"/>
      <c r="M16" s="978"/>
      <c r="N16" s="391"/>
      <c r="O16" s="391"/>
      <c r="P16" s="391"/>
      <c r="Q16" s="391"/>
      <c r="V16" s="1013" t="s">
        <v>609</v>
      </c>
      <c r="W16" s="1013" t="s">
        <v>598</v>
      </c>
    </row>
    <row r="17" spans="1:23">
      <c r="A17" s="978"/>
      <c r="B17" s="1009"/>
      <c r="C17" s="391"/>
      <c r="D17" s="391"/>
      <c r="E17" s="391"/>
      <c r="F17" s="391"/>
      <c r="G17" s="391"/>
      <c r="H17" s="391"/>
      <c r="I17" s="391"/>
      <c r="J17" s="1010"/>
      <c r="K17" s="978"/>
      <c r="L17" s="391"/>
      <c r="M17" s="978"/>
      <c r="N17" s="391"/>
      <c r="O17" s="391"/>
      <c r="P17" s="391"/>
      <c r="Q17" s="391"/>
      <c r="V17" s="1013" t="s">
        <v>610</v>
      </c>
      <c r="W17" s="1013" t="s">
        <v>119</v>
      </c>
    </row>
    <row r="18" spans="1:23">
      <c r="A18" s="978"/>
      <c r="B18" s="1009"/>
      <c r="C18" s="391"/>
      <c r="D18" s="391"/>
      <c r="E18" s="391"/>
      <c r="F18" s="391"/>
      <c r="G18" s="391"/>
      <c r="H18" s="391"/>
      <c r="I18" s="391"/>
      <c r="J18" s="1010"/>
      <c r="K18" s="978"/>
      <c r="L18" s="391"/>
      <c r="M18" s="978"/>
      <c r="N18" s="391"/>
      <c r="O18" s="391"/>
      <c r="P18" s="391"/>
      <c r="Q18" s="391"/>
      <c r="V18" s="1013" t="s">
        <v>611</v>
      </c>
      <c r="W18" s="1013" t="s">
        <v>615</v>
      </c>
    </row>
    <row r="19" spans="1:23">
      <c r="A19" s="978"/>
      <c r="B19" s="1009"/>
      <c r="C19" s="391"/>
      <c r="D19" s="391"/>
      <c r="E19" s="391"/>
      <c r="F19" s="391"/>
      <c r="G19" s="391"/>
      <c r="H19" s="391"/>
      <c r="I19" s="391"/>
      <c r="J19" s="1010"/>
      <c r="K19" s="978"/>
      <c r="L19" s="391"/>
      <c r="M19" s="978"/>
      <c r="N19" s="391"/>
      <c r="O19" s="391"/>
      <c r="P19" s="391"/>
      <c r="Q19" s="391"/>
      <c r="V19" s="1013" t="s">
        <v>599</v>
      </c>
      <c r="W19" s="1013" t="s">
        <v>600</v>
      </c>
    </row>
    <row r="20" spans="1:23">
      <c r="A20" s="978"/>
      <c r="B20" s="1009"/>
      <c r="C20" s="391"/>
      <c r="D20" s="391"/>
      <c r="E20" s="391"/>
      <c r="F20" s="391"/>
      <c r="G20" s="391"/>
      <c r="H20" s="391"/>
      <c r="I20" s="391"/>
      <c r="J20" s="1010"/>
      <c r="K20" s="978"/>
      <c r="L20" s="391"/>
      <c r="M20" s="978"/>
      <c r="N20" s="391"/>
      <c r="O20" s="391"/>
      <c r="P20" s="391"/>
      <c r="Q20" s="391"/>
      <c r="V20" s="1013" t="s">
        <v>606</v>
      </c>
      <c r="W20" s="1013" t="s">
        <v>98</v>
      </c>
    </row>
    <row r="21" spans="1:23">
      <c r="A21" s="978"/>
      <c r="B21" s="1009"/>
      <c r="C21" s="391"/>
      <c r="D21" s="391"/>
      <c r="E21" s="391"/>
      <c r="F21" s="391"/>
      <c r="G21" s="391"/>
      <c r="H21" s="391"/>
      <c r="I21" s="391"/>
      <c r="J21" s="1010"/>
      <c r="K21" s="978"/>
      <c r="L21" s="391"/>
      <c r="M21" s="978"/>
      <c r="N21" s="391"/>
      <c r="O21" s="391"/>
      <c r="P21" s="391"/>
      <c r="Q21" s="391"/>
      <c r="V21" s="1013" t="s">
        <v>601</v>
      </c>
      <c r="W21" s="1013" t="s">
        <v>605</v>
      </c>
    </row>
    <row r="22" spans="1:23">
      <c r="A22" s="978"/>
      <c r="B22" s="1009"/>
      <c r="C22" s="391"/>
      <c r="D22" s="391"/>
      <c r="E22" s="391"/>
      <c r="F22" s="391"/>
      <c r="G22" s="391"/>
      <c r="H22" s="391"/>
      <c r="I22" s="391"/>
      <c r="J22" s="1010"/>
      <c r="K22" s="978"/>
      <c r="L22" s="391"/>
      <c r="M22" s="978"/>
      <c r="N22" s="391"/>
      <c r="O22" s="391"/>
      <c r="P22" s="391"/>
      <c r="Q22" s="391"/>
      <c r="V22" s="1013" t="s">
        <v>602</v>
      </c>
      <c r="W22" s="1013" t="s">
        <v>604</v>
      </c>
    </row>
    <row r="23" spans="1:23">
      <c r="A23" s="978"/>
      <c r="B23" s="1009"/>
      <c r="C23" s="391"/>
      <c r="D23" s="391"/>
      <c r="E23" s="391"/>
      <c r="F23" s="391"/>
      <c r="G23" s="391"/>
      <c r="H23" s="391"/>
      <c r="I23" s="391"/>
      <c r="J23" s="1010"/>
      <c r="K23" s="978"/>
      <c r="L23" s="391"/>
      <c r="M23" s="978"/>
      <c r="N23" s="391"/>
      <c r="O23" s="391"/>
      <c r="P23" s="391"/>
      <c r="Q23" s="391"/>
      <c r="V23" s="1013" t="s">
        <v>614</v>
      </c>
      <c r="W23" s="1013" t="s">
        <v>603</v>
      </c>
    </row>
    <row r="24" spans="1:23">
      <c r="A24" s="978"/>
      <c r="B24" s="1009"/>
      <c r="C24" s="391"/>
      <c r="D24" s="391"/>
      <c r="E24" s="391"/>
      <c r="F24" s="391"/>
      <c r="G24" s="391"/>
      <c r="H24" s="391"/>
      <c r="I24" s="391"/>
      <c r="J24" s="1010"/>
      <c r="K24" s="978"/>
      <c r="L24" s="391"/>
      <c r="M24" s="978"/>
      <c r="N24" s="391"/>
      <c r="O24" s="391"/>
      <c r="P24" s="391"/>
      <c r="Q24" s="391"/>
    </row>
    <row r="25" spans="1:23">
      <c r="A25" s="978"/>
      <c r="B25" s="1009"/>
      <c r="C25" s="391"/>
      <c r="D25" s="391"/>
      <c r="E25" s="391"/>
      <c r="F25" s="391"/>
      <c r="G25" s="391"/>
      <c r="H25" s="391"/>
      <c r="I25" s="391"/>
      <c r="J25" s="1010"/>
      <c r="K25" s="978"/>
      <c r="L25" s="391"/>
      <c r="M25" s="978"/>
      <c r="N25" s="391"/>
      <c r="O25" s="391"/>
      <c r="P25" s="391"/>
      <c r="Q25" s="391"/>
    </row>
    <row r="26" spans="1:23">
      <c r="A26" s="978"/>
      <c r="B26" s="1009"/>
      <c r="C26" s="391"/>
      <c r="D26" s="391"/>
      <c r="E26" s="391"/>
      <c r="F26" s="391"/>
      <c r="G26" s="391"/>
      <c r="H26" s="391"/>
      <c r="I26" s="391"/>
      <c r="J26" s="1010"/>
      <c r="K26" s="978"/>
      <c r="L26" s="391"/>
      <c r="M26" s="978"/>
      <c r="N26" s="391"/>
      <c r="O26" s="391"/>
      <c r="P26" s="391"/>
      <c r="Q26" s="391"/>
    </row>
    <row r="27" spans="1:23">
      <c r="A27" s="978"/>
      <c r="B27" s="1009"/>
      <c r="C27" s="391"/>
      <c r="D27" s="391"/>
      <c r="E27" s="391"/>
      <c r="F27" s="391"/>
      <c r="G27" s="391"/>
      <c r="H27" s="391"/>
      <c r="I27" s="391"/>
      <c r="J27" s="1010"/>
      <c r="K27" s="978"/>
      <c r="L27" s="391"/>
      <c r="M27" s="978"/>
      <c r="N27" s="391"/>
      <c r="O27" s="391"/>
      <c r="P27" s="391"/>
      <c r="Q27" s="391"/>
      <c r="R27" s="391"/>
    </row>
    <row r="28" spans="1:23">
      <c r="A28" s="978"/>
      <c r="B28" s="1009"/>
      <c r="C28" s="391"/>
      <c r="D28" s="391"/>
      <c r="E28" s="391"/>
      <c r="F28" s="391"/>
      <c r="G28" s="391"/>
      <c r="H28" s="391"/>
      <c r="I28" s="391"/>
      <c r="J28" s="1010"/>
      <c r="K28" s="978"/>
      <c r="L28" s="391"/>
      <c r="M28" s="978"/>
      <c r="N28" s="391"/>
      <c r="O28" s="391"/>
      <c r="P28" s="391"/>
      <c r="Q28" s="391"/>
      <c r="R28" s="391"/>
    </row>
    <row r="29" spans="1:23">
      <c r="A29" s="978"/>
      <c r="B29" s="1009"/>
      <c r="C29" s="391"/>
      <c r="D29" s="391"/>
      <c r="E29" s="391"/>
      <c r="F29" s="391"/>
      <c r="G29" s="391"/>
      <c r="H29" s="391"/>
      <c r="I29" s="391"/>
      <c r="J29" s="1010"/>
      <c r="K29" s="978"/>
      <c r="L29" s="391"/>
      <c r="M29" s="978"/>
      <c r="N29" s="391"/>
      <c r="O29" s="391"/>
      <c r="P29" s="391"/>
      <c r="Q29" s="391"/>
      <c r="R29" s="391"/>
    </row>
    <row r="30" spans="1:23">
      <c r="A30" s="978"/>
      <c r="B30" s="1009"/>
      <c r="C30" s="391"/>
      <c r="D30" s="391"/>
      <c r="E30" s="391"/>
      <c r="F30" s="391"/>
      <c r="G30" s="391"/>
      <c r="H30" s="391"/>
      <c r="I30" s="391"/>
      <c r="J30" s="1010"/>
      <c r="K30" s="978"/>
      <c r="L30" s="391"/>
      <c r="M30" s="978"/>
      <c r="N30" s="391"/>
      <c r="O30" s="391"/>
      <c r="P30" s="391"/>
      <c r="Q30" s="391"/>
      <c r="R30" s="391"/>
    </row>
    <row r="31" spans="1:23">
      <c r="A31" s="978"/>
      <c r="B31" s="1009"/>
      <c r="C31" s="391"/>
      <c r="D31" s="391"/>
      <c r="E31" s="391"/>
      <c r="F31" s="391"/>
      <c r="G31" s="391"/>
      <c r="H31" s="391"/>
      <c r="I31" s="391"/>
      <c r="J31" s="1010"/>
      <c r="K31" s="978"/>
      <c r="L31" s="391"/>
      <c r="M31" s="978"/>
      <c r="N31" s="391"/>
      <c r="O31" s="391"/>
      <c r="P31" s="391"/>
      <c r="Q31" s="391"/>
      <c r="R31" s="391"/>
    </row>
    <row r="32" spans="1:23">
      <c r="A32" s="978"/>
      <c r="B32" s="1009"/>
      <c r="C32" s="391"/>
      <c r="D32" s="391"/>
      <c r="E32" s="391"/>
      <c r="F32" s="391"/>
      <c r="G32" s="391"/>
      <c r="H32" s="391"/>
      <c r="I32" s="391"/>
      <c r="J32" s="1010"/>
      <c r="K32" s="978"/>
      <c r="L32" s="391"/>
      <c r="M32" s="978"/>
      <c r="N32" s="391"/>
      <c r="O32" s="391"/>
      <c r="P32" s="391"/>
      <c r="Q32" s="391"/>
      <c r="R32" s="391"/>
    </row>
    <row r="33" spans="1:18">
      <c r="A33" s="978"/>
      <c r="B33" s="1009"/>
      <c r="C33" s="391"/>
      <c r="D33" s="391"/>
      <c r="E33" s="391"/>
      <c r="F33" s="391"/>
      <c r="G33" s="391"/>
      <c r="H33" s="391"/>
      <c r="I33" s="391"/>
      <c r="J33" s="1010"/>
      <c r="K33" s="978"/>
      <c r="L33" s="391"/>
      <c r="M33" s="978"/>
      <c r="N33" s="391"/>
      <c r="O33" s="391"/>
      <c r="P33" s="391"/>
      <c r="Q33" s="391"/>
      <c r="R33" s="391"/>
    </row>
    <row r="34" spans="1:18">
      <c r="A34" s="978"/>
      <c r="B34" s="1009"/>
      <c r="C34" s="391"/>
      <c r="D34" s="391"/>
      <c r="E34" s="391"/>
      <c r="F34" s="391"/>
      <c r="G34" s="391"/>
      <c r="H34" s="391"/>
      <c r="I34" s="391"/>
      <c r="J34" s="1010"/>
      <c r="K34" s="978"/>
      <c r="L34" s="391"/>
      <c r="M34" s="978"/>
      <c r="N34" s="391"/>
      <c r="O34" s="391"/>
      <c r="P34" s="391"/>
      <c r="Q34" s="391"/>
      <c r="R34" s="391"/>
    </row>
    <row r="35" spans="1:18">
      <c r="A35" s="978"/>
      <c r="B35" s="1009"/>
      <c r="C35" s="391"/>
      <c r="D35" s="391"/>
      <c r="E35" s="391"/>
      <c r="F35" s="391"/>
      <c r="G35" s="391"/>
      <c r="H35" s="391"/>
      <c r="I35" s="391"/>
      <c r="J35" s="1010"/>
      <c r="K35" s="978"/>
      <c r="L35" s="391"/>
      <c r="M35" s="978"/>
      <c r="N35" s="391"/>
      <c r="O35" s="391"/>
      <c r="P35" s="391"/>
      <c r="Q35" s="391"/>
      <c r="R35" s="391"/>
    </row>
    <row r="36" spans="1:18">
      <c r="A36" s="978"/>
      <c r="B36" s="1009"/>
      <c r="C36" s="391"/>
      <c r="D36" s="391"/>
      <c r="E36" s="391"/>
      <c r="F36" s="391"/>
      <c r="G36" s="391"/>
      <c r="H36" s="391"/>
      <c r="I36" s="391"/>
      <c r="J36" s="1010"/>
      <c r="K36" s="978"/>
      <c r="L36" s="391"/>
      <c r="M36" s="978"/>
      <c r="N36" s="391"/>
      <c r="O36" s="391"/>
      <c r="P36" s="391"/>
      <c r="Q36" s="391"/>
      <c r="R36" s="391"/>
    </row>
    <row r="37" spans="1:18">
      <c r="A37" s="978"/>
      <c r="B37" s="1009"/>
      <c r="C37" s="391"/>
      <c r="D37" s="391"/>
      <c r="E37" s="391"/>
      <c r="F37" s="391"/>
      <c r="G37" s="391"/>
      <c r="H37" s="391"/>
      <c r="I37" s="391"/>
      <c r="J37" s="1010"/>
      <c r="K37" s="978"/>
      <c r="L37" s="391"/>
      <c r="M37" s="978"/>
      <c r="N37" s="391"/>
      <c r="O37" s="391"/>
      <c r="P37" s="391"/>
      <c r="Q37" s="391"/>
      <c r="R37" s="391"/>
    </row>
    <row r="38" spans="1:18">
      <c r="A38" s="978"/>
      <c r="B38" s="1009"/>
      <c r="C38" s="391"/>
      <c r="D38" s="391"/>
      <c r="E38" s="391"/>
      <c r="F38" s="391"/>
      <c r="G38" s="391"/>
      <c r="H38" s="391"/>
      <c r="I38" s="391"/>
      <c r="J38" s="1010"/>
      <c r="K38" s="978"/>
      <c r="L38" s="391"/>
      <c r="M38" s="978"/>
      <c r="N38" s="391"/>
      <c r="O38" s="391"/>
      <c r="P38" s="391"/>
      <c r="Q38" s="391"/>
      <c r="R38" s="391"/>
    </row>
    <row r="39" spans="1:18">
      <c r="A39" s="978"/>
      <c r="B39" s="1009"/>
      <c r="C39" s="391"/>
      <c r="D39" s="391"/>
      <c r="E39" s="391"/>
      <c r="F39" s="391"/>
      <c r="G39" s="391"/>
      <c r="H39" s="391"/>
      <c r="I39" s="391"/>
      <c r="J39" s="1010"/>
      <c r="K39" s="978"/>
      <c r="L39" s="391"/>
      <c r="M39" s="978"/>
      <c r="N39" s="391"/>
      <c r="O39" s="391"/>
      <c r="P39" s="391"/>
      <c r="Q39" s="391"/>
      <c r="R39" s="391"/>
    </row>
    <row r="40" spans="1:18">
      <c r="A40" s="978"/>
      <c r="B40" s="1009"/>
      <c r="C40" s="391"/>
      <c r="D40" s="391"/>
      <c r="E40" s="391"/>
      <c r="F40" s="391"/>
      <c r="G40" s="391"/>
      <c r="H40" s="391"/>
      <c r="I40" s="391"/>
      <c r="J40" s="1010"/>
      <c r="K40" s="978"/>
      <c r="L40" s="391"/>
      <c r="M40" s="978"/>
      <c r="N40" s="391"/>
      <c r="O40" s="391"/>
      <c r="P40" s="391"/>
      <c r="Q40" s="391"/>
      <c r="R40" s="391"/>
    </row>
    <row r="41" spans="1:18">
      <c r="A41" s="978"/>
      <c r="B41" s="1009"/>
      <c r="C41" s="391"/>
      <c r="D41" s="391"/>
      <c r="E41" s="391"/>
      <c r="F41" s="391"/>
      <c r="G41" s="391"/>
      <c r="H41" s="391"/>
      <c r="I41" s="391"/>
      <c r="J41" s="1010"/>
      <c r="K41" s="978"/>
      <c r="L41" s="391"/>
      <c r="M41" s="978"/>
      <c r="N41" s="391"/>
      <c r="O41" s="391"/>
      <c r="P41" s="391"/>
      <c r="Q41" s="391"/>
      <c r="R41" s="391"/>
    </row>
    <row r="42" spans="1:18">
      <c r="A42" s="978"/>
      <c r="B42" s="1009"/>
      <c r="C42" s="391"/>
      <c r="D42" s="391"/>
      <c r="E42" s="391"/>
      <c r="F42" s="391"/>
      <c r="G42" s="391"/>
      <c r="H42" s="391"/>
      <c r="I42" s="391"/>
      <c r="J42" s="1010"/>
      <c r="K42" s="978"/>
      <c r="L42" s="391"/>
      <c r="M42" s="978"/>
      <c r="N42" s="391"/>
      <c r="O42" s="391"/>
      <c r="P42" s="391"/>
      <c r="Q42" s="391"/>
      <c r="R42" s="391"/>
    </row>
    <row r="43" spans="1:18">
      <c r="A43" s="978"/>
      <c r="B43" s="1009"/>
      <c r="C43" s="391"/>
      <c r="D43" s="391"/>
      <c r="E43" s="391"/>
      <c r="F43" s="391"/>
      <c r="G43" s="391"/>
      <c r="H43" s="391"/>
      <c r="I43" s="391"/>
      <c r="J43" s="1010"/>
      <c r="K43" s="978"/>
      <c r="L43" s="391"/>
      <c r="M43" s="978"/>
      <c r="N43" s="391"/>
      <c r="O43" s="391"/>
      <c r="P43" s="391"/>
      <c r="Q43" s="391"/>
      <c r="R43" s="391"/>
    </row>
    <row r="44" spans="1:18">
      <c r="A44" s="978"/>
      <c r="B44" s="1009"/>
      <c r="C44" s="391"/>
      <c r="D44" s="391"/>
      <c r="E44" s="391"/>
      <c r="F44" s="391"/>
      <c r="G44" s="391"/>
      <c r="H44" s="391"/>
      <c r="I44" s="391"/>
      <c r="J44" s="1010"/>
      <c r="K44" s="978"/>
      <c r="L44" s="391"/>
      <c r="M44" s="978"/>
      <c r="N44" s="391"/>
      <c r="O44" s="391"/>
      <c r="P44" s="391"/>
      <c r="Q44" s="391"/>
      <c r="R44" s="391"/>
    </row>
    <row r="45" spans="1:18">
      <c r="A45" s="978"/>
      <c r="B45" s="1009"/>
      <c r="C45" s="391"/>
      <c r="D45" s="391"/>
      <c r="E45" s="391"/>
      <c r="F45" s="391"/>
      <c r="G45" s="391"/>
      <c r="H45" s="391"/>
      <c r="I45" s="391"/>
      <c r="J45" s="1010"/>
      <c r="K45" s="978"/>
      <c r="L45" s="391"/>
      <c r="M45" s="978"/>
      <c r="N45" s="391"/>
      <c r="O45" s="391"/>
      <c r="P45" s="391"/>
      <c r="Q45" s="391"/>
      <c r="R45" s="391"/>
    </row>
    <row r="46" spans="1:18">
      <c r="A46" s="978"/>
      <c r="B46" s="1009"/>
      <c r="C46" s="391"/>
      <c r="D46" s="391"/>
      <c r="E46" s="391"/>
      <c r="F46" s="391"/>
      <c r="G46" s="391"/>
      <c r="H46" s="391"/>
      <c r="I46" s="391"/>
      <c r="J46" s="1010"/>
      <c r="K46" s="978"/>
      <c r="L46" s="391"/>
      <c r="M46" s="978"/>
      <c r="N46" s="391"/>
      <c r="O46" s="391"/>
      <c r="P46" s="391"/>
      <c r="Q46" s="391"/>
      <c r="R46" s="391"/>
    </row>
    <row r="47" spans="1:18">
      <c r="A47" s="978"/>
      <c r="B47" s="1009"/>
      <c r="C47" s="391"/>
      <c r="D47" s="391"/>
      <c r="E47" s="391"/>
      <c r="F47" s="391"/>
      <c r="G47" s="391"/>
      <c r="H47" s="391"/>
      <c r="I47" s="391"/>
      <c r="J47" s="1010"/>
      <c r="K47" s="978"/>
      <c r="L47" s="391"/>
      <c r="M47" s="978"/>
      <c r="N47" s="391"/>
      <c r="O47" s="391"/>
      <c r="P47" s="391"/>
      <c r="Q47" s="391"/>
      <c r="R47" s="391"/>
    </row>
    <row r="48" spans="1:18">
      <c r="A48" s="978"/>
      <c r="B48" s="1009"/>
      <c r="C48" s="391"/>
      <c r="D48" s="391"/>
      <c r="E48" s="391"/>
      <c r="F48" s="391"/>
      <c r="G48" s="391"/>
      <c r="H48" s="391"/>
      <c r="I48" s="391"/>
      <c r="J48" s="1010"/>
      <c r="K48" s="978"/>
      <c r="L48" s="391"/>
      <c r="M48" s="978"/>
      <c r="N48" s="391"/>
      <c r="O48" s="391"/>
      <c r="P48" s="391"/>
      <c r="Q48" s="391"/>
      <c r="R48" s="391"/>
    </row>
    <row r="49" spans="1:18">
      <c r="A49" s="978"/>
      <c r="B49" s="1009"/>
      <c r="C49" s="391"/>
      <c r="D49" s="391"/>
      <c r="E49" s="391"/>
      <c r="F49" s="391"/>
      <c r="G49" s="391"/>
      <c r="H49" s="391"/>
      <c r="I49" s="391"/>
      <c r="J49" s="1010"/>
      <c r="K49" s="978"/>
      <c r="L49" s="391"/>
      <c r="M49" s="978"/>
      <c r="N49" s="391"/>
      <c r="O49" s="391"/>
      <c r="P49" s="391"/>
      <c r="Q49" s="391"/>
      <c r="R49" s="391"/>
    </row>
    <row r="50" spans="1:18">
      <c r="A50" s="978"/>
      <c r="B50" s="1009"/>
      <c r="C50" s="391"/>
      <c r="D50" s="391"/>
      <c r="E50" s="391"/>
      <c r="F50" s="391"/>
      <c r="G50" s="391"/>
      <c r="H50" s="391"/>
      <c r="I50" s="391"/>
      <c r="J50" s="1010"/>
      <c r="K50" s="978"/>
      <c r="L50" s="391"/>
      <c r="M50" s="978"/>
      <c r="N50" s="391"/>
      <c r="O50" s="391"/>
      <c r="P50" s="391"/>
      <c r="Q50" s="391"/>
      <c r="R50" s="391"/>
    </row>
    <row r="51" spans="1:18">
      <c r="A51" s="978"/>
      <c r="B51" s="1009"/>
      <c r="C51" s="391"/>
      <c r="D51" s="391"/>
      <c r="E51" s="391"/>
      <c r="F51" s="391"/>
      <c r="G51" s="391"/>
      <c r="H51" s="391"/>
      <c r="I51" s="391"/>
      <c r="J51" s="1010"/>
      <c r="K51" s="978"/>
      <c r="L51" s="391"/>
      <c r="M51" s="978"/>
      <c r="N51" s="391"/>
      <c r="O51" s="391"/>
      <c r="P51" s="391"/>
      <c r="Q51" s="391"/>
      <c r="R51" s="391"/>
    </row>
    <row r="52" spans="1:18">
      <c r="A52" s="978"/>
      <c r="B52" s="1009"/>
      <c r="C52" s="391"/>
      <c r="D52" s="391"/>
      <c r="E52" s="391"/>
      <c r="F52" s="391"/>
      <c r="G52" s="391"/>
      <c r="H52" s="391"/>
      <c r="I52" s="391"/>
      <c r="J52" s="1010"/>
      <c r="K52" s="978"/>
      <c r="L52" s="391"/>
      <c r="M52" s="978"/>
      <c r="N52" s="391"/>
      <c r="O52" s="391"/>
      <c r="P52" s="391"/>
      <c r="Q52" s="391"/>
      <c r="R52" s="391"/>
    </row>
    <row r="53" spans="1:18">
      <c r="A53" s="978"/>
      <c r="B53" s="1009"/>
      <c r="C53" s="391"/>
      <c r="D53" s="391"/>
      <c r="E53" s="391"/>
      <c r="F53" s="391"/>
      <c r="G53" s="391"/>
      <c r="H53" s="391"/>
      <c r="I53" s="391"/>
      <c r="J53" s="1010"/>
      <c r="K53" s="978"/>
      <c r="L53" s="391"/>
      <c r="M53" s="978"/>
      <c r="N53" s="391"/>
      <c r="O53" s="391"/>
      <c r="P53" s="391"/>
      <c r="Q53" s="391"/>
      <c r="R53" s="391"/>
    </row>
    <row r="54" spans="1:18">
      <c r="A54" s="978"/>
      <c r="B54" s="1009"/>
      <c r="C54" s="391"/>
      <c r="D54" s="391"/>
      <c r="E54" s="391"/>
      <c r="F54" s="391"/>
      <c r="G54" s="391"/>
      <c r="H54" s="391"/>
      <c r="I54" s="391"/>
      <c r="J54" s="1010"/>
      <c r="K54" s="978"/>
      <c r="L54" s="391"/>
      <c r="M54" s="978"/>
      <c r="N54" s="391"/>
      <c r="O54" s="391"/>
      <c r="P54" s="391"/>
      <c r="Q54" s="391"/>
      <c r="R54" s="391"/>
    </row>
    <row r="55" spans="1:18">
      <c r="A55" s="978"/>
      <c r="B55" s="1009"/>
      <c r="C55" s="391"/>
      <c r="D55" s="391"/>
      <c r="E55" s="391"/>
      <c r="F55" s="391"/>
      <c r="G55" s="391"/>
      <c r="H55" s="391"/>
      <c r="I55" s="391"/>
      <c r="J55" s="1010"/>
      <c r="K55" s="978"/>
      <c r="L55" s="391"/>
      <c r="M55" s="978"/>
      <c r="N55" s="391"/>
      <c r="O55" s="391"/>
      <c r="P55" s="391"/>
      <c r="Q55" s="391"/>
      <c r="R55" s="391"/>
    </row>
    <row r="56" spans="1:18">
      <c r="A56" s="978"/>
      <c r="B56" s="1009"/>
      <c r="C56" s="391"/>
      <c r="D56" s="391"/>
      <c r="E56" s="391"/>
      <c r="F56" s="391"/>
      <c r="G56" s="391"/>
      <c r="H56" s="391"/>
      <c r="I56" s="391"/>
      <c r="J56" s="1010"/>
      <c r="K56" s="978"/>
      <c r="L56" s="391"/>
      <c r="M56" s="978"/>
      <c r="N56" s="391"/>
      <c r="O56" s="391"/>
      <c r="P56" s="391"/>
      <c r="Q56" s="391"/>
      <c r="R56" s="391"/>
    </row>
    <row r="57" spans="1:18">
      <c r="A57" s="978"/>
      <c r="B57" s="1009"/>
      <c r="C57" s="391"/>
      <c r="D57" s="391"/>
      <c r="E57" s="391"/>
      <c r="F57" s="391"/>
      <c r="G57" s="391"/>
      <c r="H57" s="391"/>
      <c r="I57" s="391"/>
      <c r="J57" s="1010"/>
      <c r="K57" s="978"/>
      <c r="L57" s="391"/>
      <c r="M57" s="978"/>
      <c r="N57" s="391"/>
      <c r="O57" s="391"/>
      <c r="P57" s="391"/>
      <c r="Q57" s="391"/>
      <c r="R57" s="391"/>
    </row>
    <row r="58" spans="1:18">
      <c r="A58" s="978"/>
      <c r="B58" s="1009"/>
      <c r="C58" s="391"/>
      <c r="D58" s="391"/>
      <c r="E58" s="391"/>
      <c r="F58" s="391"/>
      <c r="G58" s="391"/>
      <c r="H58" s="391"/>
      <c r="I58" s="391"/>
      <c r="J58" s="1010"/>
      <c r="K58" s="978"/>
      <c r="L58" s="391"/>
      <c r="M58" s="978"/>
      <c r="N58" s="391"/>
      <c r="O58" s="391"/>
      <c r="P58" s="391"/>
      <c r="Q58" s="391"/>
      <c r="R58" s="391"/>
    </row>
    <row r="59" spans="1:18">
      <c r="A59" s="978"/>
      <c r="B59" s="1009"/>
      <c r="C59" s="391"/>
      <c r="D59" s="391"/>
      <c r="E59" s="391"/>
      <c r="F59" s="391"/>
      <c r="G59" s="391"/>
      <c r="H59" s="391"/>
      <c r="I59" s="391"/>
      <c r="J59" s="1010"/>
      <c r="K59" s="978"/>
      <c r="L59" s="391"/>
      <c r="M59" s="978"/>
      <c r="N59" s="391"/>
      <c r="O59" s="391"/>
      <c r="P59" s="391"/>
      <c r="Q59" s="391"/>
      <c r="R59" s="391"/>
    </row>
    <row r="60" spans="1:18">
      <c r="A60" s="978"/>
      <c r="B60" s="1009"/>
      <c r="C60" s="391"/>
      <c r="D60" s="391"/>
      <c r="E60" s="391"/>
      <c r="F60" s="391"/>
      <c r="G60" s="391"/>
      <c r="H60" s="391"/>
      <c r="I60" s="391"/>
      <c r="J60" s="1010"/>
      <c r="K60" s="978"/>
      <c r="L60" s="391"/>
      <c r="M60" s="978"/>
      <c r="N60" s="391"/>
      <c r="O60" s="391"/>
      <c r="P60" s="391"/>
      <c r="Q60" s="391"/>
      <c r="R60" s="391"/>
    </row>
    <row r="61" spans="1:18">
      <c r="A61" s="978"/>
      <c r="B61" s="1009"/>
      <c r="C61" s="391"/>
      <c r="D61" s="391"/>
      <c r="E61" s="391"/>
      <c r="F61" s="391"/>
      <c r="G61" s="391"/>
      <c r="H61" s="391"/>
      <c r="I61" s="391"/>
      <c r="J61" s="1010"/>
      <c r="K61" s="978"/>
      <c r="L61" s="391"/>
      <c r="M61" s="978"/>
      <c r="N61" s="391"/>
      <c r="O61" s="391"/>
      <c r="P61" s="391"/>
      <c r="Q61" s="391"/>
      <c r="R61" s="391"/>
    </row>
    <row r="62" spans="1:18">
      <c r="A62" s="978"/>
      <c r="B62" s="1009"/>
      <c r="C62" s="391"/>
      <c r="D62" s="391"/>
      <c r="E62" s="391"/>
      <c r="F62" s="391"/>
      <c r="G62" s="391"/>
      <c r="H62" s="391"/>
      <c r="I62" s="391"/>
      <c r="J62" s="1010"/>
      <c r="K62" s="978"/>
      <c r="L62" s="391"/>
      <c r="M62" s="978"/>
      <c r="N62" s="391"/>
      <c r="O62" s="391"/>
      <c r="P62" s="391"/>
      <c r="Q62" s="391"/>
      <c r="R62" s="391"/>
    </row>
    <row r="63" spans="1:18">
      <c r="A63" s="978"/>
      <c r="B63" s="1009"/>
      <c r="C63" s="391"/>
      <c r="D63" s="391"/>
      <c r="E63" s="391"/>
      <c r="F63" s="391"/>
      <c r="G63" s="391"/>
      <c r="H63" s="391"/>
      <c r="I63" s="391"/>
      <c r="J63" s="1010"/>
      <c r="K63" s="978"/>
      <c r="L63" s="391"/>
      <c r="M63" s="978"/>
      <c r="N63" s="391"/>
      <c r="O63" s="391"/>
      <c r="P63" s="391"/>
      <c r="Q63" s="391"/>
      <c r="R63" s="391"/>
    </row>
    <row r="64" spans="1:18">
      <c r="A64" s="978"/>
      <c r="B64" s="1009"/>
      <c r="C64" s="391"/>
      <c r="D64" s="391"/>
      <c r="E64" s="391"/>
      <c r="F64" s="391"/>
      <c r="G64" s="391"/>
      <c r="H64" s="391"/>
      <c r="I64" s="391"/>
      <c r="J64" s="1010"/>
      <c r="K64" s="978"/>
      <c r="L64" s="391"/>
      <c r="M64" s="978"/>
      <c r="N64" s="391"/>
      <c r="O64" s="391"/>
      <c r="P64" s="391"/>
      <c r="Q64" s="391"/>
      <c r="R64" s="391"/>
    </row>
    <row r="65" spans="1:18">
      <c r="A65" s="978"/>
      <c r="B65" s="1009"/>
      <c r="C65" s="391"/>
      <c r="D65" s="391"/>
      <c r="E65" s="391"/>
      <c r="F65" s="391"/>
      <c r="G65" s="391"/>
      <c r="H65" s="391"/>
      <c r="I65" s="391"/>
      <c r="J65" s="1010"/>
      <c r="K65" s="978"/>
      <c r="L65" s="391"/>
      <c r="M65" s="978"/>
      <c r="N65" s="391"/>
      <c r="O65" s="391"/>
      <c r="P65" s="391"/>
      <c r="Q65" s="391"/>
      <c r="R65" s="391"/>
    </row>
    <row r="66" spans="1:18">
      <c r="A66" s="978"/>
      <c r="B66" s="1009"/>
      <c r="C66" s="391"/>
      <c r="D66" s="391"/>
      <c r="E66" s="391"/>
      <c r="F66" s="391"/>
      <c r="G66" s="391"/>
      <c r="H66" s="391"/>
      <c r="I66" s="391"/>
      <c r="J66" s="1010"/>
      <c r="K66" s="978"/>
      <c r="L66" s="391"/>
      <c r="M66" s="978"/>
      <c r="N66" s="391"/>
      <c r="O66" s="391"/>
      <c r="P66" s="391"/>
      <c r="Q66" s="391"/>
      <c r="R66" s="391"/>
    </row>
    <row r="67" spans="1:18">
      <c r="A67" s="978"/>
      <c r="B67" s="1009"/>
      <c r="C67" s="391"/>
      <c r="D67" s="391"/>
      <c r="E67" s="391"/>
      <c r="F67" s="391"/>
      <c r="G67" s="391"/>
      <c r="H67" s="391"/>
      <c r="I67" s="391"/>
      <c r="J67" s="1010"/>
      <c r="K67" s="978"/>
      <c r="L67" s="391"/>
      <c r="M67" s="978"/>
      <c r="N67" s="391"/>
      <c r="O67" s="391"/>
      <c r="P67" s="391"/>
      <c r="Q67" s="391"/>
      <c r="R67" s="391"/>
    </row>
    <row r="68" spans="1:18">
      <c r="A68" s="978"/>
      <c r="B68" s="1009"/>
      <c r="C68" s="391"/>
      <c r="D68" s="391"/>
      <c r="E68" s="391"/>
      <c r="F68" s="391"/>
      <c r="G68" s="391"/>
      <c r="H68" s="391"/>
      <c r="I68" s="391"/>
      <c r="J68" s="1010"/>
      <c r="K68" s="978"/>
      <c r="L68" s="391"/>
      <c r="M68" s="978"/>
      <c r="N68" s="391"/>
      <c r="O68" s="391"/>
      <c r="P68" s="391"/>
      <c r="Q68" s="391"/>
      <c r="R68" s="391"/>
    </row>
    <row r="69" spans="1:18">
      <c r="A69" s="978"/>
      <c r="B69" s="1009"/>
      <c r="C69" s="391"/>
      <c r="D69" s="391"/>
      <c r="E69" s="391"/>
      <c r="F69" s="391"/>
      <c r="G69" s="391"/>
      <c r="H69" s="391"/>
      <c r="I69" s="391"/>
      <c r="J69" s="1010"/>
      <c r="K69" s="978"/>
      <c r="L69" s="391"/>
      <c r="M69" s="978"/>
      <c r="N69" s="391"/>
      <c r="O69" s="391"/>
      <c r="P69" s="391"/>
      <c r="Q69" s="391"/>
      <c r="R69" s="391"/>
    </row>
    <row r="70" spans="1:18">
      <c r="A70" s="978"/>
      <c r="B70" s="1009"/>
      <c r="C70" s="391"/>
      <c r="D70" s="391"/>
      <c r="E70" s="391"/>
      <c r="F70" s="391"/>
      <c r="G70" s="391"/>
      <c r="H70" s="391"/>
      <c r="I70" s="391"/>
      <c r="J70" s="1010"/>
      <c r="K70" s="978"/>
      <c r="L70" s="391"/>
      <c r="M70" s="978"/>
      <c r="N70" s="391"/>
      <c r="O70" s="391"/>
      <c r="P70" s="391"/>
      <c r="Q70" s="391"/>
      <c r="R70" s="391"/>
    </row>
    <row r="71" spans="1:18">
      <c r="A71" s="978"/>
      <c r="B71" s="1009"/>
      <c r="C71" s="391"/>
      <c r="D71" s="391"/>
      <c r="E71" s="391"/>
      <c r="F71" s="391"/>
      <c r="G71" s="391"/>
      <c r="H71" s="391"/>
      <c r="I71" s="391"/>
      <c r="J71" s="1010"/>
      <c r="K71" s="978"/>
      <c r="L71" s="391"/>
      <c r="M71" s="978"/>
      <c r="N71" s="391"/>
      <c r="O71" s="391"/>
      <c r="P71" s="391"/>
      <c r="Q71" s="391"/>
      <c r="R71" s="391"/>
    </row>
    <row r="72" spans="1:18">
      <c r="A72" s="978"/>
      <c r="B72" s="1009"/>
      <c r="C72" s="391"/>
      <c r="D72" s="391"/>
      <c r="E72" s="391"/>
      <c r="F72" s="391"/>
      <c r="G72" s="391"/>
      <c r="H72" s="391"/>
      <c r="I72" s="391"/>
      <c r="J72" s="1010"/>
      <c r="K72" s="978"/>
      <c r="L72" s="391"/>
      <c r="M72" s="978"/>
      <c r="N72" s="391"/>
      <c r="O72" s="391"/>
      <c r="P72" s="391"/>
      <c r="Q72" s="391"/>
      <c r="R72" s="391"/>
    </row>
    <row r="73" spans="1:18">
      <c r="A73" s="978"/>
      <c r="B73" s="1009"/>
      <c r="C73" s="391"/>
      <c r="D73" s="391"/>
      <c r="E73" s="391"/>
      <c r="F73" s="391"/>
      <c r="G73" s="391"/>
      <c r="H73" s="391"/>
      <c r="I73" s="391"/>
      <c r="J73" s="1010"/>
      <c r="K73" s="978"/>
      <c r="L73" s="391"/>
      <c r="M73" s="978"/>
      <c r="N73" s="391"/>
      <c r="O73" s="391"/>
      <c r="P73" s="391"/>
      <c r="Q73" s="391"/>
      <c r="R73" s="391"/>
    </row>
    <row r="74" spans="1:18">
      <c r="A74" s="978"/>
      <c r="B74" s="1009"/>
      <c r="C74" s="391"/>
      <c r="D74" s="391"/>
      <c r="E74" s="391"/>
      <c r="F74" s="391"/>
      <c r="G74" s="391"/>
      <c r="H74" s="391"/>
      <c r="I74" s="391"/>
      <c r="J74" s="1010"/>
      <c r="K74" s="978"/>
      <c r="L74" s="391"/>
      <c r="M74" s="978"/>
      <c r="N74" s="391"/>
      <c r="O74" s="391"/>
      <c r="P74" s="391"/>
      <c r="Q74" s="391"/>
      <c r="R74" s="391"/>
    </row>
    <row r="75" spans="1:18">
      <c r="A75" s="978"/>
      <c r="B75" s="1009"/>
      <c r="C75" s="391"/>
      <c r="D75" s="391"/>
      <c r="E75" s="391"/>
      <c r="F75" s="391"/>
      <c r="G75" s="391"/>
      <c r="H75" s="391"/>
      <c r="I75" s="391"/>
      <c r="J75" s="1010"/>
      <c r="K75" s="978"/>
      <c r="L75" s="391"/>
      <c r="M75" s="978"/>
      <c r="N75" s="391"/>
      <c r="O75" s="391"/>
      <c r="P75" s="391"/>
      <c r="Q75" s="391"/>
      <c r="R75" s="391"/>
    </row>
    <row r="76" spans="1:18">
      <c r="A76" s="978"/>
      <c r="B76" s="1009"/>
      <c r="C76" s="391"/>
      <c r="D76" s="391"/>
      <c r="E76" s="391"/>
      <c r="F76" s="391"/>
      <c r="G76" s="391"/>
      <c r="H76" s="391"/>
      <c r="I76" s="391"/>
      <c r="J76" s="1010"/>
      <c r="K76" s="978"/>
      <c r="L76" s="391"/>
      <c r="M76" s="978"/>
      <c r="N76" s="391"/>
      <c r="O76" s="391"/>
      <c r="P76" s="391"/>
      <c r="Q76" s="391"/>
      <c r="R76" s="391"/>
    </row>
    <row r="77" spans="1:18">
      <c r="A77" s="978"/>
      <c r="B77" s="1009"/>
      <c r="C77" s="391"/>
      <c r="D77" s="391"/>
      <c r="E77" s="391"/>
      <c r="F77" s="391"/>
      <c r="G77" s="391"/>
      <c r="H77" s="391"/>
      <c r="I77" s="391"/>
      <c r="J77" s="1010"/>
      <c r="K77" s="978"/>
      <c r="L77" s="391"/>
      <c r="M77" s="978"/>
      <c r="N77" s="391"/>
      <c r="O77" s="391"/>
      <c r="P77" s="391"/>
      <c r="Q77" s="391"/>
      <c r="R77" s="391"/>
    </row>
    <row r="78" spans="1:18">
      <c r="A78" s="978"/>
      <c r="B78" s="1009"/>
      <c r="C78" s="391"/>
      <c r="D78" s="391"/>
      <c r="E78" s="391"/>
      <c r="F78" s="391"/>
      <c r="G78" s="391"/>
      <c r="H78" s="391"/>
      <c r="I78" s="391"/>
      <c r="J78" s="1010"/>
      <c r="K78" s="978"/>
      <c r="L78" s="391"/>
      <c r="M78" s="978"/>
      <c r="N78" s="391"/>
      <c r="O78" s="391"/>
      <c r="P78" s="391"/>
      <c r="Q78" s="391"/>
      <c r="R78" s="391"/>
    </row>
    <row r="79" spans="1:18">
      <c r="A79" s="978"/>
      <c r="B79" s="1009"/>
      <c r="C79" s="391"/>
      <c r="D79" s="391"/>
      <c r="E79" s="391"/>
      <c r="F79" s="391"/>
      <c r="G79" s="391"/>
      <c r="H79" s="391"/>
      <c r="I79" s="391"/>
      <c r="J79" s="1010"/>
      <c r="K79" s="978"/>
      <c r="L79" s="391"/>
      <c r="M79" s="978"/>
      <c r="N79" s="391"/>
      <c r="O79" s="391"/>
      <c r="P79" s="391"/>
      <c r="Q79" s="391"/>
      <c r="R79" s="391"/>
    </row>
    <row r="80" spans="1:18">
      <c r="A80" s="978"/>
      <c r="B80" s="1009"/>
      <c r="C80" s="391"/>
      <c r="D80" s="391"/>
      <c r="E80" s="391"/>
      <c r="F80" s="391"/>
      <c r="G80" s="391"/>
      <c r="H80" s="391"/>
      <c r="I80" s="391"/>
      <c r="J80" s="1010"/>
      <c r="K80" s="978"/>
      <c r="L80" s="391"/>
      <c r="M80" s="978"/>
      <c r="N80" s="391"/>
      <c r="O80" s="391"/>
      <c r="P80" s="391"/>
      <c r="Q80" s="391"/>
      <c r="R80" s="391"/>
    </row>
    <row r="81" spans="1:18">
      <c r="A81" s="978"/>
      <c r="B81" s="1009"/>
      <c r="C81" s="391"/>
      <c r="D81" s="391"/>
      <c r="E81" s="391"/>
      <c r="F81" s="391"/>
      <c r="G81" s="391"/>
      <c r="H81" s="391"/>
      <c r="I81" s="391"/>
      <c r="J81" s="1010"/>
      <c r="K81" s="978"/>
      <c r="L81" s="391"/>
      <c r="M81" s="978"/>
      <c r="N81" s="391"/>
      <c r="O81" s="391"/>
      <c r="P81" s="391"/>
      <c r="Q81" s="391"/>
      <c r="R81" s="391"/>
    </row>
    <row r="82" spans="1:18">
      <c r="A82" s="978"/>
      <c r="B82" s="1009"/>
      <c r="C82" s="391"/>
      <c r="D82" s="391"/>
      <c r="E82" s="391"/>
      <c r="F82" s="391"/>
      <c r="G82" s="391"/>
      <c r="H82" s="391"/>
      <c r="I82" s="391"/>
      <c r="J82" s="1010"/>
      <c r="K82" s="978"/>
      <c r="L82" s="391"/>
      <c r="M82" s="978"/>
      <c r="N82" s="391"/>
      <c r="O82" s="391"/>
      <c r="P82" s="391"/>
      <c r="Q82" s="391"/>
      <c r="R82" s="391"/>
    </row>
    <row r="83" spans="1:18">
      <c r="A83" s="978"/>
      <c r="B83" s="1009"/>
      <c r="C83" s="391"/>
      <c r="D83" s="391"/>
      <c r="E83" s="391"/>
      <c r="F83" s="391"/>
      <c r="G83" s="391"/>
      <c r="H83" s="391"/>
      <c r="I83" s="391"/>
      <c r="J83" s="1010"/>
      <c r="K83" s="978"/>
      <c r="L83" s="391"/>
      <c r="M83" s="978"/>
      <c r="N83" s="391"/>
      <c r="O83" s="391"/>
      <c r="P83" s="391"/>
      <c r="Q83" s="391"/>
      <c r="R83" s="391"/>
    </row>
    <row r="84" spans="1:18">
      <c r="A84" s="978"/>
      <c r="B84" s="1009"/>
      <c r="C84" s="391"/>
      <c r="D84" s="391"/>
      <c r="E84" s="391"/>
      <c r="F84" s="391"/>
      <c r="G84" s="391"/>
      <c r="H84" s="391"/>
      <c r="I84" s="391"/>
      <c r="J84" s="1010"/>
      <c r="K84" s="978"/>
      <c r="L84" s="391"/>
      <c r="M84" s="978"/>
      <c r="N84" s="391"/>
      <c r="O84" s="391"/>
      <c r="P84" s="391"/>
      <c r="Q84" s="391"/>
      <c r="R84" s="391"/>
    </row>
    <row r="85" spans="1:18">
      <c r="A85" s="978"/>
      <c r="B85" s="1009"/>
      <c r="C85" s="391"/>
      <c r="D85" s="391"/>
      <c r="E85" s="391"/>
      <c r="F85" s="391"/>
      <c r="G85" s="391"/>
      <c r="H85" s="391"/>
      <c r="I85" s="391"/>
      <c r="J85" s="1010"/>
      <c r="K85" s="978"/>
      <c r="L85" s="391"/>
      <c r="M85" s="978"/>
      <c r="N85" s="391"/>
      <c r="O85" s="391"/>
      <c r="P85" s="391"/>
      <c r="Q85" s="391"/>
      <c r="R85" s="391"/>
    </row>
    <row r="86" spans="1:18">
      <c r="A86" s="978"/>
      <c r="B86" s="1009"/>
      <c r="C86" s="391"/>
      <c r="D86" s="391"/>
      <c r="E86" s="391"/>
      <c r="F86" s="391"/>
      <c r="G86" s="391"/>
      <c r="H86" s="391"/>
      <c r="I86" s="391"/>
      <c r="J86" s="1010"/>
      <c r="K86" s="978"/>
      <c r="L86" s="391"/>
      <c r="M86" s="978"/>
      <c r="N86" s="391"/>
      <c r="O86" s="391"/>
      <c r="P86" s="391"/>
      <c r="Q86" s="391"/>
      <c r="R86" s="391"/>
    </row>
    <row r="87" spans="1:18">
      <c r="A87" s="978"/>
      <c r="B87" s="1009"/>
      <c r="C87" s="391"/>
      <c r="D87" s="391"/>
      <c r="E87" s="391"/>
      <c r="F87" s="391"/>
      <c r="G87" s="391"/>
      <c r="H87" s="391"/>
      <c r="I87" s="391"/>
      <c r="J87" s="1010"/>
      <c r="K87" s="978"/>
      <c r="L87" s="391"/>
      <c r="M87" s="978"/>
      <c r="N87" s="391"/>
      <c r="O87" s="391"/>
      <c r="P87" s="391"/>
      <c r="Q87" s="391"/>
      <c r="R87" s="391"/>
    </row>
    <row r="88" spans="1:18">
      <c r="A88" s="978"/>
      <c r="B88" s="1009"/>
      <c r="C88" s="391"/>
      <c r="D88" s="391"/>
      <c r="E88" s="391"/>
      <c r="F88" s="391"/>
      <c r="G88" s="391"/>
      <c r="H88" s="391"/>
      <c r="I88" s="391"/>
      <c r="J88" s="1010"/>
      <c r="K88" s="978"/>
      <c r="L88" s="391"/>
      <c r="M88" s="978"/>
      <c r="N88" s="391"/>
      <c r="O88" s="391"/>
      <c r="P88" s="391"/>
      <c r="Q88" s="391"/>
      <c r="R88" s="391"/>
    </row>
    <row r="89" spans="1:18">
      <c r="A89" s="978"/>
      <c r="B89" s="1009"/>
      <c r="C89" s="391"/>
      <c r="D89" s="391"/>
      <c r="E89" s="391"/>
      <c r="F89" s="391"/>
      <c r="G89" s="391"/>
      <c r="H89" s="391"/>
      <c r="I89" s="391"/>
      <c r="J89" s="1010"/>
      <c r="K89" s="978"/>
      <c r="L89" s="391"/>
      <c r="M89" s="978"/>
      <c r="N89" s="391"/>
      <c r="O89" s="391"/>
      <c r="P89" s="391"/>
      <c r="Q89" s="391"/>
      <c r="R89" s="391"/>
    </row>
    <row r="90" spans="1:18">
      <c r="A90" s="978"/>
      <c r="B90" s="1009"/>
      <c r="C90" s="391"/>
      <c r="D90" s="391"/>
      <c r="E90" s="391"/>
      <c r="F90" s="391"/>
      <c r="G90" s="391"/>
      <c r="H90" s="391"/>
      <c r="I90" s="391"/>
      <c r="J90" s="1010"/>
      <c r="K90" s="978"/>
      <c r="L90" s="391"/>
      <c r="M90" s="978"/>
      <c r="N90" s="391"/>
      <c r="O90" s="391"/>
      <c r="P90" s="391"/>
      <c r="Q90" s="391"/>
      <c r="R90" s="391"/>
    </row>
    <row r="91" spans="1:18">
      <c r="A91" s="978"/>
      <c r="B91" s="1009"/>
      <c r="C91" s="391"/>
      <c r="D91" s="391"/>
      <c r="E91" s="391"/>
      <c r="F91" s="391"/>
      <c r="G91" s="391"/>
      <c r="H91" s="391"/>
      <c r="I91" s="391"/>
      <c r="J91" s="1010"/>
      <c r="K91" s="978"/>
      <c r="L91" s="391"/>
      <c r="M91" s="978"/>
      <c r="N91" s="391"/>
      <c r="O91" s="391"/>
      <c r="P91" s="391"/>
      <c r="Q91" s="391"/>
      <c r="R91" s="391"/>
    </row>
    <row r="92" spans="1:18">
      <c r="A92" s="978"/>
      <c r="B92" s="1009"/>
      <c r="C92" s="391"/>
      <c r="D92" s="391"/>
      <c r="E92" s="391"/>
      <c r="F92" s="391"/>
      <c r="G92" s="391"/>
      <c r="H92" s="391"/>
      <c r="I92" s="391"/>
      <c r="J92" s="1010"/>
      <c r="K92" s="978"/>
      <c r="L92" s="391"/>
      <c r="M92" s="978"/>
      <c r="N92" s="391"/>
      <c r="O92" s="391"/>
      <c r="P92" s="391"/>
      <c r="Q92" s="391"/>
      <c r="R92" s="391"/>
    </row>
    <row r="93" spans="1:18">
      <c r="A93" s="978"/>
      <c r="B93" s="1009"/>
      <c r="C93" s="391"/>
      <c r="D93" s="391"/>
      <c r="E93" s="391"/>
      <c r="F93" s="391"/>
      <c r="G93" s="391"/>
      <c r="H93" s="391"/>
      <c r="I93" s="391"/>
      <c r="J93" s="1010"/>
      <c r="K93" s="978"/>
      <c r="L93" s="391"/>
      <c r="M93" s="978"/>
      <c r="N93" s="391"/>
      <c r="O93" s="391"/>
      <c r="P93" s="391"/>
      <c r="Q93" s="391"/>
      <c r="R93" s="391"/>
    </row>
    <row r="94" spans="1:18">
      <c r="A94" s="978"/>
      <c r="B94" s="1009"/>
      <c r="C94" s="391"/>
      <c r="D94" s="391"/>
      <c r="E94" s="391"/>
      <c r="F94" s="391"/>
      <c r="G94" s="391"/>
      <c r="H94" s="391"/>
      <c r="I94" s="391"/>
      <c r="J94" s="1010"/>
      <c r="K94" s="978"/>
      <c r="L94" s="391"/>
      <c r="M94" s="978"/>
      <c r="N94" s="391"/>
      <c r="O94" s="391"/>
      <c r="P94" s="391"/>
      <c r="Q94" s="391"/>
      <c r="R94" s="391"/>
    </row>
    <row r="95" spans="1:18">
      <c r="A95" s="978"/>
      <c r="B95" s="1009"/>
      <c r="C95" s="391"/>
      <c r="D95" s="391"/>
      <c r="E95" s="391"/>
      <c r="F95" s="391"/>
      <c r="G95" s="391"/>
      <c r="H95" s="391"/>
      <c r="I95" s="391"/>
      <c r="J95" s="1010"/>
      <c r="K95" s="978"/>
      <c r="L95" s="391"/>
      <c r="M95" s="978"/>
      <c r="N95" s="391"/>
      <c r="O95" s="391"/>
      <c r="P95" s="391"/>
      <c r="Q95" s="391"/>
      <c r="R95" s="391"/>
    </row>
    <row r="96" spans="1:18">
      <c r="A96" s="978"/>
      <c r="B96" s="1009"/>
      <c r="C96" s="391"/>
      <c r="D96" s="391"/>
      <c r="E96" s="391"/>
      <c r="F96" s="391"/>
      <c r="G96" s="391"/>
      <c r="H96" s="391"/>
      <c r="I96" s="391"/>
      <c r="J96" s="1010"/>
      <c r="K96" s="978"/>
      <c r="L96" s="391"/>
      <c r="M96" s="978"/>
      <c r="N96" s="391"/>
      <c r="O96" s="391"/>
      <c r="P96" s="391"/>
      <c r="Q96" s="391"/>
      <c r="R96" s="391"/>
    </row>
    <row r="97" spans="1:18">
      <c r="A97" s="978"/>
      <c r="B97" s="1009"/>
      <c r="C97" s="391"/>
      <c r="D97" s="391"/>
      <c r="E97" s="391"/>
      <c r="F97" s="391"/>
      <c r="G97" s="391"/>
      <c r="H97" s="391"/>
      <c r="I97" s="391"/>
      <c r="J97" s="1010"/>
      <c r="K97" s="978"/>
      <c r="L97" s="391"/>
      <c r="M97" s="978"/>
      <c r="N97" s="391"/>
      <c r="O97" s="391"/>
      <c r="P97" s="391"/>
      <c r="Q97" s="391"/>
      <c r="R97" s="391"/>
    </row>
    <row r="98" spans="1:18">
      <c r="A98" s="978"/>
      <c r="B98" s="1009"/>
      <c r="C98" s="391"/>
      <c r="D98" s="391"/>
      <c r="E98" s="391"/>
      <c r="F98" s="391"/>
      <c r="G98" s="391"/>
      <c r="H98" s="391"/>
      <c r="I98" s="391"/>
      <c r="J98" s="1010"/>
      <c r="K98" s="978"/>
      <c r="L98" s="391"/>
      <c r="M98" s="978"/>
      <c r="N98" s="391"/>
      <c r="O98" s="391"/>
      <c r="P98" s="391"/>
      <c r="Q98" s="391"/>
      <c r="R98" s="391"/>
    </row>
    <row r="99" spans="1:18">
      <c r="A99" s="978"/>
      <c r="B99" s="1009"/>
      <c r="C99" s="391"/>
      <c r="D99" s="391"/>
      <c r="E99" s="391"/>
      <c r="F99" s="391"/>
      <c r="G99" s="391"/>
      <c r="H99" s="391"/>
      <c r="I99" s="391"/>
      <c r="J99" s="1010"/>
      <c r="K99" s="978"/>
      <c r="L99" s="391"/>
      <c r="M99" s="978"/>
      <c r="N99" s="391"/>
      <c r="O99" s="391"/>
      <c r="P99" s="391"/>
      <c r="Q99" s="391"/>
      <c r="R99" s="391"/>
    </row>
    <row r="100" spans="1:18">
      <c r="A100" s="978"/>
      <c r="B100" s="1009"/>
      <c r="C100" s="391"/>
      <c r="D100" s="391"/>
      <c r="E100" s="391"/>
      <c r="F100" s="391"/>
      <c r="G100" s="391"/>
      <c r="H100" s="391"/>
      <c r="I100" s="391"/>
      <c r="J100" s="1010"/>
      <c r="K100" s="978"/>
      <c r="L100" s="391"/>
      <c r="M100" s="978"/>
      <c r="N100" s="391"/>
      <c r="O100" s="391"/>
      <c r="P100" s="391"/>
      <c r="Q100" s="391"/>
      <c r="R100" s="391"/>
    </row>
    <row r="101" spans="1:18">
      <c r="A101" s="978"/>
      <c r="B101" s="1009"/>
      <c r="C101" s="391"/>
      <c r="D101" s="391"/>
      <c r="E101" s="391"/>
      <c r="F101" s="391"/>
      <c r="G101" s="391"/>
      <c r="H101" s="391"/>
      <c r="I101" s="391"/>
      <c r="J101" s="1010"/>
      <c r="K101" s="978"/>
      <c r="L101" s="391"/>
      <c r="M101" s="978"/>
      <c r="N101" s="391"/>
      <c r="O101" s="391"/>
      <c r="P101" s="391"/>
      <c r="Q101" s="391"/>
      <c r="R101" s="391"/>
    </row>
    <row r="102" spans="1:18">
      <c r="A102" s="978"/>
      <c r="B102" s="1009"/>
      <c r="C102" s="391"/>
      <c r="D102" s="391"/>
      <c r="E102" s="391"/>
      <c r="F102" s="391"/>
      <c r="G102" s="391"/>
      <c r="H102" s="391"/>
      <c r="I102" s="391"/>
      <c r="J102" s="1010"/>
      <c r="K102" s="978"/>
      <c r="L102" s="391"/>
      <c r="M102" s="978"/>
      <c r="N102" s="391"/>
      <c r="O102" s="391"/>
      <c r="P102" s="391"/>
      <c r="Q102" s="391"/>
      <c r="R102" s="391"/>
    </row>
    <row r="103" spans="1:18">
      <c r="A103" s="978"/>
      <c r="B103" s="1009"/>
      <c r="C103" s="391"/>
      <c r="D103" s="391"/>
      <c r="E103" s="391"/>
      <c r="F103" s="391"/>
      <c r="G103" s="391"/>
      <c r="H103" s="391"/>
      <c r="I103" s="391"/>
      <c r="J103" s="1010"/>
      <c r="K103" s="978"/>
      <c r="L103" s="391"/>
      <c r="M103" s="978"/>
      <c r="N103" s="391"/>
      <c r="O103" s="391"/>
      <c r="P103" s="391"/>
      <c r="Q103" s="391"/>
      <c r="R103" s="391"/>
    </row>
    <row r="104" spans="1:18">
      <c r="A104" s="978"/>
      <c r="B104" s="1009"/>
      <c r="C104" s="391"/>
      <c r="D104" s="391"/>
      <c r="E104" s="391"/>
      <c r="F104" s="391"/>
      <c r="G104" s="391"/>
      <c r="H104" s="391"/>
      <c r="I104" s="391"/>
      <c r="J104" s="1010"/>
      <c r="K104" s="978"/>
      <c r="L104" s="391"/>
      <c r="M104" s="978"/>
      <c r="N104" s="391"/>
      <c r="O104" s="391"/>
      <c r="P104" s="391"/>
      <c r="Q104" s="391"/>
      <c r="R104" s="391"/>
    </row>
    <row r="105" spans="1:18">
      <c r="A105" s="978"/>
      <c r="B105" s="1009"/>
      <c r="C105" s="391"/>
      <c r="D105" s="391"/>
      <c r="E105" s="391"/>
      <c r="F105" s="391"/>
      <c r="G105" s="391"/>
      <c r="H105" s="391"/>
      <c r="I105" s="391"/>
      <c r="J105" s="1010"/>
      <c r="K105" s="978"/>
      <c r="L105" s="391"/>
      <c r="M105" s="978"/>
      <c r="N105" s="391"/>
      <c r="O105" s="391"/>
      <c r="P105" s="391"/>
      <c r="Q105" s="391"/>
      <c r="R105" s="391"/>
    </row>
    <row r="106" spans="1:18">
      <c r="A106" s="978"/>
      <c r="B106" s="1009"/>
      <c r="C106" s="391"/>
      <c r="D106" s="391"/>
      <c r="E106" s="391"/>
      <c r="F106" s="391"/>
      <c r="G106" s="391"/>
      <c r="H106" s="391"/>
      <c r="I106" s="391"/>
      <c r="J106" s="1010"/>
      <c r="K106" s="978"/>
      <c r="L106" s="391"/>
      <c r="M106" s="978"/>
      <c r="N106" s="391"/>
      <c r="O106" s="391"/>
      <c r="P106" s="391"/>
      <c r="Q106" s="391"/>
      <c r="R106" s="391"/>
    </row>
    <row r="107" spans="1:18">
      <c r="A107" s="978"/>
      <c r="B107" s="1009"/>
      <c r="C107" s="391"/>
      <c r="D107" s="391"/>
      <c r="E107" s="391"/>
      <c r="F107" s="391"/>
      <c r="G107" s="391"/>
      <c r="H107" s="391"/>
      <c r="I107" s="391"/>
      <c r="J107" s="1010"/>
      <c r="K107" s="978"/>
      <c r="L107" s="391"/>
      <c r="M107" s="978"/>
      <c r="N107" s="391"/>
      <c r="O107" s="391"/>
      <c r="P107" s="391"/>
      <c r="Q107" s="391"/>
      <c r="R107" s="391"/>
    </row>
    <row r="108" spans="1:18">
      <c r="A108" s="978"/>
      <c r="B108" s="1009"/>
      <c r="C108" s="391"/>
      <c r="D108" s="391"/>
      <c r="E108" s="391"/>
      <c r="F108" s="391"/>
      <c r="G108" s="391"/>
      <c r="H108" s="391"/>
      <c r="I108" s="391"/>
      <c r="J108" s="1010"/>
      <c r="K108" s="978"/>
      <c r="L108" s="391"/>
      <c r="M108" s="978"/>
      <c r="N108" s="391"/>
      <c r="O108" s="391"/>
      <c r="P108" s="391"/>
      <c r="Q108" s="391"/>
      <c r="R108" s="391"/>
    </row>
    <row r="109" spans="1:18">
      <c r="A109" s="978"/>
      <c r="B109" s="1009"/>
      <c r="C109" s="391"/>
      <c r="D109" s="391"/>
      <c r="E109" s="391"/>
      <c r="F109" s="391"/>
      <c r="G109" s="391"/>
      <c r="H109" s="391"/>
      <c r="I109" s="391"/>
      <c r="J109" s="1010"/>
      <c r="K109" s="978"/>
      <c r="L109" s="391"/>
      <c r="M109" s="978"/>
      <c r="N109" s="391"/>
      <c r="O109" s="391"/>
      <c r="P109" s="391"/>
      <c r="Q109" s="391"/>
      <c r="R109" s="391"/>
    </row>
    <row r="110" spans="1:18">
      <c r="A110" s="978"/>
      <c r="B110" s="1009"/>
      <c r="C110" s="391"/>
      <c r="D110" s="391"/>
      <c r="E110" s="391"/>
      <c r="F110" s="391"/>
      <c r="G110" s="391"/>
      <c r="H110" s="391"/>
      <c r="I110" s="391"/>
      <c r="J110" s="1010"/>
      <c r="K110" s="978"/>
      <c r="L110" s="391"/>
      <c r="M110" s="978"/>
      <c r="N110" s="391"/>
      <c r="O110" s="391"/>
      <c r="P110" s="391"/>
      <c r="Q110" s="391"/>
      <c r="R110" s="391"/>
    </row>
    <row r="111" spans="1:18">
      <c r="A111" s="978"/>
      <c r="B111" s="1009"/>
      <c r="C111" s="391"/>
      <c r="D111" s="391"/>
      <c r="E111" s="391"/>
      <c r="F111" s="391"/>
      <c r="G111" s="391"/>
      <c r="H111" s="391"/>
      <c r="I111" s="391"/>
      <c r="J111" s="1010"/>
      <c r="K111" s="978"/>
      <c r="L111" s="391"/>
      <c r="M111" s="978"/>
      <c r="N111" s="391"/>
      <c r="O111" s="391"/>
      <c r="P111" s="391"/>
      <c r="Q111" s="391"/>
      <c r="R111" s="391"/>
    </row>
    <row r="112" spans="1:18">
      <c r="A112" s="978"/>
      <c r="B112" s="1009"/>
      <c r="C112" s="391"/>
      <c r="D112" s="391"/>
      <c r="E112" s="391"/>
      <c r="F112" s="391"/>
      <c r="G112" s="391"/>
      <c r="H112" s="391"/>
      <c r="I112" s="391"/>
      <c r="J112" s="1010"/>
      <c r="K112" s="978"/>
      <c r="L112" s="391"/>
      <c r="M112" s="978"/>
      <c r="N112" s="391"/>
      <c r="O112" s="391"/>
      <c r="P112" s="391"/>
      <c r="Q112" s="391"/>
      <c r="R112" s="391"/>
    </row>
    <row r="113" spans="1:18">
      <c r="A113" s="978"/>
      <c r="B113" s="1009"/>
      <c r="C113" s="391"/>
      <c r="D113" s="391"/>
      <c r="E113" s="391"/>
      <c r="F113" s="391"/>
      <c r="G113" s="391"/>
      <c r="H113" s="391"/>
      <c r="I113" s="391"/>
      <c r="J113" s="1010"/>
      <c r="K113" s="978"/>
      <c r="L113" s="391"/>
      <c r="M113" s="978"/>
      <c r="N113" s="391"/>
      <c r="O113" s="391"/>
      <c r="P113" s="391"/>
      <c r="Q113" s="391"/>
      <c r="R113" s="391"/>
    </row>
    <row r="114" spans="1:18">
      <c r="A114" s="978"/>
      <c r="B114" s="1009"/>
      <c r="C114" s="391"/>
      <c r="D114" s="391"/>
      <c r="E114" s="391"/>
      <c r="F114" s="391"/>
      <c r="G114" s="391"/>
      <c r="H114" s="391"/>
      <c r="I114" s="391"/>
      <c r="J114" s="1010"/>
      <c r="K114" s="978"/>
      <c r="L114" s="391"/>
      <c r="M114" s="978"/>
      <c r="N114" s="391"/>
      <c r="O114" s="391"/>
      <c r="P114" s="391"/>
      <c r="Q114" s="391"/>
      <c r="R114" s="391"/>
    </row>
    <row r="115" spans="1:18">
      <c r="A115" s="978"/>
      <c r="B115" s="1009"/>
      <c r="C115" s="391"/>
      <c r="D115" s="391"/>
      <c r="E115" s="391"/>
      <c r="F115" s="391"/>
      <c r="G115" s="391"/>
      <c r="H115" s="391"/>
      <c r="I115" s="391"/>
      <c r="J115" s="1010"/>
      <c r="K115" s="978"/>
      <c r="L115" s="391"/>
      <c r="M115" s="978"/>
      <c r="N115" s="391"/>
      <c r="O115" s="391"/>
      <c r="P115" s="391"/>
      <c r="Q115" s="391"/>
      <c r="R115" s="391"/>
    </row>
    <row r="116" spans="1:18">
      <c r="A116" s="978"/>
      <c r="B116" s="1009"/>
      <c r="C116" s="391"/>
      <c r="D116" s="391"/>
      <c r="E116" s="391"/>
      <c r="F116" s="391"/>
      <c r="G116" s="391"/>
      <c r="H116" s="391"/>
      <c r="I116" s="391"/>
      <c r="J116" s="1010"/>
      <c r="K116" s="978"/>
      <c r="L116" s="391"/>
      <c r="M116" s="978"/>
      <c r="N116" s="391"/>
      <c r="O116" s="391"/>
      <c r="P116" s="391"/>
      <c r="Q116" s="391"/>
      <c r="R116" s="391"/>
    </row>
    <row r="117" spans="1:18">
      <c r="A117" s="978"/>
      <c r="B117" s="1009"/>
      <c r="C117" s="391"/>
      <c r="D117" s="391"/>
      <c r="E117" s="391"/>
      <c r="F117" s="391"/>
      <c r="G117" s="391"/>
      <c r="H117" s="391"/>
      <c r="I117" s="391"/>
      <c r="J117" s="1010"/>
      <c r="K117" s="978"/>
      <c r="L117" s="391"/>
      <c r="M117" s="978"/>
      <c r="N117" s="391"/>
      <c r="O117" s="391"/>
      <c r="P117" s="391"/>
      <c r="Q117" s="391"/>
      <c r="R117" s="391"/>
    </row>
    <row r="118" spans="1:18">
      <c r="A118" s="978"/>
      <c r="B118" s="1009"/>
      <c r="C118" s="391"/>
      <c r="D118" s="391"/>
      <c r="E118" s="391"/>
      <c r="F118" s="391"/>
      <c r="G118" s="391"/>
      <c r="H118" s="391"/>
      <c r="I118" s="391"/>
      <c r="J118" s="1010"/>
      <c r="K118" s="978"/>
      <c r="L118" s="391"/>
      <c r="M118" s="978"/>
      <c r="N118" s="391"/>
      <c r="O118" s="391"/>
      <c r="P118" s="391"/>
      <c r="Q118" s="391"/>
      <c r="R118" s="391"/>
    </row>
    <row r="119" spans="1:18">
      <c r="A119" s="978"/>
      <c r="B119" s="1009"/>
      <c r="C119" s="391"/>
      <c r="D119" s="391"/>
      <c r="E119" s="391"/>
      <c r="F119" s="391"/>
      <c r="G119" s="391"/>
      <c r="H119" s="391"/>
      <c r="I119" s="391"/>
      <c r="J119" s="1010"/>
      <c r="K119" s="978"/>
      <c r="L119" s="391"/>
      <c r="M119" s="978"/>
      <c r="N119" s="391"/>
      <c r="O119" s="391"/>
      <c r="P119" s="391"/>
      <c r="Q119" s="391"/>
      <c r="R119" s="391"/>
    </row>
    <row r="120" spans="1:18">
      <c r="A120" s="978"/>
      <c r="B120" s="1009"/>
      <c r="C120" s="391"/>
      <c r="D120" s="391"/>
      <c r="E120" s="391"/>
      <c r="F120" s="391"/>
      <c r="G120" s="391"/>
      <c r="H120" s="391"/>
      <c r="I120" s="391"/>
      <c r="J120" s="1010"/>
      <c r="K120" s="978"/>
      <c r="L120" s="391"/>
      <c r="M120" s="978"/>
      <c r="N120" s="391"/>
      <c r="O120" s="391"/>
      <c r="P120" s="391"/>
      <c r="Q120" s="391"/>
      <c r="R120" s="391"/>
    </row>
    <row r="121" spans="1:18">
      <c r="A121" s="978"/>
      <c r="B121" s="1009"/>
      <c r="C121" s="391"/>
      <c r="D121" s="391"/>
      <c r="E121" s="391"/>
      <c r="F121" s="391"/>
      <c r="G121" s="391"/>
      <c r="H121" s="391"/>
      <c r="I121" s="391"/>
      <c r="J121" s="1010"/>
      <c r="K121" s="978"/>
      <c r="L121" s="391"/>
      <c r="M121" s="978"/>
      <c r="N121" s="391"/>
      <c r="O121" s="391"/>
      <c r="P121" s="391"/>
      <c r="Q121" s="391"/>
      <c r="R121" s="391"/>
    </row>
    <row r="122" spans="1:18">
      <c r="A122" s="978"/>
      <c r="B122" s="1009"/>
      <c r="C122" s="391"/>
      <c r="D122" s="391"/>
      <c r="E122" s="391"/>
      <c r="F122" s="391"/>
      <c r="G122" s="391"/>
      <c r="H122" s="391"/>
      <c r="I122" s="391"/>
      <c r="J122" s="1010"/>
      <c r="K122" s="978"/>
      <c r="L122" s="391"/>
      <c r="M122" s="978"/>
      <c r="N122" s="391"/>
      <c r="O122" s="391"/>
      <c r="P122" s="391"/>
      <c r="Q122" s="391"/>
      <c r="R122" s="391"/>
    </row>
    <row r="123" spans="1:18">
      <c r="A123" s="978"/>
      <c r="B123" s="1009"/>
      <c r="C123" s="391"/>
      <c r="D123" s="391"/>
      <c r="E123" s="391"/>
      <c r="F123" s="391"/>
      <c r="G123" s="391"/>
      <c r="H123" s="391"/>
      <c r="I123" s="391"/>
      <c r="J123" s="1010"/>
      <c r="K123" s="978"/>
      <c r="L123" s="391"/>
      <c r="M123" s="978"/>
      <c r="N123" s="391"/>
      <c r="O123" s="391"/>
      <c r="P123" s="391"/>
      <c r="Q123" s="391"/>
      <c r="R123" s="391"/>
    </row>
    <row r="124" spans="1:18">
      <c r="A124" s="978"/>
      <c r="B124" s="1009"/>
      <c r="C124" s="391"/>
      <c r="D124" s="391"/>
      <c r="E124" s="391"/>
      <c r="F124" s="391"/>
      <c r="G124" s="391"/>
      <c r="H124" s="391"/>
      <c r="I124" s="391"/>
      <c r="J124" s="1010"/>
      <c r="K124" s="978"/>
      <c r="L124" s="391"/>
      <c r="M124" s="978"/>
      <c r="N124" s="391"/>
      <c r="O124" s="391"/>
      <c r="P124" s="391"/>
      <c r="Q124" s="391"/>
      <c r="R124" s="391"/>
    </row>
    <row r="125" spans="1:18">
      <c r="A125" s="978"/>
      <c r="B125" s="1009"/>
      <c r="C125" s="391"/>
      <c r="D125" s="391"/>
      <c r="E125" s="391"/>
      <c r="F125" s="391"/>
      <c r="G125" s="391"/>
      <c r="H125" s="391"/>
      <c r="I125" s="391"/>
      <c r="J125" s="1010"/>
      <c r="K125" s="978"/>
      <c r="L125" s="391"/>
      <c r="M125" s="978"/>
      <c r="N125" s="391"/>
      <c r="O125" s="391"/>
      <c r="P125" s="391"/>
      <c r="Q125" s="391"/>
      <c r="R125" s="391"/>
    </row>
    <row r="126" spans="1:18">
      <c r="A126" s="978"/>
      <c r="B126" s="1009"/>
      <c r="C126" s="391"/>
      <c r="D126" s="391"/>
      <c r="E126" s="391"/>
      <c r="F126" s="391"/>
      <c r="G126" s="391"/>
      <c r="H126" s="391"/>
      <c r="I126" s="391"/>
      <c r="J126" s="1010"/>
      <c r="K126" s="978"/>
      <c r="L126" s="391"/>
      <c r="M126" s="978"/>
      <c r="N126" s="391"/>
      <c r="O126" s="391"/>
      <c r="P126" s="391"/>
      <c r="Q126" s="391"/>
      <c r="R126" s="391"/>
    </row>
    <row r="127" spans="1:18">
      <c r="A127" s="978"/>
      <c r="B127" s="1009"/>
      <c r="C127" s="391"/>
      <c r="D127" s="391"/>
      <c r="E127" s="391"/>
      <c r="F127" s="391"/>
      <c r="G127" s="391"/>
      <c r="H127" s="391"/>
      <c r="I127" s="391"/>
      <c r="J127" s="1010"/>
      <c r="K127" s="978"/>
      <c r="L127" s="391"/>
      <c r="M127" s="978"/>
      <c r="N127" s="391"/>
      <c r="O127" s="391"/>
      <c r="P127" s="391"/>
      <c r="Q127" s="391"/>
      <c r="R127" s="391"/>
    </row>
    <row r="128" spans="1:18">
      <c r="A128" s="978"/>
      <c r="B128" s="1009"/>
      <c r="C128" s="391"/>
      <c r="D128" s="391"/>
      <c r="E128" s="391"/>
      <c r="F128" s="391"/>
      <c r="G128" s="391"/>
      <c r="H128" s="391"/>
      <c r="I128" s="391"/>
      <c r="J128" s="1010"/>
      <c r="K128" s="978"/>
      <c r="L128" s="391"/>
      <c r="M128" s="978"/>
      <c r="N128" s="391"/>
      <c r="O128" s="391"/>
      <c r="P128" s="391"/>
      <c r="Q128" s="391"/>
      <c r="R128" s="391"/>
    </row>
    <row r="129" spans="1:18">
      <c r="A129" s="978"/>
      <c r="B129" s="1009"/>
      <c r="C129" s="391"/>
      <c r="D129" s="391"/>
      <c r="E129" s="391"/>
      <c r="F129" s="391"/>
      <c r="G129" s="391"/>
      <c r="H129" s="391"/>
      <c r="I129" s="391"/>
      <c r="J129" s="1010"/>
      <c r="K129" s="978"/>
      <c r="L129" s="391"/>
      <c r="M129" s="978"/>
      <c r="N129" s="391"/>
      <c r="O129" s="391"/>
      <c r="P129" s="391"/>
      <c r="Q129" s="391"/>
      <c r="R129" s="391"/>
    </row>
    <row r="130" spans="1:18">
      <c r="A130" s="978"/>
      <c r="B130" s="1009"/>
      <c r="C130" s="391"/>
      <c r="D130" s="391"/>
      <c r="E130" s="391"/>
      <c r="F130" s="391"/>
      <c r="G130" s="391"/>
      <c r="H130" s="391"/>
      <c r="I130" s="391"/>
      <c r="J130" s="1010"/>
      <c r="K130" s="978"/>
      <c r="L130" s="391"/>
      <c r="M130" s="978"/>
      <c r="N130" s="391"/>
      <c r="O130" s="391"/>
      <c r="P130" s="391"/>
      <c r="Q130" s="391"/>
      <c r="R130" s="391"/>
    </row>
    <row r="131" spans="1:18">
      <c r="A131" s="978"/>
      <c r="B131" s="1009"/>
      <c r="C131" s="391"/>
      <c r="D131" s="391"/>
      <c r="E131" s="391"/>
      <c r="F131" s="391"/>
      <c r="G131" s="391"/>
      <c r="H131" s="391"/>
      <c r="I131" s="391"/>
      <c r="J131" s="1010"/>
      <c r="K131" s="978"/>
      <c r="L131" s="391"/>
      <c r="M131" s="978"/>
      <c r="N131" s="391"/>
      <c r="O131" s="391"/>
      <c r="P131" s="391"/>
      <c r="Q131" s="391"/>
      <c r="R131" s="391"/>
    </row>
    <row r="132" spans="1:18">
      <c r="A132" s="978"/>
      <c r="B132" s="1009"/>
      <c r="C132" s="391"/>
      <c r="D132" s="391"/>
      <c r="E132" s="391"/>
      <c r="F132" s="391"/>
      <c r="G132" s="391"/>
      <c r="H132" s="391"/>
      <c r="I132" s="391"/>
      <c r="J132" s="1010"/>
      <c r="K132" s="978"/>
      <c r="L132" s="391"/>
      <c r="M132" s="978"/>
      <c r="N132" s="391"/>
      <c r="O132" s="391"/>
      <c r="P132" s="391"/>
      <c r="Q132" s="391"/>
      <c r="R132" s="391"/>
    </row>
    <row r="133" spans="1:18">
      <c r="A133" s="978"/>
      <c r="B133" s="1009"/>
      <c r="C133" s="391"/>
      <c r="D133" s="391"/>
      <c r="E133" s="391"/>
      <c r="F133" s="391"/>
      <c r="G133" s="391"/>
      <c r="H133" s="391"/>
      <c r="I133" s="391"/>
      <c r="J133" s="1010"/>
      <c r="K133" s="978"/>
      <c r="L133" s="391"/>
      <c r="M133" s="978"/>
      <c r="N133" s="391"/>
      <c r="O133" s="391"/>
      <c r="P133" s="391"/>
      <c r="Q133" s="391"/>
      <c r="R133" s="391"/>
    </row>
    <row r="134" spans="1:18">
      <c r="A134" s="978"/>
      <c r="B134" s="1009"/>
      <c r="C134" s="391"/>
      <c r="D134" s="391"/>
      <c r="E134" s="391"/>
      <c r="F134" s="391"/>
      <c r="G134" s="391"/>
      <c r="H134" s="391"/>
      <c r="I134" s="391"/>
      <c r="J134" s="1010"/>
      <c r="K134" s="978"/>
      <c r="L134" s="391"/>
      <c r="M134" s="978"/>
      <c r="N134" s="391"/>
      <c r="O134" s="391"/>
      <c r="P134" s="391"/>
      <c r="Q134" s="391"/>
      <c r="R134" s="391"/>
    </row>
    <row r="135" spans="1:18">
      <c r="A135" s="978"/>
      <c r="B135" s="1009"/>
      <c r="C135" s="391"/>
      <c r="D135" s="391"/>
      <c r="E135" s="391"/>
      <c r="F135" s="391"/>
      <c r="G135" s="391"/>
      <c r="H135" s="391"/>
      <c r="I135" s="391"/>
      <c r="J135" s="1010"/>
      <c r="K135" s="978"/>
      <c r="L135" s="391"/>
      <c r="M135" s="978"/>
      <c r="N135" s="391"/>
      <c r="O135" s="391"/>
      <c r="P135" s="391"/>
      <c r="Q135" s="391"/>
      <c r="R135" s="391"/>
    </row>
    <row r="136" spans="1:18">
      <c r="A136" s="978"/>
      <c r="B136" s="1009"/>
      <c r="C136" s="391"/>
      <c r="D136" s="391"/>
      <c r="E136" s="391"/>
      <c r="F136" s="391"/>
      <c r="G136" s="391"/>
      <c r="H136" s="391"/>
      <c r="I136" s="391"/>
      <c r="J136" s="1010"/>
      <c r="K136" s="978"/>
      <c r="L136" s="391"/>
      <c r="M136" s="978"/>
      <c r="N136" s="391"/>
      <c r="O136" s="391"/>
      <c r="P136" s="391"/>
      <c r="Q136" s="391"/>
      <c r="R136" s="391"/>
    </row>
    <row r="137" spans="1:18">
      <c r="A137" s="978"/>
      <c r="B137" s="1009"/>
      <c r="C137" s="391"/>
      <c r="D137" s="391"/>
      <c r="E137" s="391"/>
      <c r="F137" s="391"/>
      <c r="G137" s="391"/>
      <c r="H137" s="391"/>
      <c r="I137" s="391"/>
      <c r="J137" s="1010"/>
      <c r="K137" s="978"/>
      <c r="L137" s="391"/>
      <c r="M137" s="978"/>
      <c r="N137" s="391"/>
      <c r="O137" s="391"/>
      <c r="P137" s="391"/>
      <c r="Q137" s="391"/>
      <c r="R137" s="391"/>
    </row>
    <row r="138" spans="1:18">
      <c r="A138" s="978"/>
      <c r="B138" s="1009"/>
      <c r="C138" s="391"/>
      <c r="D138" s="391"/>
      <c r="E138" s="391"/>
      <c r="F138" s="391"/>
      <c r="G138" s="391"/>
      <c r="H138" s="391"/>
      <c r="I138" s="391"/>
      <c r="J138" s="1010"/>
      <c r="K138" s="978"/>
      <c r="L138" s="391"/>
      <c r="M138" s="978"/>
      <c r="N138" s="391"/>
      <c r="O138" s="391"/>
      <c r="P138" s="391"/>
      <c r="Q138" s="391"/>
      <c r="R138" s="391"/>
    </row>
    <row r="139" spans="1:18">
      <c r="A139" s="978"/>
      <c r="B139" s="1009"/>
      <c r="C139" s="391"/>
      <c r="D139" s="391"/>
      <c r="E139" s="391"/>
      <c r="F139" s="391"/>
      <c r="G139" s="391"/>
      <c r="H139" s="391"/>
      <c r="I139" s="391"/>
      <c r="J139" s="1010"/>
      <c r="K139" s="978"/>
      <c r="L139" s="391"/>
      <c r="M139" s="978"/>
      <c r="N139" s="391"/>
      <c r="O139" s="391"/>
      <c r="P139" s="391"/>
      <c r="Q139" s="391"/>
      <c r="R139" s="391"/>
    </row>
    <row r="140" spans="1:18">
      <c r="A140" s="978"/>
      <c r="B140" s="1009"/>
      <c r="C140" s="391"/>
      <c r="D140" s="391"/>
      <c r="E140" s="391"/>
      <c r="F140" s="391"/>
      <c r="G140" s="391"/>
      <c r="H140" s="391"/>
      <c r="I140" s="391"/>
      <c r="J140" s="1010"/>
      <c r="K140" s="978"/>
      <c r="L140" s="391"/>
      <c r="M140" s="978"/>
      <c r="N140" s="391"/>
      <c r="O140" s="391"/>
      <c r="P140" s="391"/>
      <c r="Q140" s="391"/>
      <c r="R140" s="391"/>
    </row>
    <row r="141" spans="1:18">
      <c r="A141" s="978"/>
      <c r="B141" s="1009"/>
      <c r="C141" s="391"/>
      <c r="D141" s="391"/>
      <c r="E141" s="391"/>
      <c r="F141" s="391"/>
      <c r="G141" s="391"/>
      <c r="H141" s="391"/>
      <c r="I141" s="391"/>
      <c r="J141" s="1010"/>
      <c r="K141" s="978"/>
      <c r="L141" s="391"/>
      <c r="M141" s="978"/>
      <c r="N141" s="391"/>
      <c r="O141" s="391"/>
      <c r="P141" s="391"/>
      <c r="Q141" s="391"/>
      <c r="R141" s="391"/>
    </row>
    <row r="142" spans="1:18">
      <c r="A142" s="978"/>
      <c r="B142" s="1009"/>
      <c r="C142" s="391"/>
      <c r="D142" s="391"/>
      <c r="E142" s="391"/>
      <c r="F142" s="391"/>
      <c r="G142" s="391"/>
      <c r="H142" s="391"/>
      <c r="I142" s="391"/>
      <c r="J142" s="1010"/>
      <c r="K142" s="978"/>
      <c r="L142" s="391"/>
      <c r="M142" s="978"/>
      <c r="N142" s="391"/>
      <c r="O142" s="391"/>
      <c r="P142" s="391"/>
      <c r="Q142" s="391"/>
      <c r="R142" s="391"/>
    </row>
    <row r="143" spans="1:18">
      <c r="A143" s="978"/>
      <c r="B143" s="1009"/>
      <c r="C143" s="391"/>
      <c r="D143" s="391"/>
      <c r="E143" s="391"/>
      <c r="F143" s="391"/>
      <c r="G143" s="391"/>
      <c r="H143" s="391"/>
      <c r="I143" s="391"/>
      <c r="J143" s="1010"/>
      <c r="K143" s="978"/>
      <c r="L143" s="391"/>
      <c r="M143" s="978"/>
      <c r="N143" s="391"/>
      <c r="O143" s="391"/>
      <c r="P143" s="391"/>
      <c r="Q143" s="391"/>
      <c r="R143" s="391"/>
    </row>
    <row r="144" spans="1:18">
      <c r="A144" s="978"/>
      <c r="B144" s="1009"/>
      <c r="C144" s="391"/>
      <c r="D144" s="391"/>
      <c r="E144" s="391"/>
      <c r="F144" s="391"/>
      <c r="G144" s="391"/>
      <c r="H144" s="391"/>
      <c r="I144" s="391"/>
      <c r="J144" s="1010"/>
      <c r="K144" s="978"/>
      <c r="L144" s="391"/>
      <c r="M144" s="978"/>
      <c r="N144" s="391"/>
      <c r="O144" s="391"/>
      <c r="P144" s="391"/>
      <c r="Q144" s="391"/>
      <c r="R144" s="391"/>
    </row>
    <row r="145" spans="1:18">
      <c r="A145" s="978"/>
      <c r="B145" s="1009"/>
      <c r="C145" s="391"/>
      <c r="D145" s="391"/>
      <c r="E145" s="391"/>
      <c r="F145" s="391"/>
      <c r="G145" s="391"/>
      <c r="H145" s="391"/>
      <c r="I145" s="391"/>
      <c r="J145" s="1010"/>
      <c r="K145" s="978"/>
      <c r="L145" s="391"/>
      <c r="M145" s="978"/>
      <c r="N145" s="391"/>
      <c r="O145" s="391"/>
      <c r="P145" s="391"/>
      <c r="Q145" s="391"/>
      <c r="R145" s="391"/>
    </row>
    <row r="146" spans="1:18">
      <c r="A146" s="978"/>
      <c r="B146" s="1009"/>
      <c r="C146" s="391"/>
      <c r="D146" s="391"/>
      <c r="E146" s="391"/>
      <c r="F146" s="391"/>
      <c r="G146" s="391"/>
      <c r="H146" s="391"/>
      <c r="I146" s="391"/>
      <c r="J146" s="1010"/>
      <c r="K146" s="978"/>
      <c r="L146" s="391"/>
      <c r="M146" s="978"/>
      <c r="N146" s="391"/>
      <c r="O146" s="391"/>
      <c r="P146" s="391"/>
      <c r="Q146" s="391"/>
      <c r="R146" s="391"/>
    </row>
    <row r="147" spans="1:18">
      <c r="A147" s="978"/>
      <c r="B147" s="1009"/>
      <c r="C147" s="391"/>
      <c r="D147" s="391"/>
      <c r="E147" s="391"/>
      <c r="F147" s="391"/>
      <c r="G147" s="391"/>
      <c r="H147" s="391"/>
      <c r="I147" s="391"/>
      <c r="J147" s="1010"/>
      <c r="K147" s="978"/>
      <c r="L147" s="391"/>
      <c r="M147" s="978"/>
      <c r="N147" s="391"/>
      <c r="O147" s="391"/>
      <c r="P147" s="391"/>
      <c r="Q147" s="391"/>
      <c r="R147" s="391"/>
    </row>
    <row r="148" spans="1:18">
      <c r="A148" s="978"/>
      <c r="B148" s="1009"/>
      <c r="C148" s="391"/>
      <c r="D148" s="391"/>
      <c r="E148" s="391"/>
      <c r="F148" s="391"/>
      <c r="G148" s="391"/>
      <c r="H148" s="391"/>
      <c r="I148" s="391"/>
      <c r="J148" s="1010"/>
      <c r="K148" s="978"/>
      <c r="L148" s="391"/>
      <c r="M148" s="978"/>
      <c r="N148" s="391"/>
      <c r="O148" s="391"/>
      <c r="P148" s="391"/>
      <c r="Q148" s="391"/>
      <c r="R148" s="391"/>
    </row>
    <row r="149" spans="1:18">
      <c r="A149" s="978"/>
      <c r="B149" s="1009"/>
      <c r="C149" s="391"/>
      <c r="D149" s="391"/>
      <c r="E149" s="391"/>
      <c r="F149" s="391"/>
      <c r="G149" s="391"/>
      <c r="H149" s="391"/>
      <c r="I149" s="391"/>
      <c r="J149" s="1010"/>
      <c r="K149" s="978"/>
      <c r="L149" s="391"/>
      <c r="M149" s="978"/>
      <c r="N149" s="391"/>
      <c r="O149" s="391"/>
      <c r="P149" s="391"/>
      <c r="Q149" s="391"/>
      <c r="R149" s="391"/>
    </row>
    <row r="150" spans="1:18">
      <c r="A150" s="978"/>
      <c r="B150" s="1009"/>
      <c r="C150" s="391"/>
      <c r="D150" s="391"/>
      <c r="E150" s="391"/>
      <c r="F150" s="391"/>
      <c r="G150" s="391"/>
      <c r="H150" s="391"/>
      <c r="I150" s="391"/>
      <c r="J150" s="1010"/>
      <c r="K150" s="978"/>
      <c r="L150" s="391"/>
      <c r="M150" s="978"/>
      <c r="N150" s="391"/>
      <c r="O150" s="391"/>
      <c r="P150" s="391"/>
      <c r="Q150" s="391"/>
      <c r="R150" s="391"/>
    </row>
    <row r="151" spans="1:18">
      <c r="A151" s="978"/>
      <c r="B151" s="1009"/>
      <c r="C151" s="391"/>
      <c r="D151" s="391"/>
      <c r="E151" s="391"/>
      <c r="F151" s="391"/>
      <c r="G151" s="391"/>
      <c r="H151" s="391"/>
      <c r="I151" s="391"/>
      <c r="J151" s="1010"/>
      <c r="K151" s="978"/>
      <c r="L151" s="391"/>
      <c r="M151" s="978"/>
      <c r="N151" s="391"/>
      <c r="O151" s="391"/>
      <c r="P151" s="391"/>
      <c r="Q151" s="391"/>
      <c r="R151" s="391"/>
    </row>
    <row r="152" spans="1:18">
      <c r="A152" s="978"/>
      <c r="B152" s="1009"/>
      <c r="C152" s="391"/>
      <c r="D152" s="391"/>
      <c r="E152" s="391"/>
      <c r="F152" s="391"/>
      <c r="G152" s="391"/>
      <c r="H152" s="391"/>
      <c r="I152" s="391"/>
      <c r="J152" s="1010"/>
      <c r="K152" s="978"/>
      <c r="L152" s="391"/>
      <c r="M152" s="978"/>
      <c r="N152" s="391"/>
      <c r="O152" s="391"/>
      <c r="P152" s="391"/>
      <c r="Q152" s="391"/>
      <c r="R152" s="391"/>
    </row>
    <row r="153" spans="1:18">
      <c r="A153" s="978"/>
      <c r="B153" s="1009"/>
      <c r="C153" s="391"/>
      <c r="D153" s="391"/>
      <c r="E153" s="391"/>
      <c r="F153" s="391"/>
      <c r="G153" s="391"/>
      <c r="H153" s="391"/>
      <c r="I153" s="391"/>
      <c r="J153" s="1010"/>
      <c r="K153" s="978"/>
      <c r="L153" s="391"/>
      <c r="M153" s="978"/>
      <c r="N153" s="391"/>
      <c r="O153" s="391"/>
      <c r="P153" s="391"/>
      <c r="Q153" s="391"/>
      <c r="R153" s="391"/>
    </row>
    <row r="154" spans="1:18">
      <c r="A154" s="978"/>
      <c r="B154" s="1009"/>
      <c r="C154" s="391"/>
      <c r="D154" s="391"/>
      <c r="E154" s="391"/>
      <c r="F154" s="391"/>
      <c r="G154" s="391"/>
      <c r="H154" s="391"/>
      <c r="I154" s="391"/>
      <c r="J154" s="1010"/>
      <c r="K154" s="978"/>
      <c r="L154" s="391"/>
      <c r="M154" s="978"/>
      <c r="N154" s="391"/>
      <c r="O154" s="391"/>
      <c r="P154" s="391"/>
      <c r="Q154" s="391"/>
      <c r="R154" s="391"/>
    </row>
    <row r="155" spans="1:18">
      <c r="A155" s="978"/>
      <c r="B155" s="1009"/>
      <c r="C155" s="391"/>
      <c r="D155" s="391"/>
      <c r="E155" s="391"/>
      <c r="F155" s="391"/>
      <c r="G155" s="391"/>
      <c r="H155" s="391"/>
      <c r="I155" s="391"/>
      <c r="J155" s="1010"/>
      <c r="K155" s="978"/>
      <c r="L155" s="391"/>
      <c r="M155" s="978"/>
      <c r="N155" s="391"/>
      <c r="O155" s="391"/>
      <c r="P155" s="391"/>
      <c r="Q155" s="391"/>
      <c r="R155" s="391"/>
    </row>
    <row r="156" spans="1:18">
      <c r="A156" s="978"/>
      <c r="B156" s="1009"/>
      <c r="C156" s="391"/>
      <c r="D156" s="391"/>
      <c r="E156" s="391"/>
      <c r="F156" s="391"/>
      <c r="G156" s="391"/>
      <c r="H156" s="391"/>
      <c r="I156" s="391"/>
      <c r="J156" s="1010"/>
      <c r="K156" s="978"/>
      <c r="L156" s="391"/>
      <c r="M156" s="978"/>
      <c r="N156" s="391"/>
      <c r="O156" s="391"/>
      <c r="P156" s="391"/>
      <c r="Q156" s="391"/>
      <c r="R156" s="391"/>
    </row>
    <row r="157" spans="1:18">
      <c r="A157" s="978"/>
      <c r="B157" s="1009"/>
      <c r="C157" s="391"/>
      <c r="D157" s="391"/>
      <c r="E157" s="391"/>
      <c r="F157" s="391"/>
      <c r="G157" s="391"/>
      <c r="H157" s="391"/>
      <c r="I157" s="391"/>
      <c r="J157" s="1010"/>
      <c r="K157" s="978"/>
      <c r="L157" s="391"/>
      <c r="M157" s="978"/>
      <c r="N157" s="391"/>
      <c r="O157" s="391"/>
      <c r="P157" s="391"/>
      <c r="Q157" s="391"/>
      <c r="R157" s="391"/>
    </row>
    <row r="158" spans="1:18">
      <c r="A158" s="978"/>
      <c r="B158" s="1009"/>
      <c r="C158" s="391"/>
      <c r="D158" s="391"/>
      <c r="E158" s="391"/>
      <c r="F158" s="391"/>
      <c r="G158" s="391"/>
      <c r="H158" s="391"/>
      <c r="I158" s="391"/>
      <c r="J158" s="1010"/>
      <c r="K158" s="978"/>
      <c r="L158" s="391"/>
      <c r="M158" s="978"/>
      <c r="N158" s="391"/>
      <c r="O158" s="391"/>
      <c r="P158" s="391"/>
      <c r="Q158" s="391"/>
      <c r="R158" s="391"/>
    </row>
    <row r="159" spans="1:18">
      <c r="A159" s="978"/>
      <c r="B159" s="1009"/>
      <c r="C159" s="391"/>
      <c r="D159" s="391"/>
      <c r="E159" s="391"/>
      <c r="F159" s="391"/>
      <c r="G159" s="391"/>
      <c r="H159" s="391"/>
      <c r="I159" s="391"/>
      <c r="J159" s="1010"/>
      <c r="K159" s="978"/>
      <c r="L159" s="391"/>
      <c r="M159" s="978"/>
      <c r="N159" s="391"/>
      <c r="O159" s="391"/>
      <c r="P159" s="391"/>
      <c r="Q159" s="391"/>
      <c r="R159" s="391"/>
    </row>
    <row r="160" spans="1:18">
      <c r="A160" s="978"/>
      <c r="B160" s="1009"/>
      <c r="C160" s="391"/>
      <c r="D160" s="391"/>
      <c r="E160" s="391"/>
      <c r="F160" s="391"/>
      <c r="G160" s="391"/>
      <c r="H160" s="391"/>
      <c r="I160" s="391"/>
      <c r="J160" s="1010"/>
      <c r="K160" s="978"/>
      <c r="L160" s="391"/>
      <c r="M160" s="978"/>
      <c r="N160" s="391"/>
      <c r="O160" s="391"/>
      <c r="P160" s="391"/>
      <c r="Q160" s="391"/>
      <c r="R160" s="391"/>
    </row>
    <row r="161" spans="1:18">
      <c r="A161" s="978"/>
      <c r="B161" s="1009"/>
      <c r="C161" s="391"/>
      <c r="D161" s="391"/>
      <c r="E161" s="391"/>
      <c r="F161" s="391"/>
      <c r="G161" s="391"/>
      <c r="H161" s="391"/>
      <c r="I161" s="391"/>
      <c r="J161" s="1010"/>
      <c r="K161" s="978"/>
      <c r="L161" s="391"/>
      <c r="M161" s="978"/>
      <c r="N161" s="391"/>
      <c r="O161" s="391"/>
      <c r="P161" s="391"/>
      <c r="Q161" s="391"/>
      <c r="R161" s="391"/>
    </row>
    <row r="162" spans="1:18">
      <c r="A162" s="978"/>
      <c r="B162" s="1009"/>
      <c r="C162" s="391"/>
      <c r="D162" s="391"/>
      <c r="E162" s="391"/>
      <c r="F162" s="391"/>
      <c r="G162" s="391"/>
      <c r="H162" s="391"/>
      <c r="I162" s="391"/>
      <c r="J162" s="1010"/>
      <c r="K162" s="978"/>
      <c r="L162" s="391"/>
      <c r="M162" s="978"/>
      <c r="N162" s="391"/>
      <c r="O162" s="391"/>
      <c r="P162" s="391"/>
      <c r="Q162" s="391"/>
      <c r="R162" s="391"/>
    </row>
    <row r="163" spans="1:18">
      <c r="A163" s="978"/>
      <c r="B163" s="1009"/>
      <c r="C163" s="391"/>
      <c r="D163" s="391"/>
      <c r="E163" s="391"/>
      <c r="F163" s="391"/>
      <c r="G163" s="391"/>
      <c r="H163" s="391"/>
      <c r="I163" s="391"/>
      <c r="J163" s="1010"/>
      <c r="K163" s="978"/>
      <c r="L163" s="391"/>
      <c r="M163" s="978"/>
      <c r="N163" s="391"/>
      <c r="O163" s="391"/>
      <c r="P163" s="391"/>
      <c r="Q163" s="391"/>
      <c r="R163" s="391"/>
    </row>
    <row r="164" spans="1:18">
      <c r="A164" s="978"/>
      <c r="B164" s="1009"/>
      <c r="C164" s="391"/>
      <c r="D164" s="391"/>
      <c r="E164" s="391"/>
      <c r="F164" s="391"/>
      <c r="G164" s="391"/>
      <c r="H164" s="391"/>
      <c r="I164" s="391"/>
      <c r="J164" s="1010"/>
      <c r="K164" s="978"/>
      <c r="L164" s="391"/>
      <c r="M164" s="978"/>
      <c r="N164" s="391"/>
      <c r="O164" s="391"/>
      <c r="P164" s="391"/>
      <c r="Q164" s="391"/>
      <c r="R164" s="391"/>
    </row>
    <row r="165" spans="1:18">
      <c r="A165" s="978"/>
      <c r="B165" s="1009"/>
      <c r="C165" s="391"/>
      <c r="D165" s="391"/>
      <c r="E165" s="391"/>
      <c r="F165" s="391"/>
      <c r="G165" s="391"/>
      <c r="H165" s="391"/>
      <c r="I165" s="391"/>
      <c r="J165" s="1010"/>
      <c r="K165" s="978"/>
      <c r="L165" s="391"/>
      <c r="M165" s="978"/>
      <c r="N165" s="391"/>
      <c r="O165" s="391"/>
      <c r="P165" s="391"/>
      <c r="Q165" s="391"/>
      <c r="R165" s="391"/>
    </row>
    <row r="166" spans="1:18">
      <c r="A166" s="978"/>
      <c r="B166" s="1009"/>
      <c r="C166" s="391"/>
      <c r="D166" s="391"/>
      <c r="E166" s="391"/>
      <c r="F166" s="391"/>
      <c r="G166" s="391"/>
      <c r="H166" s="391"/>
      <c r="I166" s="391"/>
      <c r="J166" s="1010"/>
      <c r="K166" s="978"/>
      <c r="L166" s="391"/>
      <c r="M166" s="978"/>
      <c r="N166" s="391"/>
      <c r="O166" s="391"/>
      <c r="P166" s="391"/>
      <c r="Q166" s="391"/>
      <c r="R166" s="391"/>
    </row>
    <row r="167" spans="1:18">
      <c r="A167" s="978"/>
      <c r="B167" s="1009"/>
      <c r="C167" s="391"/>
      <c r="D167" s="391"/>
      <c r="E167" s="391"/>
      <c r="F167" s="391"/>
      <c r="G167" s="391"/>
      <c r="H167" s="391"/>
      <c r="I167" s="391"/>
      <c r="J167" s="1010"/>
      <c r="K167" s="978"/>
      <c r="L167" s="391"/>
      <c r="M167" s="978"/>
      <c r="N167" s="391"/>
      <c r="O167" s="391"/>
      <c r="P167" s="391"/>
      <c r="Q167" s="391"/>
      <c r="R167" s="391"/>
    </row>
    <row r="168" spans="1:18">
      <c r="A168" s="978"/>
      <c r="B168" s="1009"/>
      <c r="C168" s="391"/>
      <c r="D168" s="391"/>
      <c r="E168" s="391"/>
      <c r="F168" s="391"/>
      <c r="G168" s="391"/>
      <c r="H168" s="391"/>
      <c r="I168" s="391"/>
      <c r="J168" s="1010"/>
      <c r="K168" s="978"/>
      <c r="L168" s="391"/>
      <c r="M168" s="978"/>
      <c r="N168" s="391"/>
      <c r="O168" s="391"/>
      <c r="P168" s="391"/>
      <c r="Q168" s="391"/>
      <c r="R168" s="391"/>
    </row>
    <row r="169" spans="1:18">
      <c r="A169" s="978"/>
      <c r="B169" s="1009"/>
      <c r="C169" s="391"/>
      <c r="D169" s="391"/>
      <c r="E169" s="391"/>
      <c r="F169" s="391"/>
      <c r="G169" s="391"/>
      <c r="H169" s="391"/>
      <c r="I169" s="391"/>
      <c r="J169" s="1010"/>
      <c r="K169" s="978"/>
      <c r="L169" s="391"/>
      <c r="M169" s="978"/>
      <c r="N169" s="391"/>
      <c r="O169" s="391"/>
      <c r="P169" s="391"/>
      <c r="Q169" s="391"/>
      <c r="R169" s="391"/>
    </row>
    <row r="170" spans="1:18">
      <c r="A170" s="978"/>
      <c r="B170" s="1009"/>
      <c r="C170" s="391"/>
      <c r="D170" s="391"/>
      <c r="E170" s="391"/>
      <c r="F170" s="391"/>
      <c r="G170" s="391"/>
      <c r="H170" s="391"/>
      <c r="I170" s="391"/>
      <c r="J170" s="1010"/>
      <c r="K170" s="978"/>
      <c r="L170" s="391"/>
      <c r="M170" s="978"/>
      <c r="N170" s="391"/>
      <c r="O170" s="391"/>
      <c r="P170" s="391"/>
      <c r="Q170" s="391"/>
      <c r="R170" s="391"/>
    </row>
    <row r="171" spans="1:18">
      <c r="A171" s="978"/>
      <c r="B171" s="1009"/>
      <c r="C171" s="391"/>
      <c r="D171" s="391"/>
      <c r="E171" s="391"/>
      <c r="F171" s="391"/>
      <c r="G171" s="391"/>
      <c r="H171" s="391"/>
      <c r="I171" s="391"/>
      <c r="J171" s="1010"/>
      <c r="K171" s="978"/>
      <c r="L171" s="391"/>
      <c r="M171" s="978"/>
      <c r="N171" s="391"/>
      <c r="O171" s="391"/>
      <c r="P171" s="391"/>
      <c r="Q171" s="391"/>
      <c r="R171" s="391"/>
    </row>
    <row r="172" spans="1:18">
      <c r="A172" s="978"/>
      <c r="B172" s="1009"/>
      <c r="C172" s="391"/>
      <c r="D172" s="391"/>
      <c r="E172" s="391"/>
      <c r="F172" s="391"/>
      <c r="G172" s="391"/>
      <c r="H172" s="391"/>
      <c r="I172" s="391"/>
      <c r="J172" s="1010"/>
      <c r="K172" s="978"/>
      <c r="L172" s="391"/>
      <c r="M172" s="978"/>
      <c r="N172" s="391"/>
      <c r="O172" s="391"/>
      <c r="P172" s="391"/>
      <c r="Q172" s="391"/>
      <c r="R172" s="391"/>
    </row>
    <row r="173" spans="1:18">
      <c r="A173" s="978"/>
      <c r="B173" s="1009"/>
      <c r="C173" s="391"/>
      <c r="D173" s="391"/>
      <c r="E173" s="391"/>
      <c r="F173" s="391"/>
      <c r="G173" s="391"/>
      <c r="H173" s="391"/>
      <c r="I173" s="391"/>
      <c r="J173" s="1010"/>
      <c r="K173" s="978"/>
      <c r="L173" s="391"/>
      <c r="M173" s="978"/>
      <c r="N173" s="391"/>
      <c r="O173" s="391"/>
      <c r="P173" s="391"/>
      <c r="Q173" s="391"/>
      <c r="R173" s="391"/>
    </row>
    <row r="174" spans="1:18">
      <c r="A174" s="978"/>
      <c r="B174" s="1009"/>
      <c r="C174" s="391"/>
      <c r="D174" s="391"/>
      <c r="E174" s="391"/>
      <c r="F174" s="391"/>
      <c r="G174" s="391"/>
      <c r="H174" s="391"/>
      <c r="I174" s="391"/>
      <c r="J174" s="1010"/>
      <c r="K174" s="978"/>
      <c r="L174" s="391"/>
      <c r="M174" s="978"/>
      <c r="N174" s="391"/>
      <c r="O174" s="391"/>
      <c r="P174" s="391"/>
      <c r="Q174" s="391"/>
      <c r="R174" s="391"/>
    </row>
    <row r="175" spans="1:18">
      <c r="A175" s="978"/>
      <c r="B175" s="1009"/>
      <c r="C175" s="391"/>
      <c r="D175" s="391"/>
      <c r="E175" s="391"/>
      <c r="F175" s="391"/>
      <c r="G175" s="391"/>
      <c r="H175" s="391"/>
      <c r="I175" s="391"/>
      <c r="J175" s="1010"/>
      <c r="K175" s="978"/>
      <c r="L175" s="391"/>
      <c r="M175" s="978"/>
      <c r="N175" s="391"/>
      <c r="O175" s="391"/>
      <c r="P175" s="391"/>
      <c r="Q175" s="391"/>
      <c r="R175" s="391"/>
    </row>
    <row r="176" spans="1:18">
      <c r="A176" s="978"/>
      <c r="B176" s="1009"/>
      <c r="C176" s="391"/>
      <c r="D176" s="391"/>
      <c r="E176" s="391"/>
      <c r="F176" s="391"/>
      <c r="G176" s="391"/>
      <c r="H176" s="391"/>
      <c r="I176" s="391"/>
      <c r="J176" s="1010"/>
      <c r="K176" s="978"/>
      <c r="L176" s="391"/>
      <c r="M176" s="978"/>
      <c r="N176" s="391"/>
      <c r="O176" s="391"/>
      <c r="P176" s="391"/>
      <c r="Q176" s="391"/>
      <c r="R176" s="391"/>
    </row>
    <row r="177" spans="1:18">
      <c r="A177" s="978"/>
      <c r="B177" s="1009"/>
      <c r="C177" s="391"/>
      <c r="D177" s="391"/>
      <c r="E177" s="391"/>
      <c r="F177" s="391"/>
      <c r="G177" s="391"/>
      <c r="H177" s="391"/>
      <c r="I177" s="391"/>
      <c r="J177" s="1010"/>
      <c r="K177" s="978"/>
      <c r="L177" s="391"/>
      <c r="M177" s="978"/>
      <c r="N177" s="391"/>
      <c r="O177" s="391"/>
      <c r="P177" s="391"/>
      <c r="Q177" s="391"/>
      <c r="R177" s="391"/>
    </row>
    <row r="178" spans="1:18">
      <c r="A178" s="978"/>
      <c r="B178" s="1009"/>
      <c r="C178" s="391"/>
      <c r="D178" s="391"/>
      <c r="E178" s="391"/>
      <c r="F178" s="391"/>
      <c r="G178" s="391"/>
      <c r="H178" s="391"/>
      <c r="I178" s="391"/>
      <c r="J178" s="1010"/>
      <c r="K178" s="978"/>
      <c r="L178" s="391"/>
      <c r="M178" s="978"/>
      <c r="N178" s="391"/>
      <c r="O178" s="391"/>
      <c r="P178" s="391"/>
      <c r="Q178" s="391"/>
      <c r="R178" s="391"/>
    </row>
    <row r="179" spans="1:18">
      <c r="A179" s="978"/>
      <c r="B179" s="1009"/>
      <c r="C179" s="391"/>
      <c r="D179" s="391"/>
      <c r="E179" s="391"/>
      <c r="F179" s="391"/>
      <c r="G179" s="391"/>
      <c r="H179" s="391"/>
      <c r="I179" s="391"/>
      <c r="J179" s="1010"/>
      <c r="K179" s="978"/>
      <c r="L179" s="391"/>
      <c r="M179" s="978"/>
      <c r="N179" s="391"/>
      <c r="O179" s="391"/>
      <c r="P179" s="391"/>
      <c r="Q179" s="391"/>
      <c r="R179" s="391"/>
    </row>
    <row r="180" spans="1:18">
      <c r="A180" s="978"/>
      <c r="B180" s="1009"/>
      <c r="C180" s="391"/>
      <c r="D180" s="391"/>
      <c r="E180" s="391"/>
      <c r="F180" s="391"/>
      <c r="G180" s="391"/>
      <c r="H180" s="391"/>
      <c r="I180" s="391"/>
      <c r="J180" s="1010"/>
      <c r="K180" s="978"/>
      <c r="L180" s="391"/>
      <c r="M180" s="978"/>
      <c r="N180" s="391"/>
      <c r="O180" s="391"/>
      <c r="P180" s="391"/>
      <c r="Q180" s="391"/>
      <c r="R180" s="391"/>
    </row>
    <row r="181" spans="1:18">
      <c r="A181" s="978"/>
      <c r="B181" s="1009"/>
      <c r="C181" s="391"/>
      <c r="D181" s="391"/>
      <c r="E181" s="391"/>
      <c r="F181" s="391"/>
      <c r="G181" s="391"/>
      <c r="H181" s="391"/>
      <c r="I181" s="391"/>
      <c r="J181" s="1010"/>
      <c r="K181" s="978"/>
      <c r="L181" s="391"/>
      <c r="M181" s="978"/>
      <c r="N181" s="391"/>
      <c r="O181" s="391"/>
      <c r="P181" s="391"/>
      <c r="Q181" s="391"/>
      <c r="R181" s="391"/>
    </row>
    <row r="182" spans="1:18">
      <c r="A182" s="978"/>
      <c r="B182" s="1009"/>
      <c r="C182" s="391"/>
      <c r="D182" s="391"/>
      <c r="E182" s="391"/>
      <c r="F182" s="391"/>
      <c r="G182" s="391"/>
      <c r="H182" s="391"/>
      <c r="I182" s="391"/>
      <c r="J182" s="1010"/>
      <c r="K182" s="978"/>
      <c r="L182" s="391"/>
      <c r="M182" s="978"/>
      <c r="N182" s="391"/>
      <c r="O182" s="391"/>
      <c r="P182" s="391"/>
      <c r="Q182" s="391"/>
      <c r="R182" s="391"/>
    </row>
    <row r="183" spans="1:18">
      <c r="A183" s="978"/>
      <c r="B183" s="1009"/>
      <c r="C183" s="391"/>
      <c r="D183" s="391"/>
      <c r="E183" s="391"/>
      <c r="F183" s="391"/>
      <c r="G183" s="391"/>
      <c r="H183" s="391"/>
      <c r="I183" s="391"/>
      <c r="J183" s="1010"/>
      <c r="K183" s="978"/>
      <c r="L183" s="391"/>
      <c r="M183" s="978"/>
      <c r="N183" s="391"/>
      <c r="O183" s="391"/>
      <c r="P183" s="391"/>
      <c r="Q183" s="391"/>
      <c r="R183" s="391"/>
    </row>
    <row r="184" spans="1:18">
      <c r="A184" s="978"/>
      <c r="B184" s="1009"/>
      <c r="C184" s="391"/>
      <c r="D184" s="391"/>
      <c r="E184" s="391"/>
      <c r="F184" s="391"/>
      <c r="G184" s="391"/>
      <c r="H184" s="391"/>
      <c r="I184" s="391"/>
      <c r="J184" s="1010"/>
      <c r="K184" s="978"/>
      <c r="L184" s="391"/>
      <c r="M184" s="978"/>
      <c r="N184" s="391"/>
      <c r="O184" s="391"/>
      <c r="P184" s="391"/>
      <c r="Q184" s="391"/>
      <c r="R184" s="391"/>
    </row>
    <row r="185" spans="1:18">
      <c r="A185" s="978"/>
      <c r="B185" s="1009"/>
      <c r="C185" s="391"/>
      <c r="D185" s="391"/>
      <c r="E185" s="391"/>
      <c r="F185" s="391"/>
      <c r="G185" s="391"/>
      <c r="H185" s="391"/>
      <c r="I185" s="391"/>
      <c r="J185" s="1010"/>
      <c r="K185" s="978"/>
      <c r="L185" s="391"/>
      <c r="M185" s="978"/>
      <c r="N185" s="391"/>
      <c r="O185" s="391"/>
      <c r="P185" s="391"/>
      <c r="Q185" s="391"/>
      <c r="R185" s="391"/>
    </row>
    <row r="186" spans="1:18">
      <c r="A186" s="978"/>
      <c r="B186" s="1009"/>
      <c r="C186" s="391"/>
      <c r="D186" s="391"/>
      <c r="E186" s="391"/>
      <c r="F186" s="391"/>
      <c r="G186" s="391"/>
      <c r="H186" s="391"/>
      <c r="I186" s="391"/>
      <c r="J186" s="1010"/>
      <c r="K186" s="978"/>
      <c r="L186" s="391"/>
      <c r="M186" s="978"/>
      <c r="N186" s="391"/>
      <c r="O186" s="391"/>
      <c r="P186" s="391"/>
      <c r="Q186" s="391"/>
      <c r="R186" s="391"/>
    </row>
    <row r="187" spans="1:18">
      <c r="A187" s="978"/>
      <c r="B187" s="1009"/>
      <c r="C187" s="391"/>
      <c r="D187" s="391"/>
      <c r="E187" s="391"/>
      <c r="F187" s="391"/>
      <c r="G187" s="391"/>
      <c r="H187" s="391"/>
      <c r="I187" s="391"/>
      <c r="J187" s="1010"/>
      <c r="K187" s="978"/>
      <c r="L187" s="391"/>
      <c r="M187" s="978"/>
      <c r="N187" s="391"/>
      <c r="O187" s="391"/>
      <c r="P187" s="391"/>
      <c r="Q187" s="391"/>
      <c r="R187" s="391"/>
    </row>
    <row r="188" spans="1:18">
      <c r="A188" s="978"/>
      <c r="B188" s="1009"/>
      <c r="C188" s="391"/>
      <c r="D188" s="391"/>
      <c r="E188" s="391"/>
      <c r="F188" s="391"/>
      <c r="G188" s="391"/>
      <c r="H188" s="391"/>
      <c r="I188" s="391"/>
      <c r="J188" s="1010"/>
      <c r="K188" s="978"/>
      <c r="L188" s="391"/>
      <c r="M188" s="978"/>
      <c r="N188" s="391"/>
      <c r="O188" s="391"/>
      <c r="P188" s="391"/>
      <c r="Q188" s="391"/>
      <c r="R188" s="391"/>
    </row>
    <row r="189" spans="1:18">
      <c r="A189" s="978"/>
      <c r="B189" s="1009"/>
      <c r="C189" s="391"/>
      <c r="D189" s="391"/>
      <c r="E189" s="391"/>
      <c r="F189" s="391"/>
      <c r="G189" s="391"/>
      <c r="H189" s="391"/>
      <c r="I189" s="391"/>
      <c r="J189" s="1010"/>
      <c r="K189" s="978"/>
      <c r="L189" s="391"/>
      <c r="M189" s="978"/>
      <c r="N189" s="391"/>
      <c r="O189" s="391"/>
      <c r="P189" s="391"/>
      <c r="Q189" s="391"/>
      <c r="R189" s="391"/>
    </row>
    <row r="190" spans="1:18">
      <c r="A190" s="978"/>
      <c r="B190" s="1009"/>
      <c r="C190" s="391"/>
      <c r="D190" s="391"/>
      <c r="E190" s="391"/>
      <c r="F190" s="391"/>
      <c r="G190" s="391"/>
      <c r="H190" s="391"/>
      <c r="I190" s="391"/>
      <c r="J190" s="1010"/>
      <c r="K190" s="978"/>
      <c r="L190" s="391"/>
      <c r="M190" s="978"/>
      <c r="N190" s="391"/>
      <c r="O190" s="391"/>
      <c r="P190" s="391"/>
      <c r="Q190" s="391"/>
      <c r="R190" s="391"/>
    </row>
    <row r="191" spans="1:18">
      <c r="A191" s="978"/>
      <c r="B191" s="1009"/>
      <c r="C191" s="391"/>
      <c r="D191" s="391"/>
      <c r="E191" s="391"/>
      <c r="F191" s="391"/>
      <c r="G191" s="391"/>
      <c r="H191" s="391"/>
      <c r="I191" s="391"/>
      <c r="J191" s="1010"/>
      <c r="K191" s="978"/>
      <c r="L191" s="391"/>
      <c r="M191" s="978"/>
      <c r="N191" s="391"/>
      <c r="O191" s="391"/>
      <c r="P191" s="391"/>
      <c r="Q191" s="391"/>
      <c r="R191" s="391"/>
    </row>
    <row r="192" spans="1:18">
      <c r="A192" s="978"/>
      <c r="B192" s="1009"/>
      <c r="C192" s="391"/>
      <c r="D192" s="391"/>
      <c r="E192" s="391"/>
      <c r="F192" s="391"/>
      <c r="G192" s="391"/>
      <c r="H192" s="391"/>
      <c r="I192" s="391"/>
      <c r="J192" s="1010"/>
      <c r="K192" s="978"/>
      <c r="L192" s="391"/>
      <c r="M192" s="978"/>
      <c r="N192" s="391"/>
      <c r="O192" s="391"/>
      <c r="P192" s="391"/>
      <c r="Q192" s="391"/>
      <c r="R192" s="391"/>
    </row>
    <row r="193" spans="1:18">
      <c r="A193" s="978"/>
      <c r="B193" s="1009"/>
      <c r="C193" s="391"/>
      <c r="D193" s="391"/>
      <c r="E193" s="391"/>
      <c r="F193" s="391"/>
      <c r="G193" s="391"/>
      <c r="H193" s="391"/>
      <c r="I193" s="391"/>
      <c r="J193" s="1010"/>
      <c r="K193" s="978"/>
      <c r="L193" s="391"/>
      <c r="M193" s="978"/>
      <c r="N193" s="391"/>
      <c r="O193" s="391"/>
      <c r="P193" s="391"/>
      <c r="Q193" s="391"/>
      <c r="R193" s="391"/>
    </row>
    <row r="194" spans="1:18">
      <c r="A194" s="978"/>
      <c r="B194" s="1009"/>
      <c r="C194" s="391"/>
      <c r="D194" s="391"/>
      <c r="E194" s="391"/>
      <c r="F194" s="391"/>
      <c r="G194" s="391"/>
      <c r="H194" s="391"/>
      <c r="I194" s="391"/>
      <c r="J194" s="1010"/>
      <c r="K194" s="978"/>
      <c r="L194" s="391"/>
      <c r="M194" s="978"/>
      <c r="N194" s="391"/>
      <c r="O194" s="391"/>
      <c r="P194" s="391"/>
      <c r="Q194" s="391"/>
      <c r="R194" s="391"/>
    </row>
    <row r="195" spans="1:18">
      <c r="A195" s="978"/>
      <c r="B195" s="1009"/>
      <c r="C195" s="391"/>
      <c r="D195" s="391"/>
      <c r="E195" s="391"/>
      <c r="F195" s="391"/>
      <c r="G195" s="391"/>
      <c r="H195" s="391"/>
      <c r="I195" s="391"/>
      <c r="J195" s="1010"/>
      <c r="K195" s="978"/>
      <c r="L195" s="391"/>
      <c r="M195" s="978"/>
      <c r="N195" s="391"/>
      <c r="O195" s="391"/>
      <c r="P195" s="391"/>
      <c r="Q195" s="391"/>
      <c r="R195" s="391"/>
    </row>
    <row r="196" spans="1:18">
      <c r="A196" s="978"/>
      <c r="B196" s="1009"/>
      <c r="C196" s="391"/>
      <c r="D196" s="391"/>
      <c r="E196" s="391"/>
      <c r="F196" s="391"/>
      <c r="G196" s="391"/>
      <c r="H196" s="391"/>
      <c r="I196" s="391"/>
      <c r="J196" s="1010"/>
      <c r="K196" s="978"/>
      <c r="L196" s="391"/>
      <c r="M196" s="978"/>
      <c r="N196" s="391"/>
      <c r="O196" s="391"/>
      <c r="P196" s="391"/>
      <c r="Q196" s="391"/>
      <c r="R196" s="391"/>
    </row>
    <row r="197" spans="1:18">
      <c r="A197" s="978"/>
      <c r="B197" s="1009"/>
      <c r="C197" s="391"/>
      <c r="D197" s="391"/>
      <c r="E197" s="391"/>
      <c r="F197" s="391"/>
      <c r="G197" s="391"/>
      <c r="H197" s="391"/>
      <c r="I197" s="391"/>
      <c r="J197" s="1010"/>
      <c r="K197" s="978"/>
      <c r="L197" s="391"/>
      <c r="M197" s="978"/>
      <c r="N197" s="391"/>
      <c r="O197" s="391"/>
      <c r="P197" s="391"/>
      <c r="Q197" s="391"/>
      <c r="R197" s="391"/>
    </row>
    <row r="198" spans="1:18">
      <c r="A198" s="978"/>
      <c r="B198" s="1009"/>
      <c r="C198" s="391"/>
      <c r="D198" s="391"/>
      <c r="E198" s="391"/>
      <c r="F198" s="391"/>
      <c r="G198" s="391"/>
      <c r="H198" s="391"/>
      <c r="I198" s="391"/>
      <c r="J198" s="1010"/>
      <c r="K198" s="978"/>
      <c r="L198" s="391"/>
      <c r="M198" s="978"/>
      <c r="N198" s="391"/>
      <c r="O198" s="391"/>
      <c r="P198" s="391"/>
      <c r="Q198" s="391"/>
      <c r="R198" s="391"/>
    </row>
    <row r="199" spans="1:18">
      <c r="A199" s="978"/>
      <c r="B199" s="1009"/>
      <c r="C199" s="391"/>
      <c r="D199" s="391"/>
      <c r="E199" s="391"/>
      <c r="F199" s="391"/>
      <c r="G199" s="391"/>
      <c r="H199" s="391"/>
      <c r="I199" s="391"/>
      <c r="J199" s="1010"/>
      <c r="K199" s="978"/>
      <c r="L199" s="391"/>
      <c r="M199" s="978"/>
      <c r="N199" s="391"/>
      <c r="O199" s="391"/>
      <c r="P199" s="391"/>
      <c r="Q199" s="391"/>
      <c r="R199" s="391"/>
    </row>
    <row r="200" spans="1:18">
      <c r="A200" s="978"/>
      <c r="B200" s="1009"/>
      <c r="C200" s="391"/>
      <c r="D200" s="391"/>
      <c r="E200" s="391"/>
      <c r="F200" s="391"/>
      <c r="G200" s="391"/>
      <c r="H200" s="391"/>
      <c r="I200" s="391"/>
      <c r="J200" s="1010"/>
      <c r="K200" s="978"/>
      <c r="L200" s="391"/>
      <c r="M200" s="978"/>
      <c r="N200" s="391"/>
      <c r="O200" s="391"/>
      <c r="P200" s="391"/>
      <c r="Q200" s="391"/>
      <c r="R200" s="391"/>
    </row>
    <row r="201" spans="1:18">
      <c r="A201" s="978"/>
      <c r="B201" s="1009"/>
      <c r="C201" s="391"/>
      <c r="D201" s="391"/>
      <c r="E201" s="391"/>
      <c r="F201" s="391"/>
      <c r="G201" s="391"/>
      <c r="H201" s="391"/>
      <c r="I201" s="391"/>
      <c r="J201" s="1010"/>
      <c r="K201" s="978"/>
      <c r="L201" s="391"/>
      <c r="M201" s="978"/>
      <c r="N201" s="391"/>
      <c r="O201" s="391"/>
      <c r="P201" s="391"/>
      <c r="Q201" s="391"/>
      <c r="R201" s="391"/>
    </row>
    <row r="202" spans="1:18">
      <c r="A202" s="978"/>
      <c r="B202" s="1009"/>
      <c r="C202" s="391"/>
      <c r="D202" s="391"/>
      <c r="E202" s="391"/>
      <c r="F202" s="391"/>
      <c r="G202" s="391"/>
      <c r="H202" s="391"/>
      <c r="I202" s="391"/>
      <c r="J202" s="1010"/>
      <c r="K202" s="978"/>
      <c r="L202" s="391"/>
      <c r="M202" s="978"/>
      <c r="N202" s="391"/>
      <c r="O202" s="391"/>
      <c r="P202" s="391"/>
      <c r="Q202" s="391"/>
      <c r="R202" s="391"/>
    </row>
    <row r="203" spans="1:18">
      <c r="A203" s="978"/>
      <c r="B203" s="1009"/>
      <c r="C203" s="391"/>
      <c r="D203" s="391"/>
      <c r="E203" s="391"/>
      <c r="F203" s="391"/>
      <c r="G203" s="391"/>
      <c r="H203" s="391"/>
      <c r="I203" s="391"/>
      <c r="J203" s="1010"/>
      <c r="K203" s="978"/>
      <c r="L203" s="391"/>
      <c r="M203" s="978"/>
      <c r="N203" s="391"/>
      <c r="O203" s="391"/>
      <c r="P203" s="391"/>
      <c r="Q203" s="391"/>
      <c r="R203" s="391"/>
    </row>
    <row r="204" spans="1:18">
      <c r="A204" s="978"/>
      <c r="B204" s="1009"/>
      <c r="C204" s="391"/>
      <c r="D204" s="391"/>
      <c r="E204" s="391"/>
      <c r="F204" s="391"/>
      <c r="G204" s="391"/>
      <c r="H204" s="391"/>
      <c r="I204" s="391"/>
      <c r="J204" s="1010"/>
      <c r="K204" s="978"/>
      <c r="L204" s="391"/>
      <c r="M204" s="978"/>
      <c r="N204" s="391"/>
      <c r="O204" s="391"/>
      <c r="P204" s="391"/>
      <c r="Q204" s="391"/>
      <c r="R204" s="391"/>
    </row>
    <row r="205" spans="1:18">
      <c r="A205" s="978"/>
      <c r="B205" s="1009"/>
      <c r="C205" s="391"/>
      <c r="D205" s="391"/>
      <c r="E205" s="391"/>
      <c r="F205" s="391"/>
      <c r="G205" s="391"/>
      <c r="H205" s="391"/>
      <c r="I205" s="391"/>
      <c r="J205" s="1010"/>
      <c r="K205" s="978"/>
      <c r="L205" s="391"/>
      <c r="M205" s="978"/>
      <c r="N205" s="391"/>
      <c r="O205" s="391"/>
      <c r="P205" s="391"/>
      <c r="Q205" s="391"/>
      <c r="R205" s="391"/>
    </row>
    <row r="206" spans="1:18">
      <c r="A206" s="978"/>
      <c r="B206" s="1009"/>
      <c r="C206" s="391"/>
      <c r="D206" s="391"/>
      <c r="E206" s="391"/>
      <c r="F206" s="391"/>
      <c r="G206" s="391"/>
      <c r="H206" s="391"/>
      <c r="I206" s="391"/>
      <c r="J206" s="1010"/>
      <c r="K206" s="978"/>
      <c r="L206" s="391"/>
      <c r="M206" s="978"/>
      <c r="N206" s="391"/>
      <c r="O206" s="391"/>
      <c r="P206" s="391"/>
      <c r="Q206" s="391"/>
      <c r="R206" s="391"/>
    </row>
    <row r="207" spans="1:18">
      <c r="A207" s="978"/>
      <c r="B207" s="1009"/>
      <c r="C207" s="391"/>
      <c r="D207" s="391"/>
      <c r="E207" s="391"/>
      <c r="F207" s="391"/>
      <c r="G207" s="391"/>
      <c r="H207" s="391"/>
      <c r="I207" s="391"/>
      <c r="J207" s="1010"/>
      <c r="K207" s="978"/>
      <c r="L207" s="391"/>
      <c r="M207" s="978"/>
      <c r="N207" s="391"/>
      <c r="O207" s="391"/>
      <c r="P207" s="391"/>
      <c r="Q207" s="391"/>
      <c r="R207" s="391"/>
    </row>
    <row r="208" spans="1:18">
      <c r="A208" s="978"/>
      <c r="B208" s="1009"/>
      <c r="C208" s="391"/>
      <c r="D208" s="391"/>
      <c r="E208" s="391"/>
      <c r="F208" s="391"/>
      <c r="G208" s="391"/>
      <c r="H208" s="391"/>
      <c r="I208" s="391"/>
      <c r="J208" s="1010"/>
      <c r="K208" s="978"/>
      <c r="L208" s="391"/>
      <c r="M208" s="978"/>
      <c r="N208" s="391"/>
      <c r="O208" s="391"/>
      <c r="P208" s="391"/>
      <c r="Q208" s="391"/>
      <c r="R208" s="391"/>
    </row>
    <row r="209" spans="1:18">
      <c r="A209" s="978"/>
      <c r="B209" s="1009"/>
      <c r="C209" s="391"/>
      <c r="D209" s="391"/>
      <c r="E209" s="391"/>
      <c r="F209" s="391"/>
      <c r="G209" s="391"/>
      <c r="H209" s="391"/>
      <c r="I209" s="391"/>
      <c r="J209" s="1010"/>
      <c r="K209" s="978"/>
      <c r="L209" s="391"/>
      <c r="M209" s="978"/>
      <c r="N209" s="391"/>
      <c r="O209" s="391"/>
      <c r="P209" s="391"/>
      <c r="Q209" s="391"/>
      <c r="R209" s="391"/>
    </row>
    <row r="210" spans="1:18">
      <c r="A210" s="978"/>
      <c r="B210" s="1009"/>
      <c r="C210" s="391"/>
      <c r="D210" s="391"/>
      <c r="E210" s="391"/>
      <c r="F210" s="391"/>
      <c r="G210" s="391"/>
      <c r="H210" s="391"/>
      <c r="I210" s="391"/>
      <c r="J210" s="1010"/>
      <c r="K210" s="978"/>
      <c r="L210" s="391"/>
      <c r="M210" s="978"/>
      <c r="N210" s="391"/>
      <c r="O210" s="391"/>
      <c r="P210" s="391"/>
      <c r="Q210" s="391"/>
      <c r="R210" s="391"/>
    </row>
    <row r="211" spans="1:18">
      <c r="A211" s="978"/>
      <c r="B211" s="1009"/>
      <c r="C211" s="391"/>
      <c r="D211" s="391"/>
      <c r="E211" s="391"/>
      <c r="F211" s="391"/>
      <c r="G211" s="391"/>
      <c r="H211" s="391"/>
      <c r="I211" s="391"/>
      <c r="J211" s="1010"/>
      <c r="K211" s="978"/>
      <c r="L211" s="391"/>
      <c r="M211" s="978"/>
      <c r="N211" s="391"/>
      <c r="O211" s="391"/>
      <c r="P211" s="391"/>
      <c r="Q211" s="391"/>
      <c r="R211" s="391"/>
    </row>
    <row r="212" spans="1:18">
      <c r="A212" s="978"/>
      <c r="B212" s="1009"/>
      <c r="C212" s="391"/>
      <c r="D212" s="391"/>
      <c r="E212" s="391"/>
      <c r="F212" s="391"/>
      <c r="G212" s="391"/>
      <c r="H212" s="391"/>
      <c r="I212" s="391"/>
      <c r="J212" s="1010"/>
      <c r="K212" s="978"/>
      <c r="L212" s="391"/>
      <c r="M212" s="978"/>
      <c r="N212" s="391"/>
      <c r="O212" s="391"/>
      <c r="P212" s="391"/>
      <c r="Q212" s="391"/>
      <c r="R212" s="391"/>
    </row>
    <row r="213" spans="1:18">
      <c r="A213" s="978"/>
      <c r="B213" s="1009"/>
      <c r="C213" s="391"/>
      <c r="D213" s="391"/>
      <c r="E213" s="391"/>
      <c r="F213" s="391"/>
      <c r="G213" s="391"/>
      <c r="H213" s="391"/>
      <c r="I213" s="391"/>
      <c r="J213" s="1010"/>
      <c r="K213" s="978"/>
      <c r="L213" s="391"/>
      <c r="M213" s="978"/>
      <c r="N213" s="391"/>
      <c r="O213" s="391"/>
      <c r="P213" s="391"/>
      <c r="Q213" s="391"/>
      <c r="R213" s="391"/>
    </row>
    <row r="214" spans="1:18">
      <c r="A214" s="978"/>
      <c r="B214" s="1009"/>
      <c r="C214" s="391"/>
      <c r="D214" s="391"/>
      <c r="E214" s="391"/>
      <c r="F214" s="391"/>
      <c r="G214" s="391"/>
      <c r="H214" s="391"/>
      <c r="I214" s="391"/>
      <c r="J214" s="1010"/>
      <c r="K214" s="978"/>
      <c r="L214" s="391"/>
      <c r="M214" s="978"/>
      <c r="N214" s="391"/>
      <c r="O214" s="391"/>
      <c r="P214" s="391"/>
      <c r="Q214" s="391"/>
      <c r="R214" s="391"/>
    </row>
    <row r="215" spans="1:18">
      <c r="A215" s="978"/>
      <c r="B215" s="1009"/>
      <c r="C215" s="391"/>
      <c r="D215" s="391"/>
      <c r="E215" s="391"/>
      <c r="F215" s="391"/>
      <c r="G215" s="391"/>
      <c r="H215" s="391"/>
      <c r="I215" s="391"/>
      <c r="J215" s="1010"/>
      <c r="K215" s="978"/>
      <c r="L215" s="391"/>
      <c r="M215" s="978"/>
      <c r="N215" s="391"/>
      <c r="O215" s="391"/>
      <c r="P215" s="391"/>
      <c r="Q215" s="391"/>
      <c r="R215" s="391"/>
    </row>
    <row r="216" spans="1:18">
      <c r="A216" s="978"/>
      <c r="B216" s="1009"/>
      <c r="C216" s="391"/>
      <c r="D216" s="391"/>
      <c r="E216" s="391"/>
      <c r="F216" s="391"/>
      <c r="G216" s="391"/>
      <c r="H216" s="391"/>
      <c r="I216" s="391"/>
      <c r="J216" s="1010"/>
      <c r="K216" s="978"/>
      <c r="L216" s="391"/>
      <c r="M216" s="978"/>
      <c r="N216" s="391"/>
      <c r="O216" s="391"/>
      <c r="P216" s="391"/>
      <c r="Q216" s="391"/>
      <c r="R216" s="391"/>
    </row>
    <row r="217" spans="1:18">
      <c r="A217" s="978"/>
      <c r="B217" s="1009"/>
      <c r="C217" s="391"/>
      <c r="D217" s="391"/>
      <c r="E217" s="391"/>
      <c r="F217" s="391"/>
      <c r="G217" s="391"/>
      <c r="H217" s="391"/>
      <c r="I217" s="391"/>
      <c r="J217" s="1010"/>
      <c r="K217" s="978"/>
      <c r="L217" s="391"/>
      <c r="M217" s="978"/>
      <c r="N217" s="391"/>
      <c r="O217" s="391"/>
      <c r="P217" s="391"/>
      <c r="Q217" s="391"/>
      <c r="R217" s="391"/>
    </row>
    <row r="218" spans="1:18">
      <c r="A218" s="978"/>
      <c r="B218" s="1009"/>
      <c r="C218" s="391"/>
      <c r="D218" s="391"/>
      <c r="E218" s="391"/>
      <c r="F218" s="391"/>
      <c r="G218" s="391"/>
      <c r="H218" s="391"/>
      <c r="I218" s="391"/>
      <c r="J218" s="1010"/>
      <c r="K218" s="978"/>
      <c r="L218" s="391"/>
      <c r="M218" s="978"/>
      <c r="N218" s="391"/>
      <c r="O218" s="391"/>
      <c r="P218" s="391"/>
      <c r="Q218" s="391"/>
      <c r="R218" s="391"/>
    </row>
    <row r="219" spans="1:18">
      <c r="A219" s="978"/>
      <c r="B219" s="1009"/>
      <c r="C219" s="391"/>
      <c r="D219" s="391"/>
      <c r="E219" s="391"/>
      <c r="F219" s="391"/>
      <c r="G219" s="391"/>
      <c r="H219" s="391"/>
      <c r="I219" s="391"/>
      <c r="J219" s="1010"/>
      <c r="K219" s="978"/>
      <c r="L219" s="391"/>
      <c r="M219" s="978"/>
      <c r="N219" s="391"/>
      <c r="O219" s="391"/>
      <c r="P219" s="391"/>
      <c r="Q219" s="391"/>
      <c r="R219" s="391"/>
    </row>
    <row r="220" spans="1:18">
      <c r="A220" s="978"/>
      <c r="B220" s="1009"/>
      <c r="C220" s="391"/>
      <c r="D220" s="391"/>
      <c r="E220" s="391"/>
      <c r="F220" s="391"/>
      <c r="G220" s="391"/>
      <c r="H220" s="391"/>
      <c r="I220" s="391"/>
      <c r="J220" s="1010"/>
      <c r="K220" s="978"/>
      <c r="L220" s="391"/>
      <c r="M220" s="978"/>
      <c r="N220" s="391"/>
      <c r="O220" s="391"/>
      <c r="P220" s="391"/>
      <c r="Q220" s="391"/>
      <c r="R220" s="391"/>
    </row>
    <row r="221" spans="1:18">
      <c r="A221" s="978"/>
      <c r="B221" s="1009"/>
      <c r="C221" s="391"/>
      <c r="D221" s="391"/>
      <c r="E221" s="391"/>
      <c r="F221" s="391"/>
      <c r="G221" s="391"/>
      <c r="H221" s="391"/>
      <c r="I221" s="391"/>
      <c r="J221" s="1010"/>
      <c r="K221" s="978"/>
      <c r="L221" s="391"/>
      <c r="M221" s="978"/>
      <c r="N221" s="391"/>
      <c r="O221" s="391"/>
      <c r="P221" s="391"/>
      <c r="Q221" s="391"/>
      <c r="R221" s="391"/>
    </row>
    <row r="222" spans="1:18">
      <c r="A222" s="978"/>
      <c r="B222" s="1009"/>
      <c r="C222" s="391"/>
      <c r="D222" s="391"/>
      <c r="E222" s="391"/>
      <c r="F222" s="391"/>
      <c r="G222" s="391"/>
      <c r="H222" s="391"/>
      <c r="I222" s="391"/>
      <c r="J222" s="1010"/>
      <c r="K222" s="978"/>
      <c r="L222" s="391"/>
      <c r="M222" s="978"/>
      <c r="N222" s="391"/>
      <c r="O222" s="391"/>
      <c r="P222" s="391"/>
      <c r="Q222" s="391"/>
      <c r="R222" s="391"/>
    </row>
    <row r="223" spans="1:18">
      <c r="A223" s="978"/>
      <c r="B223" s="1009"/>
      <c r="C223" s="391"/>
      <c r="D223" s="391"/>
      <c r="E223" s="391"/>
      <c r="F223" s="391"/>
      <c r="G223" s="391"/>
      <c r="H223" s="391"/>
      <c r="I223" s="391"/>
      <c r="J223" s="1010"/>
      <c r="K223" s="978"/>
      <c r="L223" s="391"/>
      <c r="M223" s="978"/>
      <c r="N223" s="391"/>
      <c r="O223" s="391"/>
      <c r="P223" s="391"/>
      <c r="Q223" s="391"/>
      <c r="R223" s="391"/>
    </row>
    <row r="224" spans="1:18">
      <c r="A224" s="978"/>
      <c r="B224" s="1009"/>
      <c r="C224" s="391"/>
      <c r="D224" s="391"/>
      <c r="E224" s="391"/>
      <c r="F224" s="391"/>
      <c r="G224" s="391"/>
      <c r="H224" s="391"/>
      <c r="I224" s="391"/>
      <c r="J224" s="1010"/>
      <c r="K224" s="978"/>
      <c r="L224" s="391"/>
      <c r="M224" s="978"/>
      <c r="N224" s="391"/>
      <c r="O224" s="391"/>
      <c r="P224" s="391"/>
      <c r="Q224" s="391"/>
      <c r="R224" s="391"/>
    </row>
    <row r="225" spans="1:18">
      <c r="A225" s="978"/>
      <c r="B225" s="1009"/>
      <c r="C225" s="391"/>
      <c r="D225" s="391"/>
      <c r="E225" s="391"/>
      <c r="F225" s="391"/>
      <c r="G225" s="391"/>
      <c r="H225" s="391"/>
      <c r="I225" s="391"/>
      <c r="J225" s="1010"/>
      <c r="K225" s="978"/>
      <c r="L225" s="391"/>
      <c r="M225" s="978"/>
      <c r="N225" s="391"/>
      <c r="O225" s="391"/>
      <c r="P225" s="391"/>
      <c r="Q225" s="391"/>
      <c r="R225" s="391"/>
    </row>
    <row r="226" spans="1:18">
      <c r="A226" s="978"/>
      <c r="B226" s="1009"/>
      <c r="C226" s="391"/>
      <c r="D226" s="391"/>
      <c r="E226" s="391"/>
      <c r="F226" s="391"/>
      <c r="G226" s="391"/>
      <c r="H226" s="391"/>
      <c r="I226" s="391"/>
      <c r="J226" s="1010"/>
      <c r="K226" s="978"/>
      <c r="L226" s="391"/>
      <c r="M226" s="978"/>
      <c r="N226" s="391"/>
      <c r="O226" s="391"/>
      <c r="P226" s="391"/>
      <c r="Q226" s="391"/>
      <c r="R226" s="391"/>
    </row>
    <row r="227" spans="1:18">
      <c r="A227" s="978"/>
      <c r="B227" s="1009"/>
      <c r="C227" s="391"/>
      <c r="D227" s="391"/>
      <c r="E227" s="391"/>
      <c r="F227" s="391"/>
      <c r="G227" s="391"/>
      <c r="H227" s="391"/>
      <c r="I227" s="391"/>
      <c r="J227" s="1010"/>
      <c r="K227" s="978"/>
      <c r="L227" s="391"/>
      <c r="M227" s="978"/>
      <c r="N227" s="391"/>
      <c r="O227" s="391"/>
      <c r="P227" s="391"/>
      <c r="Q227" s="391"/>
      <c r="R227" s="391"/>
    </row>
    <row r="228" spans="1:18">
      <c r="A228" s="978"/>
      <c r="B228" s="1009"/>
      <c r="C228" s="391"/>
      <c r="D228" s="391"/>
      <c r="E228" s="391"/>
      <c r="F228" s="391"/>
      <c r="G228" s="391"/>
      <c r="H228" s="391"/>
      <c r="I228" s="391"/>
      <c r="J228" s="1010"/>
      <c r="K228" s="978"/>
      <c r="L228" s="391"/>
      <c r="M228" s="978"/>
      <c r="N228" s="391"/>
      <c r="O228" s="391"/>
      <c r="P228" s="391"/>
      <c r="Q228" s="391"/>
      <c r="R228" s="391"/>
    </row>
    <row r="229" spans="1:18">
      <c r="A229" s="978"/>
      <c r="B229" s="1009"/>
      <c r="C229" s="391"/>
      <c r="D229" s="391"/>
      <c r="E229" s="391"/>
      <c r="F229" s="391"/>
      <c r="G229" s="391"/>
      <c r="H229" s="391"/>
      <c r="I229" s="391"/>
      <c r="J229" s="1010"/>
      <c r="K229" s="978"/>
      <c r="L229" s="391"/>
      <c r="M229" s="978"/>
      <c r="N229" s="391"/>
      <c r="O229" s="391"/>
      <c r="P229" s="391"/>
      <c r="Q229" s="391"/>
      <c r="R229" s="391"/>
    </row>
    <row r="230" spans="1:18">
      <c r="A230" s="978"/>
      <c r="B230" s="1009"/>
      <c r="C230" s="391"/>
      <c r="D230" s="391"/>
      <c r="E230" s="391"/>
      <c r="F230" s="391"/>
      <c r="G230" s="391"/>
      <c r="H230" s="391"/>
      <c r="I230" s="391"/>
      <c r="J230" s="1010"/>
      <c r="K230" s="978"/>
      <c r="L230" s="391"/>
      <c r="M230" s="978"/>
      <c r="N230" s="391"/>
      <c r="O230" s="391"/>
      <c r="P230" s="391"/>
      <c r="Q230" s="391"/>
      <c r="R230" s="391"/>
    </row>
    <row r="231" spans="1:18">
      <c r="A231" s="978"/>
      <c r="B231" s="1009"/>
      <c r="C231" s="391"/>
      <c r="D231" s="391"/>
      <c r="E231" s="391"/>
      <c r="F231" s="391"/>
      <c r="G231" s="391"/>
      <c r="H231" s="391"/>
      <c r="I231" s="391"/>
      <c r="J231" s="1010"/>
      <c r="K231" s="978"/>
      <c r="L231" s="391"/>
      <c r="M231" s="978"/>
      <c r="N231" s="391"/>
      <c r="O231" s="391"/>
      <c r="P231" s="391"/>
      <c r="Q231" s="391"/>
      <c r="R231" s="391"/>
    </row>
    <row r="232" spans="1:18">
      <c r="A232" s="978"/>
      <c r="B232" s="1009"/>
      <c r="C232" s="391"/>
      <c r="D232" s="391"/>
      <c r="E232" s="391"/>
      <c r="F232" s="391"/>
      <c r="G232" s="391"/>
      <c r="H232" s="391"/>
      <c r="I232" s="391"/>
      <c r="J232" s="1010"/>
      <c r="K232" s="978"/>
      <c r="L232" s="391"/>
      <c r="M232" s="978"/>
      <c r="N232" s="391"/>
      <c r="O232" s="391"/>
      <c r="P232" s="391"/>
      <c r="Q232" s="391"/>
      <c r="R232" s="391"/>
    </row>
    <row r="233" spans="1:18">
      <c r="A233" s="978"/>
      <c r="B233" s="1009"/>
      <c r="C233" s="391"/>
      <c r="D233" s="391"/>
      <c r="E233" s="391"/>
      <c r="F233" s="391"/>
      <c r="G233" s="391"/>
      <c r="H233" s="391"/>
      <c r="I233" s="391"/>
      <c r="J233" s="1010"/>
      <c r="K233" s="978"/>
      <c r="L233" s="391"/>
      <c r="M233" s="978"/>
      <c r="N233" s="391"/>
      <c r="O233" s="391"/>
      <c r="P233" s="391"/>
      <c r="Q233" s="391"/>
      <c r="R233" s="391"/>
    </row>
    <row r="234" spans="1:18">
      <c r="A234" s="978"/>
      <c r="B234" s="1009"/>
      <c r="C234" s="391"/>
      <c r="D234" s="391"/>
      <c r="E234" s="391"/>
      <c r="F234" s="391"/>
      <c r="G234" s="391"/>
      <c r="H234" s="391"/>
      <c r="I234" s="391"/>
      <c r="J234" s="1010"/>
      <c r="K234" s="978"/>
      <c r="L234" s="391"/>
      <c r="M234" s="978"/>
      <c r="N234" s="391"/>
      <c r="O234" s="391"/>
      <c r="P234" s="391"/>
      <c r="Q234" s="391"/>
      <c r="R234" s="391"/>
    </row>
    <row r="235" spans="1:18">
      <c r="A235" s="978"/>
      <c r="B235" s="1009"/>
      <c r="C235" s="391"/>
      <c r="D235" s="391"/>
      <c r="E235" s="391"/>
      <c r="F235" s="391"/>
      <c r="G235" s="391"/>
      <c r="H235" s="391"/>
      <c r="I235" s="391"/>
      <c r="J235" s="1010"/>
      <c r="K235" s="978"/>
      <c r="L235" s="391"/>
      <c r="M235" s="978"/>
      <c r="N235" s="391"/>
      <c r="O235" s="391"/>
      <c r="P235" s="391"/>
      <c r="Q235" s="391"/>
      <c r="R235" s="391"/>
    </row>
    <row r="236" spans="1:18">
      <c r="A236" s="978"/>
      <c r="B236" s="1009"/>
      <c r="C236" s="391"/>
      <c r="D236" s="391"/>
      <c r="E236" s="391"/>
      <c r="F236" s="391"/>
      <c r="G236" s="391"/>
      <c r="H236" s="391"/>
      <c r="I236" s="391"/>
      <c r="J236" s="1010"/>
      <c r="K236" s="978"/>
      <c r="L236" s="391"/>
      <c r="M236" s="978"/>
      <c r="N236" s="391"/>
      <c r="O236" s="391"/>
      <c r="P236" s="391"/>
      <c r="Q236" s="391"/>
      <c r="R236" s="391"/>
    </row>
    <row r="237" spans="1:18">
      <c r="A237" s="978"/>
      <c r="B237" s="1009"/>
      <c r="C237" s="391"/>
      <c r="D237" s="391"/>
      <c r="E237" s="391"/>
      <c r="F237" s="391"/>
      <c r="G237" s="391"/>
      <c r="H237" s="391"/>
      <c r="I237" s="391"/>
      <c r="J237" s="1010"/>
      <c r="K237" s="978"/>
      <c r="L237" s="391"/>
      <c r="M237" s="978"/>
      <c r="N237" s="391"/>
      <c r="O237" s="391"/>
      <c r="P237" s="391"/>
      <c r="Q237" s="391"/>
      <c r="R237" s="391"/>
    </row>
    <row r="238" spans="1:18">
      <c r="A238" s="978"/>
      <c r="B238" s="1009"/>
      <c r="C238" s="391"/>
      <c r="D238" s="391"/>
      <c r="E238" s="391"/>
      <c r="F238" s="391"/>
      <c r="G238" s="391"/>
      <c r="H238" s="391"/>
      <c r="I238" s="391"/>
      <c r="J238" s="1010"/>
      <c r="K238" s="978"/>
      <c r="L238" s="391"/>
      <c r="M238" s="978"/>
      <c r="N238" s="391"/>
      <c r="O238" s="391"/>
      <c r="P238" s="391"/>
      <c r="Q238" s="391"/>
      <c r="R238" s="391"/>
    </row>
    <row r="239" spans="1:18">
      <c r="A239" s="978"/>
      <c r="B239" s="1009"/>
      <c r="C239" s="391"/>
      <c r="D239" s="391"/>
      <c r="E239" s="391"/>
      <c r="F239" s="391"/>
      <c r="G239" s="391"/>
      <c r="H239" s="391"/>
      <c r="I239" s="391"/>
      <c r="J239" s="1010"/>
      <c r="K239" s="978"/>
      <c r="L239" s="391"/>
      <c r="M239" s="978"/>
      <c r="N239" s="391"/>
      <c r="O239" s="391"/>
      <c r="P239" s="391"/>
      <c r="Q239" s="391"/>
      <c r="R239" s="391"/>
    </row>
    <row r="240" spans="1:18">
      <c r="A240" s="978"/>
      <c r="B240" s="1009"/>
      <c r="C240" s="391"/>
      <c r="D240" s="391"/>
      <c r="E240" s="391"/>
      <c r="F240" s="391"/>
      <c r="G240" s="391"/>
      <c r="H240" s="391"/>
      <c r="I240" s="391"/>
      <c r="J240" s="1010"/>
      <c r="K240" s="978"/>
      <c r="L240" s="391"/>
      <c r="M240" s="978"/>
      <c r="N240" s="391"/>
      <c r="O240" s="391"/>
      <c r="P240" s="391"/>
      <c r="Q240" s="391"/>
      <c r="R240" s="391"/>
    </row>
    <row r="241" spans="1:18">
      <c r="A241" s="978"/>
      <c r="B241" s="1009"/>
      <c r="C241" s="391"/>
      <c r="D241" s="391"/>
      <c r="E241" s="391"/>
      <c r="F241" s="391"/>
      <c r="G241" s="391"/>
      <c r="H241" s="391"/>
      <c r="I241" s="391"/>
      <c r="J241" s="1010"/>
      <c r="K241" s="978"/>
      <c r="L241" s="391"/>
      <c r="M241" s="978"/>
      <c r="N241" s="391"/>
      <c r="O241" s="391"/>
      <c r="P241" s="391"/>
      <c r="Q241" s="391"/>
      <c r="R241" s="391"/>
    </row>
    <row r="242" spans="1:18">
      <c r="A242" s="978"/>
      <c r="B242" s="1009"/>
      <c r="C242" s="391"/>
      <c r="D242" s="391"/>
      <c r="E242" s="391"/>
      <c r="F242" s="391"/>
      <c r="G242" s="391"/>
      <c r="H242" s="391"/>
      <c r="I242" s="391"/>
      <c r="J242" s="1010"/>
      <c r="K242" s="978"/>
      <c r="L242" s="391"/>
      <c r="M242" s="978"/>
      <c r="N242" s="391"/>
      <c r="O242" s="391"/>
      <c r="P242" s="391"/>
      <c r="Q242" s="391"/>
      <c r="R242" s="391"/>
    </row>
    <row r="243" spans="1:18">
      <c r="A243" s="978"/>
      <c r="B243" s="1009"/>
      <c r="C243" s="391"/>
      <c r="D243" s="391"/>
      <c r="E243" s="391"/>
      <c r="F243" s="391"/>
      <c r="G243" s="391"/>
      <c r="H243" s="391"/>
      <c r="I243" s="391"/>
      <c r="J243" s="1010"/>
      <c r="K243" s="978"/>
      <c r="L243" s="391"/>
      <c r="M243" s="978"/>
      <c r="N243" s="391"/>
      <c r="O243" s="391"/>
      <c r="P243" s="391"/>
      <c r="Q243" s="391"/>
      <c r="R243" s="391"/>
    </row>
    <row r="244" spans="1:18">
      <c r="A244" s="978"/>
      <c r="B244" s="1009"/>
      <c r="C244" s="391"/>
      <c r="D244" s="391"/>
      <c r="E244" s="391"/>
      <c r="F244" s="391"/>
      <c r="G244" s="391"/>
      <c r="H244" s="391"/>
      <c r="I244" s="391"/>
      <c r="J244" s="1010"/>
      <c r="K244" s="978"/>
      <c r="L244" s="391"/>
      <c r="M244" s="978"/>
      <c r="N244" s="391"/>
      <c r="O244" s="391"/>
      <c r="P244" s="391"/>
      <c r="Q244" s="391"/>
      <c r="R244" s="391"/>
    </row>
    <row r="245" spans="1:18">
      <c r="A245" s="978"/>
      <c r="B245" s="1009"/>
      <c r="C245" s="391"/>
      <c r="D245" s="391"/>
      <c r="E245" s="391"/>
      <c r="F245" s="391"/>
      <c r="G245" s="391"/>
      <c r="H245" s="391"/>
      <c r="I245" s="391"/>
      <c r="J245" s="1010"/>
      <c r="K245" s="978"/>
      <c r="L245" s="391"/>
      <c r="M245" s="978"/>
      <c r="N245" s="391"/>
      <c r="O245" s="391"/>
      <c r="P245" s="391"/>
      <c r="Q245" s="391"/>
      <c r="R245" s="391"/>
    </row>
    <row r="246" spans="1:18">
      <c r="A246" s="978"/>
      <c r="B246" s="1009"/>
      <c r="C246" s="391"/>
      <c r="D246" s="391"/>
      <c r="E246" s="391"/>
      <c r="F246" s="391"/>
      <c r="G246" s="391"/>
      <c r="H246" s="391"/>
      <c r="I246" s="391"/>
      <c r="J246" s="1010"/>
      <c r="K246" s="978"/>
      <c r="L246" s="391"/>
      <c r="M246" s="978"/>
      <c r="N246" s="391"/>
      <c r="O246" s="391"/>
      <c r="P246" s="391"/>
      <c r="Q246" s="391"/>
      <c r="R246" s="391"/>
    </row>
    <row r="247" spans="1:18">
      <c r="A247" s="978"/>
      <c r="B247" s="1009"/>
      <c r="C247" s="391"/>
      <c r="D247" s="391"/>
      <c r="E247" s="391"/>
      <c r="F247" s="391"/>
      <c r="G247" s="391"/>
      <c r="H247" s="391"/>
      <c r="I247" s="391"/>
      <c r="J247" s="1010"/>
      <c r="K247" s="978"/>
      <c r="L247" s="391"/>
      <c r="M247" s="978"/>
      <c r="N247" s="391"/>
      <c r="O247" s="391"/>
      <c r="P247" s="391"/>
      <c r="Q247" s="391"/>
      <c r="R247" s="391"/>
    </row>
    <row r="248" spans="1:18">
      <c r="A248" s="978"/>
      <c r="B248" s="1009"/>
      <c r="C248" s="391"/>
      <c r="D248" s="391"/>
      <c r="E248" s="391"/>
      <c r="F248" s="391"/>
      <c r="G248" s="391"/>
      <c r="H248" s="391"/>
      <c r="I248" s="391"/>
      <c r="J248" s="1010"/>
      <c r="K248" s="978"/>
      <c r="L248" s="391"/>
      <c r="M248" s="978"/>
      <c r="N248" s="391"/>
      <c r="O248" s="391"/>
      <c r="P248" s="391"/>
      <c r="Q248" s="391"/>
      <c r="R248" s="391"/>
    </row>
    <row r="249" spans="1:18">
      <c r="A249" s="978"/>
      <c r="B249" s="1009"/>
      <c r="C249" s="391"/>
      <c r="D249" s="391"/>
      <c r="E249" s="391"/>
      <c r="F249" s="391"/>
      <c r="G249" s="391"/>
      <c r="H249" s="391"/>
      <c r="I249" s="391"/>
      <c r="J249" s="1010"/>
      <c r="K249" s="978"/>
      <c r="L249" s="391"/>
      <c r="M249" s="978"/>
      <c r="N249" s="391"/>
      <c r="O249" s="391"/>
      <c r="P249" s="391"/>
      <c r="Q249" s="391"/>
      <c r="R249" s="391"/>
    </row>
    <row r="250" spans="1:18">
      <c r="A250" s="978"/>
      <c r="B250" s="1009"/>
      <c r="C250" s="391"/>
      <c r="D250" s="391"/>
      <c r="E250" s="391"/>
      <c r="F250" s="391"/>
      <c r="G250" s="391"/>
      <c r="H250" s="391"/>
      <c r="I250" s="391"/>
      <c r="J250" s="1010"/>
      <c r="K250" s="978"/>
      <c r="L250" s="391"/>
      <c r="M250" s="978"/>
      <c r="N250" s="391"/>
      <c r="O250" s="391"/>
      <c r="P250" s="391"/>
      <c r="Q250" s="391"/>
      <c r="R250" s="391"/>
    </row>
    <row r="251" spans="1:18">
      <c r="A251" s="978"/>
      <c r="B251" s="1009"/>
      <c r="C251" s="391"/>
      <c r="D251" s="391"/>
      <c r="E251" s="391"/>
      <c r="F251" s="391"/>
      <c r="G251" s="391"/>
      <c r="H251" s="391"/>
      <c r="I251" s="391"/>
      <c r="J251" s="1010"/>
      <c r="K251" s="978"/>
      <c r="L251" s="391"/>
      <c r="M251" s="978"/>
      <c r="N251" s="391"/>
      <c r="O251" s="391"/>
      <c r="P251" s="391"/>
      <c r="Q251" s="391"/>
      <c r="R251" s="391"/>
    </row>
    <row r="252" spans="1:18">
      <c r="A252" s="978"/>
      <c r="B252" s="1009"/>
      <c r="C252" s="391"/>
      <c r="D252" s="391"/>
      <c r="E252" s="391"/>
      <c r="F252" s="391"/>
      <c r="G252" s="391"/>
      <c r="H252" s="391"/>
      <c r="I252" s="391"/>
      <c r="J252" s="1010"/>
      <c r="K252" s="978"/>
      <c r="L252" s="391"/>
      <c r="M252" s="978"/>
      <c r="N252" s="391"/>
      <c r="O252" s="391"/>
      <c r="P252" s="391"/>
      <c r="Q252" s="391"/>
      <c r="R252" s="391"/>
    </row>
    <row r="253" spans="1:18">
      <c r="A253" s="978"/>
      <c r="B253" s="1009"/>
      <c r="C253" s="391"/>
      <c r="D253" s="391"/>
      <c r="E253" s="391"/>
      <c r="F253" s="391"/>
      <c r="G253" s="391"/>
      <c r="H253" s="391"/>
      <c r="I253" s="391"/>
      <c r="J253" s="1010"/>
      <c r="K253" s="978"/>
      <c r="L253" s="391"/>
      <c r="M253" s="978"/>
      <c r="N253" s="391"/>
      <c r="O253" s="391"/>
      <c r="P253" s="391"/>
      <c r="Q253" s="391"/>
      <c r="R253" s="391"/>
    </row>
    <row r="254" spans="1:18">
      <c r="A254" s="978"/>
      <c r="B254" s="1009"/>
      <c r="C254" s="391"/>
      <c r="D254" s="391"/>
      <c r="E254" s="391"/>
      <c r="F254" s="391"/>
      <c r="G254" s="391"/>
      <c r="H254" s="391"/>
      <c r="I254" s="391"/>
      <c r="J254" s="1010"/>
      <c r="K254" s="978"/>
      <c r="L254" s="391"/>
      <c r="M254" s="978"/>
      <c r="N254" s="391"/>
      <c r="O254" s="391"/>
      <c r="P254" s="391"/>
      <c r="Q254" s="391"/>
      <c r="R254" s="391"/>
    </row>
    <row r="255" spans="1:18">
      <c r="A255" s="978"/>
      <c r="B255" s="1009"/>
      <c r="C255" s="391"/>
      <c r="D255" s="391"/>
      <c r="E255" s="391"/>
      <c r="F255" s="391"/>
      <c r="G255" s="391"/>
      <c r="H255" s="391"/>
      <c r="I255" s="391"/>
      <c r="J255" s="1010"/>
      <c r="K255" s="978"/>
      <c r="L255" s="391"/>
      <c r="M255" s="978"/>
      <c r="N255" s="391"/>
      <c r="O255" s="391"/>
      <c r="P255" s="391"/>
      <c r="Q255" s="391"/>
      <c r="R255" s="391"/>
    </row>
    <row r="256" spans="1:18">
      <c r="A256" s="978"/>
      <c r="B256" s="1009"/>
      <c r="C256" s="391"/>
      <c r="D256" s="391"/>
      <c r="E256" s="391"/>
      <c r="F256" s="391"/>
      <c r="G256" s="391"/>
      <c r="H256" s="391"/>
      <c r="I256" s="391"/>
      <c r="J256" s="1010"/>
      <c r="K256" s="978"/>
      <c r="L256" s="391"/>
      <c r="M256" s="978"/>
      <c r="N256" s="391"/>
      <c r="O256" s="391"/>
      <c r="P256" s="391"/>
      <c r="Q256" s="391"/>
      <c r="R256" s="391"/>
    </row>
    <row r="257" spans="1:18">
      <c r="A257" s="978"/>
      <c r="B257" s="1009"/>
      <c r="C257" s="391"/>
      <c r="D257" s="391"/>
      <c r="E257" s="391"/>
      <c r="F257" s="391"/>
      <c r="G257" s="391"/>
      <c r="H257" s="391"/>
      <c r="I257" s="391"/>
      <c r="J257" s="1010"/>
      <c r="K257" s="978"/>
      <c r="L257" s="391"/>
      <c r="M257" s="978"/>
      <c r="N257" s="391"/>
      <c r="O257" s="391"/>
      <c r="P257" s="391"/>
      <c r="Q257" s="391"/>
      <c r="R257" s="391"/>
    </row>
    <row r="258" spans="1:18">
      <c r="A258" s="978"/>
      <c r="B258" s="1009"/>
      <c r="C258" s="391"/>
      <c r="D258" s="391"/>
      <c r="E258" s="391"/>
      <c r="F258" s="391"/>
      <c r="G258" s="391"/>
      <c r="H258" s="391"/>
      <c r="I258" s="391"/>
      <c r="J258" s="1010"/>
      <c r="K258" s="978"/>
      <c r="L258" s="391"/>
      <c r="M258" s="978"/>
      <c r="N258" s="391"/>
      <c r="O258" s="391"/>
      <c r="P258" s="391"/>
      <c r="Q258" s="391"/>
      <c r="R258" s="391"/>
    </row>
    <row r="259" spans="1:18">
      <c r="A259" s="978"/>
      <c r="B259" s="1009"/>
      <c r="C259" s="391"/>
      <c r="D259" s="391"/>
      <c r="E259" s="391"/>
      <c r="F259" s="391"/>
      <c r="G259" s="391"/>
      <c r="H259" s="391"/>
      <c r="I259" s="391"/>
      <c r="J259" s="1010"/>
      <c r="K259" s="978"/>
      <c r="L259" s="391"/>
      <c r="M259" s="978"/>
      <c r="N259" s="391"/>
      <c r="O259" s="391"/>
      <c r="P259" s="391"/>
      <c r="Q259" s="391"/>
      <c r="R259" s="391"/>
    </row>
    <row r="260" spans="1:18">
      <c r="A260" s="978"/>
      <c r="B260" s="1009"/>
      <c r="C260" s="391"/>
      <c r="D260" s="391"/>
      <c r="E260" s="391"/>
      <c r="F260" s="391"/>
      <c r="G260" s="391"/>
      <c r="H260" s="391"/>
      <c r="I260" s="391"/>
      <c r="J260" s="1010"/>
      <c r="K260" s="978"/>
      <c r="L260" s="391"/>
      <c r="M260" s="978"/>
      <c r="N260" s="391"/>
      <c r="O260" s="391"/>
      <c r="P260" s="391"/>
      <c r="Q260" s="391"/>
      <c r="R260" s="391"/>
    </row>
    <row r="261" spans="1:18">
      <c r="A261" s="978"/>
      <c r="B261" s="1009"/>
      <c r="C261" s="391"/>
      <c r="D261" s="391"/>
      <c r="E261" s="391"/>
      <c r="F261" s="391"/>
      <c r="G261" s="391"/>
      <c r="H261" s="391"/>
      <c r="I261" s="391"/>
      <c r="J261" s="1010"/>
      <c r="K261" s="978"/>
      <c r="L261" s="391"/>
      <c r="M261" s="978"/>
      <c r="N261" s="391"/>
      <c r="O261" s="391"/>
      <c r="P261" s="391"/>
      <c r="Q261" s="391"/>
      <c r="R261" s="391"/>
    </row>
    <row r="262" spans="1:18">
      <c r="A262" s="978"/>
      <c r="B262" s="1009"/>
      <c r="C262" s="391"/>
      <c r="D262" s="391"/>
      <c r="E262" s="391"/>
      <c r="F262" s="391"/>
      <c r="G262" s="391"/>
      <c r="H262" s="391"/>
      <c r="I262" s="391"/>
      <c r="J262" s="1010"/>
      <c r="K262" s="978"/>
      <c r="L262" s="391"/>
      <c r="M262" s="978"/>
      <c r="N262" s="391"/>
      <c r="O262" s="391"/>
      <c r="P262" s="391"/>
      <c r="Q262" s="391"/>
      <c r="R262" s="391"/>
    </row>
    <row r="263" spans="1:18">
      <c r="A263" s="978"/>
      <c r="B263" s="1009"/>
      <c r="C263" s="391"/>
      <c r="D263" s="391"/>
      <c r="E263" s="391"/>
      <c r="F263" s="391"/>
      <c r="G263" s="391"/>
      <c r="H263" s="391"/>
      <c r="I263" s="391"/>
      <c r="J263" s="1010"/>
      <c r="K263" s="978"/>
      <c r="L263" s="391"/>
      <c r="M263" s="978"/>
      <c r="N263" s="391"/>
      <c r="O263" s="391"/>
      <c r="P263" s="391"/>
      <c r="Q263" s="391"/>
      <c r="R263" s="391"/>
    </row>
    <row r="264" spans="1:18">
      <c r="A264" s="978"/>
      <c r="B264" s="1009"/>
      <c r="C264" s="391"/>
      <c r="D264" s="391"/>
      <c r="E264" s="391"/>
      <c r="F264" s="391"/>
      <c r="G264" s="391"/>
      <c r="H264" s="391"/>
      <c r="I264" s="391"/>
      <c r="J264" s="1010"/>
      <c r="K264" s="978"/>
      <c r="L264" s="391"/>
      <c r="M264" s="978"/>
      <c r="N264" s="391"/>
      <c r="O264" s="391"/>
      <c r="P264" s="391"/>
      <c r="Q264" s="391"/>
      <c r="R264" s="391"/>
    </row>
    <row r="265" spans="1:18">
      <c r="A265" s="978"/>
      <c r="B265" s="1009"/>
      <c r="C265" s="391"/>
      <c r="D265" s="391"/>
      <c r="E265" s="391"/>
      <c r="F265" s="391"/>
      <c r="G265" s="391"/>
      <c r="H265" s="391"/>
      <c r="I265" s="391"/>
      <c r="J265" s="1010"/>
      <c r="K265" s="978"/>
      <c r="L265" s="391"/>
      <c r="M265" s="978"/>
      <c r="N265" s="391"/>
      <c r="O265" s="391"/>
      <c r="P265" s="391"/>
      <c r="Q265" s="391"/>
      <c r="R265" s="391"/>
    </row>
    <row r="266" spans="1:18">
      <c r="A266" s="978"/>
      <c r="B266" s="1009"/>
      <c r="C266" s="391"/>
      <c r="D266" s="391"/>
      <c r="E266" s="391"/>
      <c r="F266" s="391"/>
      <c r="G266" s="391"/>
      <c r="H266" s="391"/>
      <c r="I266" s="391"/>
      <c r="J266" s="1010"/>
      <c r="K266" s="978"/>
      <c r="L266" s="391"/>
      <c r="M266" s="978"/>
      <c r="N266" s="391"/>
      <c r="O266" s="391"/>
      <c r="P266" s="391"/>
      <c r="Q266" s="391"/>
      <c r="R266" s="391"/>
    </row>
    <row r="267" spans="1:18">
      <c r="A267" s="978"/>
      <c r="B267" s="1009"/>
      <c r="C267" s="391"/>
      <c r="D267" s="391"/>
      <c r="E267" s="391"/>
      <c r="F267" s="391"/>
      <c r="G267" s="391"/>
      <c r="H267" s="391"/>
      <c r="I267" s="391"/>
      <c r="J267" s="1010"/>
      <c r="K267" s="978"/>
      <c r="L267" s="391"/>
      <c r="M267" s="978"/>
      <c r="N267" s="391"/>
      <c r="O267" s="391"/>
      <c r="P267" s="391"/>
      <c r="Q267" s="391"/>
      <c r="R267" s="391"/>
    </row>
    <row r="268" spans="1:18">
      <c r="A268" s="978"/>
      <c r="B268" s="1009"/>
      <c r="C268" s="391"/>
      <c r="D268" s="391"/>
      <c r="E268" s="391"/>
      <c r="F268" s="391"/>
      <c r="G268" s="391"/>
      <c r="H268" s="391"/>
      <c r="I268" s="391"/>
      <c r="J268" s="1010"/>
      <c r="K268" s="978"/>
      <c r="L268" s="391"/>
      <c r="M268" s="978"/>
      <c r="N268" s="391"/>
      <c r="O268" s="391"/>
      <c r="P268" s="391"/>
      <c r="Q268" s="391"/>
      <c r="R268" s="391"/>
    </row>
    <row r="269" spans="1:18">
      <c r="A269" s="978"/>
      <c r="B269" s="1009"/>
      <c r="C269" s="391"/>
      <c r="D269" s="391"/>
      <c r="E269" s="391"/>
      <c r="F269" s="391"/>
      <c r="G269" s="391"/>
      <c r="H269" s="391"/>
      <c r="I269" s="391"/>
      <c r="J269" s="1010"/>
      <c r="K269" s="978"/>
      <c r="L269" s="391"/>
      <c r="M269" s="978"/>
      <c r="N269" s="391"/>
      <c r="O269" s="391"/>
      <c r="P269" s="391"/>
      <c r="Q269" s="391"/>
      <c r="R269" s="391"/>
    </row>
    <row r="270" spans="1:18">
      <c r="A270" s="978"/>
      <c r="B270" s="1009"/>
      <c r="C270" s="391"/>
      <c r="D270" s="391"/>
      <c r="E270" s="391"/>
      <c r="F270" s="391"/>
      <c r="G270" s="391"/>
      <c r="H270" s="391"/>
      <c r="I270" s="391"/>
      <c r="J270" s="1010"/>
      <c r="K270" s="978"/>
      <c r="L270" s="391"/>
      <c r="M270" s="978"/>
      <c r="N270" s="391"/>
      <c r="O270" s="391"/>
      <c r="P270" s="391"/>
      <c r="Q270" s="391"/>
      <c r="R270" s="391"/>
    </row>
    <row r="271" spans="1:18">
      <c r="A271" s="978"/>
      <c r="B271" s="1009"/>
      <c r="C271" s="391"/>
      <c r="D271" s="391"/>
      <c r="E271" s="391"/>
      <c r="F271" s="391"/>
      <c r="G271" s="391"/>
      <c r="H271" s="391"/>
      <c r="I271" s="391"/>
      <c r="J271" s="1010"/>
      <c r="K271" s="978"/>
      <c r="L271" s="391"/>
      <c r="M271" s="978"/>
      <c r="N271" s="391"/>
      <c r="O271" s="391"/>
      <c r="P271" s="391"/>
      <c r="Q271" s="391"/>
      <c r="R271" s="391"/>
    </row>
    <row r="272" spans="1:18">
      <c r="A272" s="978"/>
      <c r="B272" s="1009"/>
      <c r="C272" s="391"/>
      <c r="D272" s="391"/>
      <c r="E272" s="391"/>
      <c r="F272" s="391"/>
      <c r="G272" s="391"/>
      <c r="H272" s="391"/>
      <c r="I272" s="391"/>
      <c r="J272" s="1010"/>
      <c r="K272" s="978"/>
      <c r="L272" s="391"/>
      <c r="M272" s="978"/>
      <c r="N272" s="391"/>
      <c r="O272" s="391"/>
      <c r="P272" s="391"/>
      <c r="Q272" s="391"/>
      <c r="R272" s="391"/>
    </row>
    <row r="273" spans="1:18">
      <c r="A273" s="978"/>
      <c r="B273" s="1009"/>
      <c r="C273" s="391"/>
      <c r="D273" s="391"/>
      <c r="E273" s="391"/>
      <c r="F273" s="391"/>
      <c r="G273" s="391"/>
      <c r="H273" s="391"/>
      <c r="I273" s="391"/>
      <c r="J273" s="1010"/>
      <c r="K273" s="978"/>
      <c r="L273" s="391"/>
      <c r="M273" s="978"/>
      <c r="N273" s="391"/>
      <c r="O273" s="391"/>
      <c r="P273" s="391"/>
      <c r="Q273" s="391"/>
      <c r="R273" s="391"/>
    </row>
    <row r="274" spans="1:18">
      <c r="A274" s="978"/>
      <c r="B274" s="1009"/>
      <c r="C274" s="391"/>
      <c r="D274" s="391"/>
      <c r="E274" s="391"/>
      <c r="F274" s="391"/>
      <c r="G274" s="391"/>
      <c r="H274" s="391"/>
      <c r="I274" s="391"/>
      <c r="J274" s="1010"/>
      <c r="K274" s="978"/>
      <c r="L274" s="391"/>
      <c r="M274" s="978"/>
      <c r="N274" s="391"/>
      <c r="O274" s="391"/>
      <c r="P274" s="391"/>
      <c r="Q274" s="391"/>
      <c r="R274" s="391"/>
    </row>
    <row r="275" spans="1:18">
      <c r="A275" s="978"/>
      <c r="B275" s="1009"/>
      <c r="C275" s="391"/>
      <c r="D275" s="391"/>
      <c r="E275" s="391"/>
      <c r="F275" s="391"/>
      <c r="G275" s="391"/>
      <c r="H275" s="391"/>
      <c r="I275" s="391"/>
      <c r="J275" s="1010"/>
      <c r="K275" s="978"/>
      <c r="L275" s="391"/>
      <c r="M275" s="978"/>
      <c r="N275" s="391"/>
      <c r="O275" s="391"/>
      <c r="P275" s="391"/>
      <c r="Q275" s="391"/>
      <c r="R275" s="391"/>
    </row>
    <row r="276" spans="1:18">
      <c r="A276" s="978"/>
      <c r="B276" s="1009"/>
      <c r="C276" s="391"/>
      <c r="D276" s="391"/>
      <c r="E276" s="391"/>
      <c r="F276" s="391"/>
      <c r="G276" s="391"/>
      <c r="H276" s="391"/>
      <c r="I276" s="391"/>
      <c r="J276" s="1010"/>
      <c r="K276" s="978"/>
      <c r="L276" s="391"/>
      <c r="M276" s="978"/>
      <c r="N276" s="391"/>
      <c r="O276" s="391"/>
      <c r="P276" s="391"/>
      <c r="Q276" s="391"/>
      <c r="R276" s="391"/>
    </row>
    <row r="277" spans="1:18">
      <c r="A277" s="978"/>
      <c r="B277" s="1009"/>
      <c r="C277" s="391"/>
      <c r="D277" s="391"/>
      <c r="E277" s="391"/>
      <c r="F277" s="391"/>
      <c r="G277" s="391"/>
      <c r="H277" s="391"/>
      <c r="I277" s="391"/>
      <c r="J277" s="1010"/>
      <c r="K277" s="978"/>
      <c r="L277" s="391"/>
      <c r="M277" s="978"/>
      <c r="N277" s="391"/>
      <c r="O277" s="391"/>
      <c r="P277" s="391"/>
      <c r="Q277" s="391"/>
      <c r="R277" s="391"/>
    </row>
    <row r="278" spans="1:18">
      <c r="A278" s="978"/>
      <c r="B278" s="1009"/>
      <c r="C278" s="391"/>
      <c r="D278" s="391"/>
      <c r="E278" s="391"/>
      <c r="F278" s="391"/>
      <c r="G278" s="391"/>
      <c r="H278" s="391"/>
      <c r="I278" s="391"/>
      <c r="J278" s="1010"/>
      <c r="K278" s="978"/>
      <c r="L278" s="391"/>
      <c r="M278" s="978"/>
      <c r="N278" s="391"/>
      <c r="O278" s="391"/>
      <c r="P278" s="391"/>
      <c r="Q278" s="391"/>
      <c r="R278" s="391"/>
    </row>
    <row r="279" spans="1:18">
      <c r="A279" s="978"/>
      <c r="B279" s="1009"/>
      <c r="C279" s="391"/>
      <c r="D279" s="391"/>
      <c r="E279" s="391"/>
      <c r="F279" s="391"/>
      <c r="G279" s="391"/>
      <c r="H279" s="391"/>
      <c r="I279" s="391"/>
      <c r="J279" s="1010"/>
      <c r="K279" s="978"/>
      <c r="L279" s="391"/>
      <c r="M279" s="978"/>
      <c r="N279" s="391"/>
      <c r="O279" s="391"/>
      <c r="P279" s="391"/>
      <c r="Q279" s="391"/>
      <c r="R279" s="391"/>
    </row>
    <row r="280" spans="1:18">
      <c r="A280" s="978"/>
      <c r="B280" s="1009"/>
      <c r="C280" s="391"/>
      <c r="D280" s="391"/>
      <c r="E280" s="391"/>
      <c r="F280" s="391"/>
      <c r="G280" s="391"/>
      <c r="H280" s="391"/>
      <c r="I280" s="391"/>
      <c r="J280" s="1010"/>
      <c r="K280" s="978"/>
      <c r="L280" s="391"/>
      <c r="M280" s="978"/>
      <c r="N280" s="391"/>
      <c r="O280" s="391"/>
      <c r="P280" s="391"/>
      <c r="Q280" s="391"/>
      <c r="R280" s="391"/>
    </row>
    <row r="281" spans="1:18">
      <c r="A281" s="978"/>
      <c r="B281" s="1009"/>
      <c r="C281" s="391"/>
      <c r="D281" s="391"/>
      <c r="E281" s="391"/>
      <c r="F281" s="391"/>
      <c r="G281" s="391"/>
      <c r="H281" s="391"/>
      <c r="I281" s="391"/>
      <c r="J281" s="1010"/>
      <c r="K281" s="978"/>
      <c r="L281" s="391"/>
      <c r="M281" s="978"/>
      <c r="N281" s="391"/>
      <c r="O281" s="391"/>
      <c r="P281" s="391"/>
      <c r="Q281" s="391"/>
      <c r="R281" s="391"/>
    </row>
    <row r="282" spans="1:18">
      <c r="A282" s="978"/>
      <c r="B282" s="1009"/>
      <c r="C282" s="391"/>
      <c r="D282" s="391"/>
      <c r="E282" s="391"/>
      <c r="F282" s="391"/>
      <c r="G282" s="391"/>
      <c r="H282" s="391"/>
      <c r="I282" s="391"/>
      <c r="J282" s="1010"/>
      <c r="K282" s="978"/>
      <c r="L282" s="391"/>
      <c r="M282" s="978"/>
      <c r="N282" s="391"/>
      <c r="O282" s="391"/>
      <c r="P282" s="391"/>
      <c r="Q282" s="391"/>
      <c r="R282" s="391"/>
    </row>
    <row r="283" spans="1:18">
      <c r="A283" s="978"/>
      <c r="B283" s="1009"/>
      <c r="C283" s="391"/>
      <c r="D283" s="391"/>
      <c r="E283" s="391"/>
      <c r="F283" s="391"/>
      <c r="G283" s="391"/>
      <c r="H283" s="391"/>
      <c r="I283" s="391"/>
      <c r="J283" s="1010"/>
      <c r="K283" s="978"/>
      <c r="L283" s="391"/>
      <c r="M283" s="978"/>
      <c r="N283" s="391"/>
      <c r="O283" s="391"/>
      <c r="P283" s="391"/>
      <c r="Q283" s="391"/>
      <c r="R283" s="391"/>
    </row>
    <row r="284" spans="1:18">
      <c r="A284" s="978"/>
      <c r="B284" s="1009"/>
      <c r="C284" s="391"/>
      <c r="D284" s="391"/>
      <c r="E284" s="391"/>
      <c r="F284" s="391"/>
      <c r="G284" s="391"/>
      <c r="H284" s="391"/>
      <c r="I284" s="391"/>
      <c r="J284" s="1010"/>
      <c r="K284" s="978"/>
      <c r="L284" s="391"/>
      <c r="M284" s="978"/>
      <c r="N284" s="391"/>
      <c r="O284" s="391"/>
      <c r="P284" s="391"/>
      <c r="Q284" s="391"/>
      <c r="R284" s="391"/>
    </row>
    <row r="285" spans="1:18">
      <c r="A285" s="978"/>
      <c r="B285" s="1009"/>
      <c r="C285" s="391"/>
      <c r="D285" s="391"/>
      <c r="E285" s="391"/>
      <c r="F285" s="391"/>
      <c r="G285" s="391"/>
      <c r="H285" s="391"/>
      <c r="I285" s="391"/>
      <c r="J285" s="1010"/>
      <c r="K285" s="978"/>
      <c r="L285" s="391"/>
      <c r="M285" s="978"/>
      <c r="N285" s="391"/>
      <c r="O285" s="391"/>
      <c r="P285" s="391"/>
      <c r="Q285" s="391"/>
      <c r="R285" s="391"/>
    </row>
    <row r="286" spans="1:18">
      <c r="A286" s="978"/>
      <c r="B286" s="1009"/>
      <c r="C286" s="391"/>
      <c r="D286" s="391"/>
      <c r="E286" s="391"/>
      <c r="F286" s="391"/>
      <c r="G286" s="391"/>
      <c r="H286" s="391"/>
      <c r="I286" s="391"/>
      <c r="J286" s="1010"/>
      <c r="K286" s="978"/>
      <c r="L286" s="391"/>
      <c r="M286" s="978"/>
      <c r="N286" s="391"/>
      <c r="O286" s="391"/>
      <c r="P286" s="391"/>
      <c r="Q286" s="391"/>
      <c r="R286" s="391"/>
    </row>
    <row r="287" spans="1:18">
      <c r="A287" s="978"/>
      <c r="B287" s="1009"/>
      <c r="C287" s="391"/>
      <c r="D287" s="391"/>
      <c r="E287" s="391"/>
      <c r="F287" s="391"/>
      <c r="G287" s="391"/>
      <c r="H287" s="391"/>
      <c r="I287" s="391"/>
      <c r="J287" s="1010"/>
      <c r="K287" s="978"/>
      <c r="L287" s="391"/>
      <c r="M287" s="978"/>
      <c r="N287" s="391"/>
      <c r="O287" s="391"/>
      <c r="P287" s="391"/>
      <c r="Q287" s="391"/>
      <c r="R287" s="391"/>
    </row>
    <row r="288" spans="1:18">
      <c r="A288" s="978"/>
      <c r="B288" s="1009"/>
      <c r="C288" s="391"/>
      <c r="D288" s="391"/>
      <c r="E288" s="391"/>
      <c r="F288" s="391"/>
      <c r="G288" s="391"/>
      <c r="H288" s="391"/>
      <c r="I288" s="391"/>
      <c r="J288" s="1010"/>
      <c r="K288" s="978"/>
      <c r="L288" s="391"/>
      <c r="M288" s="978"/>
      <c r="N288" s="391"/>
      <c r="O288" s="391"/>
      <c r="P288" s="391"/>
      <c r="Q288" s="391"/>
      <c r="R288" s="391"/>
    </row>
    <row r="289" spans="1:18">
      <c r="A289" s="978"/>
      <c r="B289" s="1009"/>
      <c r="C289" s="391"/>
      <c r="D289" s="391"/>
      <c r="E289" s="391"/>
      <c r="F289" s="391"/>
      <c r="G289" s="391"/>
      <c r="H289" s="391"/>
      <c r="I289" s="391"/>
      <c r="J289" s="1010"/>
      <c r="K289" s="978"/>
      <c r="L289" s="391"/>
      <c r="M289" s="978"/>
      <c r="N289" s="391"/>
      <c r="O289" s="391"/>
      <c r="P289" s="391"/>
      <c r="Q289" s="391"/>
      <c r="R289" s="391"/>
    </row>
    <row r="290" spans="1:18">
      <c r="A290" s="978"/>
      <c r="B290" s="1009"/>
      <c r="C290" s="391"/>
      <c r="D290" s="391"/>
      <c r="E290" s="391"/>
      <c r="F290" s="391"/>
      <c r="G290" s="391"/>
      <c r="H290" s="391"/>
      <c r="I290" s="391"/>
      <c r="J290" s="1010"/>
      <c r="K290" s="978"/>
      <c r="L290" s="391"/>
      <c r="M290" s="978"/>
      <c r="N290" s="391"/>
      <c r="O290" s="391"/>
      <c r="P290" s="391"/>
      <c r="Q290" s="391"/>
      <c r="R290" s="391"/>
    </row>
    <row r="291" spans="1:18">
      <c r="A291" s="978"/>
      <c r="B291" s="1009"/>
      <c r="C291" s="391"/>
      <c r="D291" s="391"/>
      <c r="E291" s="391"/>
      <c r="F291" s="391"/>
      <c r="G291" s="391"/>
      <c r="H291" s="391"/>
      <c r="I291" s="391"/>
      <c r="J291" s="1010"/>
      <c r="K291" s="978"/>
      <c r="L291" s="391"/>
      <c r="M291" s="978"/>
      <c r="N291" s="391"/>
      <c r="O291" s="391"/>
      <c r="P291" s="391"/>
      <c r="Q291" s="391"/>
      <c r="R291" s="391"/>
    </row>
    <row r="292" spans="1:18">
      <c r="A292" s="978"/>
      <c r="B292" s="1009"/>
      <c r="C292" s="391"/>
      <c r="D292" s="391"/>
      <c r="E292" s="391"/>
      <c r="F292" s="391"/>
      <c r="G292" s="391"/>
      <c r="H292" s="391"/>
      <c r="I292" s="391"/>
      <c r="J292" s="1010"/>
      <c r="K292" s="978"/>
      <c r="L292" s="391"/>
      <c r="M292" s="978"/>
      <c r="N292" s="391"/>
      <c r="O292" s="391"/>
      <c r="P292" s="391"/>
      <c r="Q292" s="391"/>
      <c r="R292" s="391"/>
    </row>
    <row r="293" spans="1:18">
      <c r="A293" s="978"/>
      <c r="B293" s="1009"/>
      <c r="C293" s="391"/>
      <c r="D293" s="391"/>
      <c r="E293" s="391"/>
      <c r="F293" s="391"/>
      <c r="G293" s="391"/>
      <c r="H293" s="391"/>
      <c r="I293" s="391"/>
      <c r="J293" s="1010"/>
      <c r="K293" s="978"/>
      <c r="L293" s="391"/>
      <c r="M293" s="978"/>
      <c r="N293" s="391"/>
      <c r="O293" s="391"/>
      <c r="P293" s="391"/>
      <c r="Q293" s="391"/>
      <c r="R293" s="391"/>
    </row>
    <row r="294" spans="1:18">
      <c r="A294" s="978"/>
      <c r="B294" s="1009"/>
      <c r="C294" s="391"/>
      <c r="D294" s="391"/>
      <c r="E294" s="391"/>
      <c r="F294" s="391"/>
      <c r="G294" s="391"/>
      <c r="H294" s="391"/>
      <c r="I294" s="391"/>
      <c r="J294" s="1010"/>
      <c r="K294" s="978"/>
      <c r="L294" s="391"/>
      <c r="M294" s="978"/>
      <c r="N294" s="391"/>
      <c r="O294" s="391"/>
      <c r="P294" s="391"/>
      <c r="Q294" s="391"/>
      <c r="R294" s="391"/>
    </row>
    <row r="295" spans="1:18">
      <c r="A295" s="978"/>
      <c r="B295" s="1009"/>
      <c r="C295" s="391"/>
      <c r="D295" s="391"/>
      <c r="E295" s="391"/>
      <c r="F295" s="391"/>
      <c r="G295" s="391"/>
      <c r="H295" s="391"/>
      <c r="I295" s="391"/>
      <c r="J295" s="1010"/>
      <c r="K295" s="978"/>
      <c r="L295" s="391"/>
      <c r="M295" s="978"/>
      <c r="N295" s="391"/>
      <c r="O295" s="391"/>
      <c r="P295" s="391"/>
      <c r="Q295" s="391"/>
      <c r="R295" s="391"/>
    </row>
    <row r="296" spans="1:18">
      <c r="A296" s="978"/>
      <c r="B296" s="1009"/>
      <c r="C296" s="391"/>
      <c r="D296" s="391"/>
      <c r="E296" s="391"/>
      <c r="F296" s="391"/>
      <c r="G296" s="391"/>
      <c r="H296" s="391"/>
      <c r="I296" s="391"/>
      <c r="J296" s="1010"/>
      <c r="K296" s="978"/>
      <c r="L296" s="391"/>
      <c r="M296" s="978"/>
      <c r="N296" s="391"/>
      <c r="O296" s="391"/>
      <c r="P296" s="391"/>
      <c r="Q296" s="391"/>
      <c r="R296" s="391"/>
    </row>
    <row r="297" spans="1:18">
      <c r="A297" s="978"/>
      <c r="B297" s="1009"/>
      <c r="C297" s="391"/>
      <c r="D297" s="391"/>
      <c r="E297" s="391"/>
      <c r="F297" s="391"/>
      <c r="G297" s="391"/>
      <c r="H297" s="391"/>
      <c r="I297" s="391"/>
      <c r="J297" s="1010"/>
      <c r="K297" s="978"/>
      <c r="L297" s="391"/>
      <c r="M297" s="978"/>
      <c r="N297" s="391"/>
      <c r="O297" s="391"/>
      <c r="P297" s="391"/>
      <c r="Q297" s="391"/>
      <c r="R297" s="391"/>
    </row>
    <row r="298" spans="1:18">
      <c r="A298" s="978"/>
      <c r="B298" s="1009"/>
      <c r="C298" s="391"/>
      <c r="D298" s="391"/>
      <c r="E298" s="391"/>
      <c r="F298" s="391"/>
      <c r="G298" s="391"/>
      <c r="H298" s="391"/>
      <c r="I298" s="391"/>
      <c r="J298" s="1010"/>
      <c r="K298" s="978"/>
      <c r="L298" s="391"/>
      <c r="M298" s="978"/>
      <c r="N298" s="391"/>
      <c r="O298" s="391"/>
      <c r="P298" s="391"/>
      <c r="Q298" s="391"/>
      <c r="R298" s="391"/>
    </row>
    <row r="299" spans="1:18">
      <c r="A299" s="978"/>
      <c r="B299" s="1009"/>
      <c r="C299" s="391"/>
      <c r="D299" s="391"/>
      <c r="E299" s="391"/>
      <c r="F299" s="391"/>
      <c r="G299" s="391"/>
      <c r="H299" s="391"/>
      <c r="I299" s="391"/>
      <c r="J299" s="1010"/>
      <c r="K299" s="978"/>
      <c r="L299" s="391"/>
      <c r="M299" s="978"/>
      <c r="N299" s="391"/>
      <c r="O299" s="391"/>
      <c r="P299" s="391"/>
      <c r="Q299" s="391"/>
      <c r="R299" s="391"/>
    </row>
    <row r="300" spans="1:18">
      <c r="A300" s="978"/>
      <c r="B300" s="1009"/>
      <c r="C300" s="391"/>
      <c r="D300" s="391"/>
      <c r="E300" s="391"/>
      <c r="F300" s="391"/>
      <c r="G300" s="391"/>
      <c r="H300" s="391"/>
      <c r="I300" s="391"/>
      <c r="J300" s="1010"/>
      <c r="K300" s="978"/>
      <c r="L300" s="391"/>
      <c r="M300" s="978"/>
      <c r="N300" s="391"/>
      <c r="O300" s="391"/>
      <c r="P300" s="391"/>
      <c r="Q300" s="391"/>
      <c r="R300" s="391"/>
    </row>
    <row r="301" spans="1:18">
      <c r="A301" s="978"/>
      <c r="B301" s="1009"/>
      <c r="C301" s="391"/>
      <c r="D301" s="391"/>
      <c r="E301" s="391"/>
      <c r="F301" s="391"/>
      <c r="G301" s="391"/>
      <c r="H301" s="391"/>
      <c r="I301" s="391"/>
      <c r="J301" s="1010"/>
      <c r="K301" s="978"/>
      <c r="L301" s="391"/>
      <c r="M301" s="978"/>
      <c r="N301" s="391"/>
      <c r="O301" s="391"/>
      <c r="P301" s="391"/>
      <c r="Q301" s="391"/>
      <c r="R301" s="391"/>
    </row>
    <row r="302" spans="1:18">
      <c r="A302" s="978"/>
      <c r="B302" s="1009"/>
      <c r="C302" s="391"/>
      <c r="D302" s="391"/>
      <c r="E302" s="391"/>
      <c r="F302" s="391"/>
      <c r="G302" s="391"/>
      <c r="H302" s="391"/>
      <c r="I302" s="391"/>
      <c r="J302" s="1010"/>
      <c r="K302" s="978"/>
      <c r="L302" s="391"/>
      <c r="M302" s="978"/>
      <c r="N302" s="391"/>
      <c r="O302" s="391"/>
      <c r="P302" s="391"/>
      <c r="Q302" s="391"/>
      <c r="R302" s="391"/>
    </row>
    <row r="303" spans="1:18">
      <c r="A303" s="978"/>
      <c r="B303" s="1009"/>
      <c r="C303" s="391"/>
      <c r="D303" s="391"/>
      <c r="E303" s="391"/>
      <c r="F303" s="391"/>
      <c r="G303" s="391"/>
      <c r="H303" s="391"/>
      <c r="I303" s="391"/>
      <c r="J303" s="1010"/>
      <c r="K303" s="978"/>
      <c r="L303" s="391"/>
      <c r="M303" s="978"/>
      <c r="N303" s="391"/>
      <c r="O303" s="391"/>
      <c r="P303" s="391"/>
      <c r="Q303" s="391"/>
      <c r="R303" s="391"/>
    </row>
    <row r="304" spans="1:18">
      <c r="A304" s="978"/>
      <c r="B304" s="1009"/>
      <c r="C304" s="391"/>
      <c r="D304" s="391"/>
      <c r="E304" s="391"/>
      <c r="F304" s="391"/>
      <c r="G304" s="391"/>
      <c r="H304" s="391"/>
      <c r="I304" s="391"/>
      <c r="J304" s="1010"/>
      <c r="K304" s="978"/>
      <c r="L304" s="391"/>
      <c r="M304" s="978"/>
      <c r="N304" s="391"/>
      <c r="O304" s="391"/>
      <c r="P304" s="391"/>
      <c r="Q304" s="391"/>
      <c r="R304" s="391"/>
    </row>
    <row r="305" spans="1:18">
      <c r="A305" s="978"/>
      <c r="B305" s="1009"/>
      <c r="C305" s="391"/>
      <c r="D305" s="391"/>
      <c r="E305" s="391"/>
      <c r="F305" s="391"/>
      <c r="G305" s="391"/>
      <c r="H305" s="391"/>
      <c r="I305" s="391"/>
      <c r="J305" s="1010"/>
      <c r="K305" s="978"/>
      <c r="L305" s="391"/>
      <c r="M305" s="978"/>
      <c r="N305" s="391"/>
      <c r="O305" s="391"/>
      <c r="P305" s="391"/>
      <c r="Q305" s="391"/>
      <c r="R305" s="391"/>
    </row>
    <row r="306" spans="1:18">
      <c r="A306" s="978"/>
      <c r="B306" s="1009"/>
      <c r="C306" s="391"/>
      <c r="D306" s="391"/>
      <c r="E306" s="391"/>
      <c r="F306" s="391"/>
      <c r="G306" s="391"/>
      <c r="H306" s="391"/>
      <c r="I306" s="391"/>
      <c r="J306" s="1010"/>
      <c r="K306" s="978"/>
      <c r="L306" s="391"/>
      <c r="M306" s="978"/>
      <c r="N306" s="391"/>
      <c r="O306" s="391"/>
      <c r="P306" s="391"/>
      <c r="Q306" s="391"/>
      <c r="R306" s="391"/>
    </row>
    <row r="307" spans="1:18">
      <c r="A307" s="978"/>
      <c r="B307" s="1009"/>
      <c r="C307" s="391"/>
      <c r="D307" s="391"/>
      <c r="E307" s="391"/>
      <c r="F307" s="391"/>
      <c r="G307" s="391"/>
      <c r="H307" s="391"/>
      <c r="I307" s="391"/>
      <c r="J307" s="1010"/>
      <c r="K307" s="978"/>
      <c r="L307" s="391"/>
      <c r="M307" s="978"/>
      <c r="N307" s="391"/>
      <c r="O307" s="391"/>
      <c r="P307" s="391"/>
      <c r="Q307" s="391"/>
      <c r="R307" s="391"/>
    </row>
    <row r="308" spans="1:18">
      <c r="A308" s="978"/>
      <c r="B308" s="1009"/>
      <c r="C308" s="391"/>
      <c r="D308" s="391"/>
      <c r="E308" s="391"/>
      <c r="F308" s="391"/>
      <c r="G308" s="391"/>
      <c r="H308" s="391"/>
      <c r="I308" s="391"/>
      <c r="J308" s="1010"/>
      <c r="K308" s="978"/>
      <c r="L308" s="391"/>
      <c r="M308" s="978"/>
      <c r="N308" s="391"/>
      <c r="O308" s="391"/>
      <c r="P308" s="391"/>
      <c r="Q308" s="391"/>
      <c r="R308" s="391"/>
    </row>
    <row r="309" spans="1:18">
      <c r="A309" s="978"/>
      <c r="B309" s="1009"/>
      <c r="C309" s="391"/>
      <c r="D309" s="391"/>
      <c r="E309" s="391"/>
      <c r="F309" s="391"/>
      <c r="G309" s="391"/>
      <c r="H309" s="391"/>
      <c r="I309" s="391"/>
      <c r="J309" s="1010"/>
      <c r="K309" s="978"/>
      <c r="L309" s="391"/>
      <c r="M309" s="978"/>
      <c r="N309" s="391"/>
      <c r="O309" s="391"/>
      <c r="P309" s="391"/>
      <c r="Q309" s="391"/>
      <c r="R309" s="391"/>
    </row>
    <row r="310" spans="1:18">
      <c r="A310" s="978"/>
      <c r="B310" s="1009"/>
      <c r="C310" s="391"/>
      <c r="D310" s="391"/>
      <c r="E310" s="391"/>
      <c r="F310" s="391"/>
      <c r="G310" s="391"/>
      <c r="H310" s="391"/>
      <c r="I310" s="391"/>
      <c r="J310" s="1010"/>
      <c r="K310" s="978"/>
      <c r="L310" s="391"/>
      <c r="M310" s="978"/>
      <c r="N310" s="391"/>
      <c r="O310" s="391"/>
      <c r="P310" s="391"/>
      <c r="Q310" s="391"/>
      <c r="R310" s="391"/>
    </row>
    <row r="311" spans="1:18">
      <c r="A311" s="978"/>
      <c r="B311" s="1009"/>
      <c r="C311" s="391"/>
      <c r="D311" s="391"/>
      <c r="E311" s="391"/>
      <c r="F311" s="391"/>
      <c r="G311" s="391"/>
      <c r="H311" s="391"/>
      <c r="I311" s="391"/>
      <c r="J311" s="1010"/>
      <c r="K311" s="978"/>
      <c r="L311" s="391"/>
      <c r="M311" s="978"/>
      <c r="N311" s="391"/>
      <c r="O311" s="391"/>
      <c r="P311" s="391"/>
      <c r="Q311" s="391"/>
      <c r="R311" s="391"/>
    </row>
    <row r="312" spans="1:18">
      <c r="A312" s="978"/>
      <c r="B312" s="1009"/>
      <c r="C312" s="391"/>
      <c r="D312" s="391"/>
      <c r="E312" s="391"/>
      <c r="F312" s="391"/>
      <c r="G312" s="391"/>
      <c r="H312" s="391"/>
      <c r="I312" s="391"/>
      <c r="J312" s="1010"/>
      <c r="K312" s="978"/>
      <c r="L312" s="391"/>
      <c r="M312" s="978"/>
      <c r="N312" s="391"/>
      <c r="O312" s="391"/>
      <c r="P312" s="391"/>
      <c r="Q312" s="391"/>
      <c r="R312" s="391"/>
    </row>
    <row r="313" spans="1:18">
      <c r="A313" s="978"/>
      <c r="B313" s="1009"/>
      <c r="C313" s="391"/>
      <c r="D313" s="391"/>
      <c r="E313" s="391"/>
      <c r="F313" s="391"/>
      <c r="G313" s="391"/>
      <c r="H313" s="391"/>
      <c r="I313" s="391"/>
      <c r="J313" s="1010"/>
      <c r="K313" s="978"/>
      <c r="L313" s="391"/>
      <c r="M313" s="978"/>
      <c r="N313" s="391"/>
      <c r="O313" s="391"/>
      <c r="P313" s="391"/>
      <c r="Q313" s="391"/>
      <c r="R313" s="391"/>
    </row>
    <row r="314" spans="1:18">
      <c r="A314" s="978"/>
      <c r="B314" s="1009"/>
      <c r="C314" s="391"/>
      <c r="D314" s="391"/>
      <c r="E314" s="391"/>
      <c r="F314" s="391"/>
      <c r="G314" s="391"/>
      <c r="H314" s="391"/>
      <c r="I314" s="391"/>
      <c r="J314" s="1010"/>
      <c r="K314" s="978"/>
      <c r="L314" s="391"/>
      <c r="M314" s="978"/>
      <c r="N314" s="391"/>
      <c r="O314" s="391"/>
      <c r="P314" s="391"/>
      <c r="Q314" s="391"/>
      <c r="R314" s="391"/>
    </row>
    <row r="315" spans="1:18">
      <c r="A315" s="978"/>
      <c r="B315" s="1009"/>
      <c r="C315" s="391"/>
      <c r="D315" s="391"/>
      <c r="E315" s="391"/>
      <c r="F315" s="391"/>
      <c r="G315" s="391"/>
      <c r="H315" s="391"/>
      <c r="I315" s="391"/>
      <c r="J315" s="1010"/>
      <c r="K315" s="978"/>
      <c r="L315" s="391"/>
      <c r="M315" s="978"/>
      <c r="N315" s="391"/>
      <c r="O315" s="391"/>
      <c r="P315" s="391"/>
      <c r="Q315" s="391"/>
      <c r="R315" s="391"/>
    </row>
    <row r="316" spans="1:18">
      <c r="A316" s="978"/>
      <c r="B316" s="1009"/>
      <c r="C316" s="391"/>
      <c r="D316" s="391"/>
      <c r="E316" s="391"/>
      <c r="F316" s="391"/>
      <c r="G316" s="391"/>
      <c r="H316" s="391"/>
      <c r="I316" s="391"/>
      <c r="J316" s="1010"/>
      <c r="K316" s="978"/>
      <c r="L316" s="391"/>
      <c r="M316" s="978"/>
      <c r="N316" s="391"/>
      <c r="O316" s="391"/>
      <c r="P316" s="391"/>
      <c r="Q316" s="391"/>
      <c r="R316" s="391"/>
    </row>
    <row r="317" spans="1:18">
      <c r="A317" s="978"/>
      <c r="B317" s="1009"/>
      <c r="C317" s="391"/>
      <c r="D317" s="391"/>
      <c r="E317" s="391"/>
      <c r="F317" s="391"/>
      <c r="G317" s="391"/>
      <c r="H317" s="391"/>
      <c r="I317" s="391"/>
      <c r="J317" s="1010"/>
      <c r="K317" s="978"/>
      <c r="L317" s="391"/>
      <c r="M317" s="978"/>
      <c r="N317" s="391"/>
      <c r="O317" s="391"/>
      <c r="P317" s="391"/>
      <c r="Q317" s="391"/>
      <c r="R317" s="391"/>
    </row>
    <row r="318" spans="1:18">
      <c r="A318" s="978"/>
      <c r="B318" s="1009"/>
      <c r="C318" s="391"/>
      <c r="D318" s="391"/>
      <c r="E318" s="391"/>
      <c r="F318" s="391"/>
      <c r="G318" s="391"/>
      <c r="H318" s="391"/>
      <c r="I318" s="391"/>
      <c r="J318" s="1010"/>
      <c r="K318" s="978"/>
      <c r="L318" s="391"/>
      <c r="M318" s="978"/>
      <c r="N318" s="391"/>
      <c r="O318" s="391"/>
      <c r="P318" s="391"/>
      <c r="Q318" s="391"/>
      <c r="R318" s="391"/>
    </row>
    <row r="319" spans="1:18">
      <c r="A319" s="978"/>
      <c r="B319" s="1009"/>
      <c r="C319" s="391"/>
      <c r="D319" s="391"/>
      <c r="E319" s="391"/>
      <c r="F319" s="391"/>
      <c r="G319" s="391"/>
      <c r="H319" s="391"/>
      <c r="I319" s="391"/>
      <c r="J319" s="1010"/>
      <c r="K319" s="978"/>
      <c r="L319" s="391"/>
      <c r="M319" s="978"/>
      <c r="N319" s="391"/>
      <c r="O319" s="391"/>
      <c r="P319" s="391"/>
      <c r="Q319" s="391"/>
      <c r="R319" s="391"/>
    </row>
    <row r="320" spans="1:18">
      <c r="A320" s="978"/>
      <c r="B320" s="1009"/>
      <c r="C320" s="391"/>
      <c r="D320" s="391"/>
      <c r="E320" s="391"/>
      <c r="F320" s="391"/>
      <c r="G320" s="391"/>
      <c r="H320" s="391"/>
      <c r="I320" s="391"/>
      <c r="J320" s="1010"/>
      <c r="K320" s="978"/>
      <c r="L320" s="391"/>
      <c r="M320" s="978"/>
      <c r="N320" s="391"/>
      <c r="O320" s="391"/>
      <c r="P320" s="391"/>
      <c r="Q320" s="391"/>
      <c r="R320" s="391"/>
    </row>
    <row r="321" spans="1:18">
      <c r="A321" s="978"/>
      <c r="B321" s="1009"/>
      <c r="C321" s="391"/>
      <c r="D321" s="391"/>
      <c r="E321" s="391"/>
      <c r="F321" s="391"/>
      <c r="G321" s="391"/>
      <c r="H321" s="391"/>
      <c r="I321" s="391"/>
      <c r="J321" s="1010"/>
      <c r="K321" s="978"/>
      <c r="L321" s="391"/>
      <c r="M321" s="978"/>
      <c r="N321" s="391"/>
      <c r="O321" s="391"/>
      <c r="P321" s="391"/>
      <c r="Q321" s="391"/>
      <c r="R321" s="391"/>
    </row>
    <row r="322" spans="1:18">
      <c r="A322" s="978"/>
      <c r="B322" s="1009"/>
      <c r="C322" s="391"/>
      <c r="D322" s="391"/>
      <c r="E322" s="391"/>
      <c r="F322" s="391"/>
      <c r="G322" s="391"/>
      <c r="H322" s="391"/>
      <c r="I322" s="391"/>
      <c r="J322" s="1010"/>
      <c r="K322" s="978"/>
      <c r="L322" s="391"/>
      <c r="M322" s="978"/>
      <c r="N322" s="391"/>
      <c r="O322" s="391"/>
      <c r="P322" s="391"/>
      <c r="Q322" s="391"/>
      <c r="R322" s="391"/>
    </row>
    <row r="323" spans="1:18">
      <c r="A323" s="978"/>
      <c r="B323" s="1009"/>
      <c r="C323" s="391"/>
      <c r="D323" s="391"/>
      <c r="E323" s="391"/>
      <c r="F323" s="391"/>
      <c r="G323" s="391"/>
      <c r="H323" s="391"/>
      <c r="I323" s="391"/>
      <c r="J323" s="1010"/>
      <c r="K323" s="978"/>
      <c r="L323" s="391"/>
      <c r="M323" s="978"/>
      <c r="N323" s="391"/>
      <c r="O323" s="391"/>
      <c r="P323" s="391"/>
      <c r="Q323" s="391"/>
      <c r="R323" s="391"/>
    </row>
    <row r="324" spans="1:18">
      <c r="A324" s="978"/>
      <c r="B324" s="1009"/>
      <c r="C324" s="391"/>
      <c r="D324" s="391"/>
      <c r="E324" s="391"/>
      <c r="F324" s="391"/>
      <c r="G324" s="391"/>
      <c r="H324" s="391"/>
      <c r="I324" s="391"/>
      <c r="J324" s="1010"/>
      <c r="K324" s="978"/>
      <c r="L324" s="391"/>
      <c r="M324" s="978"/>
      <c r="N324" s="391"/>
      <c r="O324" s="391"/>
      <c r="P324" s="391"/>
      <c r="Q324" s="391"/>
      <c r="R324" s="391"/>
    </row>
    <row r="325" spans="1:18">
      <c r="A325" s="978"/>
      <c r="B325" s="1009"/>
      <c r="C325" s="391"/>
      <c r="D325" s="391"/>
      <c r="E325" s="391"/>
      <c r="F325" s="391"/>
      <c r="G325" s="391"/>
      <c r="H325" s="391"/>
      <c r="I325" s="391"/>
      <c r="J325" s="1010"/>
      <c r="K325" s="978"/>
      <c r="L325" s="391"/>
      <c r="M325" s="978"/>
      <c r="N325" s="391"/>
      <c r="O325" s="391"/>
      <c r="P325" s="391"/>
      <c r="Q325" s="391"/>
      <c r="R325" s="391"/>
    </row>
    <row r="326" spans="1:18">
      <c r="A326" s="978"/>
      <c r="B326" s="1009"/>
      <c r="C326" s="391"/>
      <c r="D326" s="391"/>
      <c r="E326" s="391"/>
      <c r="F326" s="391"/>
      <c r="G326" s="391"/>
      <c r="H326" s="391"/>
      <c r="I326" s="391"/>
      <c r="J326" s="1010"/>
      <c r="K326" s="978"/>
      <c r="L326" s="391"/>
      <c r="M326" s="978"/>
      <c r="N326" s="391"/>
      <c r="O326" s="391"/>
      <c r="P326" s="391"/>
      <c r="Q326" s="391"/>
      <c r="R326" s="391"/>
    </row>
    <row r="327" spans="1:18">
      <c r="A327" s="978"/>
      <c r="B327" s="1009"/>
      <c r="C327" s="391"/>
      <c r="D327" s="391"/>
      <c r="E327" s="391"/>
      <c r="F327" s="391"/>
      <c r="G327" s="391"/>
      <c r="H327" s="391"/>
      <c r="I327" s="391"/>
      <c r="J327" s="1010"/>
      <c r="K327" s="978"/>
      <c r="L327" s="391"/>
      <c r="M327" s="978"/>
      <c r="N327" s="391"/>
      <c r="O327" s="391"/>
      <c r="P327" s="391"/>
      <c r="Q327" s="391"/>
      <c r="R327" s="391"/>
    </row>
    <row r="328" spans="1:18">
      <c r="A328" s="978"/>
      <c r="B328" s="1009"/>
      <c r="C328" s="391"/>
      <c r="D328" s="391"/>
      <c r="E328" s="391"/>
      <c r="F328" s="391"/>
      <c r="G328" s="391"/>
      <c r="H328" s="391"/>
      <c r="I328" s="391"/>
      <c r="J328" s="1010"/>
      <c r="K328" s="978"/>
      <c r="L328" s="391"/>
      <c r="M328" s="978"/>
      <c r="N328" s="391"/>
      <c r="O328" s="391"/>
      <c r="P328" s="391"/>
      <c r="Q328" s="391"/>
      <c r="R328" s="391"/>
    </row>
    <row r="329" spans="1:18">
      <c r="A329" s="978"/>
      <c r="B329" s="1009"/>
      <c r="C329" s="391"/>
      <c r="D329" s="391"/>
      <c r="E329" s="391"/>
      <c r="F329" s="391"/>
      <c r="G329" s="391"/>
      <c r="H329" s="391"/>
      <c r="I329" s="391"/>
      <c r="J329" s="1010"/>
      <c r="K329" s="978"/>
      <c r="L329" s="391"/>
      <c r="M329" s="978"/>
      <c r="N329" s="391"/>
      <c r="O329" s="391"/>
      <c r="P329" s="391"/>
      <c r="Q329" s="391"/>
      <c r="R329" s="391"/>
    </row>
    <row r="330" spans="1:18">
      <c r="A330" s="978"/>
      <c r="B330" s="1009"/>
      <c r="C330" s="391"/>
      <c r="D330" s="391"/>
      <c r="E330" s="391"/>
      <c r="F330" s="391"/>
      <c r="G330" s="391"/>
      <c r="H330" s="391"/>
      <c r="I330" s="391"/>
      <c r="J330" s="1010"/>
      <c r="K330" s="978"/>
      <c r="L330" s="391"/>
      <c r="M330" s="978"/>
      <c r="N330" s="391"/>
      <c r="O330" s="391"/>
      <c r="P330" s="391"/>
      <c r="Q330" s="391"/>
      <c r="R330" s="391"/>
    </row>
    <row r="331" spans="1:18">
      <c r="A331" s="978"/>
      <c r="B331" s="1009"/>
      <c r="C331" s="391"/>
      <c r="D331" s="391"/>
      <c r="E331" s="391"/>
      <c r="F331" s="391"/>
      <c r="G331" s="391"/>
      <c r="H331" s="391"/>
      <c r="I331" s="391"/>
      <c r="J331" s="1010"/>
      <c r="K331" s="978"/>
      <c r="L331" s="391"/>
      <c r="M331" s="978"/>
      <c r="N331" s="391"/>
      <c r="O331" s="391"/>
      <c r="P331" s="391"/>
      <c r="Q331" s="391"/>
      <c r="R331" s="391"/>
    </row>
    <row r="332" spans="1:18">
      <c r="A332" s="978"/>
      <c r="B332" s="1009"/>
      <c r="C332" s="391"/>
      <c r="D332" s="391"/>
      <c r="E332" s="391"/>
      <c r="F332" s="391"/>
      <c r="G332" s="391"/>
      <c r="H332" s="391"/>
      <c r="I332" s="391"/>
      <c r="J332" s="1010"/>
      <c r="K332" s="978"/>
      <c r="L332" s="391"/>
      <c r="M332" s="978"/>
      <c r="N332" s="391"/>
      <c r="O332" s="391"/>
      <c r="P332" s="391"/>
      <c r="Q332" s="391"/>
      <c r="R332" s="391"/>
    </row>
    <row r="333" spans="1:18">
      <c r="A333" s="978"/>
      <c r="B333" s="1009"/>
      <c r="C333" s="391"/>
      <c r="D333" s="391"/>
      <c r="E333" s="391"/>
      <c r="F333" s="391"/>
      <c r="G333" s="391"/>
      <c r="H333" s="391"/>
      <c r="I333" s="391"/>
      <c r="J333" s="1010"/>
      <c r="K333" s="978"/>
      <c r="L333" s="391"/>
      <c r="M333" s="978"/>
      <c r="N333" s="391"/>
      <c r="O333" s="391"/>
      <c r="P333" s="391"/>
      <c r="Q333" s="391"/>
      <c r="R333" s="391"/>
    </row>
    <row r="334" spans="1:18">
      <c r="A334" s="978"/>
      <c r="B334" s="1009"/>
      <c r="C334" s="391"/>
      <c r="D334" s="391"/>
      <c r="E334" s="391"/>
      <c r="F334" s="391"/>
      <c r="G334" s="391"/>
      <c r="H334" s="391"/>
      <c r="I334" s="391"/>
      <c r="J334" s="1010"/>
      <c r="K334" s="978"/>
      <c r="L334" s="391"/>
      <c r="M334" s="978"/>
      <c r="N334" s="391"/>
      <c r="O334" s="391"/>
      <c r="P334" s="391"/>
      <c r="Q334" s="391"/>
      <c r="R334" s="391"/>
    </row>
    <row r="335" spans="1:18">
      <c r="A335" s="978"/>
      <c r="B335" s="1009"/>
      <c r="C335" s="391"/>
      <c r="D335" s="391"/>
      <c r="E335" s="391"/>
      <c r="F335" s="391"/>
      <c r="G335" s="391"/>
      <c r="H335" s="391"/>
      <c r="I335" s="391"/>
      <c r="J335" s="1010"/>
      <c r="K335" s="978"/>
      <c r="L335" s="391"/>
      <c r="M335" s="978"/>
      <c r="N335" s="391"/>
      <c r="O335" s="391"/>
      <c r="P335" s="391"/>
      <c r="Q335" s="391"/>
      <c r="R335" s="391"/>
    </row>
    <row r="336" spans="1:18">
      <c r="A336" s="978"/>
      <c r="B336" s="1009"/>
      <c r="C336" s="391"/>
      <c r="D336" s="391"/>
      <c r="E336" s="391"/>
      <c r="F336" s="391"/>
      <c r="G336" s="391"/>
      <c r="H336" s="391"/>
      <c r="I336" s="391"/>
      <c r="J336" s="1010"/>
      <c r="K336" s="978"/>
      <c r="L336" s="391"/>
      <c r="M336" s="978"/>
      <c r="N336" s="391"/>
      <c r="O336" s="391"/>
      <c r="P336" s="391"/>
      <c r="Q336" s="391"/>
      <c r="R336" s="391"/>
    </row>
    <row r="337" spans="1:18">
      <c r="A337" s="978"/>
      <c r="B337" s="1009"/>
      <c r="C337" s="391"/>
      <c r="D337" s="391"/>
      <c r="E337" s="391"/>
      <c r="F337" s="391"/>
      <c r="G337" s="391"/>
      <c r="H337" s="391"/>
      <c r="I337" s="391"/>
      <c r="J337" s="1010"/>
      <c r="K337" s="978"/>
      <c r="L337" s="391"/>
      <c r="M337" s="978"/>
      <c r="N337" s="391"/>
      <c r="O337" s="391"/>
      <c r="P337" s="391"/>
      <c r="Q337" s="391"/>
      <c r="R337" s="391"/>
    </row>
    <row r="338" spans="1:18">
      <c r="A338" s="978"/>
      <c r="B338" s="1009"/>
      <c r="C338" s="391"/>
      <c r="D338" s="391"/>
      <c r="E338" s="391"/>
      <c r="F338" s="391"/>
      <c r="G338" s="391"/>
      <c r="H338" s="391"/>
      <c r="I338" s="391"/>
      <c r="J338" s="1010"/>
      <c r="K338" s="978"/>
      <c r="L338" s="391"/>
      <c r="M338" s="978"/>
      <c r="N338" s="391"/>
      <c r="O338" s="391"/>
      <c r="P338" s="391"/>
      <c r="Q338" s="391"/>
      <c r="R338" s="391"/>
    </row>
    <row r="339" spans="1:18">
      <c r="A339" s="978"/>
      <c r="B339" s="1009"/>
      <c r="C339" s="391"/>
      <c r="D339" s="391"/>
      <c r="E339" s="391"/>
      <c r="F339" s="391"/>
      <c r="G339" s="391"/>
      <c r="H339" s="391"/>
      <c r="I339" s="391"/>
      <c r="J339" s="1010"/>
      <c r="K339" s="978"/>
      <c r="L339" s="391"/>
      <c r="M339" s="978"/>
      <c r="N339" s="391"/>
      <c r="O339" s="391"/>
      <c r="P339" s="391"/>
      <c r="Q339" s="391"/>
      <c r="R339" s="391"/>
    </row>
    <row r="340" spans="1:18">
      <c r="A340" s="978"/>
      <c r="B340" s="1009"/>
      <c r="C340" s="391"/>
      <c r="D340" s="391"/>
      <c r="E340" s="391"/>
      <c r="F340" s="391"/>
      <c r="G340" s="391"/>
      <c r="H340" s="391"/>
      <c r="I340" s="391"/>
      <c r="J340" s="1010"/>
      <c r="K340" s="978"/>
      <c r="L340" s="391"/>
      <c r="M340" s="978"/>
      <c r="N340" s="391"/>
      <c r="O340" s="391"/>
      <c r="P340" s="391"/>
      <c r="Q340" s="391"/>
      <c r="R340" s="391"/>
    </row>
    <row r="341" spans="1:18">
      <c r="A341" s="978"/>
      <c r="B341" s="1009"/>
      <c r="C341" s="391"/>
      <c r="D341" s="391"/>
      <c r="E341" s="391"/>
      <c r="F341" s="391"/>
      <c r="G341" s="391"/>
      <c r="H341" s="391"/>
      <c r="I341" s="391"/>
      <c r="J341" s="1010"/>
      <c r="K341" s="978"/>
      <c r="L341" s="391"/>
      <c r="M341" s="978"/>
      <c r="N341" s="391"/>
      <c r="O341" s="391"/>
      <c r="P341" s="391"/>
      <c r="Q341" s="391"/>
      <c r="R341" s="391"/>
    </row>
    <row r="342" spans="1:18">
      <c r="A342" s="978"/>
      <c r="B342" s="1009"/>
      <c r="C342" s="391"/>
      <c r="D342" s="391"/>
      <c r="E342" s="391"/>
      <c r="F342" s="391"/>
      <c r="G342" s="391"/>
      <c r="H342" s="391"/>
      <c r="I342" s="391"/>
      <c r="J342" s="1010"/>
      <c r="K342" s="978"/>
      <c r="L342" s="391"/>
      <c r="M342" s="978"/>
      <c r="N342" s="391"/>
      <c r="O342" s="391"/>
      <c r="P342" s="391"/>
      <c r="Q342" s="391"/>
      <c r="R342" s="391"/>
    </row>
    <row r="343" spans="1:18">
      <c r="A343" s="978"/>
      <c r="B343" s="1009"/>
      <c r="C343" s="391"/>
      <c r="D343" s="391"/>
      <c r="E343" s="391"/>
      <c r="F343" s="391"/>
      <c r="G343" s="391"/>
      <c r="H343" s="391"/>
      <c r="I343" s="391"/>
      <c r="J343" s="1010"/>
      <c r="K343" s="978"/>
      <c r="L343" s="391"/>
      <c r="M343" s="978"/>
      <c r="N343" s="391"/>
      <c r="O343" s="391"/>
      <c r="P343" s="391"/>
      <c r="Q343" s="391"/>
      <c r="R343" s="391"/>
    </row>
    <row r="344" spans="1:18">
      <c r="A344" s="978"/>
      <c r="B344" s="1009"/>
      <c r="C344" s="391"/>
      <c r="D344" s="391"/>
      <c r="E344" s="391"/>
      <c r="F344" s="391"/>
      <c r="G344" s="391"/>
      <c r="H344" s="391"/>
      <c r="I344" s="391"/>
      <c r="J344" s="1010"/>
      <c r="K344" s="978"/>
      <c r="L344" s="391"/>
      <c r="M344" s="978"/>
      <c r="N344" s="391"/>
      <c r="O344" s="391"/>
      <c r="P344" s="391"/>
      <c r="Q344" s="391"/>
      <c r="R344" s="391"/>
    </row>
    <row r="345" spans="1:18">
      <c r="A345" s="978"/>
      <c r="B345" s="1009"/>
      <c r="C345" s="391"/>
      <c r="D345" s="391"/>
      <c r="E345" s="391"/>
      <c r="F345" s="391"/>
      <c r="G345" s="391"/>
      <c r="H345" s="391"/>
      <c r="I345" s="391"/>
      <c r="J345" s="1010"/>
      <c r="K345" s="978"/>
      <c r="L345" s="391"/>
      <c r="M345" s="978"/>
      <c r="N345" s="391"/>
      <c r="O345" s="391"/>
      <c r="P345" s="391"/>
      <c r="Q345" s="391"/>
      <c r="R345" s="391"/>
    </row>
    <row r="346" spans="1:18">
      <c r="A346" s="978"/>
      <c r="B346" s="1009"/>
      <c r="C346" s="391"/>
      <c r="D346" s="391"/>
      <c r="E346" s="391"/>
      <c r="F346" s="391"/>
      <c r="G346" s="391"/>
      <c r="H346" s="391"/>
      <c r="I346" s="391"/>
      <c r="J346" s="1010"/>
      <c r="K346" s="978"/>
      <c r="L346" s="391"/>
      <c r="M346" s="978"/>
      <c r="N346" s="391"/>
      <c r="O346" s="391"/>
      <c r="P346" s="391"/>
      <c r="Q346" s="391"/>
      <c r="R346" s="391"/>
    </row>
    <row r="347" spans="1:18">
      <c r="A347" s="978"/>
      <c r="B347" s="1009"/>
      <c r="C347" s="391"/>
      <c r="D347" s="391"/>
      <c r="E347" s="391"/>
      <c r="F347" s="391"/>
      <c r="G347" s="391"/>
      <c r="H347" s="391"/>
      <c r="I347" s="391"/>
      <c r="J347" s="1010"/>
      <c r="K347" s="978"/>
      <c r="L347" s="391"/>
      <c r="M347" s="978"/>
      <c r="N347" s="391"/>
      <c r="O347" s="391"/>
      <c r="P347" s="391"/>
      <c r="Q347" s="391"/>
      <c r="R347" s="391"/>
    </row>
    <row r="348" spans="1:18">
      <c r="A348" s="978"/>
      <c r="B348" s="1009"/>
      <c r="C348" s="391"/>
      <c r="D348" s="391"/>
      <c r="E348" s="391"/>
      <c r="F348" s="391"/>
      <c r="G348" s="391"/>
      <c r="H348" s="391"/>
      <c r="I348" s="391"/>
      <c r="J348" s="1010"/>
      <c r="K348" s="978"/>
      <c r="L348" s="391"/>
      <c r="M348" s="978"/>
      <c r="N348" s="391"/>
      <c r="O348" s="391"/>
      <c r="P348" s="391"/>
      <c r="Q348" s="391"/>
      <c r="R348" s="391"/>
    </row>
    <row r="349" spans="1:18">
      <c r="A349" s="978"/>
      <c r="B349" s="1009"/>
      <c r="C349" s="391"/>
      <c r="D349" s="391"/>
      <c r="E349" s="391"/>
      <c r="F349" s="391"/>
      <c r="G349" s="391"/>
      <c r="H349" s="391"/>
      <c r="I349" s="391"/>
      <c r="J349" s="1010"/>
      <c r="K349" s="978"/>
      <c r="L349" s="391"/>
      <c r="M349" s="978"/>
      <c r="N349" s="391"/>
      <c r="O349" s="391"/>
      <c r="P349" s="391"/>
      <c r="Q349" s="391"/>
      <c r="R349" s="391"/>
    </row>
    <row r="350" spans="1:18">
      <c r="A350" s="978"/>
      <c r="B350" s="1009"/>
      <c r="C350" s="391"/>
      <c r="D350" s="391"/>
      <c r="E350" s="391"/>
      <c r="F350" s="391"/>
      <c r="G350" s="391"/>
      <c r="H350" s="391"/>
      <c r="I350" s="391"/>
      <c r="J350" s="1010"/>
      <c r="K350" s="978"/>
      <c r="L350" s="391"/>
      <c r="M350" s="978"/>
      <c r="N350" s="391"/>
      <c r="O350" s="391"/>
      <c r="P350" s="391"/>
      <c r="Q350" s="391"/>
      <c r="R350" s="391"/>
    </row>
    <row r="351" spans="1:18">
      <c r="A351" s="978"/>
      <c r="B351" s="1009"/>
      <c r="C351" s="391"/>
      <c r="D351" s="391"/>
      <c r="E351" s="391"/>
      <c r="F351" s="391"/>
      <c r="G351" s="391"/>
      <c r="H351" s="391"/>
      <c r="I351" s="391"/>
      <c r="J351" s="1010"/>
      <c r="K351" s="978"/>
      <c r="L351" s="391"/>
      <c r="M351" s="978"/>
      <c r="N351" s="391"/>
      <c r="O351" s="391"/>
      <c r="P351" s="391"/>
      <c r="Q351" s="391"/>
      <c r="R351" s="391"/>
    </row>
    <row r="352" spans="1:18">
      <c r="A352" s="978"/>
      <c r="B352" s="1009"/>
      <c r="C352" s="391"/>
      <c r="D352" s="391"/>
      <c r="E352" s="391"/>
      <c r="F352" s="391"/>
      <c r="G352" s="391"/>
      <c r="H352" s="391"/>
      <c r="I352" s="391"/>
      <c r="J352" s="1010"/>
      <c r="K352" s="978"/>
      <c r="L352" s="391"/>
      <c r="M352" s="978"/>
      <c r="N352" s="391"/>
      <c r="O352" s="391"/>
      <c r="P352" s="391"/>
      <c r="Q352" s="391"/>
      <c r="R352" s="391"/>
    </row>
    <row r="353" spans="1:18">
      <c r="A353" s="978"/>
      <c r="B353" s="1009"/>
      <c r="C353" s="391"/>
      <c r="D353" s="391"/>
      <c r="E353" s="391"/>
      <c r="F353" s="391"/>
      <c r="G353" s="391"/>
      <c r="H353" s="391"/>
      <c r="I353" s="391"/>
      <c r="J353" s="1010"/>
      <c r="K353" s="978"/>
      <c r="L353" s="391"/>
      <c r="M353" s="978"/>
      <c r="N353" s="391"/>
      <c r="O353" s="391"/>
      <c r="P353" s="391"/>
      <c r="Q353" s="391"/>
      <c r="R353" s="391"/>
    </row>
    <row r="354" spans="1:18">
      <c r="A354" s="978"/>
      <c r="B354" s="1009"/>
      <c r="C354" s="391"/>
      <c r="D354" s="391"/>
      <c r="E354" s="391"/>
      <c r="F354" s="391"/>
      <c r="G354" s="391"/>
      <c r="H354" s="391"/>
      <c r="I354" s="391"/>
      <c r="J354" s="1010"/>
      <c r="K354" s="978"/>
      <c r="L354" s="391"/>
      <c r="M354" s="978"/>
      <c r="N354" s="391"/>
      <c r="O354" s="391"/>
      <c r="P354" s="391"/>
      <c r="Q354" s="391"/>
      <c r="R354" s="391"/>
    </row>
    <row r="355" spans="1:18">
      <c r="A355" s="978"/>
      <c r="B355" s="1009"/>
      <c r="C355" s="391"/>
      <c r="D355" s="391"/>
      <c r="E355" s="391"/>
      <c r="F355" s="391"/>
      <c r="G355" s="391"/>
      <c r="H355" s="391"/>
      <c r="I355" s="391"/>
      <c r="J355" s="1010"/>
      <c r="K355" s="978"/>
      <c r="L355" s="391"/>
      <c r="M355" s="978"/>
      <c r="N355" s="391"/>
      <c r="O355" s="391"/>
      <c r="P355" s="391"/>
      <c r="Q355" s="391"/>
      <c r="R355" s="391"/>
    </row>
    <row r="356" spans="1:18">
      <c r="A356" s="978"/>
      <c r="B356" s="1009"/>
      <c r="C356" s="391"/>
      <c r="D356" s="391"/>
      <c r="E356" s="391"/>
      <c r="F356" s="391"/>
      <c r="G356" s="391"/>
      <c r="H356" s="391"/>
      <c r="I356" s="391"/>
      <c r="J356" s="1010"/>
      <c r="K356" s="978"/>
      <c r="L356" s="391"/>
      <c r="M356" s="978"/>
      <c r="N356" s="391"/>
      <c r="O356" s="391"/>
      <c r="P356" s="391"/>
      <c r="Q356" s="391"/>
      <c r="R356" s="391"/>
    </row>
    <row r="357" spans="1:18">
      <c r="A357" s="978"/>
      <c r="B357" s="1009"/>
      <c r="C357" s="391"/>
      <c r="D357" s="391"/>
      <c r="E357" s="391"/>
      <c r="F357" s="391"/>
      <c r="G357" s="391"/>
      <c r="H357" s="391"/>
      <c r="I357" s="391"/>
      <c r="J357" s="1010"/>
      <c r="K357" s="978"/>
      <c r="L357" s="391"/>
      <c r="M357" s="978"/>
      <c r="N357" s="391"/>
      <c r="O357" s="391"/>
      <c r="P357" s="391"/>
      <c r="Q357" s="391"/>
      <c r="R357" s="391"/>
    </row>
    <row r="358" spans="1:18">
      <c r="A358" s="978"/>
      <c r="B358" s="1009"/>
      <c r="C358" s="391"/>
      <c r="D358" s="391"/>
      <c r="E358" s="391"/>
      <c r="F358" s="391"/>
      <c r="G358" s="391"/>
      <c r="H358" s="391"/>
      <c r="I358" s="391"/>
      <c r="J358" s="1010"/>
      <c r="K358" s="978"/>
      <c r="L358" s="391"/>
      <c r="M358" s="978"/>
      <c r="N358" s="391"/>
      <c r="O358" s="391"/>
      <c r="P358" s="391"/>
      <c r="Q358" s="391"/>
      <c r="R358" s="391"/>
    </row>
    <row r="359" spans="1:18">
      <c r="A359" s="978"/>
      <c r="B359" s="1009"/>
      <c r="C359" s="391"/>
      <c r="D359" s="391"/>
      <c r="E359" s="391"/>
      <c r="F359" s="391"/>
      <c r="G359" s="391"/>
      <c r="H359" s="391"/>
      <c r="I359" s="391"/>
      <c r="J359" s="1010"/>
      <c r="K359" s="978"/>
      <c r="L359" s="391"/>
      <c r="M359" s="978"/>
      <c r="N359" s="391"/>
      <c r="O359" s="391"/>
      <c r="P359" s="391"/>
      <c r="Q359" s="391"/>
      <c r="R359" s="391"/>
    </row>
    <row r="360" spans="1:18">
      <c r="A360" s="978"/>
      <c r="B360" s="1009"/>
      <c r="C360" s="391"/>
      <c r="D360" s="391"/>
      <c r="E360" s="391"/>
      <c r="F360" s="391"/>
      <c r="G360" s="391"/>
      <c r="H360" s="391"/>
      <c r="I360" s="391"/>
      <c r="J360" s="1010"/>
      <c r="K360" s="978"/>
      <c r="L360" s="391"/>
      <c r="M360" s="978"/>
      <c r="N360" s="391"/>
      <c r="O360" s="391"/>
      <c r="P360" s="391"/>
      <c r="Q360" s="391"/>
      <c r="R360" s="391"/>
    </row>
    <row r="361" spans="1:18">
      <c r="A361" s="978"/>
      <c r="B361" s="1009"/>
      <c r="C361" s="391"/>
      <c r="D361" s="391"/>
      <c r="E361" s="391"/>
      <c r="F361" s="391"/>
      <c r="G361" s="391"/>
      <c r="H361" s="391"/>
      <c r="I361" s="391"/>
      <c r="J361" s="1010"/>
      <c r="K361" s="978"/>
      <c r="L361" s="391"/>
      <c r="M361" s="978"/>
      <c r="N361" s="391"/>
      <c r="O361" s="391"/>
      <c r="P361" s="391"/>
      <c r="Q361" s="391"/>
      <c r="R361" s="391"/>
    </row>
    <row r="362" spans="1:18">
      <c r="A362" s="978"/>
      <c r="B362" s="1009"/>
      <c r="C362" s="391"/>
      <c r="D362" s="391"/>
      <c r="E362" s="391"/>
      <c r="F362" s="391"/>
      <c r="G362" s="391"/>
      <c r="H362" s="391"/>
      <c r="I362" s="391"/>
      <c r="J362" s="1010"/>
      <c r="K362" s="978"/>
      <c r="L362" s="391"/>
      <c r="M362" s="978"/>
      <c r="N362" s="391"/>
      <c r="O362" s="391"/>
      <c r="P362" s="391"/>
      <c r="Q362" s="391"/>
      <c r="R362" s="391"/>
    </row>
    <row r="363" spans="1:18">
      <c r="A363" s="978"/>
      <c r="B363" s="1009"/>
      <c r="C363" s="391"/>
      <c r="D363" s="391"/>
      <c r="E363" s="391"/>
      <c r="F363" s="391"/>
      <c r="G363" s="391"/>
      <c r="H363" s="391"/>
      <c r="I363" s="391"/>
      <c r="J363" s="1010"/>
      <c r="K363" s="978"/>
      <c r="L363" s="391"/>
      <c r="M363" s="978"/>
      <c r="N363" s="391"/>
      <c r="O363" s="391"/>
      <c r="P363" s="391"/>
      <c r="Q363" s="391"/>
      <c r="R363" s="391"/>
    </row>
    <row r="364" spans="1:18">
      <c r="A364" s="978"/>
      <c r="B364" s="1009"/>
      <c r="C364" s="391"/>
      <c r="D364" s="391"/>
      <c r="E364" s="391"/>
      <c r="F364" s="391"/>
      <c r="G364" s="391"/>
      <c r="H364" s="391"/>
      <c r="I364" s="391"/>
      <c r="J364" s="1010"/>
      <c r="K364" s="978"/>
      <c r="L364" s="391"/>
      <c r="M364" s="978"/>
      <c r="N364" s="391"/>
      <c r="O364" s="391"/>
      <c r="P364" s="391"/>
      <c r="Q364" s="391"/>
      <c r="R364" s="391"/>
    </row>
    <row r="365" spans="1:18">
      <c r="A365" s="978"/>
      <c r="B365" s="1009"/>
      <c r="C365" s="391"/>
      <c r="D365" s="391"/>
      <c r="E365" s="391"/>
      <c r="F365" s="391"/>
      <c r="G365" s="391"/>
      <c r="H365" s="391"/>
      <c r="I365" s="391"/>
      <c r="J365" s="1010"/>
      <c r="K365" s="978"/>
      <c r="L365" s="391"/>
      <c r="M365" s="978"/>
      <c r="N365" s="391"/>
      <c r="O365" s="391"/>
      <c r="P365" s="391"/>
      <c r="Q365" s="391"/>
      <c r="R365" s="391"/>
    </row>
    <row r="366" spans="1:18">
      <c r="A366" s="978"/>
      <c r="B366" s="1009"/>
      <c r="C366" s="391"/>
      <c r="D366" s="391"/>
      <c r="E366" s="391"/>
      <c r="F366" s="391"/>
      <c r="G366" s="391"/>
      <c r="H366" s="391"/>
      <c r="I366" s="391"/>
      <c r="J366" s="1010"/>
      <c r="K366" s="978"/>
      <c r="L366" s="391"/>
      <c r="M366" s="978"/>
      <c r="N366" s="391"/>
      <c r="O366" s="391"/>
      <c r="P366" s="391"/>
      <c r="Q366" s="391"/>
      <c r="R366" s="391"/>
    </row>
    <row r="367" spans="1:18">
      <c r="A367" s="978"/>
      <c r="B367" s="1009"/>
      <c r="C367" s="391"/>
      <c r="D367" s="391"/>
      <c r="E367" s="391"/>
      <c r="F367" s="391"/>
      <c r="G367" s="391"/>
      <c r="H367" s="391"/>
      <c r="I367" s="391"/>
      <c r="J367" s="1010"/>
      <c r="K367" s="978"/>
      <c r="L367" s="391"/>
      <c r="M367" s="978"/>
      <c r="N367" s="391"/>
      <c r="O367" s="391"/>
      <c r="P367" s="391"/>
      <c r="Q367" s="391"/>
      <c r="R367" s="391"/>
    </row>
    <row r="368" spans="1:18">
      <c r="A368" s="978"/>
      <c r="B368" s="1009"/>
      <c r="C368" s="391"/>
      <c r="D368" s="391"/>
      <c r="E368" s="391"/>
      <c r="F368" s="391"/>
      <c r="G368" s="391"/>
      <c r="H368" s="391"/>
      <c r="I368" s="391"/>
      <c r="J368" s="1010"/>
      <c r="K368" s="978"/>
      <c r="L368" s="391"/>
      <c r="M368" s="978"/>
      <c r="N368" s="391"/>
      <c r="O368" s="391"/>
      <c r="P368" s="391"/>
      <c r="Q368" s="391"/>
      <c r="R368" s="391"/>
    </row>
    <row r="369" spans="1:18">
      <c r="A369" s="978"/>
      <c r="B369" s="1009"/>
      <c r="C369" s="391"/>
      <c r="D369" s="391"/>
      <c r="E369" s="391"/>
      <c r="F369" s="391"/>
      <c r="G369" s="391"/>
      <c r="H369" s="391"/>
      <c r="I369" s="391"/>
      <c r="J369" s="1010"/>
      <c r="K369" s="978"/>
      <c r="L369" s="391"/>
      <c r="M369" s="978"/>
      <c r="N369" s="391"/>
      <c r="O369" s="391"/>
      <c r="P369" s="391"/>
      <c r="Q369" s="391"/>
      <c r="R369" s="391"/>
    </row>
    <row r="370" spans="1:18">
      <c r="A370" s="978"/>
      <c r="B370" s="1009"/>
      <c r="C370" s="391"/>
      <c r="D370" s="391"/>
      <c r="E370" s="391"/>
      <c r="F370" s="391"/>
      <c r="G370" s="391"/>
      <c r="H370" s="391"/>
      <c r="I370" s="391"/>
      <c r="J370" s="1010"/>
      <c r="K370" s="978"/>
      <c r="L370" s="391"/>
      <c r="M370" s="978"/>
      <c r="N370" s="391"/>
      <c r="O370" s="391"/>
      <c r="P370" s="391"/>
      <c r="Q370" s="391"/>
      <c r="R370" s="391"/>
    </row>
    <row r="371" spans="1:18">
      <c r="A371" s="978"/>
      <c r="B371" s="1009"/>
      <c r="C371" s="391"/>
      <c r="D371" s="391"/>
      <c r="E371" s="391"/>
      <c r="F371" s="391"/>
      <c r="G371" s="391"/>
      <c r="H371" s="391"/>
      <c r="I371" s="391"/>
      <c r="J371" s="1010"/>
      <c r="K371" s="978"/>
      <c r="L371" s="391"/>
      <c r="M371" s="978"/>
      <c r="N371" s="391"/>
      <c r="O371" s="391"/>
      <c r="P371" s="391"/>
      <c r="Q371" s="391"/>
      <c r="R371" s="391"/>
    </row>
    <row r="372" spans="1:18">
      <c r="A372" s="978"/>
      <c r="B372" s="1009"/>
      <c r="C372" s="391"/>
      <c r="D372" s="391"/>
      <c r="E372" s="391"/>
      <c r="F372" s="391"/>
      <c r="G372" s="391"/>
      <c r="H372" s="391"/>
      <c r="I372" s="391"/>
      <c r="J372" s="1010"/>
      <c r="K372" s="978"/>
      <c r="L372" s="391"/>
      <c r="M372" s="978"/>
      <c r="N372" s="391"/>
      <c r="O372" s="391"/>
      <c r="P372" s="391"/>
      <c r="Q372" s="391"/>
      <c r="R372" s="391"/>
    </row>
    <row r="373" spans="1:18">
      <c r="A373" s="978"/>
      <c r="B373" s="1009"/>
      <c r="C373" s="391"/>
      <c r="D373" s="391"/>
      <c r="E373" s="391"/>
      <c r="F373" s="391"/>
      <c r="G373" s="391"/>
      <c r="H373" s="391"/>
      <c r="I373" s="391"/>
      <c r="J373" s="1010"/>
      <c r="K373" s="978"/>
      <c r="L373" s="391"/>
      <c r="M373" s="978"/>
      <c r="N373" s="391"/>
      <c r="O373" s="391"/>
      <c r="P373" s="391"/>
      <c r="Q373" s="391"/>
      <c r="R373" s="391"/>
    </row>
    <row r="374" spans="1:18">
      <c r="A374" s="978"/>
      <c r="B374" s="1009"/>
      <c r="C374" s="391"/>
      <c r="D374" s="391"/>
      <c r="E374" s="391"/>
      <c r="F374" s="391"/>
      <c r="G374" s="391"/>
      <c r="H374" s="391"/>
      <c r="I374" s="391"/>
      <c r="J374" s="1010"/>
      <c r="K374" s="978"/>
      <c r="L374" s="391"/>
      <c r="M374" s="978"/>
      <c r="N374" s="391"/>
      <c r="O374" s="391"/>
      <c r="P374" s="391"/>
      <c r="Q374" s="391"/>
      <c r="R374" s="391"/>
    </row>
    <row r="375" spans="1:18">
      <c r="A375" s="978"/>
      <c r="B375" s="1009"/>
      <c r="C375" s="391"/>
      <c r="D375" s="391"/>
      <c r="E375" s="391"/>
      <c r="F375" s="391"/>
      <c r="G375" s="391"/>
      <c r="H375" s="391"/>
      <c r="I375" s="391"/>
      <c r="J375" s="1010"/>
      <c r="K375" s="978"/>
      <c r="L375" s="391"/>
      <c r="M375" s="978"/>
      <c r="N375" s="391"/>
      <c r="O375" s="391"/>
      <c r="P375" s="391"/>
      <c r="Q375" s="391"/>
      <c r="R375" s="391"/>
    </row>
    <row r="376" spans="1:18">
      <c r="A376" s="978"/>
      <c r="B376" s="1009"/>
      <c r="C376" s="391"/>
      <c r="D376" s="391"/>
      <c r="E376" s="391"/>
      <c r="F376" s="391"/>
      <c r="G376" s="391"/>
      <c r="H376" s="391"/>
      <c r="I376" s="391"/>
      <c r="J376" s="1010"/>
      <c r="K376" s="978"/>
      <c r="L376" s="391"/>
      <c r="M376" s="978"/>
      <c r="N376" s="391"/>
      <c r="O376" s="391"/>
      <c r="P376" s="391"/>
      <c r="Q376" s="391"/>
      <c r="R376" s="391"/>
    </row>
    <row r="377" spans="1:18">
      <c r="A377" s="978"/>
      <c r="B377" s="1009"/>
      <c r="C377" s="391"/>
      <c r="D377" s="391"/>
      <c r="E377" s="391"/>
      <c r="F377" s="391"/>
      <c r="G377" s="391"/>
      <c r="H377" s="391"/>
      <c r="I377" s="391"/>
      <c r="J377" s="1010"/>
      <c r="K377" s="978"/>
      <c r="L377" s="391"/>
      <c r="M377" s="978"/>
      <c r="N377" s="391"/>
      <c r="O377" s="391"/>
      <c r="P377" s="391"/>
      <c r="Q377" s="391"/>
      <c r="R377" s="391"/>
    </row>
    <row r="378" spans="1:18">
      <c r="A378" s="978"/>
      <c r="B378" s="1009"/>
      <c r="C378" s="391"/>
      <c r="D378" s="391"/>
      <c r="E378" s="391"/>
      <c r="F378" s="391"/>
      <c r="G378" s="391"/>
      <c r="H378" s="391"/>
      <c r="I378" s="391"/>
      <c r="J378" s="1010"/>
      <c r="K378" s="978"/>
      <c r="L378" s="391"/>
      <c r="M378" s="978"/>
      <c r="N378" s="391"/>
      <c r="O378" s="391"/>
      <c r="P378" s="391"/>
      <c r="Q378" s="391"/>
      <c r="R378" s="391"/>
    </row>
    <row r="379" spans="1:18">
      <c r="A379" s="978"/>
      <c r="B379" s="1009"/>
      <c r="C379" s="391"/>
      <c r="D379" s="391"/>
      <c r="E379" s="391"/>
      <c r="F379" s="391"/>
      <c r="G379" s="391"/>
      <c r="H379" s="391"/>
      <c r="I379" s="391"/>
      <c r="J379" s="1010"/>
      <c r="K379" s="978"/>
      <c r="L379" s="391"/>
      <c r="M379" s="978"/>
      <c r="N379" s="391"/>
      <c r="O379" s="391"/>
      <c r="P379" s="391"/>
      <c r="Q379" s="391"/>
      <c r="R379" s="391"/>
    </row>
    <row r="380" spans="1:18">
      <c r="A380" s="978"/>
      <c r="B380" s="1009"/>
      <c r="C380" s="391"/>
      <c r="D380" s="391"/>
      <c r="E380" s="391"/>
      <c r="F380" s="391"/>
      <c r="G380" s="391"/>
      <c r="H380" s="391"/>
      <c r="I380" s="391"/>
      <c r="J380" s="1010"/>
      <c r="K380" s="978"/>
      <c r="L380" s="391"/>
      <c r="M380" s="978"/>
      <c r="N380" s="391"/>
      <c r="O380" s="391"/>
      <c r="P380" s="391"/>
      <c r="Q380" s="391"/>
      <c r="R380" s="391"/>
    </row>
    <row r="381" spans="1:18">
      <c r="A381" s="978"/>
      <c r="B381" s="1009"/>
      <c r="C381" s="391"/>
      <c r="D381" s="391"/>
      <c r="E381" s="391"/>
      <c r="F381" s="391"/>
      <c r="G381" s="391"/>
      <c r="H381" s="391"/>
      <c r="I381" s="391"/>
      <c r="J381" s="1010"/>
      <c r="K381" s="978"/>
      <c r="L381" s="391"/>
      <c r="M381" s="978"/>
      <c r="N381" s="391"/>
      <c r="O381" s="391"/>
      <c r="P381" s="391"/>
      <c r="Q381" s="391"/>
      <c r="R381" s="391"/>
    </row>
    <row r="382" spans="1:18">
      <c r="A382" s="978"/>
      <c r="B382" s="1009"/>
      <c r="C382" s="391"/>
      <c r="D382" s="391"/>
      <c r="E382" s="391"/>
      <c r="F382" s="391"/>
      <c r="G382" s="391"/>
      <c r="H382" s="391"/>
      <c r="I382" s="391"/>
      <c r="J382" s="1010"/>
      <c r="K382" s="978"/>
      <c r="L382" s="391"/>
      <c r="M382" s="978"/>
      <c r="N382" s="391"/>
      <c r="O382" s="391"/>
      <c r="P382" s="391"/>
      <c r="Q382" s="391"/>
      <c r="R382" s="391"/>
    </row>
    <row r="383" spans="1:18">
      <c r="A383" s="978"/>
      <c r="B383" s="1009"/>
      <c r="C383" s="391"/>
      <c r="D383" s="391"/>
      <c r="E383" s="391"/>
      <c r="F383" s="391"/>
      <c r="G383" s="391"/>
      <c r="H383" s="391"/>
      <c r="I383" s="391"/>
      <c r="J383" s="1010"/>
      <c r="K383" s="978"/>
      <c r="L383" s="391"/>
      <c r="M383" s="978"/>
      <c r="N383" s="391"/>
      <c r="O383" s="391"/>
      <c r="P383" s="391"/>
      <c r="Q383" s="391"/>
      <c r="R383" s="391"/>
    </row>
    <row r="384" spans="1:18">
      <c r="A384" s="978"/>
      <c r="B384" s="1009"/>
      <c r="C384" s="391"/>
      <c r="D384" s="391"/>
      <c r="E384" s="391"/>
      <c r="F384" s="391"/>
      <c r="G384" s="391"/>
      <c r="H384" s="391"/>
      <c r="I384" s="391"/>
      <c r="J384" s="1010"/>
      <c r="K384" s="978"/>
      <c r="L384" s="391"/>
      <c r="M384" s="978"/>
      <c r="N384" s="391"/>
      <c r="O384" s="391"/>
      <c r="P384" s="391"/>
      <c r="Q384" s="391"/>
      <c r="R384" s="391"/>
    </row>
    <row r="385" spans="1:18">
      <c r="A385" s="978"/>
      <c r="B385" s="1009"/>
      <c r="C385" s="391"/>
      <c r="D385" s="391"/>
      <c r="E385" s="391"/>
      <c r="F385" s="391"/>
      <c r="G385" s="391"/>
      <c r="H385" s="391"/>
      <c r="I385" s="391"/>
      <c r="J385" s="1010"/>
      <c r="K385" s="978"/>
      <c r="L385" s="391"/>
      <c r="M385" s="978"/>
      <c r="N385" s="391"/>
      <c r="O385" s="391"/>
      <c r="P385" s="391"/>
      <c r="Q385" s="391"/>
      <c r="R385" s="391"/>
    </row>
    <row r="386" spans="1:18">
      <c r="A386" s="978"/>
      <c r="B386" s="1009"/>
      <c r="C386" s="391"/>
      <c r="D386" s="391"/>
      <c r="E386" s="391"/>
      <c r="F386" s="391"/>
      <c r="G386" s="391"/>
      <c r="H386" s="391"/>
      <c r="I386" s="391"/>
      <c r="J386" s="1010"/>
      <c r="K386" s="978"/>
      <c r="L386" s="391"/>
      <c r="M386" s="978"/>
      <c r="N386" s="391"/>
      <c r="O386" s="391"/>
      <c r="P386" s="391"/>
      <c r="Q386" s="391"/>
      <c r="R386" s="391"/>
    </row>
    <row r="387" spans="1:18">
      <c r="A387" s="978"/>
      <c r="B387" s="1009"/>
      <c r="C387" s="391"/>
      <c r="D387" s="391"/>
      <c r="E387" s="391"/>
      <c r="F387" s="391"/>
      <c r="G387" s="391"/>
      <c r="H387" s="391"/>
      <c r="I387" s="391"/>
      <c r="J387" s="1010"/>
      <c r="K387" s="978"/>
      <c r="L387" s="391"/>
      <c r="M387" s="978"/>
      <c r="N387" s="391"/>
      <c r="O387" s="391"/>
      <c r="P387" s="391"/>
      <c r="Q387" s="391"/>
      <c r="R387" s="391"/>
    </row>
    <row r="388" spans="1:18">
      <c r="A388" s="978"/>
      <c r="B388" s="1009"/>
      <c r="C388" s="391"/>
      <c r="D388" s="391"/>
      <c r="E388" s="391"/>
      <c r="F388" s="391"/>
      <c r="G388" s="391"/>
      <c r="H388" s="391"/>
      <c r="I388" s="391"/>
      <c r="J388" s="1010"/>
      <c r="K388" s="978"/>
      <c r="L388" s="391"/>
      <c r="M388" s="978"/>
      <c r="N388" s="391"/>
      <c r="O388" s="391"/>
      <c r="P388" s="391"/>
      <c r="Q388" s="391"/>
      <c r="R388" s="391"/>
    </row>
    <row r="389" spans="1:18">
      <c r="A389" s="978"/>
      <c r="B389" s="1009"/>
      <c r="C389" s="391"/>
      <c r="D389" s="391"/>
      <c r="E389" s="391"/>
      <c r="F389" s="391"/>
      <c r="G389" s="391"/>
      <c r="H389" s="391"/>
      <c r="I389" s="391"/>
      <c r="J389" s="1010"/>
      <c r="K389" s="978"/>
      <c r="L389" s="391"/>
      <c r="M389" s="978"/>
      <c r="N389" s="391"/>
      <c r="O389" s="391"/>
      <c r="P389" s="391"/>
      <c r="Q389" s="391"/>
      <c r="R389" s="391"/>
    </row>
    <row r="390" spans="1:18">
      <c r="A390" s="978"/>
      <c r="B390" s="1009"/>
      <c r="C390" s="391"/>
      <c r="D390" s="391"/>
      <c r="E390" s="391"/>
      <c r="F390" s="391"/>
      <c r="G390" s="391"/>
      <c r="H390" s="391"/>
      <c r="I390" s="391"/>
      <c r="J390" s="1010"/>
      <c r="K390" s="978"/>
      <c r="L390" s="391"/>
      <c r="M390" s="978"/>
      <c r="N390" s="391"/>
      <c r="O390" s="391"/>
      <c r="P390" s="391"/>
      <c r="Q390" s="391"/>
      <c r="R390" s="391"/>
    </row>
    <row r="391" spans="1:18">
      <c r="A391" s="978"/>
      <c r="B391" s="1009"/>
      <c r="C391" s="391"/>
      <c r="D391" s="391"/>
      <c r="E391" s="391"/>
      <c r="F391" s="391"/>
      <c r="G391" s="391"/>
      <c r="H391" s="391"/>
      <c r="I391" s="391"/>
      <c r="J391" s="1010"/>
      <c r="K391" s="978"/>
      <c r="L391" s="391"/>
      <c r="M391" s="978"/>
      <c r="N391" s="391"/>
      <c r="O391" s="391"/>
      <c r="P391" s="391"/>
      <c r="Q391" s="391"/>
      <c r="R391" s="391"/>
    </row>
    <row r="392" spans="1:18">
      <c r="A392" s="978"/>
      <c r="B392" s="1009"/>
      <c r="C392" s="391"/>
      <c r="D392" s="391"/>
      <c r="E392" s="391"/>
      <c r="F392" s="391"/>
      <c r="G392" s="391"/>
      <c r="H392" s="391"/>
      <c r="I392" s="391"/>
      <c r="J392" s="1010"/>
      <c r="K392" s="978"/>
      <c r="L392" s="391"/>
      <c r="M392" s="978"/>
      <c r="N392" s="391"/>
      <c r="O392" s="391"/>
      <c r="P392" s="391"/>
      <c r="Q392" s="391"/>
      <c r="R392" s="391"/>
    </row>
    <row r="393" spans="1:18">
      <c r="A393" s="978"/>
      <c r="B393" s="1009"/>
      <c r="C393" s="391"/>
      <c r="D393" s="391"/>
      <c r="E393" s="391"/>
      <c r="F393" s="391"/>
      <c r="G393" s="391"/>
      <c r="H393" s="391"/>
      <c r="I393" s="391"/>
      <c r="J393" s="1010"/>
      <c r="K393" s="978"/>
      <c r="L393" s="391"/>
      <c r="M393" s="978"/>
      <c r="N393" s="391"/>
      <c r="O393" s="391"/>
      <c r="P393" s="391"/>
      <c r="Q393" s="391"/>
      <c r="R393" s="391"/>
    </row>
    <row r="394" spans="1:18">
      <c r="A394" s="978"/>
      <c r="B394" s="1009"/>
      <c r="C394" s="391"/>
      <c r="D394" s="391"/>
      <c r="E394" s="391"/>
      <c r="F394" s="391"/>
      <c r="G394" s="391"/>
      <c r="H394" s="391"/>
      <c r="I394" s="391"/>
      <c r="J394" s="1010"/>
      <c r="K394" s="978"/>
      <c r="L394" s="391"/>
      <c r="M394" s="978"/>
      <c r="N394" s="391"/>
      <c r="O394" s="391"/>
      <c r="P394" s="391"/>
      <c r="Q394" s="391"/>
      <c r="R394" s="391"/>
    </row>
    <row r="395" spans="1:18">
      <c r="A395" s="978"/>
      <c r="B395" s="1009"/>
      <c r="C395" s="391"/>
      <c r="D395" s="391"/>
      <c r="E395" s="391"/>
      <c r="F395" s="391"/>
      <c r="G395" s="391"/>
      <c r="H395" s="391"/>
      <c r="I395" s="391"/>
      <c r="J395" s="1010"/>
      <c r="K395" s="978"/>
      <c r="L395" s="391"/>
      <c r="M395" s="978"/>
      <c r="N395" s="391"/>
      <c r="O395" s="391"/>
      <c r="P395" s="391"/>
      <c r="Q395" s="391"/>
      <c r="R395" s="391"/>
    </row>
    <row r="396" spans="1:18">
      <c r="A396" s="978"/>
      <c r="B396" s="1009"/>
      <c r="C396" s="391"/>
      <c r="D396" s="391"/>
      <c r="E396" s="391"/>
      <c r="F396" s="391"/>
      <c r="G396" s="391"/>
      <c r="H396" s="391"/>
      <c r="I396" s="391"/>
      <c r="J396" s="1010"/>
      <c r="K396" s="978"/>
      <c r="L396" s="391"/>
      <c r="M396" s="978"/>
      <c r="N396" s="391"/>
      <c r="O396" s="391"/>
      <c r="P396" s="391"/>
      <c r="Q396" s="391"/>
      <c r="R396" s="391"/>
    </row>
    <row r="397" spans="1:18">
      <c r="A397" s="978"/>
      <c r="B397" s="1009"/>
      <c r="C397" s="391"/>
      <c r="D397" s="391"/>
      <c r="E397" s="391"/>
      <c r="F397" s="391"/>
      <c r="G397" s="391"/>
      <c r="H397" s="391"/>
      <c r="I397" s="391"/>
      <c r="J397" s="1010"/>
      <c r="K397" s="978"/>
      <c r="L397" s="391"/>
      <c r="M397" s="978"/>
      <c r="N397" s="391"/>
      <c r="O397" s="391"/>
      <c r="P397" s="391"/>
      <c r="Q397" s="391"/>
      <c r="R397" s="391"/>
    </row>
    <row r="398" spans="1:18">
      <c r="A398" s="978"/>
      <c r="B398" s="1009"/>
      <c r="C398" s="391"/>
      <c r="D398" s="391"/>
      <c r="E398" s="391"/>
      <c r="F398" s="391"/>
      <c r="G398" s="391"/>
      <c r="H398" s="391"/>
      <c r="I398" s="391"/>
      <c r="J398" s="1010"/>
      <c r="K398" s="978"/>
      <c r="L398" s="391"/>
      <c r="M398" s="978"/>
      <c r="N398" s="391"/>
      <c r="O398" s="391"/>
      <c r="P398" s="391"/>
      <c r="Q398" s="391"/>
      <c r="R398" s="391"/>
    </row>
    <row r="399" spans="1:18">
      <c r="A399" s="978"/>
      <c r="B399" s="1009"/>
      <c r="C399" s="391"/>
      <c r="D399" s="391"/>
      <c r="E399" s="391"/>
      <c r="F399" s="391"/>
      <c r="G399" s="391"/>
      <c r="H399" s="391"/>
      <c r="I399" s="391"/>
      <c r="J399" s="1010"/>
      <c r="K399" s="978"/>
      <c r="L399" s="391"/>
      <c r="M399" s="978"/>
      <c r="N399" s="391"/>
      <c r="O399" s="391"/>
      <c r="P399" s="391"/>
      <c r="Q399" s="391"/>
      <c r="R399" s="391"/>
    </row>
    <row r="400" spans="1:18">
      <c r="A400" s="978"/>
      <c r="B400" s="1009"/>
      <c r="C400" s="391"/>
      <c r="D400" s="391"/>
      <c r="E400" s="391"/>
      <c r="F400" s="391"/>
      <c r="G400" s="391"/>
      <c r="H400" s="391"/>
      <c r="I400" s="391"/>
      <c r="J400" s="1010"/>
      <c r="K400" s="978"/>
      <c r="L400" s="391"/>
      <c r="M400" s="978"/>
      <c r="N400" s="391"/>
      <c r="O400" s="391"/>
      <c r="P400" s="391"/>
      <c r="Q400" s="391"/>
      <c r="R400" s="391"/>
    </row>
    <row r="401" spans="1:18">
      <c r="A401" s="978"/>
      <c r="B401" s="1009"/>
      <c r="C401" s="391"/>
      <c r="D401" s="391"/>
      <c r="E401" s="391"/>
      <c r="F401" s="391"/>
      <c r="G401" s="391"/>
      <c r="H401" s="391"/>
      <c r="I401" s="391"/>
      <c r="J401" s="1010"/>
      <c r="K401" s="978"/>
      <c r="L401" s="391"/>
      <c r="M401" s="978"/>
      <c r="N401" s="391"/>
      <c r="O401" s="391"/>
      <c r="P401" s="391"/>
      <c r="Q401" s="391"/>
      <c r="R401" s="391"/>
    </row>
    <row r="402" spans="1:18">
      <c r="A402" s="978"/>
      <c r="B402" s="1009"/>
      <c r="C402" s="391"/>
      <c r="D402" s="391"/>
      <c r="E402" s="391"/>
      <c r="F402" s="391"/>
      <c r="G402" s="391"/>
      <c r="H402" s="391"/>
      <c r="I402" s="391"/>
      <c r="J402" s="1010"/>
      <c r="K402" s="978"/>
      <c r="L402" s="391"/>
      <c r="M402" s="978"/>
      <c r="N402" s="391"/>
      <c r="O402" s="391"/>
      <c r="P402" s="391"/>
      <c r="Q402" s="391"/>
      <c r="R402" s="391"/>
    </row>
    <row r="403" spans="1:18">
      <c r="A403" s="978"/>
      <c r="B403" s="1009"/>
      <c r="C403" s="391"/>
      <c r="D403" s="391"/>
      <c r="E403" s="391"/>
      <c r="F403" s="391"/>
      <c r="G403" s="391"/>
      <c r="H403" s="391"/>
      <c r="I403" s="391"/>
      <c r="J403" s="1010"/>
      <c r="K403" s="978"/>
      <c r="L403" s="391"/>
      <c r="M403" s="978"/>
      <c r="N403" s="391"/>
      <c r="O403" s="391"/>
      <c r="P403" s="391"/>
      <c r="Q403" s="391"/>
      <c r="R403" s="391"/>
    </row>
    <row r="404" spans="1:18">
      <c r="A404" s="978"/>
      <c r="B404" s="1009"/>
      <c r="C404" s="391"/>
      <c r="D404" s="391"/>
      <c r="E404" s="391"/>
      <c r="F404" s="391"/>
      <c r="G404" s="391"/>
      <c r="H404" s="391"/>
      <c r="I404" s="391"/>
      <c r="J404" s="1010"/>
      <c r="K404" s="978"/>
      <c r="L404" s="391"/>
      <c r="M404" s="978"/>
      <c r="N404" s="391"/>
      <c r="O404" s="391"/>
      <c r="P404" s="391"/>
      <c r="Q404" s="391"/>
      <c r="R404" s="391"/>
    </row>
    <row r="405" spans="1:18">
      <c r="A405" s="978"/>
      <c r="B405" s="1009"/>
      <c r="C405" s="391"/>
      <c r="D405" s="391"/>
      <c r="E405" s="391"/>
      <c r="F405" s="391"/>
      <c r="G405" s="391"/>
      <c r="H405" s="391"/>
      <c r="I405" s="391"/>
      <c r="J405" s="1010"/>
      <c r="K405" s="978"/>
      <c r="L405" s="391"/>
      <c r="M405" s="978"/>
      <c r="N405" s="391"/>
      <c r="O405" s="391"/>
      <c r="P405" s="391"/>
      <c r="Q405" s="391"/>
      <c r="R405" s="391"/>
    </row>
    <row r="406" spans="1:18">
      <c r="A406" s="978"/>
      <c r="B406" s="1009"/>
      <c r="C406" s="391"/>
      <c r="D406" s="391"/>
      <c r="E406" s="391"/>
      <c r="F406" s="391"/>
      <c r="G406" s="391"/>
      <c r="H406" s="391"/>
      <c r="I406" s="391"/>
      <c r="J406" s="1010"/>
      <c r="K406" s="978"/>
      <c r="L406" s="391"/>
      <c r="M406" s="978"/>
      <c r="N406" s="391"/>
      <c r="O406" s="391"/>
      <c r="P406" s="391"/>
      <c r="Q406" s="391"/>
      <c r="R406" s="391"/>
    </row>
    <row r="407" spans="1:18">
      <c r="A407" s="978"/>
      <c r="B407" s="1009"/>
      <c r="C407" s="391"/>
      <c r="D407" s="391"/>
      <c r="E407" s="391"/>
      <c r="F407" s="391"/>
      <c r="G407" s="391"/>
      <c r="H407" s="391"/>
      <c r="I407" s="391"/>
      <c r="J407" s="1010"/>
      <c r="K407" s="978"/>
      <c r="L407" s="391"/>
      <c r="M407" s="978"/>
      <c r="N407" s="391"/>
      <c r="O407" s="391"/>
      <c r="P407" s="391"/>
      <c r="Q407" s="391"/>
      <c r="R407" s="391"/>
    </row>
    <row r="408" spans="1:18">
      <c r="A408" s="978"/>
      <c r="B408" s="1009"/>
      <c r="C408" s="391"/>
      <c r="D408" s="391"/>
      <c r="E408" s="391"/>
      <c r="F408" s="391"/>
      <c r="G408" s="391"/>
      <c r="H408" s="391"/>
      <c r="I408" s="391"/>
      <c r="J408" s="1010"/>
      <c r="K408" s="978"/>
      <c r="L408" s="391"/>
      <c r="M408" s="978"/>
      <c r="N408" s="391"/>
      <c r="O408" s="391"/>
      <c r="P408" s="391"/>
      <c r="Q408" s="391"/>
      <c r="R408" s="391"/>
    </row>
    <row r="409" spans="1:18">
      <c r="A409" s="978"/>
      <c r="B409" s="1009"/>
      <c r="C409" s="391"/>
      <c r="D409" s="391"/>
      <c r="E409" s="391"/>
      <c r="F409" s="391"/>
      <c r="G409" s="391"/>
      <c r="H409" s="391"/>
      <c r="I409" s="391"/>
      <c r="J409" s="1010"/>
      <c r="K409" s="978"/>
      <c r="L409" s="391"/>
      <c r="M409" s="978"/>
      <c r="N409" s="391"/>
      <c r="O409" s="391"/>
      <c r="P409" s="391"/>
      <c r="Q409" s="391"/>
      <c r="R409" s="391"/>
    </row>
    <row r="410" spans="1:18">
      <c r="A410" s="978"/>
      <c r="B410" s="1009"/>
      <c r="C410" s="391"/>
      <c r="D410" s="391"/>
      <c r="E410" s="391"/>
      <c r="F410" s="391"/>
      <c r="G410" s="391"/>
      <c r="H410" s="391"/>
      <c r="I410" s="391"/>
      <c r="J410" s="1010"/>
      <c r="K410" s="978"/>
      <c r="L410" s="391"/>
      <c r="M410" s="978"/>
      <c r="N410" s="391"/>
      <c r="O410" s="391"/>
      <c r="P410" s="391"/>
      <c r="Q410" s="391"/>
      <c r="R410" s="391"/>
    </row>
    <row r="411" spans="1:18">
      <c r="A411" s="978"/>
      <c r="B411" s="1009"/>
      <c r="C411" s="391"/>
      <c r="D411" s="391"/>
      <c r="E411" s="391"/>
      <c r="F411" s="391"/>
      <c r="G411" s="391"/>
      <c r="H411" s="391"/>
      <c r="I411" s="391"/>
      <c r="J411" s="1010"/>
      <c r="K411" s="978"/>
      <c r="L411" s="391"/>
      <c r="M411" s="978"/>
      <c r="N411" s="391"/>
      <c r="O411" s="391"/>
      <c r="P411" s="391"/>
      <c r="Q411" s="391"/>
      <c r="R411" s="391"/>
    </row>
    <row r="412" spans="1:18">
      <c r="A412" s="978"/>
      <c r="B412" s="1009"/>
      <c r="C412" s="391"/>
      <c r="D412" s="391"/>
      <c r="E412" s="391"/>
      <c r="F412" s="391"/>
      <c r="G412" s="391"/>
      <c r="H412" s="391"/>
      <c r="I412" s="391"/>
      <c r="J412" s="1010"/>
      <c r="K412" s="978"/>
      <c r="L412" s="391"/>
      <c r="M412" s="978"/>
      <c r="N412" s="391"/>
      <c r="O412" s="391"/>
      <c r="P412" s="391"/>
      <c r="Q412" s="391"/>
      <c r="R412" s="391"/>
    </row>
    <row r="413" spans="1:18">
      <c r="A413" s="978"/>
      <c r="B413" s="1009"/>
      <c r="C413" s="391"/>
      <c r="D413" s="391"/>
      <c r="E413" s="391"/>
      <c r="F413" s="391"/>
      <c r="G413" s="391"/>
      <c r="H413" s="391"/>
      <c r="I413" s="391"/>
      <c r="J413" s="1010"/>
      <c r="K413" s="978"/>
      <c r="L413" s="391"/>
      <c r="M413" s="978"/>
      <c r="N413" s="391"/>
      <c r="O413" s="391"/>
      <c r="P413" s="391"/>
      <c r="Q413" s="391"/>
      <c r="R413" s="391"/>
    </row>
    <row r="414" spans="1:18">
      <c r="A414" s="978"/>
      <c r="B414" s="1009"/>
      <c r="C414" s="391"/>
      <c r="D414" s="391"/>
      <c r="E414" s="391"/>
      <c r="F414" s="391"/>
      <c r="G414" s="391"/>
      <c r="H414" s="391"/>
      <c r="I414" s="391"/>
      <c r="J414" s="1010"/>
      <c r="K414" s="978"/>
      <c r="L414" s="391"/>
      <c r="M414" s="978"/>
      <c r="N414" s="391"/>
      <c r="O414" s="391"/>
      <c r="P414" s="391"/>
      <c r="Q414" s="391"/>
      <c r="R414" s="391"/>
    </row>
    <row r="415" spans="1:18">
      <c r="A415" s="978"/>
      <c r="B415" s="1009"/>
      <c r="C415" s="391"/>
      <c r="D415" s="391"/>
      <c r="E415" s="391"/>
      <c r="F415" s="391"/>
      <c r="G415" s="391"/>
      <c r="H415" s="391"/>
      <c r="I415" s="391"/>
      <c r="J415" s="1010"/>
      <c r="K415" s="978"/>
      <c r="L415" s="391"/>
      <c r="M415" s="978"/>
      <c r="N415" s="391"/>
      <c r="O415" s="391"/>
      <c r="P415" s="391"/>
      <c r="Q415" s="391"/>
      <c r="R415" s="391"/>
    </row>
    <row r="416" spans="1:18">
      <c r="A416" s="978"/>
      <c r="B416" s="1009"/>
      <c r="C416" s="391"/>
      <c r="D416" s="391"/>
      <c r="E416" s="391"/>
      <c r="F416" s="391"/>
      <c r="G416" s="391"/>
      <c r="H416" s="391"/>
      <c r="I416" s="391"/>
      <c r="J416" s="1010"/>
      <c r="K416" s="978"/>
      <c r="L416" s="391"/>
      <c r="M416" s="978"/>
      <c r="N416" s="391"/>
      <c r="O416" s="391"/>
      <c r="P416" s="391"/>
      <c r="Q416" s="391"/>
      <c r="R416" s="391"/>
    </row>
    <row r="417" spans="1:18">
      <c r="A417" s="978"/>
      <c r="B417" s="1009"/>
      <c r="C417" s="391"/>
      <c r="D417" s="391"/>
      <c r="E417" s="391"/>
      <c r="F417" s="391"/>
      <c r="G417" s="391"/>
      <c r="H417" s="391"/>
      <c r="I417" s="391"/>
      <c r="J417" s="1010"/>
      <c r="K417" s="978"/>
      <c r="L417" s="391"/>
      <c r="M417" s="978"/>
      <c r="N417" s="391"/>
      <c r="O417" s="391"/>
      <c r="P417" s="391"/>
      <c r="Q417" s="391"/>
      <c r="R417" s="391"/>
    </row>
    <row r="418" spans="1:18">
      <c r="A418" s="978"/>
      <c r="B418" s="1009"/>
      <c r="C418" s="391"/>
      <c r="D418" s="391"/>
      <c r="E418" s="391"/>
      <c r="F418" s="391"/>
      <c r="G418" s="391"/>
      <c r="H418" s="391"/>
      <c r="I418" s="391"/>
      <c r="J418" s="1010"/>
      <c r="K418" s="978"/>
      <c r="L418" s="391"/>
      <c r="M418" s="978"/>
      <c r="N418" s="391"/>
      <c r="O418" s="391"/>
      <c r="P418" s="391"/>
      <c r="Q418" s="391"/>
      <c r="R418" s="391"/>
    </row>
    <row r="419" spans="1:18">
      <c r="A419" s="978"/>
      <c r="B419" s="1009"/>
      <c r="C419" s="391"/>
      <c r="D419" s="391"/>
      <c r="E419" s="391"/>
      <c r="F419" s="391"/>
      <c r="G419" s="391"/>
      <c r="H419" s="391"/>
      <c r="I419" s="391"/>
      <c r="J419" s="1010"/>
      <c r="K419" s="978"/>
      <c r="L419" s="391"/>
      <c r="M419" s="978"/>
      <c r="N419" s="391"/>
      <c r="O419" s="391"/>
      <c r="P419" s="391"/>
      <c r="Q419" s="391"/>
      <c r="R419" s="391"/>
    </row>
    <row r="420" spans="1:18">
      <c r="A420" s="978"/>
      <c r="B420" s="1009"/>
      <c r="C420" s="391"/>
      <c r="D420" s="391"/>
      <c r="E420" s="391"/>
      <c r="F420" s="391"/>
      <c r="G420" s="391"/>
      <c r="H420" s="391"/>
      <c r="I420" s="391"/>
      <c r="J420" s="1010"/>
      <c r="K420" s="978"/>
      <c r="L420" s="391"/>
      <c r="M420" s="978"/>
      <c r="N420" s="391"/>
      <c r="O420" s="391"/>
      <c r="P420" s="391"/>
      <c r="Q420" s="391"/>
      <c r="R420" s="391"/>
    </row>
    <row r="421" spans="1:18">
      <c r="A421" s="978"/>
      <c r="B421" s="1009"/>
      <c r="C421" s="391"/>
      <c r="D421" s="391"/>
      <c r="E421" s="391"/>
      <c r="F421" s="391"/>
      <c r="G421" s="391"/>
      <c r="H421" s="391"/>
      <c r="I421" s="391"/>
      <c r="J421" s="1010"/>
      <c r="K421" s="978"/>
      <c r="L421" s="391"/>
      <c r="M421" s="978"/>
      <c r="N421" s="391"/>
      <c r="O421" s="391"/>
      <c r="P421" s="391"/>
      <c r="Q421" s="391"/>
      <c r="R421" s="391"/>
    </row>
    <row r="422" spans="1:18">
      <c r="A422" s="978"/>
      <c r="B422" s="1009"/>
      <c r="C422" s="391"/>
      <c r="D422" s="391"/>
      <c r="E422" s="391"/>
      <c r="F422" s="391"/>
      <c r="G422" s="391"/>
      <c r="H422" s="391"/>
      <c r="I422" s="391"/>
      <c r="J422" s="1010"/>
      <c r="K422" s="978"/>
      <c r="L422" s="391"/>
      <c r="M422" s="978"/>
      <c r="N422" s="391"/>
      <c r="O422" s="391"/>
      <c r="P422" s="391"/>
      <c r="Q422" s="391"/>
      <c r="R422" s="391"/>
    </row>
    <row r="423" spans="1:18">
      <c r="A423" s="978"/>
      <c r="B423" s="1009"/>
      <c r="C423" s="391"/>
      <c r="D423" s="391"/>
      <c r="E423" s="391"/>
      <c r="F423" s="391"/>
      <c r="G423" s="391"/>
      <c r="H423" s="391"/>
      <c r="I423" s="391"/>
      <c r="J423" s="1010"/>
      <c r="K423" s="978"/>
      <c r="L423" s="391"/>
      <c r="M423" s="978"/>
      <c r="N423" s="391"/>
      <c r="O423" s="391"/>
      <c r="P423" s="391"/>
      <c r="Q423" s="391"/>
      <c r="R423" s="391"/>
    </row>
    <row r="424" spans="1:18">
      <c r="A424" s="978"/>
      <c r="B424" s="1009"/>
      <c r="C424" s="391"/>
      <c r="D424" s="391"/>
      <c r="E424" s="391"/>
      <c r="F424" s="391"/>
      <c r="G424" s="391"/>
      <c r="H424" s="391"/>
      <c r="I424" s="391"/>
      <c r="J424" s="1010"/>
      <c r="K424" s="978"/>
      <c r="L424" s="391"/>
      <c r="M424" s="978"/>
      <c r="N424" s="391"/>
      <c r="O424" s="391"/>
      <c r="P424" s="391"/>
      <c r="Q424" s="391"/>
      <c r="R424" s="391"/>
    </row>
    <row r="425" spans="1:18">
      <c r="A425" s="978"/>
      <c r="B425" s="1009"/>
      <c r="C425" s="391"/>
      <c r="D425" s="391"/>
      <c r="E425" s="391"/>
      <c r="F425" s="391"/>
      <c r="G425" s="391"/>
      <c r="H425" s="391"/>
      <c r="I425" s="391"/>
      <c r="J425" s="1010"/>
      <c r="K425" s="978"/>
      <c r="L425" s="391"/>
      <c r="M425" s="978"/>
      <c r="N425" s="391"/>
      <c r="O425" s="391"/>
      <c r="P425" s="391"/>
      <c r="Q425" s="391"/>
      <c r="R425" s="391"/>
    </row>
    <row r="426" spans="1:18">
      <c r="A426" s="978"/>
      <c r="B426" s="1009"/>
      <c r="C426" s="391"/>
      <c r="D426" s="391"/>
      <c r="E426" s="391"/>
      <c r="F426" s="391"/>
      <c r="G426" s="391"/>
      <c r="H426" s="391"/>
      <c r="I426" s="391"/>
      <c r="J426" s="1010"/>
      <c r="K426" s="978"/>
      <c r="L426" s="391"/>
      <c r="M426" s="978"/>
      <c r="N426" s="391"/>
      <c r="O426" s="391"/>
      <c r="P426" s="391"/>
      <c r="Q426" s="391"/>
      <c r="R426" s="391"/>
    </row>
    <row r="427" spans="1:18">
      <c r="A427" s="978"/>
      <c r="B427" s="1009"/>
      <c r="C427" s="391"/>
      <c r="D427" s="391"/>
      <c r="E427" s="391"/>
      <c r="F427" s="391"/>
      <c r="G427" s="391"/>
      <c r="H427" s="391"/>
      <c r="I427" s="391"/>
      <c r="J427" s="1010"/>
      <c r="K427" s="978"/>
      <c r="L427" s="391"/>
      <c r="M427" s="978"/>
      <c r="N427" s="391"/>
      <c r="O427" s="391"/>
      <c r="P427" s="391"/>
      <c r="Q427" s="391"/>
      <c r="R427" s="391"/>
    </row>
    <row r="428" spans="1:18">
      <c r="A428" s="978"/>
      <c r="B428" s="1009"/>
      <c r="C428" s="391"/>
      <c r="D428" s="391"/>
      <c r="E428" s="391"/>
      <c r="F428" s="391"/>
      <c r="G428" s="391"/>
      <c r="H428" s="391"/>
      <c r="I428" s="391"/>
      <c r="J428" s="1010"/>
      <c r="K428" s="978"/>
      <c r="L428" s="391"/>
      <c r="M428" s="978"/>
      <c r="N428" s="391"/>
      <c r="O428" s="391"/>
      <c r="P428" s="391"/>
      <c r="Q428" s="391"/>
      <c r="R428" s="391"/>
    </row>
    <row r="429" spans="1:18">
      <c r="A429" s="978"/>
      <c r="B429" s="1009"/>
      <c r="C429" s="391"/>
      <c r="D429" s="391"/>
      <c r="E429" s="391"/>
      <c r="F429" s="391"/>
      <c r="G429" s="391"/>
      <c r="H429" s="391"/>
      <c r="I429" s="391"/>
      <c r="J429" s="1010"/>
      <c r="K429" s="978"/>
      <c r="L429" s="391"/>
      <c r="M429" s="978"/>
      <c r="N429" s="391"/>
      <c r="O429" s="391"/>
      <c r="P429" s="391"/>
      <c r="Q429" s="391"/>
      <c r="R429" s="391"/>
    </row>
    <row r="430" spans="1:18">
      <c r="A430" s="978"/>
      <c r="B430" s="1009"/>
      <c r="C430" s="391"/>
      <c r="D430" s="391"/>
      <c r="E430" s="391"/>
      <c r="F430" s="391"/>
      <c r="G430" s="391"/>
      <c r="H430" s="391"/>
      <c r="I430" s="391"/>
      <c r="J430" s="1010"/>
      <c r="K430" s="978"/>
      <c r="L430" s="391"/>
      <c r="M430" s="978"/>
      <c r="N430" s="391"/>
      <c r="O430" s="391"/>
      <c r="P430" s="391"/>
      <c r="Q430" s="391"/>
      <c r="R430" s="391"/>
    </row>
    <row r="431" spans="1:18">
      <c r="A431" s="978"/>
      <c r="B431" s="1009"/>
      <c r="C431" s="391"/>
      <c r="D431" s="391"/>
      <c r="E431" s="391"/>
      <c r="F431" s="391"/>
      <c r="G431" s="391"/>
      <c r="H431" s="391"/>
      <c r="I431" s="391"/>
      <c r="J431" s="1010"/>
      <c r="K431" s="978"/>
      <c r="L431" s="391"/>
      <c r="M431" s="978"/>
      <c r="N431" s="391"/>
      <c r="O431" s="391"/>
      <c r="P431" s="391"/>
      <c r="Q431" s="391"/>
      <c r="R431" s="391"/>
    </row>
    <row r="432" spans="1:18">
      <c r="A432" s="978"/>
      <c r="B432" s="1009"/>
      <c r="C432" s="391"/>
      <c r="D432" s="391"/>
      <c r="E432" s="391"/>
      <c r="F432" s="391"/>
      <c r="G432" s="391"/>
      <c r="H432" s="391"/>
      <c r="I432" s="391"/>
      <c r="J432" s="1010"/>
      <c r="K432" s="978"/>
      <c r="L432" s="391"/>
      <c r="M432" s="978"/>
      <c r="N432" s="391"/>
      <c r="O432" s="391"/>
      <c r="P432" s="391"/>
      <c r="Q432" s="391"/>
      <c r="R432" s="391"/>
    </row>
    <row r="433" spans="1:18">
      <c r="A433" s="978"/>
      <c r="B433" s="1009"/>
      <c r="C433" s="391"/>
      <c r="D433" s="391"/>
      <c r="E433" s="391"/>
      <c r="F433" s="391"/>
      <c r="G433" s="391"/>
      <c r="H433" s="391"/>
      <c r="I433" s="391"/>
      <c r="J433" s="1010"/>
      <c r="K433" s="978"/>
      <c r="L433" s="391"/>
      <c r="M433" s="978"/>
      <c r="N433" s="391"/>
      <c r="O433" s="391"/>
      <c r="P433" s="391"/>
      <c r="Q433" s="391"/>
      <c r="R433" s="391"/>
    </row>
    <row r="434" spans="1:18">
      <c r="A434" s="978"/>
      <c r="B434" s="1009"/>
      <c r="C434" s="391"/>
      <c r="D434" s="391"/>
      <c r="E434" s="391"/>
      <c r="F434" s="391"/>
      <c r="G434" s="391"/>
      <c r="H434" s="391"/>
      <c r="I434" s="391"/>
      <c r="J434" s="1010"/>
      <c r="K434" s="978"/>
      <c r="L434" s="391"/>
      <c r="M434" s="978"/>
      <c r="N434" s="391"/>
      <c r="O434" s="391"/>
      <c r="P434" s="391"/>
      <c r="Q434" s="391"/>
      <c r="R434" s="391"/>
    </row>
    <row r="435" spans="1:18">
      <c r="A435" s="978"/>
      <c r="B435" s="1009"/>
      <c r="C435" s="391"/>
      <c r="D435" s="391"/>
      <c r="E435" s="391"/>
      <c r="F435" s="391"/>
      <c r="G435" s="391"/>
      <c r="H435" s="391"/>
      <c r="I435" s="391"/>
      <c r="J435" s="1010"/>
      <c r="K435" s="978"/>
      <c r="L435" s="391"/>
      <c r="M435" s="978"/>
      <c r="N435" s="391"/>
      <c r="O435" s="391"/>
      <c r="P435" s="391"/>
      <c r="Q435" s="391"/>
      <c r="R435" s="391"/>
    </row>
    <row r="436" spans="1:18">
      <c r="A436" s="978"/>
      <c r="B436" s="1009"/>
      <c r="C436" s="391"/>
      <c r="D436" s="391"/>
      <c r="E436" s="391"/>
      <c r="F436" s="391"/>
      <c r="G436" s="391"/>
      <c r="H436" s="391"/>
      <c r="I436" s="391"/>
      <c r="J436" s="1010"/>
      <c r="K436" s="978"/>
      <c r="L436" s="391"/>
      <c r="M436" s="978"/>
      <c r="N436" s="391"/>
      <c r="O436" s="391"/>
      <c r="P436" s="391"/>
      <c r="Q436" s="391"/>
      <c r="R436" s="391"/>
    </row>
    <row r="437" spans="1:18">
      <c r="A437" s="978"/>
      <c r="B437" s="1009"/>
      <c r="C437" s="391"/>
      <c r="D437" s="391"/>
      <c r="E437" s="391"/>
      <c r="F437" s="391"/>
      <c r="G437" s="391"/>
      <c r="H437" s="391"/>
      <c r="I437" s="391"/>
      <c r="J437" s="1010"/>
      <c r="K437" s="978"/>
      <c r="L437" s="391"/>
      <c r="M437" s="978"/>
      <c r="N437" s="391"/>
      <c r="O437" s="391"/>
      <c r="P437" s="391"/>
      <c r="Q437" s="391"/>
      <c r="R437" s="391"/>
    </row>
    <row r="438" spans="1:18">
      <c r="A438" s="978"/>
      <c r="B438" s="1009"/>
      <c r="C438" s="391"/>
      <c r="D438" s="391"/>
      <c r="E438" s="391"/>
      <c r="F438" s="391"/>
      <c r="G438" s="391"/>
      <c r="H438" s="391"/>
      <c r="I438" s="391"/>
      <c r="J438" s="1010"/>
      <c r="K438" s="978"/>
      <c r="L438" s="391"/>
      <c r="M438" s="978"/>
      <c r="N438" s="391"/>
      <c r="O438" s="391"/>
      <c r="P438" s="391"/>
      <c r="Q438" s="391"/>
      <c r="R438" s="391"/>
    </row>
    <row r="439" spans="1:18">
      <c r="A439" s="978"/>
      <c r="B439" s="1009"/>
      <c r="C439" s="391"/>
      <c r="D439" s="391"/>
      <c r="E439" s="391"/>
      <c r="F439" s="391"/>
      <c r="G439" s="391"/>
      <c r="H439" s="391"/>
      <c r="I439" s="391"/>
      <c r="J439" s="1010"/>
      <c r="K439" s="978"/>
      <c r="L439" s="391"/>
      <c r="M439" s="978"/>
      <c r="N439" s="391"/>
      <c r="O439" s="391"/>
      <c r="P439" s="391"/>
      <c r="Q439" s="391"/>
      <c r="R439" s="391"/>
    </row>
    <row r="440" spans="1:18">
      <c r="A440" s="978"/>
      <c r="B440" s="1009"/>
      <c r="C440" s="391"/>
      <c r="D440" s="391"/>
      <c r="E440" s="391"/>
      <c r="F440" s="391"/>
      <c r="G440" s="391"/>
      <c r="H440" s="391"/>
      <c r="I440" s="391"/>
      <c r="J440" s="1010"/>
      <c r="K440" s="978"/>
      <c r="L440" s="391"/>
      <c r="M440" s="978"/>
      <c r="N440" s="391"/>
      <c r="O440" s="391"/>
      <c r="P440" s="391"/>
      <c r="Q440" s="391"/>
      <c r="R440" s="391"/>
    </row>
    <row r="441" spans="1:18">
      <c r="A441" s="978"/>
      <c r="B441" s="1009"/>
      <c r="C441" s="391"/>
      <c r="D441" s="391"/>
      <c r="E441" s="391"/>
      <c r="F441" s="391"/>
      <c r="G441" s="391"/>
      <c r="H441" s="391"/>
      <c r="I441" s="391"/>
      <c r="J441" s="1010"/>
      <c r="K441" s="978"/>
      <c r="L441" s="391"/>
      <c r="M441" s="978"/>
      <c r="N441" s="391"/>
      <c r="O441" s="391"/>
      <c r="P441" s="391"/>
      <c r="Q441" s="391"/>
      <c r="R441" s="391"/>
    </row>
    <row r="442" spans="1:18">
      <c r="A442" s="978"/>
      <c r="B442" s="1009"/>
      <c r="C442" s="391"/>
      <c r="D442" s="391"/>
      <c r="E442" s="391"/>
      <c r="F442" s="391"/>
      <c r="G442" s="391"/>
      <c r="H442" s="391"/>
      <c r="I442" s="391"/>
      <c r="J442" s="1010"/>
      <c r="K442" s="978"/>
      <c r="L442" s="391"/>
      <c r="M442" s="978"/>
      <c r="N442" s="391"/>
      <c r="O442" s="391"/>
      <c r="P442" s="391"/>
      <c r="Q442" s="391"/>
      <c r="R442" s="391"/>
    </row>
    <row r="443" spans="1:18">
      <c r="A443" s="978"/>
      <c r="B443" s="1009"/>
      <c r="C443" s="391"/>
      <c r="D443" s="391"/>
      <c r="E443" s="391"/>
      <c r="F443" s="391"/>
      <c r="G443" s="391"/>
      <c r="H443" s="391"/>
      <c r="I443" s="391"/>
      <c r="J443" s="1010"/>
      <c r="K443" s="978"/>
      <c r="L443" s="391"/>
      <c r="M443" s="978"/>
      <c r="N443" s="391"/>
      <c r="O443" s="391"/>
      <c r="P443" s="391"/>
      <c r="Q443" s="391"/>
      <c r="R443" s="391"/>
    </row>
    <row r="444" spans="1:18">
      <c r="A444" s="978"/>
      <c r="B444" s="1009"/>
      <c r="C444" s="391"/>
      <c r="D444" s="391"/>
      <c r="E444" s="391"/>
      <c r="F444" s="391"/>
      <c r="G444" s="391"/>
      <c r="H444" s="391"/>
      <c r="I444" s="391"/>
      <c r="J444" s="1010"/>
      <c r="K444" s="978"/>
      <c r="L444" s="391"/>
      <c r="M444" s="978"/>
      <c r="N444" s="391"/>
      <c r="O444" s="391"/>
      <c r="P444" s="391"/>
      <c r="Q444" s="391"/>
      <c r="R444" s="391"/>
    </row>
    <row r="445" spans="1:18">
      <c r="A445" s="978"/>
      <c r="B445" s="1009"/>
      <c r="C445" s="391"/>
      <c r="D445" s="391"/>
      <c r="E445" s="391"/>
      <c r="F445" s="391"/>
      <c r="G445" s="391"/>
      <c r="H445" s="391"/>
      <c r="I445" s="391"/>
      <c r="J445" s="1010"/>
      <c r="K445" s="978"/>
      <c r="L445" s="391"/>
      <c r="M445" s="978"/>
      <c r="N445" s="391"/>
      <c r="O445" s="391"/>
      <c r="P445" s="391"/>
      <c r="Q445" s="391"/>
      <c r="R445" s="391"/>
    </row>
    <row r="446" spans="1:18">
      <c r="A446" s="978"/>
      <c r="B446" s="1009"/>
      <c r="C446" s="391"/>
      <c r="D446" s="391"/>
      <c r="E446" s="391"/>
      <c r="F446" s="391"/>
      <c r="G446" s="391"/>
      <c r="H446" s="391"/>
      <c r="I446" s="391"/>
      <c r="J446" s="1010"/>
      <c r="K446" s="978"/>
      <c r="L446" s="391"/>
      <c r="M446" s="978"/>
      <c r="N446" s="391"/>
      <c r="O446" s="391"/>
      <c r="P446" s="391"/>
      <c r="Q446" s="391"/>
      <c r="R446" s="391"/>
    </row>
    <row r="447" spans="1:18">
      <c r="A447" s="978"/>
      <c r="B447" s="1009"/>
      <c r="C447" s="391"/>
      <c r="D447" s="391"/>
      <c r="E447" s="391"/>
      <c r="F447" s="391"/>
      <c r="G447" s="391"/>
      <c r="H447" s="391"/>
      <c r="I447" s="391"/>
      <c r="J447" s="1010"/>
      <c r="K447" s="978"/>
      <c r="L447" s="391"/>
      <c r="M447" s="978"/>
      <c r="N447" s="391"/>
      <c r="O447" s="391"/>
      <c r="P447" s="391"/>
      <c r="Q447" s="391"/>
      <c r="R447" s="391"/>
    </row>
    <row r="448" spans="1:18">
      <c r="A448" s="978"/>
      <c r="B448" s="1009"/>
      <c r="C448" s="391"/>
      <c r="D448" s="391"/>
      <c r="E448" s="391"/>
      <c r="F448" s="391"/>
      <c r="G448" s="391"/>
      <c r="H448" s="391"/>
      <c r="I448" s="391"/>
      <c r="J448" s="1010"/>
      <c r="K448" s="978"/>
      <c r="L448" s="391"/>
      <c r="M448" s="978"/>
      <c r="N448" s="391"/>
      <c r="O448" s="391"/>
      <c r="P448" s="391"/>
      <c r="Q448" s="391"/>
      <c r="R448" s="391"/>
    </row>
    <row r="449" spans="1:18">
      <c r="A449" s="978"/>
      <c r="B449" s="1009"/>
      <c r="C449" s="391"/>
      <c r="D449" s="391"/>
      <c r="E449" s="391"/>
      <c r="F449" s="391"/>
      <c r="G449" s="391"/>
      <c r="H449" s="391"/>
      <c r="I449" s="391"/>
      <c r="J449" s="1010"/>
      <c r="K449" s="978"/>
      <c r="L449" s="391"/>
      <c r="M449" s="978"/>
      <c r="N449" s="391"/>
      <c r="O449" s="391"/>
      <c r="P449" s="391"/>
      <c r="Q449" s="391"/>
      <c r="R449" s="391"/>
    </row>
    <row r="450" spans="1:18">
      <c r="A450" s="978"/>
      <c r="B450" s="1009"/>
      <c r="C450" s="391"/>
      <c r="D450" s="391"/>
      <c r="E450" s="391"/>
      <c r="F450" s="391"/>
      <c r="G450" s="391"/>
      <c r="H450" s="391"/>
      <c r="I450" s="391"/>
      <c r="J450" s="1010"/>
      <c r="K450" s="978"/>
      <c r="L450" s="391"/>
      <c r="M450" s="978"/>
      <c r="N450" s="391"/>
      <c r="O450" s="391"/>
      <c r="P450" s="391"/>
      <c r="Q450" s="391"/>
      <c r="R450" s="391"/>
    </row>
    <row r="451" spans="1:18">
      <c r="A451" s="978"/>
      <c r="B451" s="1009"/>
      <c r="C451" s="391"/>
      <c r="D451" s="391"/>
      <c r="E451" s="391"/>
      <c r="F451" s="391"/>
      <c r="G451" s="391"/>
      <c r="H451" s="391"/>
      <c r="I451" s="391"/>
      <c r="J451" s="1010"/>
      <c r="K451" s="978"/>
      <c r="L451" s="391"/>
      <c r="M451" s="978"/>
      <c r="N451" s="391"/>
      <c r="O451" s="391"/>
      <c r="P451" s="391"/>
      <c r="Q451" s="391"/>
      <c r="R451" s="391"/>
    </row>
    <row r="452" spans="1:18">
      <c r="A452" s="978"/>
      <c r="B452" s="1009"/>
      <c r="C452" s="391"/>
      <c r="D452" s="391"/>
      <c r="E452" s="391"/>
      <c r="F452" s="391"/>
      <c r="G452" s="391"/>
      <c r="H452" s="391"/>
      <c r="I452" s="391"/>
      <c r="J452" s="1010"/>
      <c r="K452" s="978"/>
      <c r="L452" s="391"/>
      <c r="M452" s="978"/>
      <c r="N452" s="391"/>
      <c r="O452" s="391"/>
      <c r="P452" s="391"/>
      <c r="Q452" s="391"/>
      <c r="R452" s="391"/>
    </row>
    <row r="453" spans="1:18">
      <c r="A453" s="978"/>
      <c r="B453" s="1009"/>
      <c r="C453" s="391"/>
      <c r="D453" s="391"/>
      <c r="E453" s="391"/>
      <c r="F453" s="391"/>
      <c r="G453" s="391"/>
      <c r="H453" s="391"/>
      <c r="I453" s="391"/>
      <c r="J453" s="1010"/>
      <c r="K453" s="978"/>
      <c r="L453" s="391"/>
      <c r="M453" s="978"/>
      <c r="N453" s="391"/>
      <c r="O453" s="391"/>
      <c r="P453" s="391"/>
      <c r="Q453" s="391"/>
      <c r="R453" s="391"/>
    </row>
    <row r="454" spans="1:18">
      <c r="A454" s="978"/>
      <c r="B454" s="1009"/>
      <c r="C454" s="391"/>
      <c r="D454" s="391"/>
      <c r="E454" s="391"/>
      <c r="F454" s="391"/>
      <c r="G454" s="391"/>
      <c r="H454" s="391"/>
      <c r="I454" s="391"/>
      <c r="J454" s="1010"/>
      <c r="K454" s="978"/>
      <c r="L454" s="391"/>
      <c r="M454" s="978"/>
      <c r="N454" s="391"/>
      <c r="O454" s="391"/>
      <c r="P454" s="391"/>
      <c r="Q454" s="391"/>
      <c r="R454" s="391"/>
    </row>
    <row r="455" spans="1:18">
      <c r="A455" s="978"/>
      <c r="B455" s="1009"/>
      <c r="C455" s="391"/>
      <c r="D455" s="391"/>
      <c r="E455" s="391"/>
      <c r="F455" s="391"/>
      <c r="G455" s="391"/>
      <c r="H455" s="391"/>
      <c r="I455" s="391"/>
      <c r="J455" s="1010"/>
      <c r="K455" s="978"/>
      <c r="L455" s="391"/>
      <c r="M455" s="978"/>
      <c r="N455" s="391"/>
      <c r="O455" s="391"/>
      <c r="P455" s="391"/>
      <c r="Q455" s="391"/>
      <c r="R455" s="391"/>
    </row>
    <row r="456" spans="1:18">
      <c r="A456" s="978"/>
      <c r="B456" s="1009"/>
      <c r="C456" s="391"/>
      <c r="D456" s="391"/>
      <c r="E456" s="391"/>
      <c r="F456" s="391"/>
      <c r="G456" s="391"/>
      <c r="H456" s="391"/>
      <c r="I456" s="391"/>
      <c r="J456" s="1010"/>
      <c r="K456" s="978"/>
      <c r="L456" s="391"/>
      <c r="M456" s="978"/>
      <c r="N456" s="391"/>
      <c r="O456" s="391"/>
      <c r="P456" s="391"/>
      <c r="Q456" s="391"/>
      <c r="R456" s="391"/>
    </row>
    <row r="457" spans="1:18">
      <c r="A457" s="978"/>
      <c r="B457" s="1009"/>
      <c r="C457" s="391"/>
      <c r="D457" s="391"/>
      <c r="E457" s="391"/>
      <c r="F457" s="391"/>
      <c r="G457" s="391"/>
      <c r="H457" s="391"/>
      <c r="I457" s="391"/>
      <c r="J457" s="1010"/>
      <c r="K457" s="978"/>
      <c r="L457" s="391"/>
      <c r="M457" s="978"/>
      <c r="N457" s="391"/>
      <c r="O457" s="391"/>
      <c r="P457" s="391"/>
      <c r="Q457" s="391"/>
      <c r="R457" s="391"/>
    </row>
    <row r="458" spans="1:18">
      <c r="A458" s="978"/>
      <c r="B458" s="1009"/>
      <c r="C458" s="391"/>
      <c r="D458" s="391"/>
      <c r="E458" s="391"/>
      <c r="F458" s="391"/>
      <c r="G458" s="391"/>
      <c r="H458" s="391"/>
      <c r="I458" s="391"/>
      <c r="J458" s="1010"/>
      <c r="K458" s="978"/>
      <c r="L458" s="391"/>
      <c r="M458" s="978"/>
      <c r="N458" s="391"/>
      <c r="O458" s="391"/>
      <c r="P458" s="391"/>
      <c r="Q458" s="391"/>
      <c r="R458" s="391"/>
    </row>
    <row r="459" spans="1:18">
      <c r="A459" s="978"/>
      <c r="B459" s="1009"/>
      <c r="C459" s="391"/>
      <c r="D459" s="391"/>
      <c r="E459" s="391"/>
      <c r="F459" s="391"/>
      <c r="G459" s="391"/>
      <c r="H459" s="391"/>
      <c r="I459" s="391"/>
      <c r="J459" s="1010"/>
      <c r="K459" s="978"/>
      <c r="L459" s="391"/>
      <c r="M459" s="978"/>
      <c r="N459" s="391"/>
      <c r="O459" s="391"/>
      <c r="P459" s="391"/>
      <c r="Q459" s="391"/>
      <c r="R459" s="391"/>
    </row>
    <row r="460" spans="1:18">
      <c r="A460" s="978"/>
      <c r="B460" s="1009"/>
      <c r="C460" s="391"/>
      <c r="D460" s="391"/>
      <c r="E460" s="391"/>
      <c r="F460" s="391"/>
      <c r="G460" s="391"/>
      <c r="H460" s="391"/>
      <c r="I460" s="391"/>
      <c r="J460" s="1010"/>
      <c r="K460" s="978"/>
      <c r="L460" s="391"/>
      <c r="M460" s="978"/>
      <c r="N460" s="391"/>
      <c r="O460" s="391"/>
      <c r="P460" s="391"/>
      <c r="Q460" s="391"/>
      <c r="R460" s="391"/>
    </row>
    <row r="461" spans="1:18">
      <c r="A461" s="978"/>
      <c r="B461" s="1009"/>
      <c r="C461" s="391"/>
      <c r="D461" s="391"/>
      <c r="E461" s="391"/>
      <c r="F461" s="391"/>
      <c r="G461" s="391"/>
      <c r="H461" s="391"/>
      <c r="I461" s="391"/>
      <c r="J461" s="1010"/>
      <c r="K461" s="978"/>
      <c r="L461" s="391"/>
      <c r="M461" s="978"/>
      <c r="N461" s="391"/>
      <c r="O461" s="391"/>
      <c r="P461" s="391"/>
      <c r="Q461" s="391"/>
      <c r="R461" s="391"/>
    </row>
    <row r="462" spans="1:18">
      <c r="A462" s="978"/>
      <c r="B462" s="1009"/>
      <c r="C462" s="391"/>
      <c r="D462" s="391"/>
      <c r="E462" s="391"/>
      <c r="F462" s="391"/>
      <c r="G462" s="391"/>
      <c r="H462" s="391"/>
      <c r="I462" s="391"/>
      <c r="J462" s="1010"/>
      <c r="K462" s="978"/>
      <c r="L462" s="391"/>
      <c r="M462" s="978"/>
      <c r="N462" s="391"/>
      <c r="O462" s="391"/>
      <c r="P462" s="391"/>
      <c r="Q462" s="391"/>
      <c r="R462" s="391"/>
    </row>
    <row r="463" spans="1:18">
      <c r="A463" s="978"/>
      <c r="B463" s="1009"/>
      <c r="C463" s="391"/>
      <c r="D463" s="391"/>
      <c r="E463" s="391"/>
      <c r="F463" s="391"/>
      <c r="G463" s="391"/>
      <c r="H463" s="391"/>
      <c r="I463" s="391"/>
      <c r="J463" s="1010"/>
      <c r="K463" s="978"/>
      <c r="L463" s="391"/>
      <c r="M463" s="978"/>
      <c r="N463" s="391"/>
      <c r="O463" s="391"/>
      <c r="P463" s="391"/>
      <c r="Q463" s="391"/>
      <c r="R463" s="391"/>
    </row>
    <row r="464" spans="1:18">
      <c r="A464" s="978"/>
      <c r="B464" s="1009"/>
      <c r="C464" s="391"/>
      <c r="D464" s="391"/>
      <c r="E464" s="391"/>
      <c r="F464" s="391"/>
      <c r="G464" s="391"/>
      <c r="H464" s="391"/>
      <c r="I464" s="391"/>
      <c r="J464" s="1010"/>
      <c r="K464" s="978"/>
      <c r="L464" s="391"/>
      <c r="M464" s="978"/>
      <c r="N464" s="391"/>
      <c r="O464" s="391"/>
      <c r="P464" s="391"/>
      <c r="Q464" s="391"/>
      <c r="R464" s="391"/>
    </row>
    <row r="465" spans="1:18">
      <c r="A465" s="978"/>
      <c r="B465" s="1009"/>
      <c r="C465" s="391"/>
      <c r="D465" s="391"/>
      <c r="E465" s="391"/>
      <c r="F465" s="391"/>
      <c r="G465" s="391"/>
      <c r="H465" s="391"/>
      <c r="I465" s="391"/>
      <c r="J465" s="1010"/>
      <c r="K465" s="978"/>
      <c r="L465" s="391"/>
      <c r="M465" s="978"/>
      <c r="N465" s="391"/>
      <c r="O465" s="391"/>
      <c r="P465" s="391"/>
      <c r="Q465" s="391"/>
      <c r="R465" s="391"/>
    </row>
    <row r="466" spans="1:18">
      <c r="A466" s="978"/>
      <c r="B466" s="1009"/>
      <c r="C466" s="391"/>
      <c r="D466" s="391"/>
      <c r="E466" s="391"/>
      <c r="F466" s="391"/>
      <c r="G466" s="391"/>
      <c r="H466" s="391"/>
      <c r="I466" s="391"/>
      <c r="J466" s="1010"/>
      <c r="K466" s="978"/>
      <c r="L466" s="391"/>
      <c r="M466" s="978"/>
      <c r="N466" s="391"/>
      <c r="O466" s="391"/>
      <c r="P466" s="391"/>
      <c r="Q466" s="391"/>
      <c r="R466" s="391"/>
    </row>
    <row r="467" spans="1:18">
      <c r="A467" s="978"/>
      <c r="B467" s="1009"/>
      <c r="C467" s="391"/>
      <c r="D467" s="391"/>
      <c r="E467" s="391"/>
      <c r="F467" s="391"/>
      <c r="G467" s="391"/>
      <c r="H467" s="391"/>
      <c r="I467" s="391"/>
      <c r="J467" s="1010"/>
      <c r="K467" s="978"/>
      <c r="L467" s="391"/>
      <c r="M467" s="978"/>
      <c r="N467" s="391"/>
      <c r="O467" s="391"/>
      <c r="P467" s="391"/>
      <c r="Q467" s="391"/>
      <c r="R467" s="391"/>
    </row>
    <row r="468" spans="1:18">
      <c r="A468" s="978"/>
      <c r="B468" s="1009"/>
      <c r="C468" s="391"/>
      <c r="D468" s="391"/>
      <c r="E468" s="391"/>
      <c r="F468" s="391"/>
      <c r="G468" s="391"/>
      <c r="H468" s="391"/>
      <c r="I468" s="391"/>
      <c r="J468" s="1010"/>
      <c r="K468" s="978"/>
      <c r="L468" s="391"/>
      <c r="M468" s="978"/>
      <c r="N468" s="391"/>
      <c r="O468" s="391"/>
      <c r="P468" s="391"/>
      <c r="Q468" s="391"/>
      <c r="R468" s="391"/>
    </row>
    <row r="469" spans="1:18">
      <c r="A469" s="978"/>
      <c r="B469" s="1009"/>
      <c r="C469" s="391"/>
      <c r="D469" s="391"/>
      <c r="E469" s="391"/>
      <c r="F469" s="391"/>
      <c r="G469" s="391"/>
      <c r="H469" s="391"/>
      <c r="I469" s="391"/>
      <c r="J469" s="1010"/>
      <c r="K469" s="978"/>
      <c r="L469" s="391"/>
      <c r="M469" s="978"/>
      <c r="N469" s="391"/>
      <c r="O469" s="391"/>
      <c r="P469" s="391"/>
      <c r="Q469" s="391"/>
      <c r="R469" s="391"/>
    </row>
    <row r="470" spans="1:18">
      <c r="A470" s="978"/>
      <c r="B470" s="1009"/>
      <c r="C470" s="391"/>
      <c r="D470" s="391"/>
      <c r="E470" s="391"/>
      <c r="F470" s="391"/>
      <c r="G470" s="391"/>
      <c r="H470" s="391"/>
      <c r="I470" s="391"/>
      <c r="J470" s="1010"/>
      <c r="K470" s="978"/>
      <c r="L470" s="391"/>
      <c r="M470" s="978"/>
      <c r="N470" s="391"/>
      <c r="O470" s="391"/>
      <c r="P470" s="391"/>
      <c r="Q470" s="391"/>
      <c r="R470" s="391"/>
    </row>
    <row r="471" spans="1:18">
      <c r="A471" s="978"/>
      <c r="B471" s="1009"/>
      <c r="C471" s="391"/>
      <c r="D471" s="391"/>
      <c r="E471" s="391"/>
      <c r="F471" s="391"/>
      <c r="G471" s="391"/>
      <c r="H471" s="391"/>
      <c r="I471" s="391"/>
      <c r="J471" s="1010"/>
      <c r="K471" s="978"/>
      <c r="L471" s="391"/>
      <c r="M471" s="978"/>
      <c r="N471" s="391"/>
      <c r="O471" s="391"/>
      <c r="P471" s="391"/>
      <c r="Q471" s="391"/>
      <c r="R471" s="391"/>
    </row>
    <row r="472" spans="1:18">
      <c r="A472" s="978"/>
      <c r="B472" s="1009"/>
      <c r="C472" s="391"/>
      <c r="D472" s="391"/>
      <c r="E472" s="391"/>
      <c r="F472" s="391"/>
      <c r="G472" s="391"/>
      <c r="H472" s="391"/>
      <c r="I472" s="391"/>
      <c r="J472" s="1010"/>
      <c r="K472" s="978"/>
      <c r="L472" s="391"/>
      <c r="M472" s="978"/>
      <c r="N472" s="391"/>
      <c r="O472" s="391"/>
      <c r="P472" s="391"/>
      <c r="Q472" s="391"/>
      <c r="R472" s="391"/>
    </row>
    <row r="473" spans="1:18">
      <c r="A473" s="978"/>
      <c r="B473" s="1009"/>
      <c r="C473" s="391"/>
      <c r="D473" s="391"/>
      <c r="E473" s="391"/>
      <c r="F473" s="391"/>
      <c r="G473" s="391"/>
      <c r="H473" s="391"/>
      <c r="I473" s="391"/>
      <c r="J473" s="1010"/>
      <c r="K473" s="978"/>
      <c r="L473" s="391"/>
      <c r="M473" s="978"/>
      <c r="N473" s="391"/>
      <c r="O473" s="391"/>
      <c r="P473" s="391"/>
      <c r="Q473" s="391"/>
      <c r="R473" s="391"/>
    </row>
    <row r="474" spans="1:18">
      <c r="A474" s="978"/>
      <c r="B474" s="1009"/>
      <c r="C474" s="391"/>
      <c r="D474" s="391"/>
      <c r="E474" s="391"/>
      <c r="F474" s="391"/>
      <c r="G474" s="391"/>
      <c r="H474" s="391"/>
      <c r="I474" s="391"/>
      <c r="J474" s="1010"/>
      <c r="K474" s="978"/>
      <c r="L474" s="391"/>
      <c r="M474" s="978"/>
      <c r="N474" s="391"/>
      <c r="O474" s="391"/>
      <c r="P474" s="391"/>
      <c r="Q474" s="391"/>
      <c r="R474" s="391"/>
    </row>
    <row r="475" spans="1:18">
      <c r="A475" s="978"/>
      <c r="B475" s="1009"/>
      <c r="C475" s="391"/>
      <c r="D475" s="391"/>
      <c r="E475" s="391"/>
      <c r="F475" s="391"/>
      <c r="G475" s="391"/>
      <c r="H475" s="391"/>
      <c r="I475" s="391"/>
      <c r="J475" s="1010"/>
      <c r="K475" s="978"/>
      <c r="L475" s="391"/>
      <c r="M475" s="978"/>
      <c r="N475" s="391"/>
      <c r="O475" s="391"/>
      <c r="P475" s="391"/>
      <c r="Q475" s="391"/>
      <c r="R475" s="391"/>
    </row>
    <row r="476" spans="1:18">
      <c r="A476" s="978"/>
      <c r="B476" s="1009"/>
      <c r="C476" s="391"/>
      <c r="D476" s="391"/>
      <c r="E476" s="391"/>
      <c r="F476" s="391"/>
      <c r="G476" s="391"/>
      <c r="H476" s="391"/>
      <c r="I476" s="391"/>
      <c r="J476" s="1010"/>
      <c r="K476" s="978"/>
      <c r="L476" s="391"/>
      <c r="M476" s="978"/>
      <c r="N476" s="391"/>
      <c r="O476" s="391"/>
      <c r="P476" s="391"/>
      <c r="Q476" s="391"/>
      <c r="R476" s="391"/>
    </row>
    <row r="477" spans="1:18">
      <c r="A477" s="978"/>
      <c r="B477" s="1009"/>
      <c r="C477" s="391"/>
      <c r="D477" s="391"/>
      <c r="E477" s="391"/>
      <c r="F477" s="391"/>
      <c r="G477" s="391"/>
      <c r="H477" s="391"/>
      <c r="I477" s="391"/>
      <c r="J477" s="1010"/>
      <c r="K477" s="978"/>
      <c r="L477" s="391"/>
      <c r="M477" s="978"/>
      <c r="N477" s="391"/>
      <c r="O477" s="391"/>
      <c r="P477" s="391"/>
      <c r="Q477" s="391"/>
      <c r="R477" s="391"/>
    </row>
    <row r="478" spans="1:18">
      <c r="A478" s="978"/>
      <c r="B478" s="1009"/>
      <c r="C478" s="391"/>
      <c r="D478" s="391"/>
      <c r="E478" s="391"/>
      <c r="F478" s="391"/>
      <c r="G478" s="391"/>
      <c r="H478" s="391"/>
      <c r="I478" s="391"/>
      <c r="J478" s="1010"/>
      <c r="K478" s="978"/>
      <c r="L478" s="391"/>
      <c r="M478" s="978"/>
      <c r="N478" s="391"/>
      <c r="O478" s="391"/>
      <c r="P478" s="391"/>
      <c r="Q478" s="391"/>
      <c r="R478" s="391"/>
    </row>
    <row r="479" spans="1:18">
      <c r="A479" s="978"/>
      <c r="B479" s="1009"/>
      <c r="C479" s="391"/>
      <c r="D479" s="391"/>
      <c r="E479" s="391"/>
      <c r="F479" s="391"/>
      <c r="G479" s="391"/>
      <c r="H479" s="391"/>
      <c r="I479" s="391"/>
      <c r="J479" s="1010"/>
      <c r="K479" s="978"/>
      <c r="L479" s="391"/>
      <c r="M479" s="978"/>
      <c r="N479" s="391"/>
      <c r="O479" s="391"/>
      <c r="P479" s="391"/>
      <c r="Q479" s="391"/>
      <c r="R479" s="391"/>
    </row>
    <row r="480" spans="1:18">
      <c r="A480" s="978"/>
      <c r="B480" s="1009"/>
      <c r="C480" s="391"/>
      <c r="D480" s="391"/>
      <c r="E480" s="391"/>
      <c r="F480" s="391"/>
      <c r="G480" s="391"/>
      <c r="H480" s="391"/>
      <c r="I480" s="391"/>
      <c r="J480" s="1010"/>
      <c r="K480" s="978"/>
      <c r="L480" s="391"/>
      <c r="M480" s="978"/>
      <c r="N480" s="391"/>
      <c r="O480" s="391"/>
      <c r="P480" s="391"/>
      <c r="Q480" s="391"/>
      <c r="R480" s="391"/>
    </row>
    <row r="481" spans="1:18">
      <c r="A481" s="978"/>
      <c r="B481" s="1009"/>
      <c r="C481" s="391"/>
      <c r="D481" s="391"/>
      <c r="E481" s="391"/>
      <c r="F481" s="391"/>
      <c r="G481" s="391"/>
      <c r="H481" s="391"/>
      <c r="I481" s="391"/>
      <c r="J481" s="1010"/>
      <c r="K481" s="978"/>
      <c r="L481" s="391"/>
      <c r="M481" s="978"/>
      <c r="N481" s="391"/>
      <c r="O481" s="391"/>
      <c r="P481" s="391"/>
      <c r="Q481" s="391"/>
      <c r="R481" s="391"/>
    </row>
    <row r="482" spans="1:18">
      <c r="A482" s="978"/>
      <c r="B482" s="1009"/>
      <c r="C482" s="391"/>
      <c r="D482" s="391"/>
      <c r="E482" s="391"/>
      <c r="F482" s="391"/>
      <c r="G482" s="391"/>
      <c r="H482" s="391"/>
      <c r="I482" s="391"/>
      <c r="J482" s="1010"/>
      <c r="K482" s="978"/>
      <c r="L482" s="391"/>
      <c r="M482" s="978"/>
      <c r="N482" s="391"/>
      <c r="O482" s="391"/>
      <c r="P482" s="391"/>
      <c r="Q482" s="391"/>
      <c r="R482" s="391"/>
    </row>
    <row r="483" spans="1:18">
      <c r="A483" s="978"/>
      <c r="B483" s="1009"/>
      <c r="C483" s="391"/>
      <c r="D483" s="391"/>
      <c r="E483" s="391"/>
      <c r="F483" s="391"/>
      <c r="G483" s="391"/>
      <c r="H483" s="391"/>
      <c r="I483" s="391"/>
      <c r="J483" s="1010"/>
      <c r="K483" s="978"/>
      <c r="L483" s="391"/>
      <c r="M483" s="978"/>
      <c r="N483" s="391"/>
      <c r="O483" s="391"/>
      <c r="P483" s="391"/>
      <c r="Q483" s="391"/>
      <c r="R483" s="391"/>
    </row>
    <row r="484" spans="1:18">
      <c r="A484" s="978"/>
      <c r="B484" s="1009"/>
      <c r="C484" s="391"/>
      <c r="D484" s="391"/>
      <c r="E484" s="391"/>
      <c r="F484" s="391"/>
      <c r="G484" s="391"/>
      <c r="H484" s="391"/>
      <c r="I484" s="391"/>
      <c r="J484" s="1010"/>
      <c r="K484" s="978"/>
      <c r="L484" s="391"/>
      <c r="M484" s="978"/>
      <c r="N484" s="391"/>
      <c r="O484" s="391"/>
      <c r="P484" s="391"/>
      <c r="Q484" s="391"/>
      <c r="R484" s="391"/>
    </row>
    <row r="485" spans="1:18">
      <c r="A485" s="978"/>
      <c r="B485" s="1009"/>
      <c r="C485" s="391"/>
      <c r="D485" s="391"/>
      <c r="E485" s="391"/>
      <c r="F485" s="391"/>
      <c r="G485" s="391"/>
      <c r="H485" s="391"/>
      <c r="I485" s="391"/>
      <c r="J485" s="1010"/>
      <c r="K485" s="978"/>
      <c r="L485" s="391"/>
      <c r="M485" s="978"/>
      <c r="N485" s="391"/>
      <c r="O485" s="391"/>
      <c r="P485" s="391"/>
      <c r="Q485" s="391"/>
      <c r="R485" s="391"/>
    </row>
    <row r="486" spans="1:18">
      <c r="A486" s="978"/>
      <c r="B486" s="1009"/>
      <c r="C486" s="391"/>
      <c r="D486" s="391"/>
      <c r="E486" s="391"/>
      <c r="F486" s="391"/>
      <c r="G486" s="391"/>
      <c r="H486" s="391"/>
      <c r="I486" s="391"/>
      <c r="J486" s="1010"/>
      <c r="K486" s="978"/>
      <c r="L486" s="391"/>
      <c r="M486" s="978"/>
      <c r="N486" s="391"/>
      <c r="O486" s="391"/>
      <c r="P486" s="391"/>
      <c r="Q486" s="391"/>
      <c r="R486" s="391"/>
    </row>
    <row r="487" spans="1:18">
      <c r="A487" s="978"/>
      <c r="B487" s="1009"/>
      <c r="C487" s="391"/>
      <c r="D487" s="391"/>
      <c r="E487" s="391"/>
      <c r="F487" s="391"/>
      <c r="G487" s="391"/>
      <c r="H487" s="391"/>
      <c r="I487" s="391"/>
      <c r="J487" s="1010"/>
      <c r="K487" s="978"/>
      <c r="L487" s="391"/>
      <c r="M487" s="978"/>
      <c r="N487" s="391"/>
      <c r="O487" s="391"/>
      <c r="P487" s="391"/>
      <c r="Q487" s="391"/>
      <c r="R487" s="391"/>
    </row>
    <row r="488" spans="1:18">
      <c r="A488" s="978"/>
      <c r="B488" s="1009"/>
      <c r="C488" s="391"/>
      <c r="D488" s="391"/>
      <c r="E488" s="391"/>
      <c r="F488" s="391"/>
      <c r="G488" s="391"/>
      <c r="H488" s="391"/>
      <c r="I488" s="391"/>
      <c r="J488" s="1010"/>
      <c r="K488" s="978"/>
      <c r="L488" s="391"/>
      <c r="M488" s="978"/>
      <c r="N488" s="391"/>
      <c r="O488" s="391"/>
      <c r="P488" s="391"/>
      <c r="Q488" s="391"/>
      <c r="R488" s="391"/>
    </row>
    <row r="489" spans="1:18">
      <c r="A489" s="978"/>
      <c r="B489" s="1009"/>
      <c r="C489" s="391"/>
      <c r="D489" s="391"/>
      <c r="E489" s="391"/>
      <c r="F489" s="391"/>
      <c r="G489" s="391"/>
      <c r="H489" s="391"/>
      <c r="I489" s="391"/>
      <c r="J489" s="1010"/>
      <c r="K489" s="978"/>
      <c r="L489" s="391"/>
      <c r="M489" s="978"/>
      <c r="N489" s="391"/>
      <c r="O489" s="391"/>
      <c r="P489" s="391"/>
      <c r="Q489" s="391"/>
      <c r="R489" s="391"/>
    </row>
    <row r="490" spans="1:18">
      <c r="A490" s="978"/>
      <c r="B490" s="1009"/>
      <c r="C490" s="391"/>
      <c r="D490" s="391"/>
      <c r="E490" s="391"/>
      <c r="F490" s="391"/>
      <c r="G490" s="391"/>
      <c r="H490" s="391"/>
      <c r="I490" s="391"/>
      <c r="J490" s="1010"/>
      <c r="K490" s="978"/>
      <c r="L490" s="391"/>
      <c r="M490" s="978"/>
      <c r="N490" s="391"/>
      <c r="O490" s="391"/>
      <c r="P490" s="391"/>
      <c r="Q490" s="391"/>
      <c r="R490" s="391"/>
    </row>
    <row r="491" spans="1:18">
      <c r="A491" s="978"/>
      <c r="B491" s="1009"/>
      <c r="C491" s="391"/>
      <c r="D491" s="391"/>
      <c r="E491" s="391"/>
      <c r="F491" s="391"/>
      <c r="G491" s="391"/>
      <c r="H491" s="391"/>
      <c r="I491" s="391"/>
      <c r="J491" s="1010"/>
      <c r="K491" s="978"/>
      <c r="L491" s="391"/>
      <c r="M491" s="978"/>
      <c r="N491" s="391"/>
      <c r="O491" s="391"/>
      <c r="P491" s="391"/>
      <c r="Q491" s="391"/>
      <c r="R491" s="391"/>
    </row>
    <row r="492" spans="1:18">
      <c r="A492" s="978"/>
      <c r="B492" s="1009"/>
      <c r="C492" s="391"/>
      <c r="D492" s="391"/>
      <c r="E492" s="391"/>
      <c r="F492" s="391"/>
      <c r="G492" s="391"/>
      <c r="H492" s="391"/>
      <c r="I492" s="391"/>
      <c r="J492" s="1010"/>
      <c r="K492" s="978"/>
      <c r="L492" s="391"/>
      <c r="M492" s="978"/>
      <c r="N492" s="391"/>
      <c r="O492" s="391"/>
      <c r="P492" s="391"/>
      <c r="Q492" s="391"/>
      <c r="R492" s="391"/>
    </row>
    <row r="493" spans="1:18">
      <c r="A493" s="978"/>
      <c r="B493" s="1009"/>
      <c r="C493" s="391"/>
      <c r="D493" s="391"/>
      <c r="E493" s="391"/>
      <c r="F493" s="391"/>
      <c r="G493" s="391"/>
      <c r="H493" s="391"/>
      <c r="I493" s="391"/>
      <c r="J493" s="1010"/>
      <c r="K493" s="978"/>
      <c r="L493" s="391"/>
      <c r="M493" s="978"/>
      <c r="N493" s="391"/>
      <c r="O493" s="391"/>
      <c r="P493" s="391"/>
      <c r="Q493" s="391"/>
      <c r="R493" s="391"/>
    </row>
    <row r="494" spans="1:18">
      <c r="A494" s="978"/>
      <c r="B494" s="1009"/>
      <c r="C494" s="391"/>
      <c r="D494" s="391"/>
      <c r="E494" s="391"/>
      <c r="F494" s="391"/>
      <c r="G494" s="391"/>
      <c r="H494" s="391"/>
      <c r="I494" s="391"/>
      <c r="J494" s="1010"/>
      <c r="K494" s="978"/>
      <c r="L494" s="391"/>
      <c r="M494" s="978"/>
      <c r="N494" s="391"/>
      <c r="O494" s="391"/>
      <c r="P494" s="391"/>
      <c r="Q494" s="391"/>
      <c r="R494" s="391"/>
    </row>
    <row r="495" spans="1:18">
      <c r="A495" s="978"/>
      <c r="B495" s="1009"/>
      <c r="C495" s="391"/>
      <c r="D495" s="391"/>
      <c r="E495" s="391"/>
      <c r="F495" s="391"/>
      <c r="G495" s="391"/>
      <c r="H495" s="391"/>
      <c r="I495" s="391"/>
      <c r="J495" s="1010"/>
      <c r="K495" s="978"/>
      <c r="L495" s="391"/>
      <c r="M495" s="978"/>
      <c r="N495" s="391"/>
      <c r="O495" s="391"/>
      <c r="P495" s="391"/>
      <c r="Q495" s="391"/>
      <c r="R495" s="391"/>
    </row>
    <row r="496" spans="1:18">
      <c r="A496" s="978"/>
      <c r="B496" s="1009"/>
      <c r="C496" s="391"/>
      <c r="D496" s="391"/>
      <c r="E496" s="391"/>
      <c r="F496" s="391"/>
      <c r="G496" s="391"/>
      <c r="H496" s="391"/>
      <c r="I496" s="391"/>
      <c r="J496" s="1010"/>
      <c r="K496" s="978"/>
      <c r="L496" s="391"/>
      <c r="M496" s="978"/>
      <c r="N496" s="391"/>
      <c r="O496" s="391"/>
      <c r="P496" s="391"/>
      <c r="Q496" s="391"/>
      <c r="R496" s="391"/>
    </row>
    <row r="497" spans="1:18">
      <c r="A497" s="978"/>
      <c r="B497" s="1009"/>
      <c r="C497" s="391"/>
      <c r="D497" s="391"/>
      <c r="E497" s="391"/>
      <c r="F497" s="391"/>
      <c r="G497" s="391"/>
      <c r="H497" s="391"/>
      <c r="I497" s="391"/>
      <c r="J497" s="1010"/>
      <c r="K497" s="978"/>
      <c r="L497" s="391"/>
      <c r="M497" s="978"/>
      <c r="N497" s="391"/>
      <c r="O497" s="391"/>
      <c r="P497" s="391"/>
      <c r="Q497" s="391"/>
      <c r="R497" s="391"/>
    </row>
    <row r="498" spans="1:18">
      <c r="A498" s="978"/>
      <c r="B498" s="1009"/>
      <c r="C498" s="391"/>
      <c r="D498" s="391"/>
      <c r="E498" s="391"/>
      <c r="F498" s="391"/>
      <c r="G498" s="391"/>
      <c r="H498" s="391"/>
      <c r="I498" s="391"/>
      <c r="J498" s="1010"/>
      <c r="K498" s="978"/>
      <c r="L498" s="391"/>
      <c r="M498" s="978"/>
      <c r="N498" s="391"/>
      <c r="O498" s="391"/>
      <c r="P498" s="391"/>
      <c r="Q498" s="391"/>
      <c r="R498" s="391"/>
    </row>
    <row r="499" spans="1:18">
      <c r="A499" s="978"/>
      <c r="B499" s="1009"/>
      <c r="C499" s="391"/>
      <c r="D499" s="391"/>
      <c r="E499" s="391"/>
      <c r="F499" s="391"/>
      <c r="G499" s="391"/>
      <c r="H499" s="391"/>
      <c r="I499" s="391"/>
      <c r="J499" s="1010"/>
      <c r="K499" s="978"/>
      <c r="L499" s="391"/>
      <c r="M499" s="978"/>
      <c r="N499" s="391"/>
      <c r="O499" s="391"/>
      <c r="P499" s="391"/>
      <c r="Q499" s="391"/>
      <c r="R499" s="391"/>
    </row>
    <row r="500" spans="1:18">
      <c r="A500" s="978"/>
      <c r="B500" s="1009"/>
      <c r="C500" s="391"/>
      <c r="D500" s="391"/>
      <c r="E500" s="391"/>
      <c r="F500" s="391"/>
      <c r="G500" s="391"/>
      <c r="H500" s="391"/>
      <c r="I500" s="391"/>
      <c r="J500" s="1010"/>
      <c r="K500" s="978"/>
      <c r="L500" s="391"/>
      <c r="M500" s="978"/>
      <c r="N500" s="391"/>
      <c r="O500" s="391"/>
      <c r="P500" s="391"/>
      <c r="Q500" s="391"/>
      <c r="R500" s="391"/>
    </row>
    <row r="501" spans="1:18">
      <c r="A501" s="978"/>
      <c r="B501" s="1009"/>
      <c r="C501" s="391"/>
      <c r="D501" s="391"/>
      <c r="E501" s="391"/>
      <c r="F501" s="391"/>
      <c r="G501" s="391"/>
      <c r="H501" s="391"/>
      <c r="I501" s="391"/>
      <c r="J501" s="1010"/>
      <c r="K501" s="978"/>
      <c r="L501" s="391"/>
      <c r="M501" s="978"/>
      <c r="N501" s="391"/>
      <c r="O501" s="391"/>
      <c r="P501" s="391"/>
      <c r="Q501" s="391"/>
      <c r="R501" s="391"/>
    </row>
    <row r="502" spans="1:18">
      <c r="A502" s="978"/>
      <c r="B502" s="1009"/>
      <c r="C502" s="391"/>
      <c r="D502" s="391"/>
      <c r="E502" s="391"/>
      <c r="F502" s="391"/>
      <c r="G502" s="391"/>
      <c r="H502" s="391"/>
      <c r="I502" s="391"/>
      <c r="J502" s="1010"/>
      <c r="K502" s="978"/>
      <c r="L502" s="391"/>
      <c r="M502" s="978"/>
      <c r="N502" s="391"/>
      <c r="O502" s="391"/>
      <c r="P502" s="391"/>
      <c r="Q502" s="391"/>
      <c r="R502" s="391"/>
    </row>
    <row r="503" spans="1:18">
      <c r="A503" s="978"/>
      <c r="B503" s="1009"/>
      <c r="C503" s="391"/>
      <c r="D503" s="391"/>
      <c r="E503" s="391"/>
      <c r="F503" s="391"/>
      <c r="G503" s="391"/>
      <c r="H503" s="391"/>
      <c r="I503" s="391"/>
      <c r="J503" s="1010"/>
      <c r="K503" s="978"/>
      <c r="L503" s="391"/>
      <c r="M503" s="978"/>
      <c r="N503" s="391"/>
      <c r="O503" s="391"/>
      <c r="P503" s="391"/>
      <c r="Q503" s="391"/>
      <c r="R503" s="391"/>
    </row>
    <row r="504" spans="1:18">
      <c r="A504" s="978"/>
      <c r="B504" s="1009"/>
      <c r="C504" s="391"/>
      <c r="D504" s="391"/>
      <c r="E504" s="391"/>
      <c r="F504" s="391"/>
      <c r="G504" s="391"/>
      <c r="H504" s="391"/>
      <c r="I504" s="391"/>
      <c r="J504" s="1010"/>
      <c r="K504" s="978"/>
      <c r="L504" s="391"/>
      <c r="M504" s="978"/>
      <c r="N504" s="391"/>
      <c r="O504" s="391"/>
      <c r="P504" s="391"/>
      <c r="Q504" s="391"/>
      <c r="R504" s="391"/>
    </row>
    <row r="505" spans="1:18">
      <c r="A505" s="978"/>
      <c r="B505" s="1009"/>
      <c r="C505" s="391"/>
      <c r="D505" s="391"/>
      <c r="E505" s="391"/>
      <c r="F505" s="391"/>
      <c r="G505" s="391"/>
      <c r="H505" s="391"/>
      <c r="I505" s="391"/>
      <c r="J505" s="1010"/>
      <c r="K505" s="978"/>
      <c r="L505" s="391"/>
      <c r="M505" s="978"/>
      <c r="N505" s="391"/>
      <c r="O505" s="391"/>
      <c r="P505" s="391"/>
      <c r="Q505" s="391"/>
      <c r="R505" s="391"/>
    </row>
    <row r="506" spans="1:18">
      <c r="A506" s="978"/>
      <c r="B506" s="1009"/>
      <c r="C506" s="391"/>
      <c r="D506" s="391"/>
      <c r="E506" s="391"/>
      <c r="F506" s="391"/>
      <c r="G506" s="391"/>
      <c r="H506" s="391"/>
      <c r="I506" s="391"/>
      <c r="J506" s="1010"/>
      <c r="K506" s="978"/>
      <c r="L506" s="391"/>
      <c r="M506" s="978"/>
      <c r="N506" s="391"/>
      <c r="O506" s="391"/>
      <c r="P506" s="391"/>
      <c r="Q506" s="391"/>
      <c r="R506" s="391"/>
    </row>
    <row r="507" spans="1:18">
      <c r="A507" s="978"/>
      <c r="B507" s="1009"/>
      <c r="C507" s="391"/>
      <c r="D507" s="391"/>
      <c r="E507" s="391"/>
      <c r="F507" s="391"/>
      <c r="G507" s="391"/>
      <c r="H507" s="391"/>
      <c r="I507" s="391"/>
      <c r="J507" s="1010"/>
      <c r="K507" s="978"/>
      <c r="L507" s="391"/>
      <c r="M507" s="978"/>
      <c r="N507" s="391"/>
      <c r="O507" s="391"/>
      <c r="P507" s="391"/>
      <c r="Q507" s="391"/>
      <c r="R507" s="391"/>
    </row>
    <row r="508" spans="1:18">
      <c r="A508" s="978"/>
      <c r="B508" s="1009"/>
      <c r="C508" s="391"/>
      <c r="D508" s="391"/>
      <c r="E508" s="391"/>
      <c r="F508" s="391"/>
      <c r="G508" s="391"/>
      <c r="H508" s="391"/>
      <c r="I508" s="391"/>
      <c r="J508" s="1010"/>
      <c r="K508" s="978"/>
      <c r="L508" s="391"/>
      <c r="M508" s="978"/>
      <c r="N508" s="391"/>
      <c r="O508" s="391"/>
      <c r="P508" s="391"/>
      <c r="Q508" s="391"/>
      <c r="R508" s="391"/>
    </row>
    <row r="509" spans="1:18">
      <c r="A509" s="978"/>
      <c r="B509" s="1009"/>
      <c r="C509" s="391"/>
      <c r="D509" s="391"/>
      <c r="E509" s="391"/>
      <c r="F509" s="391"/>
      <c r="G509" s="391"/>
      <c r="H509" s="391"/>
      <c r="I509" s="391"/>
      <c r="J509" s="1010"/>
      <c r="K509" s="978"/>
      <c r="L509" s="391"/>
      <c r="M509" s="978"/>
      <c r="N509" s="391"/>
      <c r="O509" s="391"/>
      <c r="P509" s="391"/>
      <c r="Q509" s="391"/>
      <c r="R509" s="391"/>
    </row>
    <row r="510" spans="1:18">
      <c r="A510" s="978"/>
      <c r="B510" s="1009"/>
      <c r="C510" s="391"/>
      <c r="D510" s="391"/>
      <c r="E510" s="391"/>
      <c r="F510" s="391"/>
      <c r="G510" s="391"/>
      <c r="H510" s="391"/>
      <c r="I510" s="391"/>
      <c r="J510" s="1010"/>
      <c r="K510" s="978"/>
      <c r="L510" s="391"/>
      <c r="M510" s="978"/>
      <c r="N510" s="391"/>
      <c r="O510" s="391"/>
      <c r="P510" s="391"/>
      <c r="Q510" s="391"/>
      <c r="R510" s="391"/>
    </row>
    <row r="511" spans="1:18">
      <c r="A511" s="978"/>
      <c r="B511" s="1009"/>
      <c r="C511" s="391"/>
      <c r="D511" s="391"/>
      <c r="E511" s="391"/>
      <c r="F511" s="391"/>
      <c r="G511" s="391"/>
      <c r="H511" s="391"/>
      <c r="I511" s="391"/>
      <c r="J511" s="1010"/>
      <c r="K511" s="978"/>
      <c r="L511" s="391"/>
      <c r="M511" s="978"/>
      <c r="N511" s="391"/>
      <c r="O511" s="391"/>
      <c r="P511" s="391"/>
      <c r="Q511" s="391"/>
      <c r="R511" s="391"/>
    </row>
    <row r="512" spans="1:18">
      <c r="A512" s="978"/>
      <c r="B512" s="1009"/>
      <c r="C512" s="391"/>
      <c r="D512" s="391"/>
      <c r="E512" s="391"/>
      <c r="F512" s="391"/>
      <c r="G512" s="391"/>
      <c r="H512" s="391"/>
      <c r="I512" s="391"/>
      <c r="J512" s="1010"/>
      <c r="K512" s="978"/>
      <c r="L512" s="391"/>
      <c r="M512" s="978"/>
      <c r="N512" s="391"/>
      <c r="O512" s="391"/>
      <c r="P512" s="391"/>
      <c r="Q512" s="391"/>
      <c r="R512" s="391"/>
    </row>
    <row r="513" spans="1:18">
      <c r="A513" s="978"/>
      <c r="B513" s="1009"/>
      <c r="C513" s="391"/>
      <c r="D513" s="391"/>
      <c r="E513" s="391"/>
      <c r="F513" s="391"/>
      <c r="G513" s="391"/>
      <c r="H513" s="391"/>
      <c r="I513" s="391"/>
      <c r="J513" s="1010"/>
      <c r="K513" s="978"/>
      <c r="L513" s="391"/>
      <c r="M513" s="978"/>
      <c r="N513" s="391"/>
      <c r="O513" s="391"/>
      <c r="P513" s="391"/>
      <c r="Q513" s="391"/>
      <c r="R513" s="391"/>
    </row>
    <row r="514" spans="1:18">
      <c r="A514" s="978"/>
      <c r="B514" s="1009"/>
      <c r="C514" s="391"/>
      <c r="D514" s="391"/>
      <c r="E514" s="391"/>
      <c r="F514" s="391"/>
      <c r="G514" s="391"/>
      <c r="H514" s="391"/>
      <c r="I514" s="391"/>
      <c r="J514" s="1010"/>
      <c r="K514" s="978"/>
      <c r="L514" s="391"/>
      <c r="M514" s="978"/>
      <c r="N514" s="391"/>
      <c r="O514" s="391"/>
      <c r="P514" s="391"/>
      <c r="Q514" s="391"/>
      <c r="R514" s="391"/>
    </row>
    <row r="515" spans="1:18">
      <c r="A515" s="978"/>
      <c r="B515" s="1009"/>
      <c r="C515" s="391"/>
      <c r="D515" s="391"/>
      <c r="E515" s="391"/>
      <c r="F515" s="391"/>
      <c r="G515" s="391"/>
      <c r="H515" s="391"/>
      <c r="I515" s="391"/>
      <c r="J515" s="1010"/>
      <c r="K515" s="978"/>
      <c r="L515" s="391"/>
      <c r="M515" s="978"/>
      <c r="N515" s="391"/>
      <c r="O515" s="391"/>
      <c r="P515" s="391"/>
      <c r="Q515" s="391"/>
      <c r="R515" s="391"/>
    </row>
    <row r="516" spans="1:18">
      <c r="A516" s="978"/>
      <c r="B516" s="1009"/>
      <c r="C516" s="391"/>
      <c r="D516" s="391"/>
      <c r="E516" s="391"/>
      <c r="F516" s="391"/>
      <c r="G516" s="391"/>
      <c r="H516" s="391"/>
      <c r="I516" s="391"/>
      <c r="J516" s="1010"/>
      <c r="K516" s="978"/>
      <c r="L516" s="391"/>
      <c r="M516" s="978"/>
      <c r="N516" s="391"/>
      <c r="O516" s="391"/>
      <c r="P516" s="391"/>
      <c r="Q516" s="391"/>
      <c r="R516" s="391"/>
    </row>
    <row r="517" spans="1:18">
      <c r="A517" s="978"/>
      <c r="B517" s="1009"/>
      <c r="C517" s="391"/>
      <c r="D517" s="391"/>
      <c r="E517" s="391"/>
      <c r="F517" s="391"/>
      <c r="G517" s="391"/>
      <c r="H517" s="391"/>
      <c r="I517" s="391"/>
      <c r="J517" s="1010"/>
      <c r="K517" s="978"/>
      <c r="L517" s="391"/>
      <c r="M517" s="978"/>
      <c r="N517" s="391"/>
      <c r="O517" s="391"/>
      <c r="P517" s="391"/>
      <c r="Q517" s="391"/>
      <c r="R517" s="391"/>
    </row>
    <row r="518" spans="1:18">
      <c r="A518" s="978"/>
      <c r="B518" s="1009"/>
      <c r="C518" s="391"/>
      <c r="D518" s="391"/>
      <c r="E518" s="391"/>
      <c r="F518" s="391"/>
      <c r="G518" s="391"/>
      <c r="H518" s="391"/>
      <c r="I518" s="391"/>
      <c r="J518" s="1010"/>
      <c r="K518" s="978"/>
      <c r="L518" s="391"/>
      <c r="M518" s="978"/>
      <c r="N518" s="391"/>
      <c r="O518" s="391"/>
      <c r="P518" s="391"/>
      <c r="Q518" s="391"/>
      <c r="R518" s="391"/>
    </row>
    <row r="519" spans="1:18">
      <c r="A519" s="978"/>
      <c r="B519" s="1009"/>
      <c r="C519" s="391"/>
      <c r="D519" s="391"/>
      <c r="E519" s="391"/>
      <c r="F519" s="391"/>
      <c r="G519" s="391"/>
      <c r="H519" s="391"/>
      <c r="I519" s="391"/>
      <c r="J519" s="1010"/>
      <c r="K519" s="978"/>
      <c r="L519" s="391"/>
      <c r="M519" s="978"/>
      <c r="N519" s="391"/>
      <c r="O519" s="391"/>
      <c r="P519" s="391"/>
      <c r="Q519" s="391"/>
      <c r="R519" s="391"/>
    </row>
    <row r="520" spans="1:18">
      <c r="A520" s="978"/>
      <c r="B520" s="1009"/>
      <c r="C520" s="391"/>
      <c r="D520" s="391"/>
      <c r="E520" s="391"/>
      <c r="F520" s="391"/>
      <c r="G520" s="391"/>
      <c r="H520" s="391"/>
      <c r="I520" s="391"/>
      <c r="J520" s="1010"/>
      <c r="K520" s="978"/>
      <c r="L520" s="391"/>
      <c r="M520" s="978"/>
      <c r="N520" s="391"/>
      <c r="O520" s="391"/>
      <c r="P520" s="391"/>
      <c r="Q520" s="391"/>
      <c r="R520" s="391"/>
    </row>
    <row r="521" spans="1:18">
      <c r="A521" s="978"/>
      <c r="B521" s="1009"/>
      <c r="C521" s="391"/>
      <c r="D521" s="391"/>
      <c r="E521" s="391"/>
      <c r="F521" s="391"/>
      <c r="G521" s="391"/>
      <c r="H521" s="391"/>
      <c r="I521" s="391"/>
      <c r="J521" s="1010"/>
      <c r="K521" s="978"/>
      <c r="L521" s="391"/>
      <c r="M521" s="978"/>
      <c r="N521" s="391"/>
      <c r="O521" s="391"/>
      <c r="P521" s="391"/>
      <c r="Q521" s="391"/>
      <c r="R521" s="391"/>
    </row>
    <row r="522" spans="1:18">
      <c r="A522" s="978"/>
      <c r="B522" s="1009"/>
      <c r="C522" s="391"/>
      <c r="D522" s="391"/>
      <c r="E522" s="391"/>
      <c r="F522" s="391"/>
      <c r="G522" s="391"/>
      <c r="H522" s="391"/>
      <c r="I522" s="391"/>
      <c r="J522" s="1010"/>
      <c r="K522" s="978"/>
      <c r="L522" s="391"/>
      <c r="M522" s="978"/>
      <c r="N522" s="391"/>
      <c r="O522" s="391"/>
      <c r="P522" s="391"/>
      <c r="Q522" s="391"/>
      <c r="R522" s="391"/>
    </row>
    <row r="523" spans="1:18">
      <c r="A523" s="978"/>
      <c r="B523" s="1009"/>
      <c r="C523" s="391"/>
      <c r="D523" s="391"/>
      <c r="E523" s="391"/>
      <c r="F523" s="391"/>
      <c r="G523" s="391"/>
      <c r="H523" s="391"/>
      <c r="I523" s="391"/>
      <c r="J523" s="1010"/>
      <c r="K523" s="978"/>
      <c r="L523" s="391"/>
      <c r="M523" s="978"/>
      <c r="N523" s="391"/>
      <c r="O523" s="391"/>
      <c r="P523" s="391"/>
      <c r="Q523" s="391"/>
      <c r="R523" s="391"/>
    </row>
    <row r="524" spans="1:18">
      <c r="A524" s="978"/>
      <c r="B524" s="1009"/>
      <c r="C524" s="391"/>
      <c r="D524" s="391"/>
      <c r="E524" s="391"/>
      <c r="F524" s="391"/>
      <c r="G524" s="391"/>
      <c r="H524" s="391"/>
      <c r="I524" s="391"/>
      <c r="J524" s="1010"/>
      <c r="K524" s="978"/>
      <c r="L524" s="391"/>
      <c r="M524" s="978"/>
      <c r="N524" s="391"/>
      <c r="O524" s="391"/>
      <c r="P524" s="391"/>
      <c r="Q524" s="391"/>
      <c r="R524" s="391"/>
    </row>
    <row r="525" spans="1:18">
      <c r="A525" s="978"/>
      <c r="B525" s="1009"/>
      <c r="C525" s="391"/>
      <c r="D525" s="391"/>
      <c r="E525" s="391"/>
      <c r="F525" s="391"/>
      <c r="G525" s="391"/>
      <c r="H525" s="391"/>
      <c r="I525" s="391"/>
      <c r="J525" s="1010"/>
      <c r="K525" s="978"/>
      <c r="L525" s="391"/>
      <c r="M525" s="978"/>
      <c r="N525" s="391"/>
      <c r="O525" s="391"/>
      <c r="P525" s="391"/>
      <c r="Q525" s="391"/>
      <c r="R525" s="391"/>
    </row>
    <row r="526" spans="1:18">
      <c r="A526" s="978"/>
      <c r="B526" s="1009"/>
      <c r="C526" s="391"/>
      <c r="D526" s="391"/>
      <c r="E526" s="391"/>
      <c r="F526" s="391"/>
      <c r="G526" s="391"/>
      <c r="H526" s="391"/>
      <c r="I526" s="391"/>
      <c r="J526" s="1010"/>
      <c r="K526" s="978"/>
      <c r="L526" s="391"/>
      <c r="M526" s="978"/>
      <c r="N526" s="391"/>
      <c r="O526" s="391"/>
      <c r="P526" s="391"/>
      <c r="Q526" s="391"/>
      <c r="R526" s="391"/>
    </row>
    <row r="527" spans="1:18">
      <c r="A527" s="978"/>
      <c r="B527" s="1009"/>
      <c r="C527" s="391"/>
      <c r="D527" s="391"/>
      <c r="E527" s="391"/>
      <c r="F527" s="391"/>
      <c r="G527" s="391"/>
      <c r="H527" s="391"/>
      <c r="I527" s="391"/>
      <c r="J527" s="1010"/>
      <c r="K527" s="978"/>
      <c r="L527" s="391"/>
      <c r="M527" s="978"/>
      <c r="N527" s="391"/>
      <c r="O527" s="391"/>
      <c r="P527" s="391"/>
      <c r="Q527" s="391"/>
      <c r="R527" s="391"/>
    </row>
    <row r="528" spans="1:18">
      <c r="A528" s="978"/>
      <c r="B528" s="1009"/>
      <c r="C528" s="391"/>
      <c r="D528" s="391"/>
      <c r="E528" s="391"/>
      <c r="F528" s="391"/>
      <c r="G528" s="391"/>
      <c r="H528" s="391"/>
      <c r="I528" s="391"/>
      <c r="J528" s="1010"/>
      <c r="K528" s="978"/>
      <c r="L528" s="391"/>
      <c r="M528" s="978"/>
      <c r="N528" s="391"/>
      <c r="O528" s="391"/>
      <c r="P528" s="391"/>
      <c r="Q528" s="391"/>
      <c r="R528" s="391"/>
    </row>
    <row r="529" spans="1:18">
      <c r="A529" s="978"/>
      <c r="B529" s="1009"/>
      <c r="C529" s="391"/>
      <c r="D529" s="391"/>
      <c r="E529" s="391"/>
      <c r="F529" s="391"/>
      <c r="G529" s="391"/>
      <c r="H529" s="391"/>
      <c r="I529" s="391"/>
      <c r="J529" s="1010"/>
      <c r="K529" s="978"/>
      <c r="L529" s="391"/>
      <c r="M529" s="978"/>
      <c r="N529" s="391"/>
      <c r="O529" s="391"/>
      <c r="P529" s="391"/>
      <c r="Q529" s="391"/>
      <c r="R529" s="391"/>
    </row>
    <row r="530" spans="1:18">
      <c r="A530" s="978"/>
      <c r="B530" s="1009"/>
      <c r="C530" s="391"/>
      <c r="D530" s="391"/>
      <c r="E530" s="391"/>
      <c r="F530" s="391"/>
      <c r="G530" s="391"/>
      <c r="H530" s="391"/>
      <c r="I530" s="391"/>
      <c r="J530" s="1010"/>
      <c r="K530" s="978"/>
      <c r="L530" s="391"/>
      <c r="M530" s="978"/>
      <c r="N530" s="391"/>
      <c r="O530" s="391"/>
      <c r="P530" s="391"/>
      <c r="Q530" s="391"/>
      <c r="R530" s="391"/>
    </row>
    <row r="531" spans="1:18">
      <c r="A531" s="978"/>
      <c r="B531" s="1009"/>
      <c r="C531" s="391"/>
      <c r="D531" s="391"/>
      <c r="E531" s="391"/>
      <c r="F531" s="391"/>
      <c r="G531" s="391"/>
      <c r="H531" s="391"/>
      <c r="I531" s="391"/>
      <c r="J531" s="1010"/>
      <c r="K531" s="978"/>
      <c r="L531" s="391"/>
      <c r="M531" s="978"/>
      <c r="N531" s="391"/>
      <c r="O531" s="391"/>
      <c r="P531" s="391"/>
      <c r="Q531" s="391"/>
      <c r="R531" s="391"/>
    </row>
    <row r="532" spans="1:18">
      <c r="A532" s="978"/>
      <c r="B532" s="1009"/>
      <c r="C532" s="391"/>
      <c r="D532" s="391"/>
      <c r="E532" s="391"/>
      <c r="F532" s="391"/>
      <c r="G532" s="391"/>
      <c r="H532" s="391"/>
      <c r="I532" s="391"/>
      <c r="J532" s="1010"/>
      <c r="K532" s="978"/>
      <c r="L532" s="391"/>
      <c r="M532" s="978"/>
      <c r="N532" s="391"/>
      <c r="O532" s="391"/>
      <c r="P532" s="391"/>
      <c r="Q532" s="391"/>
      <c r="R532" s="391"/>
    </row>
    <row r="533" spans="1:18">
      <c r="A533" s="978"/>
      <c r="B533" s="1009"/>
      <c r="C533" s="391"/>
      <c r="D533" s="391"/>
      <c r="E533" s="391"/>
      <c r="F533" s="391"/>
      <c r="G533" s="391"/>
      <c r="H533" s="391"/>
      <c r="I533" s="391"/>
      <c r="J533" s="1010"/>
      <c r="K533" s="978"/>
      <c r="L533" s="391"/>
      <c r="M533" s="978"/>
      <c r="N533" s="391"/>
      <c r="O533" s="391"/>
      <c r="P533" s="391"/>
      <c r="Q533" s="391"/>
      <c r="R533" s="391"/>
    </row>
    <row r="534" spans="1:18">
      <c r="A534" s="978"/>
      <c r="B534" s="1009"/>
      <c r="C534" s="391"/>
      <c r="D534" s="391"/>
      <c r="E534" s="391"/>
      <c r="F534" s="391"/>
      <c r="G534" s="391"/>
      <c r="H534" s="391"/>
      <c r="I534" s="391"/>
      <c r="J534" s="1010"/>
      <c r="K534" s="978"/>
      <c r="L534" s="391"/>
      <c r="M534" s="978"/>
      <c r="N534" s="391"/>
      <c r="O534" s="391"/>
      <c r="P534" s="391"/>
      <c r="Q534" s="391"/>
      <c r="R534" s="391"/>
    </row>
    <row r="535" spans="1:18">
      <c r="A535" s="978"/>
      <c r="B535" s="1009"/>
      <c r="C535" s="391"/>
      <c r="D535" s="391"/>
      <c r="E535" s="391"/>
      <c r="F535" s="391"/>
      <c r="G535" s="391"/>
      <c r="H535" s="391"/>
      <c r="I535" s="391"/>
      <c r="J535" s="1010"/>
      <c r="K535" s="978"/>
      <c r="L535" s="391"/>
      <c r="M535" s="978"/>
      <c r="N535" s="391"/>
      <c r="O535" s="391"/>
      <c r="P535" s="391"/>
      <c r="Q535" s="391"/>
      <c r="R535" s="391"/>
    </row>
    <row r="536" spans="1:18">
      <c r="A536" s="978"/>
      <c r="B536" s="1009"/>
      <c r="C536" s="391"/>
      <c r="D536" s="391"/>
      <c r="E536" s="391"/>
      <c r="F536" s="391"/>
      <c r="G536" s="391"/>
      <c r="H536" s="391"/>
      <c r="I536" s="391"/>
      <c r="J536" s="1010"/>
      <c r="K536" s="978"/>
      <c r="L536" s="391"/>
      <c r="M536" s="978"/>
      <c r="N536" s="391"/>
      <c r="O536" s="391"/>
      <c r="P536" s="391"/>
      <c r="Q536" s="391"/>
      <c r="R536" s="391"/>
    </row>
    <row r="537" spans="1:18">
      <c r="A537" s="978"/>
      <c r="B537" s="1009"/>
      <c r="C537" s="391"/>
      <c r="D537" s="391"/>
      <c r="E537" s="391"/>
      <c r="F537" s="391"/>
      <c r="G537" s="391"/>
      <c r="H537" s="391"/>
      <c r="I537" s="391"/>
      <c r="J537" s="1010"/>
      <c r="K537" s="978"/>
      <c r="L537" s="391"/>
      <c r="M537" s="978"/>
      <c r="N537" s="391"/>
      <c r="O537" s="391"/>
      <c r="P537" s="391"/>
      <c r="Q537" s="391"/>
      <c r="R537" s="391"/>
    </row>
    <row r="538" spans="1:18">
      <c r="A538" s="978"/>
      <c r="B538" s="1009"/>
      <c r="C538" s="391"/>
      <c r="D538" s="391"/>
      <c r="E538" s="391"/>
      <c r="F538" s="391"/>
      <c r="G538" s="391"/>
      <c r="H538" s="391"/>
      <c r="I538" s="391"/>
      <c r="J538" s="1010"/>
      <c r="K538" s="978"/>
      <c r="L538" s="391"/>
      <c r="M538" s="978"/>
      <c r="N538" s="391"/>
      <c r="O538" s="391"/>
      <c r="P538" s="391"/>
      <c r="Q538" s="391"/>
      <c r="R538" s="391"/>
    </row>
    <row r="539" spans="1:18">
      <c r="A539" s="978"/>
      <c r="B539" s="1009"/>
      <c r="C539" s="391"/>
      <c r="D539" s="391"/>
      <c r="E539" s="391"/>
      <c r="F539" s="391"/>
      <c r="G539" s="391"/>
      <c r="H539" s="391"/>
      <c r="I539" s="391"/>
      <c r="J539" s="1010"/>
      <c r="K539" s="978"/>
      <c r="L539" s="391"/>
      <c r="M539" s="978"/>
      <c r="N539" s="391"/>
      <c r="O539" s="391"/>
      <c r="P539" s="391"/>
      <c r="Q539" s="391"/>
      <c r="R539" s="391"/>
    </row>
    <row r="540" spans="1:18">
      <c r="A540" s="978"/>
      <c r="B540" s="1009"/>
      <c r="C540" s="391"/>
      <c r="D540" s="391"/>
      <c r="E540" s="391"/>
      <c r="F540" s="391"/>
      <c r="G540" s="391"/>
      <c r="H540" s="391"/>
      <c r="I540" s="391"/>
      <c r="J540" s="1010"/>
      <c r="K540" s="978"/>
      <c r="L540" s="391"/>
      <c r="M540" s="978"/>
      <c r="N540" s="391"/>
      <c r="O540" s="391"/>
      <c r="P540" s="391"/>
      <c r="Q540" s="391"/>
      <c r="R540" s="391"/>
    </row>
    <row r="541" spans="1:18">
      <c r="A541" s="978"/>
      <c r="B541" s="1009"/>
      <c r="C541" s="391"/>
      <c r="D541" s="391"/>
      <c r="E541" s="391"/>
      <c r="F541" s="391"/>
      <c r="G541" s="391"/>
      <c r="H541" s="391"/>
      <c r="I541" s="391"/>
      <c r="J541" s="1010"/>
      <c r="K541" s="978"/>
      <c r="L541" s="391"/>
      <c r="M541" s="978"/>
      <c r="N541" s="391"/>
      <c r="O541" s="391"/>
      <c r="P541" s="391"/>
      <c r="Q541" s="391"/>
      <c r="R541" s="391"/>
    </row>
    <row r="542" spans="1:18">
      <c r="A542" s="978"/>
      <c r="B542" s="1009"/>
      <c r="C542" s="391"/>
      <c r="D542" s="391"/>
      <c r="E542" s="391"/>
      <c r="F542" s="391"/>
      <c r="G542" s="391"/>
      <c r="H542" s="391"/>
      <c r="I542" s="391"/>
      <c r="J542" s="1010"/>
      <c r="K542" s="978"/>
      <c r="L542" s="391"/>
      <c r="M542" s="978"/>
      <c r="N542" s="391"/>
      <c r="O542" s="391"/>
      <c r="P542" s="391"/>
      <c r="Q542" s="391"/>
      <c r="R542" s="391"/>
    </row>
    <row r="543" spans="1:18">
      <c r="A543" s="978"/>
      <c r="B543" s="1009"/>
      <c r="C543" s="391"/>
      <c r="D543" s="391"/>
      <c r="E543" s="391"/>
      <c r="F543" s="391"/>
      <c r="G543" s="391"/>
      <c r="H543" s="391"/>
      <c r="I543" s="391"/>
      <c r="J543" s="1010"/>
      <c r="K543" s="978"/>
      <c r="L543" s="391"/>
      <c r="M543" s="978"/>
      <c r="N543" s="391"/>
      <c r="O543" s="391"/>
      <c r="P543" s="391"/>
      <c r="Q543" s="391"/>
      <c r="R543" s="391"/>
    </row>
    <row r="544" spans="1:18">
      <c r="A544" s="978"/>
      <c r="B544" s="1009"/>
      <c r="C544" s="391"/>
      <c r="D544" s="391"/>
      <c r="E544" s="391"/>
      <c r="F544" s="391"/>
      <c r="G544" s="391"/>
      <c r="H544" s="391"/>
      <c r="I544" s="391"/>
      <c r="J544" s="1010"/>
      <c r="K544" s="978"/>
      <c r="L544" s="391"/>
      <c r="M544" s="978"/>
      <c r="N544" s="391"/>
      <c r="O544" s="391"/>
      <c r="P544" s="391"/>
      <c r="Q544" s="391"/>
      <c r="R544" s="391"/>
    </row>
    <row r="545" spans="1:18">
      <c r="A545" s="978"/>
      <c r="B545" s="1009"/>
      <c r="C545" s="391"/>
      <c r="D545" s="391"/>
      <c r="E545" s="391"/>
      <c r="F545" s="391"/>
      <c r="G545" s="391"/>
      <c r="H545" s="391"/>
      <c r="I545" s="391"/>
      <c r="J545" s="1010"/>
      <c r="K545" s="978"/>
      <c r="L545" s="391"/>
      <c r="M545" s="978"/>
      <c r="N545" s="391"/>
      <c r="O545" s="391"/>
      <c r="P545" s="391"/>
      <c r="Q545" s="391"/>
      <c r="R545" s="391"/>
    </row>
    <row r="546" spans="1:18">
      <c r="A546" s="978"/>
      <c r="B546" s="1009"/>
      <c r="C546" s="391"/>
      <c r="D546" s="391"/>
      <c r="E546" s="391"/>
      <c r="F546" s="391"/>
      <c r="G546" s="391"/>
      <c r="H546" s="391"/>
      <c r="I546" s="391"/>
      <c r="J546" s="1010"/>
      <c r="K546" s="978"/>
      <c r="L546" s="391"/>
      <c r="M546" s="978"/>
      <c r="N546" s="391"/>
      <c r="O546" s="391"/>
      <c r="P546" s="391"/>
      <c r="Q546" s="391"/>
      <c r="R546" s="391"/>
    </row>
    <row r="547" spans="1:18">
      <c r="A547" s="978"/>
      <c r="B547" s="1009"/>
      <c r="C547" s="391"/>
      <c r="D547" s="391"/>
      <c r="E547" s="391"/>
      <c r="F547" s="391"/>
      <c r="G547" s="391"/>
      <c r="H547" s="391"/>
      <c r="I547" s="391"/>
      <c r="J547" s="1010"/>
      <c r="K547" s="978"/>
      <c r="L547" s="391"/>
      <c r="M547" s="978"/>
      <c r="N547" s="391"/>
      <c r="O547" s="391"/>
      <c r="P547" s="391"/>
      <c r="Q547" s="391"/>
      <c r="R547" s="391"/>
    </row>
    <row r="548" spans="1:18">
      <c r="A548" s="978"/>
      <c r="B548" s="1009"/>
      <c r="C548" s="391"/>
      <c r="D548" s="391"/>
      <c r="E548" s="391"/>
      <c r="F548" s="391"/>
      <c r="G548" s="391"/>
      <c r="H548" s="391"/>
      <c r="I548" s="391"/>
      <c r="J548" s="1010"/>
      <c r="K548" s="978"/>
      <c r="L548" s="391"/>
      <c r="M548" s="978"/>
      <c r="N548" s="391"/>
      <c r="O548" s="391"/>
      <c r="P548" s="391"/>
      <c r="Q548" s="391"/>
      <c r="R548" s="391"/>
    </row>
    <row r="549" spans="1:18">
      <c r="A549" s="978"/>
      <c r="B549" s="1009"/>
      <c r="C549" s="391"/>
      <c r="D549" s="391"/>
      <c r="E549" s="391"/>
      <c r="F549" s="391"/>
      <c r="G549" s="391"/>
      <c r="H549" s="391"/>
      <c r="I549" s="391"/>
      <c r="J549" s="1010"/>
      <c r="K549" s="978"/>
      <c r="L549" s="391"/>
      <c r="M549" s="978"/>
      <c r="N549" s="391"/>
      <c r="O549" s="391"/>
      <c r="P549" s="391"/>
      <c r="Q549" s="391"/>
      <c r="R549" s="391"/>
    </row>
    <row r="550" spans="1:18">
      <c r="A550" s="978"/>
      <c r="B550" s="1009"/>
      <c r="C550" s="391"/>
      <c r="D550" s="391"/>
      <c r="E550" s="391"/>
      <c r="F550" s="391"/>
      <c r="G550" s="391"/>
      <c r="H550" s="391"/>
      <c r="I550" s="391"/>
      <c r="J550" s="1010"/>
      <c r="K550" s="978"/>
      <c r="L550" s="391"/>
      <c r="M550" s="978"/>
      <c r="N550" s="391"/>
      <c r="O550" s="391"/>
      <c r="P550" s="391"/>
      <c r="Q550" s="391"/>
      <c r="R550" s="391"/>
    </row>
    <row r="551" spans="1:18">
      <c r="A551" s="978"/>
      <c r="B551" s="1009"/>
      <c r="C551" s="391"/>
      <c r="D551" s="391"/>
      <c r="E551" s="391"/>
      <c r="F551" s="391"/>
      <c r="G551" s="391"/>
      <c r="H551" s="391"/>
      <c r="I551" s="391"/>
      <c r="J551" s="1010"/>
      <c r="K551" s="978"/>
      <c r="L551" s="391"/>
      <c r="M551" s="978"/>
      <c r="N551" s="391"/>
      <c r="O551" s="391"/>
      <c r="P551" s="391"/>
      <c r="Q551" s="391"/>
      <c r="R551" s="391"/>
    </row>
    <row r="552" spans="1:18">
      <c r="A552" s="978"/>
      <c r="B552" s="1009"/>
      <c r="C552" s="391"/>
      <c r="D552" s="391"/>
      <c r="E552" s="391"/>
      <c r="F552" s="391"/>
      <c r="G552" s="391"/>
      <c r="H552" s="391"/>
      <c r="I552" s="391"/>
      <c r="J552" s="1010"/>
      <c r="K552" s="978"/>
      <c r="L552" s="391"/>
      <c r="M552" s="978"/>
      <c r="N552" s="391"/>
      <c r="O552" s="391"/>
      <c r="P552" s="391"/>
      <c r="Q552" s="391"/>
      <c r="R552" s="391"/>
    </row>
    <row r="553" spans="1:18">
      <c r="A553" s="978"/>
      <c r="B553" s="1009"/>
      <c r="C553" s="391"/>
      <c r="D553" s="391"/>
      <c r="E553" s="391"/>
      <c r="F553" s="391"/>
      <c r="G553" s="391"/>
      <c r="H553" s="391"/>
      <c r="I553" s="391"/>
      <c r="J553" s="1010"/>
      <c r="K553" s="978"/>
      <c r="L553" s="391"/>
      <c r="M553" s="978"/>
      <c r="N553" s="391"/>
      <c r="O553" s="391"/>
      <c r="P553" s="391"/>
      <c r="Q553" s="391"/>
      <c r="R553" s="391"/>
    </row>
    <row r="554" spans="1:18">
      <c r="A554" s="978"/>
      <c r="B554" s="1009"/>
      <c r="C554" s="391"/>
      <c r="D554" s="391"/>
      <c r="E554" s="391"/>
      <c r="F554" s="391"/>
      <c r="G554" s="391"/>
      <c r="H554" s="391"/>
      <c r="I554" s="391"/>
      <c r="J554" s="1010"/>
      <c r="K554" s="978"/>
      <c r="L554" s="391"/>
      <c r="M554" s="978"/>
      <c r="N554" s="391"/>
      <c r="O554" s="391"/>
      <c r="P554" s="391"/>
      <c r="Q554" s="391"/>
      <c r="R554" s="391"/>
    </row>
    <row r="555" spans="1:18">
      <c r="A555" s="978"/>
      <c r="B555" s="1009"/>
      <c r="C555" s="391"/>
      <c r="D555" s="391"/>
      <c r="E555" s="391"/>
      <c r="F555" s="391"/>
      <c r="G555" s="391"/>
      <c r="H555" s="391"/>
      <c r="I555" s="391"/>
      <c r="J555" s="1010"/>
      <c r="K555" s="978"/>
      <c r="L555" s="391"/>
      <c r="M555" s="978"/>
      <c r="N555" s="391"/>
      <c r="O555" s="391"/>
      <c r="P555" s="391"/>
      <c r="Q555" s="391"/>
      <c r="R555" s="391"/>
    </row>
    <row r="556" spans="1:18">
      <c r="A556" s="978"/>
      <c r="B556" s="1009"/>
      <c r="C556" s="391"/>
      <c r="D556" s="391"/>
      <c r="E556" s="391"/>
      <c r="F556" s="391"/>
      <c r="G556" s="391"/>
      <c r="H556" s="391"/>
      <c r="I556" s="391"/>
      <c r="J556" s="1010"/>
      <c r="K556" s="978"/>
      <c r="L556" s="391"/>
      <c r="M556" s="978"/>
      <c r="N556" s="391"/>
      <c r="O556" s="391"/>
      <c r="P556" s="391"/>
      <c r="Q556" s="391"/>
      <c r="R556" s="391"/>
    </row>
    <row r="557" spans="1:18">
      <c r="A557" s="978"/>
      <c r="B557" s="1009"/>
      <c r="C557" s="391"/>
      <c r="D557" s="391"/>
      <c r="E557" s="391"/>
      <c r="F557" s="391"/>
      <c r="G557" s="391"/>
      <c r="H557" s="391"/>
      <c r="I557" s="391"/>
      <c r="J557" s="1010"/>
      <c r="K557" s="978"/>
      <c r="L557" s="391"/>
      <c r="M557" s="978"/>
      <c r="N557" s="391"/>
      <c r="O557" s="391"/>
      <c r="P557" s="391"/>
      <c r="Q557" s="391"/>
      <c r="R557" s="391"/>
    </row>
    <row r="558" spans="1:18">
      <c r="A558" s="978"/>
      <c r="B558" s="1009"/>
      <c r="C558" s="391"/>
      <c r="D558" s="391"/>
      <c r="E558" s="391"/>
      <c r="F558" s="391"/>
      <c r="G558" s="391"/>
      <c r="H558" s="391"/>
      <c r="I558" s="391"/>
      <c r="J558" s="1010"/>
      <c r="K558" s="978"/>
      <c r="L558" s="391"/>
      <c r="M558" s="978"/>
      <c r="N558" s="391"/>
      <c r="O558" s="391"/>
      <c r="P558" s="391"/>
      <c r="Q558" s="391"/>
      <c r="R558" s="391"/>
    </row>
    <row r="559" spans="1:18">
      <c r="A559" s="978"/>
      <c r="B559" s="1009"/>
      <c r="C559" s="391"/>
      <c r="D559" s="391"/>
      <c r="E559" s="391"/>
      <c r="F559" s="391"/>
      <c r="G559" s="391"/>
      <c r="H559" s="391"/>
      <c r="I559" s="391"/>
      <c r="J559" s="1010"/>
      <c r="K559" s="978"/>
      <c r="L559" s="391"/>
      <c r="M559" s="978"/>
      <c r="N559" s="391"/>
      <c r="O559" s="391"/>
      <c r="P559" s="391"/>
      <c r="Q559" s="391"/>
      <c r="R559" s="391"/>
    </row>
    <row r="560" spans="1:18">
      <c r="A560" s="978"/>
      <c r="B560" s="1009"/>
      <c r="C560" s="391"/>
      <c r="D560" s="391"/>
      <c r="E560" s="391"/>
      <c r="F560" s="391"/>
      <c r="G560" s="391"/>
      <c r="H560" s="391"/>
      <c r="I560" s="391"/>
      <c r="J560" s="1010"/>
      <c r="K560" s="978"/>
      <c r="L560" s="391"/>
      <c r="M560" s="978"/>
      <c r="N560" s="391"/>
      <c r="O560" s="391"/>
      <c r="P560" s="391"/>
      <c r="Q560" s="391"/>
      <c r="R560" s="391"/>
    </row>
    <row r="561" spans="1:18">
      <c r="A561" s="978"/>
      <c r="B561" s="1009"/>
      <c r="C561" s="391"/>
      <c r="D561" s="391"/>
      <c r="E561" s="391"/>
      <c r="F561" s="391"/>
      <c r="G561" s="391"/>
      <c r="H561" s="391"/>
      <c r="I561" s="391"/>
      <c r="J561" s="1010"/>
      <c r="K561" s="978"/>
      <c r="L561" s="391"/>
      <c r="M561" s="978"/>
      <c r="N561" s="391"/>
      <c r="O561" s="391"/>
      <c r="P561" s="391"/>
      <c r="Q561" s="391"/>
      <c r="R561" s="391"/>
    </row>
    <row r="562" spans="1:18">
      <c r="A562" s="978"/>
      <c r="B562" s="1009"/>
      <c r="C562" s="391"/>
      <c r="D562" s="391"/>
      <c r="E562" s="391"/>
      <c r="F562" s="391"/>
      <c r="G562" s="391"/>
      <c r="H562" s="391"/>
      <c r="I562" s="391"/>
      <c r="J562" s="1010"/>
      <c r="K562" s="978"/>
      <c r="L562" s="391"/>
      <c r="M562" s="978"/>
      <c r="N562" s="391"/>
      <c r="O562" s="391"/>
      <c r="P562" s="391"/>
      <c r="Q562" s="391"/>
      <c r="R562" s="391"/>
    </row>
    <row r="563" spans="1:18">
      <c r="A563" s="978"/>
      <c r="B563" s="1009"/>
      <c r="C563" s="391"/>
      <c r="D563" s="391"/>
      <c r="E563" s="391"/>
      <c r="F563" s="391"/>
      <c r="G563" s="391"/>
      <c r="H563" s="391"/>
      <c r="I563" s="391"/>
      <c r="J563" s="1010"/>
      <c r="K563" s="978"/>
      <c r="L563" s="391"/>
      <c r="M563" s="978"/>
      <c r="N563" s="391"/>
      <c r="O563" s="391"/>
      <c r="P563" s="391"/>
      <c r="Q563" s="391"/>
      <c r="R563" s="391"/>
    </row>
    <row r="564" spans="1:18">
      <c r="A564" s="978"/>
      <c r="B564" s="1009"/>
      <c r="C564" s="391"/>
      <c r="D564" s="391"/>
      <c r="E564" s="391"/>
      <c r="F564" s="391"/>
      <c r="G564" s="391"/>
      <c r="H564" s="391"/>
      <c r="I564" s="391"/>
      <c r="J564" s="1010"/>
      <c r="K564" s="978"/>
      <c r="L564" s="391"/>
      <c r="M564" s="978"/>
      <c r="N564" s="391"/>
      <c r="O564" s="391"/>
      <c r="P564" s="391"/>
      <c r="Q564" s="391"/>
      <c r="R564" s="391"/>
    </row>
    <row r="565" spans="1:18">
      <c r="A565" s="978"/>
      <c r="B565" s="1009"/>
      <c r="C565" s="391"/>
      <c r="D565" s="391"/>
      <c r="E565" s="391"/>
      <c r="F565" s="391"/>
      <c r="G565" s="391"/>
      <c r="H565" s="391"/>
      <c r="I565" s="391"/>
      <c r="J565" s="1010"/>
      <c r="K565" s="978"/>
      <c r="L565" s="391"/>
      <c r="M565" s="978"/>
      <c r="N565" s="391"/>
      <c r="O565" s="391"/>
      <c r="P565" s="391"/>
      <c r="Q565" s="391"/>
      <c r="R565" s="391"/>
    </row>
    <row r="566" spans="1:18">
      <c r="A566" s="978"/>
      <c r="B566" s="1009"/>
      <c r="C566" s="391"/>
      <c r="D566" s="391"/>
      <c r="E566" s="391"/>
      <c r="F566" s="391"/>
      <c r="G566" s="391"/>
      <c r="H566" s="391"/>
      <c r="I566" s="391"/>
      <c r="J566" s="1010"/>
      <c r="K566" s="978"/>
      <c r="L566" s="391"/>
      <c r="M566" s="978"/>
      <c r="N566" s="391"/>
      <c r="O566" s="391"/>
      <c r="P566" s="391"/>
      <c r="Q566" s="391"/>
      <c r="R566" s="391"/>
    </row>
    <row r="567" spans="1:18">
      <c r="A567" s="978"/>
      <c r="B567" s="1009"/>
      <c r="C567" s="391"/>
      <c r="D567" s="391"/>
      <c r="E567" s="391"/>
      <c r="F567" s="391"/>
      <c r="G567" s="391"/>
      <c r="H567" s="391"/>
      <c r="I567" s="391"/>
      <c r="J567" s="1010"/>
      <c r="K567" s="978"/>
      <c r="L567" s="391"/>
      <c r="M567" s="978"/>
      <c r="N567" s="391"/>
      <c r="O567" s="391"/>
      <c r="P567" s="391"/>
      <c r="Q567" s="391"/>
      <c r="R567" s="391"/>
    </row>
    <row r="568" spans="1:18">
      <c r="A568" s="978"/>
      <c r="B568" s="1009"/>
      <c r="C568" s="391"/>
      <c r="D568" s="391"/>
      <c r="E568" s="391"/>
      <c r="F568" s="391"/>
      <c r="G568" s="391"/>
      <c r="H568" s="391"/>
      <c r="I568" s="391"/>
      <c r="J568" s="1010"/>
      <c r="K568" s="978"/>
      <c r="L568" s="391"/>
      <c r="M568" s="978"/>
      <c r="N568" s="391"/>
      <c r="O568" s="391"/>
      <c r="P568" s="391"/>
      <c r="Q568" s="391"/>
      <c r="R568" s="391"/>
    </row>
    <row r="569" spans="1:18">
      <c r="A569" s="978"/>
      <c r="B569" s="1009"/>
      <c r="C569" s="391"/>
      <c r="D569" s="391"/>
      <c r="E569" s="391"/>
      <c r="F569" s="391"/>
      <c r="G569" s="391"/>
      <c r="H569" s="391"/>
      <c r="I569" s="391"/>
      <c r="J569" s="1010"/>
      <c r="K569" s="978"/>
      <c r="L569" s="391"/>
      <c r="M569" s="978"/>
      <c r="N569" s="391"/>
      <c r="O569" s="391"/>
      <c r="P569" s="391"/>
      <c r="Q569" s="391"/>
      <c r="R569" s="391"/>
    </row>
    <row r="570" spans="1:18">
      <c r="A570" s="978"/>
      <c r="B570" s="1009"/>
      <c r="C570" s="391"/>
      <c r="D570" s="391"/>
      <c r="E570" s="391"/>
      <c r="F570" s="391"/>
      <c r="G570" s="391"/>
      <c r="H570" s="391"/>
      <c r="I570" s="391"/>
      <c r="J570" s="1010"/>
      <c r="K570" s="978"/>
      <c r="L570" s="391"/>
      <c r="M570" s="978"/>
      <c r="N570" s="391"/>
      <c r="O570" s="391"/>
      <c r="P570" s="391"/>
      <c r="Q570" s="391"/>
      <c r="R570" s="391"/>
    </row>
    <row r="571" spans="1:18">
      <c r="A571" s="978"/>
      <c r="B571" s="1009"/>
      <c r="C571" s="391"/>
      <c r="D571" s="391"/>
      <c r="E571" s="391"/>
      <c r="F571" s="391"/>
      <c r="G571" s="391"/>
      <c r="H571" s="391"/>
      <c r="I571" s="391"/>
      <c r="J571" s="1010"/>
      <c r="K571" s="978"/>
      <c r="L571" s="391"/>
      <c r="M571" s="978"/>
      <c r="N571" s="391"/>
      <c r="O571" s="391"/>
      <c r="P571" s="391"/>
      <c r="Q571" s="391"/>
      <c r="R571" s="391"/>
    </row>
    <row r="572" spans="1:18">
      <c r="A572" s="978"/>
      <c r="B572" s="1009"/>
      <c r="C572" s="391"/>
      <c r="D572" s="391"/>
      <c r="E572" s="391"/>
      <c r="F572" s="391"/>
      <c r="G572" s="391"/>
      <c r="H572" s="391"/>
      <c r="I572" s="391"/>
      <c r="J572" s="1010"/>
      <c r="K572" s="978"/>
      <c r="L572" s="391"/>
      <c r="M572" s="978"/>
      <c r="N572" s="391"/>
      <c r="O572" s="391"/>
      <c r="P572" s="391"/>
      <c r="Q572" s="391"/>
      <c r="R572" s="391"/>
    </row>
    <row r="573" spans="1:18">
      <c r="A573" s="978"/>
      <c r="B573" s="1009"/>
      <c r="C573" s="391"/>
      <c r="D573" s="391"/>
      <c r="E573" s="391"/>
      <c r="F573" s="391"/>
      <c r="G573" s="391"/>
      <c r="H573" s="391"/>
      <c r="I573" s="391"/>
      <c r="J573" s="1010"/>
      <c r="K573" s="978"/>
      <c r="L573" s="391"/>
      <c r="M573" s="978"/>
      <c r="N573" s="391"/>
      <c r="O573" s="391"/>
      <c r="P573" s="391"/>
      <c r="Q573" s="391"/>
      <c r="R573" s="391"/>
    </row>
    <row r="574" spans="1:18">
      <c r="A574" s="978"/>
      <c r="B574" s="1009"/>
      <c r="C574" s="391"/>
      <c r="D574" s="391"/>
      <c r="E574" s="391"/>
      <c r="F574" s="391"/>
      <c r="G574" s="391"/>
      <c r="H574" s="391"/>
      <c r="I574" s="391"/>
      <c r="J574" s="1010"/>
      <c r="K574" s="978"/>
      <c r="L574" s="391"/>
      <c r="M574" s="978"/>
      <c r="N574" s="391"/>
      <c r="O574" s="391"/>
      <c r="P574" s="391"/>
      <c r="Q574" s="391"/>
      <c r="R574" s="391"/>
    </row>
    <row r="575" spans="1:18">
      <c r="A575" s="978"/>
      <c r="B575" s="1009"/>
      <c r="C575" s="391"/>
      <c r="D575" s="391"/>
      <c r="E575" s="391"/>
      <c r="F575" s="391"/>
      <c r="G575" s="391"/>
      <c r="H575" s="391"/>
      <c r="I575" s="391"/>
      <c r="J575" s="1010"/>
      <c r="K575" s="978"/>
      <c r="L575" s="391"/>
      <c r="M575" s="978"/>
      <c r="N575" s="391"/>
      <c r="O575" s="391"/>
      <c r="P575" s="391"/>
      <c r="Q575" s="391"/>
      <c r="R575" s="391"/>
    </row>
    <row r="576" spans="1:18">
      <c r="A576" s="978"/>
      <c r="B576" s="1009"/>
      <c r="C576" s="391"/>
      <c r="D576" s="391"/>
      <c r="E576" s="391"/>
      <c r="F576" s="391"/>
      <c r="G576" s="391"/>
      <c r="H576" s="391"/>
      <c r="I576" s="391"/>
      <c r="J576" s="1010"/>
      <c r="K576" s="978"/>
      <c r="L576" s="391"/>
      <c r="M576" s="978"/>
      <c r="N576" s="391"/>
      <c r="O576" s="391"/>
      <c r="P576" s="391"/>
      <c r="Q576" s="391"/>
      <c r="R576" s="391"/>
    </row>
    <row r="577" spans="1:18">
      <c r="A577" s="978"/>
      <c r="B577" s="1009"/>
      <c r="C577" s="391"/>
      <c r="D577" s="391"/>
      <c r="E577" s="391"/>
      <c r="F577" s="391"/>
      <c r="G577" s="391"/>
      <c r="H577" s="391"/>
      <c r="I577" s="391"/>
      <c r="J577" s="1010"/>
      <c r="K577" s="978"/>
      <c r="L577" s="391"/>
      <c r="M577" s="978"/>
      <c r="N577" s="391"/>
      <c r="O577" s="391"/>
      <c r="P577" s="391"/>
      <c r="Q577" s="391"/>
      <c r="R577" s="391"/>
    </row>
    <row r="578" spans="1:18">
      <c r="A578" s="978"/>
      <c r="B578" s="1009"/>
      <c r="C578" s="391"/>
      <c r="D578" s="391"/>
      <c r="E578" s="391"/>
      <c r="F578" s="391"/>
      <c r="G578" s="391"/>
      <c r="H578" s="391"/>
      <c r="I578" s="391"/>
      <c r="J578" s="1010"/>
      <c r="K578" s="978"/>
      <c r="L578" s="391"/>
      <c r="M578" s="978"/>
      <c r="N578" s="391"/>
      <c r="O578" s="391"/>
      <c r="P578" s="391"/>
      <c r="Q578" s="391"/>
      <c r="R578" s="391"/>
    </row>
    <row r="579" spans="1:18">
      <c r="A579" s="978"/>
      <c r="B579" s="1009"/>
      <c r="C579" s="391"/>
      <c r="D579" s="391"/>
      <c r="E579" s="391"/>
      <c r="F579" s="391"/>
      <c r="G579" s="391"/>
      <c r="H579" s="391"/>
      <c r="I579" s="391"/>
      <c r="J579" s="1010"/>
      <c r="K579" s="978"/>
      <c r="L579" s="391"/>
      <c r="M579" s="978"/>
      <c r="N579" s="391"/>
      <c r="O579" s="391"/>
      <c r="P579" s="391"/>
      <c r="Q579" s="391"/>
      <c r="R579" s="391"/>
    </row>
    <row r="580" spans="1:18">
      <c r="A580" s="978"/>
      <c r="B580" s="1009"/>
      <c r="C580" s="391"/>
      <c r="D580" s="391"/>
      <c r="E580" s="391"/>
      <c r="F580" s="391"/>
      <c r="G580" s="391"/>
      <c r="H580" s="391"/>
      <c r="I580" s="391"/>
      <c r="J580" s="1010"/>
      <c r="K580" s="978"/>
      <c r="L580" s="391"/>
      <c r="M580" s="978"/>
      <c r="N580" s="391"/>
      <c r="O580" s="391"/>
      <c r="P580" s="391"/>
      <c r="Q580" s="391"/>
      <c r="R580" s="391"/>
    </row>
    <row r="581" spans="1:18">
      <c r="A581" s="978"/>
      <c r="B581" s="1009"/>
      <c r="C581" s="391"/>
      <c r="D581" s="391"/>
      <c r="E581" s="391"/>
      <c r="F581" s="391"/>
      <c r="G581" s="391"/>
      <c r="H581" s="391"/>
      <c r="I581" s="391"/>
      <c r="J581" s="1010"/>
      <c r="K581" s="978"/>
      <c r="L581" s="391"/>
      <c r="M581" s="978"/>
      <c r="N581" s="391"/>
      <c r="O581" s="391"/>
      <c r="P581" s="391"/>
      <c r="Q581" s="391"/>
      <c r="R581" s="391"/>
    </row>
    <row r="582" spans="1:18">
      <c r="A582" s="978"/>
      <c r="B582" s="1009"/>
      <c r="C582" s="391"/>
      <c r="D582" s="391"/>
      <c r="E582" s="391"/>
      <c r="F582" s="391"/>
      <c r="G582" s="391"/>
      <c r="H582" s="391"/>
      <c r="I582" s="391"/>
      <c r="J582" s="1010"/>
      <c r="K582" s="978"/>
      <c r="L582" s="391"/>
      <c r="M582" s="978"/>
      <c r="N582" s="391"/>
      <c r="O582" s="391"/>
      <c r="P582" s="391"/>
      <c r="Q582" s="391"/>
      <c r="R582" s="391"/>
    </row>
    <row r="583" spans="1:18">
      <c r="A583" s="978"/>
      <c r="B583" s="1009"/>
      <c r="C583" s="391"/>
      <c r="D583" s="391"/>
      <c r="E583" s="391"/>
      <c r="F583" s="391"/>
      <c r="G583" s="391"/>
      <c r="H583" s="391"/>
      <c r="I583" s="391"/>
      <c r="J583" s="1010"/>
      <c r="K583" s="978"/>
      <c r="L583" s="391"/>
      <c r="M583" s="978"/>
      <c r="N583" s="391"/>
      <c r="O583" s="391"/>
      <c r="P583" s="391"/>
      <c r="Q583" s="391"/>
      <c r="R583" s="391"/>
    </row>
    <row r="584" spans="1:18">
      <c r="A584" s="978"/>
      <c r="B584" s="1009"/>
      <c r="C584" s="391"/>
      <c r="D584" s="391"/>
      <c r="E584" s="391"/>
      <c r="F584" s="391"/>
      <c r="G584" s="391"/>
      <c r="H584" s="391"/>
      <c r="I584" s="391"/>
      <c r="J584" s="1010"/>
      <c r="K584" s="978"/>
      <c r="L584" s="391"/>
      <c r="M584" s="978"/>
      <c r="N584" s="391"/>
      <c r="O584" s="391"/>
      <c r="P584" s="391"/>
      <c r="Q584" s="391"/>
      <c r="R584" s="391"/>
    </row>
    <row r="585" spans="1:18">
      <c r="A585" s="978"/>
      <c r="B585" s="1009"/>
      <c r="C585" s="391"/>
      <c r="D585" s="391"/>
      <c r="E585" s="391"/>
      <c r="F585" s="391"/>
      <c r="G585" s="391"/>
      <c r="H585" s="391"/>
      <c r="I585" s="391"/>
      <c r="J585" s="1010"/>
      <c r="K585" s="978"/>
      <c r="L585" s="391"/>
      <c r="M585" s="978"/>
      <c r="N585" s="391"/>
      <c r="O585" s="391"/>
      <c r="P585" s="391"/>
      <c r="Q585" s="391"/>
      <c r="R585" s="391"/>
    </row>
    <row r="586" spans="1:18">
      <c r="A586" s="978"/>
      <c r="B586" s="1009"/>
      <c r="C586" s="391"/>
      <c r="D586" s="391"/>
      <c r="E586" s="391"/>
      <c r="F586" s="391"/>
      <c r="G586" s="391"/>
      <c r="H586" s="391"/>
      <c r="I586" s="391"/>
      <c r="J586" s="1010"/>
      <c r="K586" s="978"/>
      <c r="L586" s="391"/>
      <c r="M586" s="978"/>
      <c r="N586" s="391"/>
      <c r="O586" s="391"/>
      <c r="P586" s="391"/>
      <c r="Q586" s="391"/>
      <c r="R586" s="391"/>
    </row>
    <row r="587" spans="1:18">
      <c r="A587" s="978"/>
      <c r="B587" s="1009"/>
      <c r="C587" s="391"/>
      <c r="D587" s="391"/>
      <c r="E587" s="391"/>
      <c r="F587" s="391"/>
      <c r="G587" s="391"/>
      <c r="H587" s="391"/>
      <c r="I587" s="391"/>
      <c r="J587" s="1010"/>
      <c r="K587" s="978"/>
      <c r="L587" s="391"/>
      <c r="M587" s="978"/>
      <c r="N587" s="391"/>
      <c r="O587" s="391"/>
      <c r="P587" s="391"/>
      <c r="Q587" s="391"/>
      <c r="R587" s="391"/>
    </row>
    <row r="588" spans="1:18">
      <c r="A588" s="978"/>
      <c r="B588" s="1009"/>
      <c r="C588" s="391"/>
      <c r="D588" s="391"/>
      <c r="E588" s="391"/>
      <c r="F588" s="391"/>
      <c r="G588" s="391"/>
      <c r="H588" s="391"/>
      <c r="I588" s="391"/>
      <c r="J588" s="1010"/>
      <c r="K588" s="978"/>
      <c r="L588" s="391"/>
      <c r="M588" s="978"/>
      <c r="N588" s="391"/>
      <c r="O588" s="391"/>
      <c r="P588" s="391"/>
      <c r="Q588" s="391"/>
      <c r="R588" s="391"/>
    </row>
    <row r="589" spans="1:18">
      <c r="A589" s="978"/>
      <c r="B589" s="1009"/>
      <c r="C589" s="391"/>
      <c r="D589" s="391"/>
      <c r="E589" s="391"/>
      <c r="F589" s="391"/>
      <c r="G589" s="391"/>
      <c r="H589" s="391"/>
      <c r="I589" s="391"/>
      <c r="J589" s="1010"/>
      <c r="K589" s="978"/>
      <c r="L589" s="391"/>
      <c r="M589" s="978"/>
      <c r="N589" s="391"/>
      <c r="O589" s="391"/>
      <c r="P589" s="391"/>
      <c r="Q589" s="391"/>
      <c r="R589" s="391"/>
    </row>
    <row r="590" spans="1:18">
      <c r="A590" s="978"/>
      <c r="B590" s="1009"/>
      <c r="C590" s="391"/>
      <c r="D590" s="391"/>
      <c r="E590" s="391"/>
      <c r="F590" s="391"/>
      <c r="G590" s="391"/>
      <c r="H590" s="391"/>
      <c r="I590" s="391"/>
      <c r="J590" s="1010"/>
      <c r="K590" s="978"/>
      <c r="L590" s="391"/>
      <c r="M590" s="978"/>
      <c r="N590" s="391"/>
      <c r="O590" s="391"/>
      <c r="P590" s="391"/>
      <c r="Q590" s="391"/>
      <c r="R590" s="391"/>
    </row>
    <row r="591" spans="1:18">
      <c r="A591" s="978"/>
      <c r="B591" s="1009"/>
      <c r="C591" s="391"/>
      <c r="D591" s="391"/>
      <c r="E591" s="391"/>
      <c r="F591" s="391"/>
      <c r="G591" s="391"/>
      <c r="H591" s="391"/>
      <c r="I591" s="391"/>
      <c r="J591" s="1010"/>
      <c r="K591" s="978"/>
      <c r="L591" s="391"/>
      <c r="M591" s="978"/>
      <c r="N591" s="391"/>
      <c r="O591" s="391"/>
      <c r="P591" s="391"/>
      <c r="Q591" s="391"/>
      <c r="R591" s="391"/>
    </row>
    <row r="592" spans="1:18">
      <c r="A592" s="978"/>
      <c r="B592" s="1009"/>
      <c r="C592" s="391"/>
      <c r="D592" s="391"/>
      <c r="E592" s="391"/>
      <c r="F592" s="391"/>
      <c r="G592" s="391"/>
      <c r="H592" s="391"/>
      <c r="I592" s="391"/>
      <c r="J592" s="1010"/>
      <c r="K592" s="978"/>
      <c r="L592" s="391"/>
      <c r="M592" s="978"/>
      <c r="N592" s="391"/>
      <c r="O592" s="391"/>
      <c r="P592" s="391"/>
      <c r="Q592" s="391"/>
      <c r="R592" s="391"/>
    </row>
    <row r="593" spans="1:18">
      <c r="A593" s="978"/>
      <c r="B593" s="1009"/>
      <c r="C593" s="391"/>
      <c r="D593" s="391"/>
      <c r="E593" s="391"/>
      <c r="F593" s="391"/>
      <c r="G593" s="391"/>
      <c r="H593" s="391"/>
      <c r="I593" s="391"/>
      <c r="J593" s="1010"/>
      <c r="K593" s="978"/>
      <c r="L593" s="391"/>
      <c r="M593" s="978"/>
      <c r="N593" s="391"/>
      <c r="O593" s="391"/>
      <c r="P593" s="391"/>
      <c r="Q593" s="391"/>
      <c r="R593" s="391"/>
    </row>
    <row r="594" spans="1:18">
      <c r="A594" s="978"/>
      <c r="B594" s="1009"/>
      <c r="C594" s="391"/>
      <c r="D594" s="391"/>
      <c r="E594" s="391"/>
      <c r="F594" s="391"/>
      <c r="G594" s="391"/>
      <c r="H594" s="391"/>
      <c r="I594" s="391"/>
      <c r="J594" s="1010"/>
      <c r="K594" s="978"/>
      <c r="L594" s="391"/>
      <c r="M594" s="978"/>
      <c r="N594" s="391"/>
      <c r="O594" s="391"/>
      <c r="P594" s="391"/>
      <c r="Q594" s="391"/>
      <c r="R594" s="391"/>
    </row>
    <row r="595" spans="1:18">
      <c r="A595" s="978"/>
      <c r="B595" s="1009"/>
      <c r="C595" s="391"/>
      <c r="D595" s="391"/>
      <c r="E595" s="391"/>
      <c r="F595" s="391"/>
      <c r="G595" s="391"/>
      <c r="H595" s="391"/>
      <c r="I595" s="391"/>
      <c r="J595" s="1010"/>
      <c r="K595" s="978"/>
      <c r="L595" s="391"/>
      <c r="M595" s="978"/>
      <c r="N595" s="391"/>
      <c r="O595" s="391"/>
      <c r="P595" s="391"/>
      <c r="Q595" s="391"/>
      <c r="R595" s="391"/>
    </row>
    <row r="596" spans="1:18">
      <c r="A596" s="978"/>
      <c r="B596" s="1009"/>
      <c r="C596" s="391"/>
      <c r="D596" s="391"/>
      <c r="E596" s="391"/>
      <c r="F596" s="391"/>
      <c r="G596" s="391"/>
      <c r="H596" s="391"/>
      <c r="I596" s="391"/>
      <c r="J596" s="1010"/>
      <c r="K596" s="978"/>
      <c r="L596" s="391"/>
      <c r="M596" s="978"/>
      <c r="N596" s="391"/>
      <c r="O596" s="391"/>
      <c r="P596" s="391"/>
      <c r="Q596" s="391"/>
      <c r="R596" s="391"/>
    </row>
    <row r="597" spans="1:18">
      <c r="A597" s="978"/>
      <c r="B597" s="1009"/>
      <c r="C597" s="391"/>
      <c r="D597" s="391"/>
      <c r="E597" s="391"/>
      <c r="F597" s="391"/>
      <c r="G597" s="391"/>
      <c r="H597" s="391"/>
      <c r="I597" s="391"/>
      <c r="J597" s="1010"/>
      <c r="K597" s="978"/>
      <c r="L597" s="391"/>
      <c r="M597" s="978"/>
      <c r="N597" s="391"/>
      <c r="O597" s="391"/>
      <c r="P597" s="391"/>
      <c r="Q597" s="391"/>
      <c r="R597" s="391"/>
    </row>
    <row r="598" spans="1:18">
      <c r="A598" s="978"/>
      <c r="B598" s="1009"/>
      <c r="C598" s="391"/>
      <c r="D598" s="391"/>
      <c r="E598" s="391"/>
      <c r="F598" s="391"/>
      <c r="G598" s="391"/>
      <c r="H598" s="391"/>
      <c r="I598" s="391"/>
      <c r="J598" s="1010"/>
      <c r="K598" s="978"/>
      <c r="L598" s="391"/>
      <c r="M598" s="978"/>
      <c r="N598" s="391"/>
      <c r="O598" s="391"/>
      <c r="P598" s="391"/>
      <c r="Q598" s="391"/>
      <c r="R598" s="391"/>
    </row>
    <row r="599" spans="1:18">
      <c r="A599" s="978"/>
      <c r="B599" s="1009"/>
      <c r="C599" s="391"/>
      <c r="D599" s="391"/>
      <c r="E599" s="391"/>
      <c r="F599" s="391"/>
      <c r="G599" s="391"/>
      <c r="H599" s="391"/>
      <c r="I599" s="391"/>
      <c r="J599" s="1010"/>
      <c r="K599" s="978"/>
      <c r="L599" s="391"/>
      <c r="M599" s="978"/>
      <c r="N599" s="391"/>
      <c r="O599" s="391"/>
      <c r="P599" s="391"/>
      <c r="Q599" s="391"/>
      <c r="R599" s="391"/>
    </row>
    <row r="600" spans="1:18">
      <c r="A600" s="978"/>
      <c r="B600" s="1009"/>
      <c r="C600" s="391"/>
      <c r="D600" s="391"/>
      <c r="E600" s="391"/>
      <c r="F600" s="391"/>
      <c r="G600" s="391"/>
      <c r="H600" s="391"/>
      <c r="I600" s="391"/>
      <c r="J600" s="1010"/>
      <c r="K600" s="978"/>
      <c r="L600" s="391"/>
      <c r="M600" s="978"/>
      <c r="N600" s="391"/>
      <c r="O600" s="391"/>
      <c r="P600" s="391"/>
      <c r="Q600" s="391"/>
      <c r="R600" s="391"/>
    </row>
    <row r="601" spans="1:18">
      <c r="A601" s="978"/>
      <c r="B601" s="1009"/>
      <c r="C601" s="391"/>
      <c r="D601" s="391"/>
      <c r="E601" s="391"/>
      <c r="F601" s="391"/>
      <c r="G601" s="391"/>
      <c r="H601" s="391"/>
      <c r="I601" s="391"/>
      <c r="J601" s="1010"/>
      <c r="K601" s="978"/>
      <c r="L601" s="391"/>
      <c r="M601" s="978"/>
      <c r="N601" s="391"/>
      <c r="O601" s="391"/>
      <c r="P601" s="391"/>
      <c r="Q601" s="391"/>
      <c r="R601" s="391"/>
    </row>
    <row r="602" spans="1:18">
      <c r="A602" s="978"/>
      <c r="B602" s="1009"/>
      <c r="C602" s="391"/>
      <c r="D602" s="391"/>
      <c r="E602" s="391"/>
      <c r="F602" s="391"/>
      <c r="G602" s="391"/>
      <c r="H602" s="391"/>
      <c r="I602" s="391"/>
      <c r="J602" s="1010"/>
      <c r="K602" s="978"/>
      <c r="L602" s="391"/>
      <c r="M602" s="978"/>
      <c r="N602" s="391"/>
      <c r="O602" s="391"/>
      <c r="P602" s="391"/>
      <c r="Q602" s="391"/>
      <c r="R602" s="391"/>
    </row>
    <row r="603" spans="1:18">
      <c r="A603" s="978"/>
      <c r="B603" s="1009"/>
      <c r="C603" s="391"/>
      <c r="D603" s="391"/>
      <c r="E603" s="391"/>
      <c r="F603" s="391"/>
      <c r="G603" s="391"/>
      <c r="H603" s="391"/>
      <c r="I603" s="391"/>
      <c r="J603" s="1010"/>
      <c r="K603" s="978"/>
      <c r="L603" s="391"/>
      <c r="M603" s="978"/>
      <c r="N603" s="391"/>
      <c r="O603" s="391"/>
      <c r="P603" s="391"/>
      <c r="Q603" s="391"/>
      <c r="R603" s="391"/>
    </row>
    <row r="604" spans="1:18">
      <c r="A604" s="978"/>
      <c r="B604" s="1009"/>
      <c r="C604" s="391"/>
      <c r="D604" s="391"/>
      <c r="E604" s="391"/>
      <c r="F604" s="391"/>
      <c r="G604" s="391"/>
      <c r="H604" s="391"/>
      <c r="I604" s="391"/>
      <c r="J604" s="1010"/>
      <c r="K604" s="978"/>
      <c r="L604" s="391"/>
      <c r="M604" s="978"/>
      <c r="N604" s="391"/>
      <c r="O604" s="391"/>
      <c r="P604" s="391"/>
      <c r="Q604" s="391"/>
      <c r="R604" s="391"/>
    </row>
    <row r="605" spans="1:18">
      <c r="A605" s="978"/>
      <c r="B605" s="1009"/>
      <c r="C605" s="391"/>
      <c r="D605" s="391"/>
      <c r="E605" s="391"/>
      <c r="F605" s="391"/>
      <c r="G605" s="391"/>
      <c r="H605" s="391"/>
      <c r="I605" s="391"/>
      <c r="J605" s="1010"/>
      <c r="K605" s="978"/>
      <c r="L605" s="391"/>
      <c r="M605" s="978"/>
      <c r="N605" s="391"/>
      <c r="O605" s="391"/>
      <c r="P605" s="391"/>
      <c r="Q605" s="391"/>
      <c r="R605" s="391"/>
    </row>
    <row r="606" spans="1:18">
      <c r="A606" s="978"/>
      <c r="B606" s="1009"/>
      <c r="C606" s="391"/>
      <c r="D606" s="391"/>
      <c r="E606" s="391"/>
      <c r="F606" s="391"/>
      <c r="G606" s="391"/>
      <c r="H606" s="391"/>
      <c r="I606" s="391"/>
      <c r="J606" s="1010"/>
      <c r="K606" s="978"/>
      <c r="L606" s="391"/>
      <c r="M606" s="978"/>
      <c r="N606" s="391"/>
      <c r="O606" s="391"/>
      <c r="P606" s="391"/>
      <c r="Q606" s="391"/>
      <c r="R606" s="391"/>
    </row>
    <row r="607" spans="1:18">
      <c r="A607" s="978"/>
      <c r="B607" s="1009"/>
      <c r="C607" s="391"/>
      <c r="D607" s="391"/>
      <c r="E607" s="391"/>
      <c r="F607" s="391"/>
      <c r="G607" s="391"/>
      <c r="H607" s="391"/>
      <c r="I607" s="391"/>
      <c r="J607" s="1010"/>
      <c r="K607" s="978"/>
      <c r="L607" s="391"/>
      <c r="M607" s="978"/>
      <c r="N607" s="391"/>
      <c r="O607" s="391"/>
      <c r="P607" s="391"/>
      <c r="Q607" s="391"/>
      <c r="R607" s="391"/>
    </row>
    <row r="608" spans="1:18">
      <c r="A608" s="978"/>
      <c r="B608" s="1009"/>
      <c r="C608" s="391"/>
      <c r="D608" s="391"/>
      <c r="E608" s="391"/>
      <c r="F608" s="391"/>
      <c r="G608" s="391"/>
      <c r="H608" s="391"/>
      <c r="I608" s="391"/>
      <c r="J608" s="1010"/>
      <c r="K608" s="978"/>
      <c r="L608" s="391"/>
      <c r="M608" s="978"/>
      <c r="N608" s="391"/>
      <c r="O608" s="391"/>
      <c r="P608" s="391"/>
      <c r="Q608" s="391"/>
      <c r="R608" s="391"/>
    </row>
    <row r="609" spans="1:18">
      <c r="A609" s="978"/>
      <c r="B609" s="1009"/>
      <c r="C609" s="391"/>
      <c r="D609" s="391"/>
      <c r="E609" s="391"/>
      <c r="F609" s="391"/>
      <c r="G609" s="391"/>
      <c r="H609" s="391"/>
      <c r="I609" s="391"/>
      <c r="J609" s="1010"/>
      <c r="K609" s="978"/>
      <c r="L609" s="391"/>
      <c r="M609" s="978"/>
      <c r="N609" s="391"/>
      <c r="O609" s="391"/>
      <c r="P609" s="391"/>
      <c r="Q609" s="391"/>
      <c r="R609" s="391"/>
    </row>
    <row r="610" spans="1:18">
      <c r="A610" s="978"/>
      <c r="B610" s="1009"/>
      <c r="C610" s="391"/>
      <c r="D610" s="391"/>
      <c r="E610" s="391"/>
      <c r="F610" s="391"/>
      <c r="G610" s="391"/>
      <c r="H610" s="391"/>
      <c r="I610" s="391"/>
      <c r="J610" s="1010"/>
      <c r="K610" s="978"/>
      <c r="L610" s="391"/>
      <c r="M610" s="978"/>
      <c r="N610" s="391"/>
      <c r="O610" s="391"/>
      <c r="P610" s="391"/>
      <c r="Q610" s="391"/>
      <c r="R610" s="391"/>
    </row>
    <row r="611" spans="1:18">
      <c r="A611" s="978"/>
      <c r="B611" s="1009"/>
      <c r="C611" s="391"/>
      <c r="D611" s="391"/>
      <c r="E611" s="391"/>
      <c r="F611" s="391"/>
      <c r="G611" s="391"/>
      <c r="H611" s="391"/>
      <c r="I611" s="391"/>
      <c r="J611" s="1010"/>
      <c r="K611" s="978"/>
      <c r="L611" s="391"/>
      <c r="M611" s="978"/>
      <c r="N611" s="391"/>
      <c r="O611" s="391"/>
      <c r="P611" s="391"/>
      <c r="Q611" s="391"/>
      <c r="R611" s="391"/>
    </row>
    <row r="612" spans="1:18">
      <c r="A612" s="978"/>
      <c r="B612" s="1009"/>
      <c r="C612" s="391"/>
      <c r="D612" s="391"/>
      <c r="E612" s="391"/>
      <c r="F612" s="391"/>
      <c r="G612" s="391"/>
      <c r="H612" s="391"/>
      <c r="I612" s="391"/>
      <c r="J612" s="1010"/>
      <c r="K612" s="978"/>
      <c r="L612" s="391"/>
      <c r="M612" s="978"/>
      <c r="N612" s="391"/>
      <c r="O612" s="391"/>
      <c r="P612" s="391"/>
      <c r="Q612" s="391"/>
      <c r="R612" s="391"/>
    </row>
    <row r="613" spans="1:18">
      <c r="A613" s="978"/>
      <c r="B613" s="1009"/>
      <c r="C613" s="391"/>
      <c r="D613" s="391"/>
      <c r="E613" s="391"/>
      <c r="F613" s="391"/>
      <c r="G613" s="391"/>
      <c r="H613" s="391"/>
      <c r="I613" s="391"/>
      <c r="J613" s="1010"/>
      <c r="K613" s="978"/>
      <c r="L613" s="391"/>
      <c r="M613" s="978"/>
      <c r="N613" s="391"/>
      <c r="O613" s="391"/>
      <c r="P613" s="391"/>
      <c r="Q613" s="391"/>
      <c r="R613" s="391"/>
    </row>
    <row r="614" spans="1:18">
      <c r="A614" s="978"/>
      <c r="B614" s="1009"/>
      <c r="C614" s="391"/>
      <c r="D614" s="391"/>
      <c r="E614" s="391"/>
      <c r="F614" s="391"/>
      <c r="G614" s="391"/>
      <c r="H614" s="391"/>
      <c r="I614" s="391"/>
      <c r="J614" s="1010"/>
      <c r="K614" s="978"/>
      <c r="L614" s="391"/>
      <c r="M614" s="978"/>
      <c r="N614" s="391"/>
      <c r="O614" s="391"/>
      <c r="P614" s="391"/>
      <c r="Q614" s="391"/>
      <c r="R614" s="391"/>
    </row>
    <row r="615" spans="1:18">
      <c r="A615" s="978"/>
      <c r="B615" s="1009"/>
      <c r="C615" s="391"/>
      <c r="D615" s="391"/>
      <c r="E615" s="391"/>
      <c r="F615" s="391"/>
      <c r="G615" s="391"/>
      <c r="H615" s="391"/>
      <c r="I615" s="391"/>
      <c r="J615" s="1010"/>
      <c r="K615" s="978"/>
      <c r="L615" s="391"/>
      <c r="M615" s="978"/>
      <c r="N615" s="391"/>
      <c r="O615" s="391"/>
      <c r="P615" s="391"/>
      <c r="Q615" s="391"/>
      <c r="R615" s="391"/>
    </row>
    <row r="616" spans="1:18">
      <c r="A616" s="978"/>
      <c r="B616" s="1009"/>
      <c r="C616" s="391"/>
      <c r="D616" s="391"/>
      <c r="E616" s="391"/>
      <c r="F616" s="391"/>
      <c r="G616" s="391"/>
      <c r="H616" s="391"/>
      <c r="I616" s="391"/>
      <c r="J616" s="1010"/>
      <c r="K616" s="978"/>
      <c r="L616" s="391"/>
      <c r="M616" s="978"/>
      <c r="N616" s="391"/>
      <c r="O616" s="391"/>
      <c r="P616" s="391"/>
      <c r="Q616" s="391"/>
      <c r="R616" s="391"/>
    </row>
    <row r="617" spans="1:18">
      <c r="A617" s="978"/>
      <c r="B617" s="1009"/>
      <c r="C617" s="391"/>
      <c r="D617" s="391"/>
      <c r="E617" s="391"/>
      <c r="F617" s="391"/>
      <c r="G617" s="391"/>
      <c r="H617" s="391"/>
      <c r="I617" s="391"/>
      <c r="J617" s="1010"/>
      <c r="K617" s="978"/>
      <c r="L617" s="391"/>
      <c r="M617" s="978"/>
      <c r="N617" s="391"/>
      <c r="O617" s="391"/>
      <c r="P617" s="391"/>
      <c r="Q617" s="391"/>
      <c r="R617" s="391"/>
    </row>
    <row r="618" spans="1:18">
      <c r="A618" s="978"/>
      <c r="B618" s="1009"/>
      <c r="C618" s="391"/>
      <c r="D618" s="391"/>
      <c r="E618" s="391"/>
      <c r="F618" s="391"/>
      <c r="G618" s="391"/>
      <c r="H618" s="391"/>
      <c r="I618" s="391"/>
      <c r="J618" s="1010"/>
      <c r="K618" s="978"/>
      <c r="L618" s="391"/>
      <c r="M618" s="978"/>
      <c r="N618" s="391"/>
      <c r="O618" s="391"/>
      <c r="P618" s="391"/>
      <c r="Q618" s="391"/>
      <c r="R618" s="391"/>
    </row>
    <row r="619" spans="1:18">
      <c r="A619" s="978"/>
      <c r="B619" s="1009"/>
      <c r="C619" s="391"/>
      <c r="D619" s="391"/>
      <c r="E619" s="391"/>
      <c r="F619" s="391"/>
      <c r="G619" s="391"/>
      <c r="H619" s="391"/>
      <c r="I619" s="391"/>
      <c r="J619" s="1010"/>
      <c r="K619" s="978"/>
      <c r="L619" s="391"/>
      <c r="M619" s="978"/>
      <c r="N619" s="391"/>
      <c r="O619" s="391"/>
      <c r="P619" s="391"/>
      <c r="Q619" s="391"/>
      <c r="R619" s="391"/>
    </row>
    <row r="620" spans="1:18">
      <c r="A620" s="978"/>
      <c r="B620" s="1009"/>
      <c r="C620" s="391"/>
      <c r="D620" s="391"/>
      <c r="E620" s="391"/>
      <c r="F620" s="391"/>
      <c r="G620" s="391"/>
      <c r="H620" s="391"/>
      <c r="I620" s="391"/>
      <c r="J620" s="1010"/>
      <c r="K620" s="978"/>
      <c r="L620" s="391"/>
      <c r="M620" s="978"/>
      <c r="N620" s="391"/>
      <c r="O620" s="391"/>
      <c r="P620" s="391"/>
      <c r="Q620" s="391"/>
      <c r="R620" s="391"/>
    </row>
    <row r="621" spans="1:18">
      <c r="A621" s="978"/>
      <c r="B621" s="1009"/>
      <c r="C621" s="391"/>
      <c r="D621" s="391"/>
      <c r="E621" s="391"/>
      <c r="F621" s="391"/>
      <c r="G621" s="391"/>
      <c r="H621" s="391"/>
      <c r="I621" s="391"/>
      <c r="J621" s="1010"/>
      <c r="K621" s="978"/>
      <c r="L621" s="391"/>
      <c r="M621" s="978"/>
      <c r="N621" s="391"/>
      <c r="O621" s="391"/>
      <c r="P621" s="391"/>
      <c r="Q621" s="391"/>
      <c r="R621" s="391"/>
    </row>
    <row r="622" spans="1:18">
      <c r="A622" s="978"/>
      <c r="B622" s="1009"/>
      <c r="C622" s="391"/>
      <c r="D622" s="391"/>
      <c r="E622" s="391"/>
      <c r="F622" s="391"/>
      <c r="G622" s="391"/>
      <c r="H622" s="391"/>
      <c r="I622" s="391"/>
      <c r="J622" s="1010"/>
      <c r="K622" s="978"/>
      <c r="L622" s="391"/>
      <c r="M622" s="978"/>
      <c r="N622" s="391"/>
      <c r="O622" s="391"/>
      <c r="P622" s="391"/>
      <c r="Q622" s="391"/>
      <c r="R622" s="391"/>
    </row>
    <row r="623" spans="1:18">
      <c r="A623" s="978"/>
      <c r="B623" s="1009"/>
      <c r="C623" s="391"/>
      <c r="D623" s="391"/>
      <c r="E623" s="391"/>
      <c r="F623" s="391"/>
      <c r="G623" s="391"/>
      <c r="H623" s="391"/>
      <c r="I623" s="391"/>
      <c r="J623" s="1010"/>
      <c r="K623" s="978"/>
      <c r="L623" s="391"/>
      <c r="M623" s="978"/>
      <c r="N623" s="391"/>
      <c r="O623" s="391"/>
      <c r="P623" s="391"/>
      <c r="Q623" s="391"/>
      <c r="R623" s="391"/>
    </row>
    <row r="624" spans="1:18">
      <c r="A624" s="978"/>
      <c r="B624" s="1009"/>
      <c r="C624" s="391"/>
      <c r="D624" s="391"/>
      <c r="E624" s="391"/>
      <c r="F624" s="391"/>
      <c r="G624" s="391"/>
      <c r="H624" s="391"/>
      <c r="I624" s="391"/>
      <c r="J624" s="1010"/>
      <c r="K624" s="978"/>
      <c r="L624" s="391"/>
      <c r="M624" s="978"/>
      <c r="N624" s="391"/>
      <c r="O624" s="391"/>
      <c r="P624" s="391"/>
      <c r="Q624" s="391"/>
      <c r="R624" s="391"/>
    </row>
    <row r="625" spans="1:18">
      <c r="A625" s="978"/>
      <c r="B625" s="1009"/>
      <c r="C625" s="391"/>
      <c r="D625" s="391"/>
      <c r="E625" s="391"/>
      <c r="F625" s="391"/>
      <c r="G625" s="391"/>
      <c r="H625" s="391"/>
      <c r="I625" s="391"/>
      <c r="J625" s="1010"/>
      <c r="K625" s="978"/>
      <c r="L625" s="391"/>
      <c r="M625" s="978"/>
      <c r="N625" s="391"/>
      <c r="O625" s="391"/>
      <c r="P625" s="391"/>
      <c r="Q625" s="391"/>
      <c r="R625" s="391"/>
    </row>
    <row r="626" spans="1:18">
      <c r="A626" s="978"/>
      <c r="B626" s="1009"/>
      <c r="C626" s="391"/>
      <c r="D626" s="391"/>
      <c r="E626" s="391"/>
      <c r="F626" s="391"/>
      <c r="G626" s="391"/>
      <c r="H626" s="391"/>
      <c r="I626" s="391"/>
      <c r="J626" s="1010"/>
      <c r="K626" s="978"/>
      <c r="L626" s="391"/>
      <c r="M626" s="978"/>
      <c r="N626" s="391"/>
      <c r="O626" s="391"/>
      <c r="P626" s="391"/>
      <c r="Q626" s="391"/>
      <c r="R626" s="391"/>
    </row>
    <row r="627" spans="1:18">
      <c r="A627" s="978"/>
      <c r="B627" s="1009"/>
      <c r="C627" s="391"/>
      <c r="D627" s="391"/>
      <c r="E627" s="391"/>
      <c r="F627" s="391"/>
      <c r="G627" s="391"/>
      <c r="H627" s="391"/>
      <c r="I627" s="391"/>
      <c r="J627" s="1010"/>
      <c r="K627" s="978"/>
      <c r="L627" s="391"/>
      <c r="M627" s="978"/>
      <c r="N627" s="391"/>
      <c r="O627" s="391"/>
      <c r="P627" s="391"/>
      <c r="Q627" s="391"/>
      <c r="R627" s="391"/>
    </row>
    <row r="628" spans="1:18">
      <c r="A628" s="978"/>
      <c r="B628" s="1009"/>
      <c r="C628" s="391"/>
      <c r="D628" s="391"/>
      <c r="E628" s="391"/>
      <c r="F628" s="391"/>
      <c r="G628" s="391"/>
      <c r="H628" s="391"/>
      <c r="I628" s="391"/>
      <c r="J628" s="1010"/>
      <c r="K628" s="978"/>
      <c r="L628" s="391"/>
      <c r="M628" s="978"/>
      <c r="N628" s="391"/>
      <c r="O628" s="391"/>
      <c r="P628" s="391"/>
      <c r="Q628" s="391"/>
      <c r="R628" s="391"/>
    </row>
    <row r="629" spans="1:18">
      <c r="A629" s="978"/>
      <c r="B629" s="1009"/>
      <c r="C629" s="391"/>
      <c r="D629" s="391"/>
      <c r="E629" s="391"/>
      <c r="F629" s="391"/>
      <c r="G629" s="391"/>
      <c r="H629" s="391"/>
      <c r="I629" s="391"/>
      <c r="J629" s="1010"/>
      <c r="K629" s="978"/>
      <c r="L629" s="391"/>
      <c r="M629" s="978"/>
      <c r="N629" s="391"/>
      <c r="O629" s="391"/>
      <c r="P629" s="391"/>
      <c r="Q629" s="391"/>
      <c r="R629" s="391"/>
    </row>
    <row r="630" spans="1:18">
      <c r="A630" s="978"/>
      <c r="B630" s="1009"/>
      <c r="C630" s="391"/>
      <c r="D630" s="391"/>
      <c r="E630" s="391"/>
      <c r="F630" s="391"/>
      <c r="G630" s="391"/>
      <c r="H630" s="391"/>
      <c r="I630" s="391"/>
      <c r="J630" s="1010"/>
      <c r="K630" s="978"/>
      <c r="L630" s="391"/>
      <c r="M630" s="978"/>
      <c r="N630" s="391"/>
      <c r="O630" s="391"/>
      <c r="P630" s="391"/>
      <c r="Q630" s="391"/>
      <c r="R630" s="391"/>
    </row>
    <row r="631" spans="1:18">
      <c r="A631" s="978"/>
      <c r="B631" s="1009"/>
      <c r="C631" s="391"/>
      <c r="D631" s="391"/>
      <c r="E631" s="391"/>
      <c r="F631" s="391"/>
      <c r="G631" s="391"/>
      <c r="H631" s="391"/>
      <c r="I631" s="391"/>
      <c r="J631" s="1010"/>
      <c r="K631" s="978"/>
      <c r="L631" s="391"/>
      <c r="M631" s="978"/>
      <c r="N631" s="391"/>
      <c r="O631" s="391"/>
      <c r="P631" s="391"/>
      <c r="Q631" s="391"/>
      <c r="R631" s="391"/>
    </row>
    <row r="632" spans="1:18">
      <c r="A632" s="978"/>
      <c r="B632" s="1009"/>
      <c r="C632" s="391"/>
      <c r="D632" s="391"/>
      <c r="E632" s="391"/>
      <c r="F632" s="391"/>
      <c r="G632" s="391"/>
      <c r="H632" s="391"/>
      <c r="I632" s="391"/>
      <c r="J632" s="1010"/>
      <c r="K632" s="978"/>
      <c r="L632" s="391"/>
      <c r="M632" s="978"/>
      <c r="N632" s="391"/>
      <c r="O632" s="391"/>
      <c r="P632" s="391"/>
      <c r="Q632" s="391"/>
      <c r="R632" s="391"/>
    </row>
    <row r="633" spans="1:18">
      <c r="A633" s="978"/>
      <c r="B633" s="1009"/>
      <c r="C633" s="391"/>
      <c r="D633" s="391"/>
      <c r="E633" s="391"/>
      <c r="F633" s="391"/>
      <c r="G633" s="391"/>
      <c r="H633" s="391"/>
      <c r="I633" s="391"/>
      <c r="J633" s="1010"/>
      <c r="K633" s="978"/>
      <c r="L633" s="391"/>
      <c r="M633" s="978"/>
      <c r="N633" s="391"/>
      <c r="O633" s="391"/>
      <c r="P633" s="391"/>
      <c r="Q633" s="391"/>
      <c r="R633" s="391"/>
    </row>
    <row r="634" spans="1:18">
      <c r="A634" s="978"/>
      <c r="B634" s="1009"/>
      <c r="C634" s="391"/>
      <c r="D634" s="391"/>
      <c r="E634" s="391"/>
      <c r="F634" s="391"/>
      <c r="G634" s="391"/>
      <c r="H634" s="391"/>
      <c r="I634" s="391"/>
      <c r="J634" s="1010"/>
      <c r="K634" s="978"/>
      <c r="L634" s="391"/>
      <c r="M634" s="978"/>
      <c r="N634" s="391"/>
      <c r="O634" s="391"/>
      <c r="P634" s="391"/>
      <c r="Q634" s="391"/>
      <c r="R634" s="391"/>
    </row>
    <row r="635" spans="1:18">
      <c r="A635" s="978"/>
      <c r="B635" s="1009"/>
      <c r="C635" s="391"/>
      <c r="D635" s="391"/>
      <c r="E635" s="391"/>
      <c r="F635" s="391"/>
      <c r="G635" s="391"/>
      <c r="H635" s="391"/>
      <c r="I635" s="391"/>
      <c r="J635" s="1010"/>
      <c r="K635" s="978"/>
      <c r="L635" s="391"/>
      <c r="M635" s="978"/>
      <c r="N635" s="391"/>
      <c r="O635" s="391"/>
      <c r="P635" s="391"/>
      <c r="Q635" s="391"/>
      <c r="R635" s="391"/>
    </row>
    <row r="636" spans="1:18">
      <c r="A636" s="978"/>
      <c r="B636" s="1009"/>
      <c r="C636" s="391"/>
      <c r="D636" s="391"/>
      <c r="E636" s="391"/>
      <c r="F636" s="391"/>
      <c r="G636" s="391"/>
      <c r="H636" s="391"/>
      <c r="I636" s="391"/>
      <c r="J636" s="1010"/>
      <c r="K636" s="978"/>
      <c r="L636" s="391"/>
      <c r="M636" s="978"/>
      <c r="N636" s="391"/>
      <c r="O636" s="391"/>
      <c r="P636" s="391"/>
      <c r="Q636" s="391"/>
      <c r="R636" s="391"/>
    </row>
    <row r="637" spans="1:18">
      <c r="A637" s="978"/>
      <c r="B637" s="1009"/>
      <c r="C637" s="391"/>
      <c r="D637" s="391"/>
      <c r="E637" s="391"/>
      <c r="F637" s="391"/>
      <c r="G637" s="391"/>
      <c r="H637" s="391"/>
      <c r="I637" s="391"/>
      <c r="J637" s="1010"/>
      <c r="K637" s="978"/>
      <c r="L637" s="391"/>
      <c r="M637" s="978"/>
      <c r="N637" s="391"/>
      <c r="O637" s="391"/>
      <c r="P637" s="391"/>
      <c r="Q637" s="391"/>
      <c r="R637" s="391"/>
    </row>
    <row r="638" spans="1:18">
      <c r="A638" s="978"/>
      <c r="B638" s="1009"/>
      <c r="C638" s="391"/>
      <c r="D638" s="391"/>
      <c r="E638" s="391"/>
      <c r="F638" s="391"/>
      <c r="G638" s="391"/>
      <c r="H638" s="391"/>
      <c r="I638" s="391"/>
      <c r="J638" s="1010"/>
      <c r="K638" s="978"/>
      <c r="L638" s="391"/>
      <c r="M638" s="978"/>
      <c r="N638" s="391"/>
      <c r="O638" s="391"/>
      <c r="P638" s="391"/>
      <c r="Q638" s="391"/>
      <c r="R638" s="391"/>
    </row>
    <row r="639" spans="1:18">
      <c r="A639" s="978"/>
      <c r="B639" s="1009"/>
      <c r="C639" s="391"/>
      <c r="D639" s="391"/>
      <c r="E639" s="391"/>
      <c r="F639" s="391"/>
      <c r="G639" s="391"/>
      <c r="H639" s="391"/>
      <c r="I639" s="391"/>
      <c r="J639" s="1010"/>
      <c r="K639" s="978"/>
      <c r="L639" s="391"/>
      <c r="M639" s="978"/>
      <c r="N639" s="391"/>
      <c r="O639" s="391"/>
      <c r="P639" s="391"/>
      <c r="Q639" s="391"/>
      <c r="R639" s="391"/>
    </row>
    <row r="640" spans="1:18">
      <c r="A640" s="978"/>
      <c r="B640" s="1009"/>
      <c r="C640" s="391"/>
      <c r="D640" s="391"/>
      <c r="E640" s="391"/>
      <c r="F640" s="391"/>
      <c r="G640" s="391"/>
      <c r="H640" s="391"/>
      <c r="I640" s="391"/>
      <c r="J640" s="1010"/>
      <c r="K640" s="978"/>
      <c r="L640" s="391"/>
      <c r="M640" s="978"/>
      <c r="N640" s="391"/>
      <c r="O640" s="391"/>
      <c r="P640" s="391"/>
      <c r="Q640" s="391"/>
      <c r="R640" s="391"/>
    </row>
    <row r="641" spans="1:18">
      <c r="A641" s="978"/>
      <c r="B641" s="1009"/>
      <c r="C641" s="391"/>
      <c r="D641" s="391"/>
      <c r="E641" s="391"/>
      <c r="F641" s="391"/>
      <c r="G641" s="391"/>
      <c r="H641" s="391"/>
      <c r="I641" s="391"/>
      <c r="J641" s="1010"/>
      <c r="K641" s="978"/>
      <c r="L641" s="391"/>
      <c r="M641" s="978"/>
      <c r="N641" s="391"/>
      <c r="O641" s="391"/>
      <c r="P641" s="391"/>
      <c r="Q641" s="391"/>
      <c r="R641" s="391"/>
    </row>
    <row r="642" spans="1:18">
      <c r="A642" s="978"/>
      <c r="B642" s="1009"/>
      <c r="C642" s="391"/>
      <c r="D642" s="391"/>
      <c r="E642" s="391"/>
      <c r="F642" s="391"/>
      <c r="G642" s="391"/>
      <c r="H642" s="391"/>
      <c r="I642" s="391"/>
      <c r="J642" s="1010"/>
      <c r="K642" s="978"/>
      <c r="L642" s="391"/>
      <c r="M642" s="978"/>
      <c r="N642" s="391"/>
      <c r="O642" s="391"/>
      <c r="P642" s="391"/>
      <c r="Q642" s="391"/>
      <c r="R642" s="391"/>
    </row>
    <row r="643" spans="1:18">
      <c r="A643" s="978"/>
      <c r="B643" s="1009"/>
      <c r="C643" s="391"/>
      <c r="D643" s="391"/>
      <c r="E643" s="391"/>
      <c r="F643" s="391"/>
      <c r="G643" s="391"/>
      <c r="H643" s="391"/>
      <c r="I643" s="391"/>
      <c r="J643" s="1010"/>
      <c r="K643" s="978"/>
      <c r="L643" s="391"/>
      <c r="M643" s="978"/>
      <c r="N643" s="391"/>
      <c r="O643" s="391"/>
      <c r="P643" s="391"/>
      <c r="Q643" s="391"/>
      <c r="R643" s="391"/>
    </row>
    <row r="644" spans="1:18">
      <c r="A644" s="978"/>
      <c r="B644" s="1009"/>
      <c r="C644" s="391"/>
      <c r="D644" s="391"/>
      <c r="E644" s="391"/>
      <c r="F644" s="391"/>
      <c r="G644" s="391"/>
      <c r="H644" s="391"/>
      <c r="I644" s="391"/>
      <c r="J644" s="1010"/>
      <c r="K644" s="978"/>
      <c r="L644" s="391"/>
      <c r="M644" s="978"/>
      <c r="N644" s="391"/>
      <c r="O644" s="391"/>
      <c r="P644" s="391"/>
      <c r="Q644" s="391"/>
      <c r="R644" s="391"/>
    </row>
    <row r="645" spans="1:18">
      <c r="A645" s="978"/>
      <c r="B645" s="1009"/>
      <c r="C645" s="391"/>
      <c r="D645" s="391"/>
      <c r="E645" s="391"/>
      <c r="F645" s="391"/>
      <c r="G645" s="391"/>
      <c r="H645" s="391"/>
      <c r="I645" s="391"/>
      <c r="J645" s="1010"/>
      <c r="K645" s="978"/>
      <c r="L645" s="391"/>
      <c r="M645" s="978"/>
      <c r="N645" s="391"/>
      <c r="O645" s="391"/>
      <c r="P645" s="391"/>
      <c r="Q645" s="391"/>
      <c r="R645" s="391"/>
    </row>
    <row r="646" spans="1:18">
      <c r="A646" s="978"/>
      <c r="B646" s="1009"/>
      <c r="C646" s="391"/>
      <c r="D646" s="391"/>
      <c r="E646" s="391"/>
      <c r="F646" s="391"/>
      <c r="G646" s="391"/>
      <c r="H646" s="391"/>
      <c r="I646" s="391"/>
      <c r="J646" s="1010"/>
      <c r="K646" s="978"/>
      <c r="L646" s="391"/>
      <c r="M646" s="978"/>
      <c r="N646" s="391"/>
      <c r="O646" s="391"/>
      <c r="P646" s="391"/>
      <c r="Q646" s="391"/>
      <c r="R646" s="391"/>
    </row>
    <row r="647" spans="1:18">
      <c r="A647" s="978"/>
      <c r="B647" s="1009"/>
      <c r="C647" s="391"/>
      <c r="D647" s="391"/>
      <c r="E647" s="391"/>
      <c r="F647" s="391"/>
      <c r="G647" s="391"/>
      <c r="H647" s="391"/>
      <c r="I647" s="391"/>
      <c r="J647" s="1010"/>
      <c r="K647" s="978"/>
      <c r="L647" s="391"/>
      <c r="M647" s="978"/>
      <c r="N647" s="391"/>
      <c r="O647" s="391"/>
      <c r="P647" s="391"/>
      <c r="Q647" s="391"/>
      <c r="R647" s="391"/>
    </row>
    <row r="648" spans="1:18">
      <c r="A648" s="978"/>
      <c r="B648" s="1009"/>
      <c r="C648" s="391"/>
      <c r="D648" s="391"/>
      <c r="E648" s="391"/>
      <c r="F648" s="391"/>
      <c r="G648" s="391"/>
      <c r="H648" s="391"/>
      <c r="I648" s="391"/>
      <c r="J648" s="1010"/>
      <c r="K648" s="978"/>
      <c r="L648" s="391"/>
      <c r="M648" s="978"/>
      <c r="N648" s="391"/>
      <c r="O648" s="391"/>
      <c r="P648" s="391"/>
      <c r="Q648" s="391"/>
      <c r="R648" s="391"/>
    </row>
    <row r="649" spans="1:18">
      <c r="A649" s="978"/>
      <c r="B649" s="1009"/>
      <c r="C649" s="391"/>
      <c r="D649" s="391"/>
      <c r="E649" s="391"/>
      <c r="F649" s="391"/>
      <c r="G649" s="391"/>
      <c r="H649" s="391"/>
      <c r="I649" s="391"/>
      <c r="J649" s="1010"/>
      <c r="K649" s="978"/>
      <c r="L649" s="391"/>
      <c r="M649" s="978"/>
      <c r="N649" s="391"/>
      <c r="O649" s="391"/>
      <c r="P649" s="391"/>
      <c r="Q649" s="391"/>
      <c r="R649" s="391"/>
    </row>
    <row r="650" spans="1:18">
      <c r="A650" s="978"/>
      <c r="B650" s="1009"/>
      <c r="C650" s="391"/>
      <c r="D650" s="391"/>
      <c r="E650" s="391"/>
      <c r="F650" s="391"/>
      <c r="G650" s="391"/>
      <c r="H650" s="391"/>
      <c r="I650" s="391"/>
      <c r="J650" s="1010"/>
      <c r="K650" s="978"/>
      <c r="L650" s="391"/>
      <c r="M650" s="978"/>
      <c r="N650" s="391"/>
      <c r="O650" s="391"/>
      <c r="P650" s="391"/>
      <c r="Q650" s="391"/>
      <c r="R650" s="391"/>
    </row>
    <row r="651" spans="1:18">
      <c r="A651" s="978"/>
      <c r="B651" s="1009"/>
      <c r="C651" s="391"/>
      <c r="D651" s="391"/>
      <c r="E651" s="391"/>
      <c r="F651" s="391"/>
      <c r="G651" s="391"/>
      <c r="H651" s="391"/>
      <c r="I651" s="391"/>
      <c r="J651" s="1010"/>
      <c r="K651" s="978"/>
      <c r="L651" s="391"/>
      <c r="M651" s="978"/>
      <c r="N651" s="391"/>
      <c r="O651" s="391"/>
      <c r="P651" s="391"/>
      <c r="Q651" s="391"/>
      <c r="R651" s="391"/>
    </row>
    <row r="652" spans="1:18">
      <c r="A652" s="978"/>
      <c r="B652" s="1009"/>
      <c r="C652" s="391"/>
      <c r="D652" s="391"/>
      <c r="E652" s="391"/>
      <c r="F652" s="391"/>
      <c r="G652" s="391"/>
      <c r="H652" s="391"/>
      <c r="I652" s="391"/>
      <c r="J652" s="1010"/>
      <c r="K652" s="978"/>
      <c r="L652" s="391"/>
      <c r="M652" s="978"/>
      <c r="N652" s="391"/>
      <c r="O652" s="391"/>
      <c r="P652" s="391"/>
      <c r="Q652" s="391"/>
      <c r="R652" s="391"/>
    </row>
    <row r="653" spans="1:18">
      <c r="A653" s="978"/>
      <c r="B653" s="1009"/>
      <c r="C653" s="391"/>
      <c r="D653" s="391"/>
      <c r="E653" s="391"/>
      <c r="F653" s="391"/>
      <c r="G653" s="391"/>
      <c r="H653" s="391"/>
      <c r="I653" s="391"/>
      <c r="J653" s="1010"/>
      <c r="K653" s="978"/>
      <c r="L653" s="391"/>
      <c r="M653" s="978"/>
      <c r="N653" s="391"/>
      <c r="O653" s="391"/>
      <c r="P653" s="391"/>
      <c r="Q653" s="391"/>
      <c r="R653" s="391"/>
    </row>
    <row r="654" spans="1:18">
      <c r="A654" s="978"/>
      <c r="B654" s="1009"/>
      <c r="C654" s="391"/>
      <c r="D654" s="391"/>
      <c r="E654" s="391"/>
      <c r="F654" s="391"/>
      <c r="G654" s="391"/>
      <c r="H654" s="391"/>
      <c r="I654" s="391"/>
      <c r="J654" s="1010"/>
      <c r="K654" s="978"/>
      <c r="L654" s="391"/>
      <c r="M654" s="978"/>
      <c r="N654" s="391"/>
      <c r="O654" s="391"/>
      <c r="P654" s="391"/>
      <c r="Q654" s="391"/>
      <c r="R654" s="391"/>
    </row>
    <row r="655" spans="1:18">
      <c r="A655" s="978"/>
      <c r="B655" s="1009"/>
      <c r="C655" s="391"/>
      <c r="D655" s="391"/>
      <c r="E655" s="391"/>
      <c r="F655" s="391"/>
      <c r="G655" s="391"/>
      <c r="H655" s="391"/>
      <c r="I655" s="391"/>
      <c r="J655" s="1010"/>
      <c r="K655" s="978"/>
      <c r="L655" s="391"/>
      <c r="M655" s="978"/>
      <c r="N655" s="391"/>
      <c r="O655" s="391"/>
      <c r="P655" s="391"/>
      <c r="Q655" s="391"/>
      <c r="R655" s="391"/>
    </row>
    <row r="656" spans="1:18">
      <c r="A656" s="978"/>
      <c r="B656" s="1009"/>
      <c r="C656" s="391"/>
      <c r="D656" s="391"/>
      <c r="E656" s="391"/>
      <c r="F656" s="391"/>
      <c r="G656" s="391"/>
      <c r="H656" s="391"/>
      <c r="I656" s="391"/>
      <c r="J656" s="1010"/>
      <c r="K656" s="978"/>
      <c r="L656" s="391"/>
      <c r="M656" s="978"/>
      <c r="N656" s="391"/>
      <c r="O656" s="391"/>
      <c r="P656" s="391"/>
      <c r="Q656" s="391"/>
      <c r="R656" s="391"/>
    </row>
    <row r="657" spans="1:18">
      <c r="A657" s="978"/>
      <c r="B657" s="1009"/>
      <c r="C657" s="391"/>
      <c r="D657" s="391"/>
      <c r="E657" s="391"/>
      <c r="F657" s="391"/>
      <c r="G657" s="391"/>
      <c r="H657" s="391"/>
      <c r="I657" s="391"/>
      <c r="J657" s="1010"/>
      <c r="K657" s="978"/>
      <c r="L657" s="391"/>
      <c r="M657" s="978"/>
      <c r="N657" s="391"/>
      <c r="O657" s="391"/>
      <c r="P657" s="391"/>
      <c r="Q657" s="391"/>
      <c r="R657" s="391"/>
    </row>
    <row r="658" spans="1:18">
      <c r="A658" s="978"/>
      <c r="B658" s="1009"/>
      <c r="C658" s="391"/>
      <c r="D658" s="391"/>
      <c r="E658" s="391"/>
      <c r="F658" s="391"/>
      <c r="G658" s="391"/>
      <c r="H658" s="391"/>
      <c r="I658" s="391"/>
      <c r="J658" s="1010"/>
      <c r="K658" s="978"/>
      <c r="L658" s="391"/>
      <c r="M658" s="978"/>
      <c r="N658" s="391"/>
      <c r="O658" s="391"/>
      <c r="P658" s="391"/>
      <c r="Q658" s="391"/>
      <c r="R658" s="391"/>
    </row>
    <row r="659" spans="1:18">
      <c r="A659" s="978"/>
      <c r="B659" s="1009"/>
      <c r="C659" s="391"/>
      <c r="D659" s="391"/>
      <c r="E659" s="391"/>
      <c r="F659" s="391"/>
      <c r="G659" s="391"/>
      <c r="H659" s="391"/>
      <c r="I659" s="391"/>
      <c r="J659" s="1010"/>
      <c r="K659" s="978"/>
      <c r="L659" s="391"/>
      <c r="M659" s="978"/>
      <c r="N659" s="391"/>
      <c r="O659" s="391"/>
      <c r="P659" s="391"/>
      <c r="Q659" s="391"/>
      <c r="R659" s="391"/>
    </row>
    <row r="660" spans="1:18">
      <c r="A660" s="978"/>
      <c r="B660" s="1009"/>
      <c r="C660" s="391"/>
      <c r="D660" s="391"/>
      <c r="E660" s="391"/>
      <c r="F660" s="391"/>
      <c r="G660" s="391"/>
      <c r="H660" s="391"/>
      <c r="I660" s="391"/>
      <c r="J660" s="1010"/>
      <c r="K660" s="978"/>
      <c r="L660" s="391"/>
      <c r="M660" s="978"/>
      <c r="N660" s="391"/>
      <c r="O660" s="391"/>
      <c r="P660" s="391"/>
      <c r="Q660" s="391"/>
      <c r="R660" s="391"/>
    </row>
    <row r="661" spans="1:18">
      <c r="A661" s="978"/>
      <c r="B661" s="1009"/>
      <c r="C661" s="391"/>
      <c r="D661" s="391"/>
      <c r="E661" s="391"/>
      <c r="F661" s="391"/>
      <c r="G661" s="391"/>
      <c r="H661" s="391"/>
      <c r="I661" s="391"/>
      <c r="J661" s="1010"/>
      <c r="K661" s="978"/>
      <c r="L661" s="391"/>
      <c r="M661" s="978"/>
      <c r="N661" s="391"/>
      <c r="O661" s="391"/>
      <c r="P661" s="391"/>
      <c r="Q661" s="391"/>
      <c r="R661" s="391"/>
    </row>
    <row r="662" spans="1:18">
      <c r="A662" s="978"/>
      <c r="B662" s="1009"/>
      <c r="C662" s="391"/>
      <c r="D662" s="391"/>
      <c r="E662" s="391"/>
      <c r="F662" s="391"/>
      <c r="G662" s="391"/>
      <c r="H662" s="391"/>
      <c r="I662" s="391"/>
      <c r="J662" s="1010"/>
      <c r="K662" s="978"/>
      <c r="L662" s="391"/>
      <c r="M662" s="978"/>
      <c r="N662" s="391"/>
      <c r="O662" s="391"/>
      <c r="P662" s="391"/>
      <c r="Q662" s="391"/>
      <c r="R662" s="391"/>
    </row>
    <row r="663" spans="1:18">
      <c r="A663" s="978"/>
      <c r="B663" s="1009"/>
      <c r="C663" s="391"/>
      <c r="D663" s="391"/>
      <c r="E663" s="391"/>
      <c r="F663" s="391"/>
      <c r="G663" s="391"/>
      <c r="H663" s="391"/>
      <c r="I663" s="391"/>
      <c r="J663" s="1010"/>
      <c r="K663" s="978"/>
      <c r="L663" s="391"/>
      <c r="M663" s="978"/>
      <c r="N663" s="391"/>
      <c r="O663" s="391"/>
      <c r="P663" s="391"/>
      <c r="Q663" s="391"/>
      <c r="R663" s="391"/>
    </row>
    <row r="664" spans="1:18">
      <c r="A664" s="978"/>
      <c r="B664" s="1009"/>
      <c r="C664" s="391"/>
      <c r="D664" s="391"/>
      <c r="E664" s="391"/>
      <c r="F664" s="391"/>
      <c r="G664" s="391"/>
      <c r="H664" s="391"/>
      <c r="I664" s="391"/>
      <c r="J664" s="1010"/>
      <c r="K664" s="978"/>
      <c r="L664" s="391"/>
      <c r="M664" s="978"/>
      <c r="N664" s="391"/>
      <c r="O664" s="391"/>
      <c r="P664" s="391"/>
      <c r="Q664" s="391"/>
      <c r="R664" s="391"/>
    </row>
    <row r="665" spans="1:18">
      <c r="A665" s="978"/>
      <c r="B665" s="1009"/>
      <c r="C665" s="391"/>
      <c r="D665" s="391"/>
      <c r="E665" s="391"/>
      <c r="F665" s="391"/>
      <c r="G665" s="391"/>
      <c r="H665" s="391"/>
      <c r="I665" s="391"/>
      <c r="J665" s="1010"/>
      <c r="K665" s="978"/>
      <c r="L665" s="391"/>
      <c r="M665" s="978"/>
      <c r="N665" s="391"/>
      <c r="O665" s="391"/>
      <c r="P665" s="391"/>
      <c r="Q665" s="391"/>
      <c r="R665" s="391"/>
    </row>
    <row r="666" spans="1:18">
      <c r="A666" s="978"/>
      <c r="B666" s="1009"/>
      <c r="C666" s="391"/>
      <c r="D666" s="391"/>
      <c r="E666" s="391"/>
      <c r="F666" s="391"/>
      <c r="G666" s="391"/>
      <c r="H666" s="391"/>
      <c r="I666" s="391"/>
      <c r="J666" s="1010"/>
      <c r="K666" s="978"/>
      <c r="L666" s="391"/>
      <c r="M666" s="978"/>
      <c r="N666" s="391"/>
      <c r="O666" s="391"/>
      <c r="P666" s="391"/>
      <c r="Q666" s="391"/>
      <c r="R666" s="391"/>
    </row>
    <row r="667" spans="1:18">
      <c r="A667" s="978"/>
      <c r="B667" s="1009"/>
      <c r="C667" s="391"/>
      <c r="D667" s="391"/>
      <c r="E667" s="391"/>
      <c r="F667" s="391"/>
      <c r="G667" s="391"/>
      <c r="H667" s="391"/>
      <c r="I667" s="391"/>
      <c r="J667" s="1010"/>
      <c r="K667" s="978"/>
      <c r="L667" s="391"/>
      <c r="M667" s="978"/>
      <c r="N667" s="391"/>
      <c r="O667" s="391"/>
      <c r="P667" s="391"/>
      <c r="Q667" s="391"/>
      <c r="R667" s="391"/>
    </row>
    <row r="668" spans="1:18">
      <c r="A668" s="978"/>
      <c r="B668" s="1009"/>
      <c r="C668" s="391"/>
      <c r="D668" s="391"/>
      <c r="E668" s="391"/>
      <c r="F668" s="391"/>
      <c r="G668" s="391"/>
      <c r="H668" s="391"/>
      <c r="I668" s="391"/>
      <c r="J668" s="1010"/>
      <c r="K668" s="978"/>
      <c r="L668" s="391"/>
      <c r="M668" s="978"/>
      <c r="N668" s="391"/>
      <c r="O668" s="391"/>
      <c r="P668" s="391"/>
      <c r="Q668" s="391"/>
      <c r="R668" s="391"/>
    </row>
    <row r="669" spans="1:18">
      <c r="A669" s="978"/>
      <c r="B669" s="1009"/>
      <c r="C669" s="391"/>
      <c r="D669" s="391"/>
      <c r="E669" s="391"/>
      <c r="F669" s="391"/>
      <c r="G669" s="391"/>
      <c r="H669" s="391"/>
      <c r="I669" s="391"/>
      <c r="J669" s="1010"/>
      <c r="K669" s="978"/>
      <c r="L669" s="391"/>
      <c r="M669" s="978"/>
      <c r="N669" s="391"/>
      <c r="O669" s="391"/>
      <c r="P669" s="391"/>
      <c r="Q669" s="391"/>
      <c r="R669" s="391"/>
    </row>
    <row r="670" spans="1:18">
      <c r="A670" s="978"/>
      <c r="B670" s="1009"/>
      <c r="C670" s="391"/>
      <c r="D670" s="391"/>
      <c r="E670" s="391"/>
      <c r="F670" s="391"/>
      <c r="G670" s="391"/>
      <c r="H670" s="391"/>
      <c r="I670" s="391"/>
      <c r="J670" s="1010"/>
      <c r="K670" s="978"/>
      <c r="L670" s="391"/>
      <c r="M670" s="978"/>
      <c r="N670" s="391"/>
      <c r="O670" s="391"/>
      <c r="P670" s="391"/>
      <c r="Q670" s="391"/>
      <c r="R670" s="391"/>
    </row>
    <row r="671" spans="1:18">
      <c r="A671" s="978"/>
      <c r="B671" s="1009"/>
      <c r="C671" s="391"/>
      <c r="D671" s="391"/>
      <c r="E671" s="391"/>
      <c r="F671" s="391"/>
      <c r="G671" s="391"/>
      <c r="H671" s="391"/>
      <c r="I671" s="391"/>
      <c r="J671" s="1010"/>
      <c r="K671" s="978"/>
      <c r="L671" s="391"/>
      <c r="M671" s="978"/>
      <c r="N671" s="391"/>
      <c r="O671" s="391"/>
      <c r="P671" s="391"/>
      <c r="Q671" s="391"/>
      <c r="R671" s="391"/>
    </row>
    <row r="672" spans="1:18">
      <c r="A672" s="978"/>
      <c r="B672" s="1009"/>
      <c r="C672" s="391"/>
      <c r="D672" s="391"/>
      <c r="E672" s="391"/>
      <c r="F672" s="391"/>
      <c r="G672" s="391"/>
      <c r="H672" s="391"/>
      <c r="I672" s="391"/>
      <c r="J672" s="1010"/>
      <c r="K672" s="978"/>
      <c r="L672" s="391"/>
      <c r="M672" s="978"/>
      <c r="N672" s="391"/>
      <c r="O672" s="391"/>
      <c r="P672" s="391"/>
      <c r="Q672" s="391"/>
      <c r="R672" s="391"/>
    </row>
    <row r="673" spans="1:18">
      <c r="A673" s="978"/>
      <c r="B673" s="1009"/>
      <c r="C673" s="391"/>
      <c r="D673" s="391"/>
      <c r="E673" s="391"/>
      <c r="F673" s="391"/>
      <c r="G673" s="391"/>
      <c r="H673" s="391"/>
      <c r="I673" s="391"/>
      <c r="J673" s="1010"/>
      <c r="K673" s="978"/>
      <c r="L673" s="391"/>
      <c r="M673" s="978"/>
      <c r="N673" s="391"/>
      <c r="O673" s="391"/>
      <c r="P673" s="391"/>
      <c r="Q673" s="391"/>
      <c r="R673" s="391"/>
    </row>
    <row r="674" spans="1:18">
      <c r="A674" s="978"/>
      <c r="B674" s="1009"/>
      <c r="C674" s="391"/>
      <c r="D674" s="391"/>
      <c r="E674" s="391"/>
      <c r="F674" s="391"/>
      <c r="G674" s="391"/>
      <c r="H674" s="391"/>
      <c r="I674" s="391"/>
      <c r="J674" s="1010"/>
      <c r="K674" s="978"/>
      <c r="L674" s="391"/>
      <c r="M674" s="978"/>
      <c r="N674" s="391"/>
      <c r="O674" s="391"/>
      <c r="P674" s="391"/>
      <c r="Q674" s="391"/>
      <c r="R674" s="391"/>
    </row>
    <row r="675" spans="1:18">
      <c r="A675" s="978"/>
      <c r="B675" s="1009"/>
      <c r="C675" s="391"/>
      <c r="D675" s="391"/>
      <c r="E675" s="391"/>
      <c r="F675" s="391"/>
      <c r="G675" s="391"/>
      <c r="H675" s="391"/>
      <c r="I675" s="391"/>
      <c r="J675" s="1010"/>
      <c r="K675" s="978"/>
      <c r="L675" s="391"/>
      <c r="M675" s="978"/>
      <c r="N675" s="391"/>
      <c r="O675" s="391"/>
      <c r="P675" s="391"/>
      <c r="Q675" s="391"/>
      <c r="R675" s="391"/>
    </row>
    <row r="676" spans="1:18">
      <c r="A676" s="978"/>
      <c r="B676" s="1009"/>
      <c r="C676" s="391"/>
      <c r="D676" s="391"/>
      <c r="E676" s="391"/>
      <c r="F676" s="391"/>
      <c r="G676" s="391"/>
      <c r="H676" s="391"/>
      <c r="I676" s="391"/>
      <c r="J676" s="1010"/>
      <c r="K676" s="978"/>
      <c r="L676" s="391"/>
      <c r="M676" s="978"/>
      <c r="N676" s="391"/>
      <c r="O676" s="391"/>
      <c r="P676" s="391"/>
      <c r="Q676" s="391"/>
      <c r="R676" s="391"/>
    </row>
    <row r="677" spans="1:18">
      <c r="A677" s="978"/>
      <c r="B677" s="1009"/>
      <c r="C677" s="391"/>
      <c r="D677" s="391"/>
      <c r="E677" s="391"/>
      <c r="F677" s="391"/>
      <c r="G677" s="391"/>
      <c r="H677" s="391"/>
      <c r="I677" s="391"/>
      <c r="J677" s="1010"/>
      <c r="K677" s="978"/>
      <c r="L677" s="391"/>
      <c r="M677" s="978"/>
      <c r="N677" s="391"/>
      <c r="O677" s="391"/>
      <c r="P677" s="391"/>
      <c r="Q677" s="391"/>
      <c r="R677" s="391"/>
    </row>
    <row r="678" spans="1:18">
      <c r="A678" s="978"/>
      <c r="B678" s="1009"/>
      <c r="C678" s="391"/>
      <c r="D678" s="391"/>
      <c r="E678" s="391"/>
      <c r="F678" s="391"/>
      <c r="G678" s="391"/>
      <c r="H678" s="391"/>
      <c r="I678" s="391"/>
      <c r="J678" s="1010"/>
      <c r="K678" s="978"/>
      <c r="L678" s="391"/>
      <c r="M678" s="978"/>
      <c r="N678" s="391"/>
      <c r="O678" s="391"/>
      <c r="P678" s="391"/>
      <c r="Q678" s="391"/>
      <c r="R678" s="391"/>
    </row>
    <row r="679" spans="1:18">
      <c r="A679" s="978"/>
      <c r="B679" s="1009"/>
      <c r="C679" s="391"/>
      <c r="D679" s="391"/>
      <c r="E679" s="391"/>
      <c r="F679" s="391"/>
      <c r="G679" s="391"/>
      <c r="H679" s="391"/>
      <c r="I679" s="391"/>
      <c r="J679" s="1010"/>
      <c r="K679" s="978"/>
      <c r="L679" s="391"/>
      <c r="M679" s="978"/>
      <c r="N679" s="391"/>
      <c r="O679" s="391"/>
      <c r="P679" s="391"/>
      <c r="Q679" s="391"/>
      <c r="R679" s="391"/>
    </row>
    <row r="680" spans="1:18">
      <c r="A680" s="978"/>
      <c r="B680" s="1009"/>
      <c r="C680" s="391"/>
      <c r="D680" s="391"/>
      <c r="E680" s="391"/>
      <c r="F680" s="391"/>
      <c r="G680" s="391"/>
      <c r="H680" s="391"/>
      <c r="I680" s="391"/>
      <c r="J680" s="1010"/>
      <c r="K680" s="978"/>
      <c r="L680" s="391"/>
      <c r="M680" s="978"/>
      <c r="N680" s="391"/>
      <c r="O680" s="391"/>
      <c r="P680" s="391"/>
      <c r="Q680" s="391"/>
      <c r="R680" s="391"/>
    </row>
    <row r="681" spans="1:18">
      <c r="A681" s="978"/>
      <c r="B681" s="1009"/>
      <c r="C681" s="391"/>
      <c r="D681" s="391"/>
      <c r="E681" s="391"/>
      <c r="F681" s="391"/>
      <c r="G681" s="391"/>
      <c r="H681" s="391"/>
      <c r="I681" s="391"/>
      <c r="J681" s="1010"/>
      <c r="K681" s="978"/>
      <c r="L681" s="391"/>
      <c r="M681" s="978"/>
      <c r="N681" s="391"/>
      <c r="O681" s="391"/>
      <c r="P681" s="391"/>
      <c r="Q681" s="391"/>
      <c r="R681" s="391"/>
    </row>
    <row r="682" spans="1:18">
      <c r="A682" s="978"/>
      <c r="B682" s="1009"/>
      <c r="C682" s="391"/>
      <c r="D682" s="391"/>
      <c r="E682" s="391"/>
      <c r="F682" s="391"/>
      <c r="G682" s="391"/>
      <c r="H682" s="391"/>
      <c r="I682" s="391"/>
      <c r="J682" s="1010"/>
      <c r="K682" s="978"/>
      <c r="L682" s="391"/>
      <c r="M682" s="978"/>
      <c r="N682" s="391"/>
      <c r="O682" s="391"/>
      <c r="P682" s="391"/>
      <c r="Q682" s="391"/>
      <c r="R682" s="391"/>
    </row>
    <row r="683" spans="1:18">
      <c r="A683" s="978"/>
      <c r="B683" s="1009"/>
      <c r="C683" s="391"/>
      <c r="D683" s="391"/>
      <c r="E683" s="391"/>
      <c r="F683" s="391"/>
      <c r="G683" s="391"/>
      <c r="H683" s="391"/>
      <c r="I683" s="391"/>
      <c r="J683" s="1010"/>
      <c r="K683" s="978"/>
      <c r="L683" s="391"/>
      <c r="M683" s="978"/>
      <c r="N683" s="391"/>
      <c r="O683" s="391"/>
      <c r="P683" s="391"/>
      <c r="Q683" s="391"/>
      <c r="R683" s="391"/>
    </row>
    <row r="684" spans="1:18">
      <c r="A684" s="978"/>
      <c r="B684" s="1009"/>
      <c r="C684" s="391"/>
      <c r="D684" s="391"/>
      <c r="E684" s="391"/>
      <c r="F684" s="391"/>
      <c r="G684" s="391"/>
      <c r="H684" s="391"/>
      <c r="I684" s="391"/>
      <c r="J684" s="1010"/>
      <c r="K684" s="978"/>
      <c r="L684" s="391"/>
      <c r="M684" s="978"/>
      <c r="N684" s="391"/>
      <c r="O684" s="391"/>
      <c r="P684" s="391"/>
      <c r="Q684" s="391"/>
      <c r="R684" s="391"/>
    </row>
    <row r="685" spans="1:18">
      <c r="A685" s="978"/>
      <c r="B685" s="1009"/>
      <c r="C685" s="391"/>
      <c r="D685" s="391"/>
      <c r="E685" s="391"/>
      <c r="F685" s="391"/>
      <c r="G685" s="391"/>
      <c r="H685" s="391"/>
      <c r="I685" s="391"/>
      <c r="J685" s="1010"/>
      <c r="K685" s="978"/>
      <c r="L685" s="391"/>
      <c r="M685" s="978"/>
      <c r="N685" s="391"/>
      <c r="O685" s="391"/>
      <c r="P685" s="391"/>
      <c r="Q685" s="391"/>
      <c r="R685" s="391"/>
    </row>
    <row r="686" spans="1:18">
      <c r="A686" s="978"/>
      <c r="B686" s="1009"/>
      <c r="C686" s="391"/>
      <c r="D686" s="391"/>
      <c r="E686" s="391"/>
      <c r="F686" s="391"/>
      <c r="G686" s="391"/>
      <c r="H686" s="391"/>
      <c r="I686" s="391"/>
      <c r="J686" s="1010"/>
      <c r="K686" s="978"/>
      <c r="L686" s="391"/>
      <c r="M686" s="978"/>
      <c r="N686" s="391"/>
      <c r="O686" s="391"/>
      <c r="P686" s="391"/>
      <c r="Q686" s="391"/>
      <c r="R686" s="391"/>
    </row>
    <row r="687" spans="1:18">
      <c r="A687" s="978"/>
      <c r="B687" s="1009"/>
      <c r="C687" s="391"/>
      <c r="D687" s="391"/>
      <c r="E687" s="391"/>
      <c r="F687" s="391"/>
      <c r="G687" s="391"/>
      <c r="H687" s="391"/>
      <c r="I687" s="391"/>
      <c r="J687" s="1010"/>
      <c r="K687" s="978"/>
      <c r="L687" s="391"/>
      <c r="M687" s="978"/>
      <c r="N687" s="391"/>
      <c r="O687" s="391"/>
      <c r="P687" s="391"/>
      <c r="Q687" s="391"/>
      <c r="R687" s="391"/>
    </row>
    <row r="688" spans="1:18">
      <c r="A688" s="978"/>
      <c r="B688" s="1009"/>
      <c r="C688" s="391"/>
      <c r="D688" s="391"/>
      <c r="E688" s="391"/>
      <c r="F688" s="391"/>
      <c r="G688" s="391"/>
      <c r="H688" s="391"/>
      <c r="I688" s="391"/>
      <c r="J688" s="1010"/>
      <c r="K688" s="978"/>
      <c r="L688" s="391"/>
      <c r="M688" s="978"/>
      <c r="N688" s="391"/>
      <c r="O688" s="391"/>
      <c r="P688" s="391"/>
      <c r="Q688" s="391"/>
      <c r="R688" s="391"/>
    </row>
    <row r="689" spans="1:18">
      <c r="A689" s="978"/>
      <c r="B689" s="1009"/>
      <c r="C689" s="391"/>
      <c r="D689" s="391"/>
      <c r="E689" s="391"/>
      <c r="F689" s="391"/>
      <c r="G689" s="391"/>
      <c r="H689" s="391"/>
      <c r="I689" s="391"/>
      <c r="J689" s="1010"/>
      <c r="K689" s="978"/>
      <c r="L689" s="391"/>
      <c r="M689" s="978"/>
      <c r="N689" s="391"/>
      <c r="O689" s="391"/>
      <c r="P689" s="391"/>
      <c r="Q689" s="391"/>
      <c r="R689" s="391"/>
    </row>
    <row r="690" spans="1:18">
      <c r="A690" s="978"/>
      <c r="B690" s="1009"/>
      <c r="C690" s="391"/>
      <c r="D690" s="391"/>
      <c r="E690" s="391"/>
      <c r="F690" s="391"/>
      <c r="G690" s="391"/>
      <c r="H690" s="391"/>
      <c r="I690" s="391"/>
      <c r="J690" s="1010"/>
      <c r="K690" s="978"/>
      <c r="L690" s="391"/>
      <c r="M690" s="978"/>
      <c r="N690" s="391"/>
      <c r="O690" s="391"/>
      <c r="P690" s="391"/>
      <c r="Q690" s="391"/>
      <c r="R690" s="391"/>
    </row>
    <row r="691" spans="1:18">
      <c r="A691" s="978"/>
      <c r="B691" s="1009"/>
      <c r="C691" s="391"/>
      <c r="D691" s="391"/>
      <c r="E691" s="391"/>
      <c r="F691" s="391"/>
      <c r="G691" s="391"/>
      <c r="H691" s="391"/>
      <c r="I691" s="391"/>
      <c r="J691" s="1010"/>
      <c r="K691" s="978"/>
      <c r="L691" s="391"/>
      <c r="M691" s="978"/>
      <c r="N691" s="391"/>
      <c r="O691" s="391"/>
      <c r="P691" s="391"/>
      <c r="Q691" s="391"/>
      <c r="R691" s="391"/>
    </row>
    <row r="692" spans="1:18">
      <c r="A692" s="978"/>
      <c r="B692" s="1009"/>
      <c r="C692" s="391"/>
      <c r="D692" s="391"/>
      <c r="E692" s="391"/>
      <c r="F692" s="391"/>
      <c r="G692" s="391"/>
      <c r="H692" s="391"/>
      <c r="I692" s="391"/>
      <c r="J692" s="1010"/>
      <c r="K692" s="978"/>
      <c r="L692" s="391"/>
      <c r="M692" s="978"/>
      <c r="N692" s="391"/>
      <c r="O692" s="391"/>
      <c r="P692" s="391"/>
      <c r="Q692" s="391"/>
      <c r="R692" s="391"/>
    </row>
    <row r="693" spans="1:18">
      <c r="A693" s="978"/>
      <c r="B693" s="1009"/>
      <c r="C693" s="391"/>
      <c r="D693" s="391"/>
      <c r="E693" s="391"/>
      <c r="F693" s="391"/>
      <c r="G693" s="391"/>
      <c r="H693" s="391"/>
      <c r="I693" s="391"/>
      <c r="J693" s="1010"/>
      <c r="K693" s="978"/>
      <c r="L693" s="391"/>
      <c r="M693" s="978"/>
      <c r="N693" s="391"/>
      <c r="O693" s="391"/>
      <c r="P693" s="391"/>
      <c r="Q693" s="391"/>
      <c r="R693" s="391"/>
    </row>
    <row r="694" spans="1:18">
      <c r="A694" s="978"/>
      <c r="B694" s="1009"/>
      <c r="C694" s="391"/>
      <c r="D694" s="391"/>
      <c r="E694" s="391"/>
      <c r="F694" s="391"/>
      <c r="G694" s="391"/>
      <c r="H694" s="391"/>
      <c r="I694" s="391"/>
      <c r="J694" s="1010"/>
      <c r="K694" s="978"/>
      <c r="L694" s="391"/>
      <c r="M694" s="978"/>
      <c r="N694" s="391"/>
      <c r="O694" s="391"/>
      <c r="P694" s="391"/>
      <c r="Q694" s="391"/>
      <c r="R694" s="391"/>
    </row>
    <row r="695" spans="1:18">
      <c r="A695" s="978"/>
      <c r="B695" s="1009"/>
      <c r="C695" s="391"/>
      <c r="D695" s="391"/>
      <c r="E695" s="391"/>
      <c r="F695" s="391"/>
      <c r="G695" s="391"/>
      <c r="H695" s="391"/>
      <c r="I695" s="391"/>
      <c r="J695" s="1010"/>
      <c r="K695" s="978"/>
      <c r="L695" s="391"/>
      <c r="M695" s="978"/>
      <c r="N695" s="391"/>
      <c r="O695" s="391"/>
      <c r="P695" s="391"/>
      <c r="Q695" s="391"/>
      <c r="R695" s="391"/>
    </row>
    <row r="696" spans="1:18">
      <c r="A696" s="978"/>
      <c r="B696" s="1009"/>
      <c r="C696" s="391"/>
      <c r="D696" s="391"/>
      <c r="E696" s="391"/>
      <c r="F696" s="391"/>
      <c r="G696" s="391"/>
      <c r="H696" s="391"/>
      <c r="I696" s="391"/>
      <c r="J696" s="1010"/>
      <c r="K696" s="978"/>
      <c r="L696" s="391"/>
      <c r="M696" s="978"/>
      <c r="N696" s="391"/>
      <c r="O696" s="391"/>
      <c r="P696" s="391"/>
      <c r="Q696" s="391"/>
      <c r="R696" s="391"/>
    </row>
    <row r="697" spans="1:18">
      <c r="A697" s="978"/>
      <c r="B697" s="1009"/>
      <c r="C697" s="391"/>
      <c r="D697" s="391"/>
      <c r="E697" s="391"/>
      <c r="F697" s="391"/>
      <c r="G697" s="391"/>
      <c r="H697" s="391"/>
      <c r="I697" s="391"/>
      <c r="J697" s="1010"/>
      <c r="K697" s="978"/>
      <c r="L697" s="391"/>
      <c r="M697" s="978"/>
      <c r="N697" s="391"/>
      <c r="O697" s="391"/>
      <c r="P697" s="391"/>
      <c r="Q697" s="391"/>
      <c r="R697" s="391"/>
    </row>
    <row r="698" spans="1:18">
      <c r="A698" s="978"/>
      <c r="B698" s="1009"/>
      <c r="C698" s="391"/>
      <c r="D698" s="391"/>
      <c r="E698" s="391"/>
      <c r="F698" s="391"/>
      <c r="G698" s="391"/>
      <c r="H698" s="391"/>
      <c r="I698" s="391"/>
      <c r="J698" s="1010"/>
      <c r="K698" s="978"/>
      <c r="L698" s="391"/>
      <c r="M698" s="978"/>
      <c r="N698" s="391"/>
      <c r="O698" s="391"/>
      <c r="P698" s="391"/>
      <c r="Q698" s="391"/>
      <c r="R698" s="391"/>
    </row>
    <row r="699" spans="1:18">
      <c r="A699" s="978"/>
      <c r="B699" s="1009"/>
      <c r="C699" s="391"/>
      <c r="D699" s="391"/>
      <c r="E699" s="391"/>
      <c r="F699" s="391"/>
      <c r="G699" s="391"/>
      <c r="H699" s="391"/>
      <c r="I699" s="391"/>
      <c r="J699" s="1010"/>
      <c r="K699" s="978"/>
      <c r="L699" s="391"/>
      <c r="M699" s="978"/>
      <c r="N699" s="391"/>
      <c r="O699" s="391"/>
      <c r="P699" s="391"/>
      <c r="Q699" s="391"/>
      <c r="R699" s="391"/>
    </row>
    <row r="700" spans="1:18">
      <c r="A700" s="978"/>
      <c r="B700" s="1009"/>
      <c r="C700" s="391"/>
      <c r="D700" s="391"/>
      <c r="E700" s="391"/>
      <c r="F700" s="391"/>
      <c r="G700" s="391"/>
      <c r="H700" s="391"/>
      <c r="I700" s="391"/>
      <c r="J700" s="1010"/>
      <c r="K700" s="978"/>
      <c r="L700" s="391"/>
      <c r="M700" s="978"/>
      <c r="N700" s="391"/>
      <c r="O700" s="391"/>
      <c r="P700" s="391"/>
      <c r="Q700" s="391"/>
      <c r="R700" s="391"/>
    </row>
    <row r="701" spans="1:18">
      <c r="A701" s="978"/>
      <c r="B701" s="1009"/>
      <c r="C701" s="391"/>
      <c r="D701" s="391"/>
      <c r="E701" s="391"/>
      <c r="F701" s="391"/>
      <c r="G701" s="391"/>
      <c r="H701" s="391"/>
      <c r="I701" s="391"/>
      <c r="J701" s="1010"/>
      <c r="K701" s="978"/>
      <c r="L701" s="391"/>
      <c r="M701" s="978"/>
      <c r="N701" s="391"/>
      <c r="O701" s="391"/>
      <c r="P701" s="391"/>
      <c r="Q701" s="391"/>
      <c r="R701" s="391"/>
    </row>
    <row r="702" spans="1:18">
      <c r="A702" s="978"/>
      <c r="B702" s="1009"/>
      <c r="C702" s="391"/>
      <c r="D702" s="391"/>
      <c r="E702" s="391"/>
      <c r="F702" s="391"/>
      <c r="G702" s="391"/>
      <c r="H702" s="391"/>
      <c r="I702" s="391"/>
      <c r="J702" s="1010"/>
      <c r="K702" s="978"/>
      <c r="L702" s="391"/>
      <c r="M702" s="978"/>
      <c r="N702" s="391"/>
      <c r="O702" s="391"/>
      <c r="P702" s="391"/>
      <c r="Q702" s="391"/>
      <c r="R702" s="391"/>
    </row>
    <row r="703" spans="1:18">
      <c r="A703" s="978"/>
      <c r="B703" s="1009"/>
      <c r="C703" s="391"/>
      <c r="D703" s="391"/>
      <c r="E703" s="391"/>
      <c r="F703" s="391"/>
      <c r="G703" s="391"/>
      <c r="H703" s="391"/>
      <c r="I703" s="391"/>
      <c r="J703" s="1010"/>
      <c r="K703" s="978"/>
      <c r="L703" s="391"/>
      <c r="M703" s="978"/>
      <c r="N703" s="391"/>
      <c r="O703" s="391"/>
      <c r="P703" s="391"/>
      <c r="Q703" s="391"/>
      <c r="R703" s="391"/>
    </row>
    <row r="704" spans="1:18">
      <c r="A704" s="978"/>
      <c r="B704" s="1009"/>
      <c r="C704" s="391"/>
      <c r="D704" s="391"/>
      <c r="E704" s="391"/>
      <c r="F704" s="391"/>
      <c r="G704" s="391"/>
      <c r="H704" s="391"/>
      <c r="I704" s="391"/>
      <c r="J704" s="1010"/>
      <c r="K704" s="978"/>
      <c r="L704" s="391"/>
      <c r="M704" s="978"/>
      <c r="N704" s="391"/>
      <c r="O704" s="391"/>
      <c r="P704" s="391"/>
      <c r="Q704" s="391"/>
      <c r="R704" s="391"/>
    </row>
    <row r="705" spans="1:18">
      <c r="A705" s="978"/>
      <c r="B705" s="1009"/>
      <c r="C705" s="391"/>
      <c r="D705" s="391"/>
      <c r="E705" s="391"/>
      <c r="F705" s="391"/>
      <c r="G705" s="391"/>
      <c r="H705" s="391"/>
      <c r="I705" s="391"/>
      <c r="J705" s="1010"/>
      <c r="K705" s="978"/>
      <c r="L705" s="391"/>
      <c r="M705" s="978"/>
      <c r="N705" s="391"/>
      <c r="O705" s="391"/>
      <c r="P705" s="391"/>
      <c r="Q705" s="391"/>
      <c r="R705" s="391"/>
    </row>
    <row r="706" spans="1:18">
      <c r="A706" s="978"/>
      <c r="B706" s="1009"/>
      <c r="C706" s="391"/>
      <c r="D706" s="391"/>
      <c r="E706" s="391"/>
      <c r="F706" s="391"/>
      <c r="G706" s="391"/>
      <c r="H706" s="391"/>
      <c r="I706" s="391"/>
      <c r="J706" s="1010"/>
      <c r="K706" s="978"/>
      <c r="L706" s="391"/>
      <c r="M706" s="978"/>
      <c r="N706" s="391"/>
      <c r="O706" s="391"/>
      <c r="P706" s="391"/>
      <c r="Q706" s="391"/>
      <c r="R706" s="391"/>
    </row>
    <row r="707" spans="1:18">
      <c r="A707" s="978"/>
      <c r="B707" s="1009"/>
      <c r="C707" s="391"/>
      <c r="D707" s="391"/>
      <c r="E707" s="391"/>
      <c r="F707" s="391"/>
      <c r="G707" s="391"/>
      <c r="H707" s="391"/>
      <c r="I707" s="391"/>
      <c r="J707" s="1010"/>
      <c r="K707" s="978"/>
      <c r="L707" s="391"/>
      <c r="M707" s="978"/>
      <c r="N707" s="391"/>
      <c r="O707" s="391"/>
      <c r="P707" s="391"/>
      <c r="Q707" s="391"/>
      <c r="R707" s="391"/>
    </row>
    <row r="708" spans="1:18">
      <c r="A708" s="978"/>
      <c r="B708" s="1009"/>
      <c r="C708" s="391"/>
      <c r="D708" s="391"/>
      <c r="E708" s="391"/>
      <c r="F708" s="391"/>
      <c r="G708" s="391"/>
      <c r="H708" s="391"/>
      <c r="I708" s="391"/>
      <c r="J708" s="1010"/>
      <c r="K708" s="978"/>
      <c r="L708" s="391"/>
      <c r="M708" s="978"/>
      <c r="N708" s="391"/>
      <c r="O708" s="391"/>
      <c r="P708" s="391"/>
      <c r="Q708" s="391"/>
      <c r="R708" s="391"/>
    </row>
    <row r="709" spans="1:18">
      <c r="A709" s="978"/>
      <c r="B709" s="1009"/>
      <c r="C709" s="391"/>
      <c r="D709" s="391"/>
      <c r="E709" s="391"/>
      <c r="F709" s="391"/>
      <c r="G709" s="391"/>
      <c r="H709" s="391"/>
      <c r="I709" s="391"/>
      <c r="J709" s="1010"/>
      <c r="K709" s="978"/>
      <c r="L709" s="391"/>
      <c r="M709" s="978"/>
      <c r="N709" s="391"/>
      <c r="O709" s="391"/>
      <c r="P709" s="391"/>
      <c r="Q709" s="391"/>
      <c r="R709" s="391"/>
    </row>
    <row r="710" spans="1:18">
      <c r="A710" s="978"/>
      <c r="B710" s="1009"/>
      <c r="C710" s="391"/>
      <c r="D710" s="391"/>
      <c r="E710" s="391"/>
      <c r="F710" s="391"/>
      <c r="G710" s="391"/>
      <c r="H710" s="391"/>
      <c r="I710" s="391"/>
      <c r="J710" s="1010"/>
      <c r="K710" s="978"/>
      <c r="L710" s="391"/>
      <c r="M710" s="978"/>
      <c r="N710" s="391"/>
      <c r="O710" s="391"/>
      <c r="P710" s="391"/>
      <c r="Q710" s="391"/>
      <c r="R710" s="391"/>
    </row>
    <row r="711" spans="1:18">
      <c r="A711" s="978"/>
      <c r="B711" s="1009"/>
      <c r="C711" s="391"/>
      <c r="D711" s="391"/>
      <c r="E711" s="391"/>
      <c r="F711" s="391"/>
      <c r="G711" s="391"/>
      <c r="H711" s="391"/>
      <c r="I711" s="391"/>
      <c r="J711" s="1010"/>
      <c r="K711" s="978"/>
      <c r="L711" s="391"/>
      <c r="M711" s="978"/>
      <c r="N711" s="391"/>
      <c r="O711" s="391"/>
      <c r="P711" s="391"/>
      <c r="Q711" s="391"/>
      <c r="R711" s="391"/>
    </row>
    <row r="712" spans="1:18">
      <c r="A712" s="978"/>
      <c r="B712" s="1009"/>
      <c r="C712" s="391"/>
      <c r="D712" s="391"/>
      <c r="E712" s="391"/>
      <c r="F712" s="391"/>
      <c r="G712" s="391"/>
      <c r="H712" s="391"/>
      <c r="I712" s="391"/>
      <c r="J712" s="1010"/>
      <c r="K712" s="978"/>
      <c r="L712" s="391"/>
      <c r="M712" s="978"/>
      <c r="N712" s="391"/>
      <c r="O712" s="391"/>
      <c r="P712" s="391"/>
      <c r="Q712" s="391"/>
      <c r="R712" s="391"/>
    </row>
    <row r="713" spans="1:18">
      <c r="A713" s="978"/>
      <c r="B713" s="1009"/>
      <c r="C713" s="391"/>
      <c r="D713" s="391"/>
      <c r="E713" s="391"/>
      <c r="F713" s="391"/>
      <c r="G713" s="391"/>
      <c r="H713" s="391"/>
      <c r="I713" s="391"/>
      <c r="J713" s="1010"/>
      <c r="K713" s="978"/>
      <c r="L713" s="391"/>
      <c r="M713" s="978"/>
      <c r="N713" s="391"/>
      <c r="O713" s="391"/>
      <c r="P713" s="391"/>
      <c r="Q713" s="391"/>
      <c r="R713" s="391"/>
    </row>
    <row r="714" spans="1:18">
      <c r="A714" s="978"/>
      <c r="B714" s="1009"/>
      <c r="C714" s="391"/>
      <c r="D714" s="391"/>
      <c r="E714" s="391"/>
      <c r="F714" s="391"/>
      <c r="G714" s="391"/>
      <c r="H714" s="391"/>
      <c r="I714" s="391"/>
      <c r="J714" s="1010"/>
      <c r="K714" s="978"/>
      <c r="L714" s="391"/>
      <c r="M714" s="978"/>
      <c r="N714" s="391"/>
      <c r="O714" s="391"/>
      <c r="P714" s="391"/>
      <c r="Q714" s="391"/>
      <c r="R714" s="391"/>
    </row>
    <row r="715" spans="1:18">
      <c r="A715" s="978"/>
      <c r="B715" s="1009"/>
      <c r="C715" s="391"/>
      <c r="D715" s="391"/>
      <c r="E715" s="391"/>
      <c r="F715" s="391"/>
      <c r="G715" s="391"/>
      <c r="H715" s="391"/>
      <c r="I715" s="391"/>
      <c r="J715" s="1010"/>
      <c r="K715" s="978"/>
      <c r="L715" s="391"/>
      <c r="M715" s="978"/>
      <c r="N715" s="391"/>
      <c r="O715" s="391"/>
      <c r="P715" s="391"/>
      <c r="Q715" s="391"/>
      <c r="R715" s="391"/>
    </row>
    <row r="716" spans="1:18">
      <c r="A716" s="978"/>
      <c r="B716" s="1009"/>
      <c r="C716" s="391"/>
      <c r="D716" s="391"/>
      <c r="E716" s="391"/>
      <c r="F716" s="391"/>
      <c r="G716" s="391"/>
      <c r="H716" s="391"/>
      <c r="I716" s="391"/>
      <c r="J716" s="1010"/>
      <c r="K716" s="978"/>
      <c r="L716" s="391"/>
      <c r="M716" s="978"/>
      <c r="N716" s="391"/>
      <c r="O716" s="391"/>
      <c r="P716" s="391"/>
      <c r="Q716" s="391"/>
      <c r="R716" s="391"/>
    </row>
    <row r="717" spans="1:18">
      <c r="A717" s="978"/>
      <c r="B717" s="1009"/>
      <c r="C717" s="391"/>
      <c r="D717" s="391"/>
      <c r="E717" s="391"/>
      <c r="F717" s="391"/>
      <c r="G717" s="391"/>
      <c r="H717" s="391"/>
      <c r="I717" s="391"/>
      <c r="J717" s="1010"/>
      <c r="K717" s="978"/>
      <c r="L717" s="391"/>
      <c r="M717" s="978"/>
      <c r="N717" s="391"/>
      <c r="O717" s="391"/>
      <c r="P717" s="391"/>
      <c r="Q717" s="391"/>
      <c r="R717" s="391"/>
    </row>
    <row r="718" spans="1:18">
      <c r="A718" s="978"/>
      <c r="B718" s="1009"/>
      <c r="C718" s="391"/>
      <c r="D718" s="391"/>
      <c r="E718" s="391"/>
      <c r="F718" s="391"/>
      <c r="G718" s="391"/>
      <c r="H718" s="391"/>
      <c r="I718" s="391"/>
      <c r="J718" s="1010"/>
      <c r="K718" s="978"/>
      <c r="L718" s="391"/>
      <c r="M718" s="978"/>
      <c r="N718" s="391"/>
      <c r="O718" s="391"/>
      <c r="P718" s="391"/>
      <c r="Q718" s="391"/>
      <c r="R718" s="391"/>
    </row>
    <row r="719" spans="1:18">
      <c r="A719" s="978"/>
      <c r="B719" s="1009"/>
      <c r="C719" s="391"/>
      <c r="D719" s="391"/>
      <c r="E719" s="391"/>
      <c r="F719" s="391"/>
      <c r="G719" s="391"/>
      <c r="H719" s="391"/>
      <c r="I719" s="391"/>
      <c r="J719" s="1010"/>
      <c r="K719" s="978"/>
      <c r="L719" s="391"/>
      <c r="M719" s="978"/>
      <c r="N719" s="391"/>
      <c r="O719" s="391"/>
      <c r="P719" s="391"/>
      <c r="Q719" s="391"/>
      <c r="R719" s="391"/>
    </row>
    <row r="720" spans="1:18">
      <c r="A720" s="978"/>
      <c r="B720" s="1009"/>
      <c r="C720" s="391"/>
      <c r="D720" s="391"/>
      <c r="E720" s="391"/>
      <c r="F720" s="391"/>
      <c r="G720" s="391"/>
      <c r="H720" s="391"/>
      <c r="I720" s="391"/>
      <c r="J720" s="1010"/>
      <c r="K720" s="978"/>
      <c r="L720" s="391"/>
      <c r="M720" s="978"/>
      <c r="N720" s="391"/>
      <c r="O720" s="391"/>
      <c r="P720" s="391"/>
      <c r="Q720" s="391"/>
      <c r="R720" s="391"/>
    </row>
    <row r="721" spans="1:18">
      <c r="A721" s="978"/>
      <c r="B721" s="1009"/>
      <c r="C721" s="391"/>
      <c r="D721" s="391"/>
      <c r="E721" s="391"/>
      <c r="F721" s="391"/>
      <c r="G721" s="391"/>
      <c r="H721" s="391"/>
      <c r="I721" s="391"/>
      <c r="J721" s="1010"/>
      <c r="K721" s="978"/>
      <c r="L721" s="391"/>
      <c r="M721" s="978"/>
      <c r="N721" s="391"/>
      <c r="O721" s="391"/>
      <c r="P721" s="391"/>
      <c r="Q721" s="391"/>
      <c r="R721" s="391"/>
    </row>
    <row r="722" spans="1:18">
      <c r="A722" s="978"/>
      <c r="B722" s="1009"/>
      <c r="C722" s="391"/>
      <c r="D722" s="391"/>
      <c r="E722" s="391"/>
      <c r="F722" s="391"/>
      <c r="G722" s="391"/>
      <c r="H722" s="391"/>
      <c r="I722" s="391"/>
      <c r="J722" s="1010"/>
      <c r="K722" s="978"/>
      <c r="L722" s="391"/>
      <c r="M722" s="978"/>
      <c r="N722" s="391"/>
      <c r="O722" s="391"/>
      <c r="P722" s="391"/>
      <c r="Q722" s="391"/>
      <c r="R722" s="391"/>
    </row>
    <row r="723" spans="1:18">
      <c r="A723" s="978"/>
      <c r="B723" s="1009"/>
      <c r="C723" s="391"/>
      <c r="D723" s="391"/>
      <c r="E723" s="391"/>
      <c r="F723" s="391"/>
      <c r="G723" s="391"/>
      <c r="H723" s="391"/>
      <c r="I723" s="391"/>
      <c r="J723" s="1010"/>
      <c r="K723" s="978"/>
      <c r="L723" s="391"/>
      <c r="M723" s="978"/>
      <c r="N723" s="391"/>
      <c r="O723" s="391"/>
      <c r="P723" s="391"/>
      <c r="Q723" s="391"/>
      <c r="R723" s="391"/>
    </row>
    <row r="724" spans="1:18">
      <c r="A724" s="978"/>
      <c r="B724" s="1009"/>
      <c r="C724" s="391"/>
      <c r="D724" s="391"/>
      <c r="E724" s="391"/>
      <c r="F724" s="391"/>
      <c r="G724" s="391"/>
      <c r="H724" s="391"/>
      <c r="I724" s="391"/>
      <c r="J724" s="1010"/>
      <c r="K724" s="978"/>
      <c r="L724" s="391"/>
      <c r="M724" s="978"/>
      <c r="N724" s="391"/>
      <c r="O724" s="391"/>
      <c r="P724" s="391"/>
      <c r="Q724" s="391"/>
      <c r="R724" s="391"/>
    </row>
    <row r="725" spans="1:18">
      <c r="A725" s="978"/>
      <c r="B725" s="1009"/>
      <c r="C725" s="391"/>
      <c r="D725" s="391"/>
      <c r="E725" s="391"/>
      <c r="F725" s="391"/>
      <c r="G725" s="391"/>
      <c r="H725" s="391"/>
      <c r="I725" s="391"/>
      <c r="J725" s="1010"/>
      <c r="K725" s="978"/>
      <c r="L725" s="391"/>
      <c r="M725" s="978"/>
      <c r="N725" s="391"/>
      <c r="O725" s="391"/>
      <c r="P725" s="391"/>
      <c r="Q725" s="391"/>
      <c r="R725" s="391"/>
    </row>
    <row r="726" spans="1:18">
      <c r="A726" s="978"/>
      <c r="B726" s="1009"/>
      <c r="C726" s="391"/>
      <c r="D726" s="391"/>
      <c r="E726" s="391"/>
      <c r="F726" s="391"/>
      <c r="G726" s="391"/>
      <c r="H726" s="391"/>
      <c r="I726" s="391"/>
      <c r="J726" s="1010"/>
      <c r="K726" s="978"/>
      <c r="L726" s="391"/>
      <c r="M726" s="978"/>
      <c r="N726" s="391"/>
      <c r="O726" s="391"/>
      <c r="P726" s="391"/>
      <c r="Q726" s="391"/>
      <c r="R726" s="391"/>
    </row>
    <row r="727" spans="1:18">
      <c r="A727" s="978"/>
      <c r="B727" s="1009"/>
      <c r="C727" s="391"/>
      <c r="D727" s="391"/>
      <c r="E727" s="391"/>
      <c r="F727" s="391"/>
      <c r="G727" s="391"/>
      <c r="H727" s="391"/>
      <c r="I727" s="391"/>
      <c r="J727" s="1010"/>
      <c r="K727" s="978"/>
      <c r="L727" s="391"/>
      <c r="M727" s="978"/>
      <c r="N727" s="391"/>
      <c r="O727" s="391"/>
      <c r="P727" s="391"/>
      <c r="Q727" s="391"/>
      <c r="R727" s="391"/>
    </row>
    <row r="728" spans="1:18">
      <c r="A728" s="978"/>
      <c r="B728" s="1009"/>
      <c r="C728" s="391"/>
      <c r="D728" s="391"/>
      <c r="E728" s="391"/>
      <c r="F728" s="391"/>
      <c r="G728" s="391"/>
      <c r="H728" s="391"/>
      <c r="I728" s="391"/>
      <c r="J728" s="1010"/>
      <c r="K728" s="978"/>
      <c r="L728" s="391"/>
      <c r="M728" s="978"/>
      <c r="N728" s="391"/>
      <c r="O728" s="391"/>
      <c r="P728" s="391"/>
      <c r="Q728" s="391"/>
      <c r="R728" s="391"/>
    </row>
    <row r="729" spans="1:18">
      <c r="A729" s="978"/>
      <c r="B729" s="1009"/>
      <c r="C729" s="391"/>
      <c r="D729" s="391"/>
      <c r="E729" s="391"/>
      <c r="F729" s="391"/>
      <c r="G729" s="391"/>
      <c r="H729" s="391"/>
      <c r="I729" s="391"/>
      <c r="J729" s="1010"/>
      <c r="K729" s="978"/>
      <c r="L729" s="391"/>
      <c r="M729" s="978"/>
      <c r="N729" s="391"/>
      <c r="O729" s="391"/>
      <c r="P729" s="391"/>
      <c r="Q729" s="391"/>
      <c r="R729" s="391"/>
    </row>
    <row r="730" spans="1:18">
      <c r="A730" s="978"/>
      <c r="B730" s="1009"/>
      <c r="C730" s="391"/>
      <c r="D730" s="391"/>
      <c r="E730" s="391"/>
      <c r="F730" s="391"/>
      <c r="G730" s="391"/>
      <c r="H730" s="391"/>
      <c r="I730" s="391"/>
      <c r="J730" s="1010"/>
      <c r="K730" s="978"/>
      <c r="L730" s="391"/>
      <c r="M730" s="978"/>
      <c r="N730" s="391"/>
      <c r="O730" s="391"/>
      <c r="P730" s="391"/>
      <c r="Q730" s="391"/>
      <c r="R730" s="391"/>
    </row>
    <row r="731" spans="1:18">
      <c r="A731" s="978"/>
      <c r="B731" s="1009"/>
      <c r="C731" s="391"/>
      <c r="D731" s="391"/>
      <c r="E731" s="391"/>
      <c r="F731" s="391"/>
      <c r="G731" s="391"/>
      <c r="H731" s="391"/>
      <c r="I731" s="391"/>
      <c r="J731" s="1010"/>
      <c r="K731" s="978"/>
      <c r="L731" s="391"/>
      <c r="M731" s="978"/>
      <c r="N731" s="391"/>
      <c r="O731" s="391"/>
      <c r="P731" s="391"/>
      <c r="Q731" s="391"/>
      <c r="R731" s="391"/>
    </row>
    <row r="732" spans="1:18">
      <c r="A732" s="978"/>
      <c r="B732" s="1009"/>
      <c r="C732" s="391"/>
      <c r="D732" s="391"/>
      <c r="E732" s="391"/>
      <c r="F732" s="391"/>
      <c r="G732" s="391"/>
      <c r="H732" s="391"/>
      <c r="I732" s="391"/>
      <c r="J732" s="1010"/>
      <c r="K732" s="978"/>
      <c r="L732" s="391"/>
      <c r="M732" s="978"/>
      <c r="N732" s="391"/>
      <c r="O732" s="391"/>
      <c r="P732" s="391"/>
      <c r="Q732" s="391"/>
      <c r="R732" s="391"/>
    </row>
    <row r="733" spans="1:18">
      <c r="A733" s="978"/>
      <c r="B733" s="1009"/>
      <c r="C733" s="391"/>
      <c r="D733" s="391"/>
      <c r="E733" s="391"/>
      <c r="F733" s="391"/>
      <c r="G733" s="391"/>
      <c r="H733" s="391"/>
      <c r="I733" s="391"/>
      <c r="J733" s="1010"/>
      <c r="K733" s="978"/>
      <c r="L733" s="391"/>
      <c r="M733" s="978"/>
      <c r="N733" s="391"/>
      <c r="O733" s="391"/>
      <c r="P733" s="391"/>
      <c r="Q733" s="391"/>
      <c r="R733" s="391"/>
    </row>
    <row r="734" spans="1:18">
      <c r="A734" s="978"/>
      <c r="B734" s="1009"/>
      <c r="C734" s="391"/>
      <c r="D734" s="391"/>
      <c r="E734" s="391"/>
      <c r="F734" s="391"/>
      <c r="G734" s="391"/>
      <c r="H734" s="391"/>
      <c r="I734" s="391"/>
      <c r="J734" s="1010"/>
      <c r="K734" s="978"/>
      <c r="L734" s="391"/>
      <c r="M734" s="978"/>
      <c r="N734" s="391"/>
      <c r="O734" s="391"/>
      <c r="P734" s="391"/>
      <c r="Q734" s="391"/>
      <c r="R734" s="391"/>
    </row>
    <row r="735" spans="1:18">
      <c r="A735" s="978"/>
      <c r="B735" s="1009"/>
      <c r="C735" s="391"/>
      <c r="D735" s="391"/>
      <c r="E735" s="391"/>
      <c r="F735" s="391"/>
      <c r="G735" s="391"/>
      <c r="H735" s="391"/>
      <c r="I735" s="391"/>
      <c r="J735" s="1010"/>
      <c r="K735" s="978"/>
      <c r="L735" s="391"/>
      <c r="M735" s="978"/>
      <c r="N735" s="391"/>
      <c r="O735" s="391"/>
      <c r="P735" s="391"/>
      <c r="Q735" s="391"/>
      <c r="R735" s="391"/>
    </row>
    <row r="736" spans="1:18">
      <c r="A736" s="978"/>
      <c r="B736" s="1009"/>
      <c r="C736" s="391"/>
      <c r="D736" s="391"/>
      <c r="E736" s="391"/>
      <c r="F736" s="391"/>
      <c r="G736" s="391"/>
      <c r="H736" s="391"/>
      <c r="I736" s="391"/>
      <c r="J736" s="1010"/>
      <c r="K736" s="978"/>
      <c r="L736" s="391"/>
      <c r="M736" s="978"/>
      <c r="N736" s="391"/>
      <c r="O736" s="391"/>
      <c r="P736" s="391"/>
      <c r="Q736" s="391"/>
      <c r="R736" s="391"/>
    </row>
    <row r="737" spans="1:18">
      <c r="A737" s="978"/>
      <c r="B737" s="1009"/>
      <c r="C737" s="391"/>
      <c r="D737" s="391"/>
      <c r="E737" s="391"/>
      <c r="F737" s="391"/>
      <c r="G737" s="391"/>
      <c r="H737" s="391"/>
      <c r="I737" s="391"/>
      <c r="J737" s="1010"/>
      <c r="K737" s="978"/>
      <c r="L737" s="391"/>
      <c r="M737" s="978"/>
      <c r="N737" s="391"/>
      <c r="O737" s="391"/>
      <c r="P737" s="391"/>
      <c r="Q737" s="391"/>
      <c r="R737" s="391"/>
    </row>
    <row r="738" spans="1:18">
      <c r="A738" s="978"/>
      <c r="B738" s="1009"/>
      <c r="C738" s="391"/>
      <c r="D738" s="391"/>
      <c r="E738" s="391"/>
      <c r="F738" s="391"/>
      <c r="G738" s="391"/>
      <c r="H738" s="391"/>
      <c r="I738" s="391"/>
      <c r="J738" s="1010"/>
      <c r="K738" s="978"/>
      <c r="L738" s="391"/>
      <c r="M738" s="978"/>
      <c r="N738" s="391"/>
      <c r="O738" s="391"/>
      <c r="P738" s="391"/>
      <c r="Q738" s="391"/>
      <c r="R738" s="391"/>
    </row>
    <row r="739" spans="1:18">
      <c r="A739" s="978"/>
      <c r="B739" s="1009"/>
      <c r="C739" s="391"/>
      <c r="D739" s="391"/>
      <c r="E739" s="391"/>
      <c r="F739" s="391"/>
      <c r="G739" s="391"/>
      <c r="H739" s="391"/>
      <c r="I739" s="391"/>
      <c r="J739" s="1010"/>
      <c r="K739" s="978"/>
      <c r="L739" s="391"/>
      <c r="M739" s="978"/>
      <c r="N739" s="391"/>
      <c r="O739" s="391"/>
      <c r="P739" s="391"/>
      <c r="Q739" s="391"/>
      <c r="R739" s="391"/>
    </row>
    <row r="740" spans="1:18">
      <c r="A740" s="978"/>
      <c r="B740" s="1009"/>
      <c r="C740" s="391"/>
      <c r="D740" s="391"/>
      <c r="E740" s="391"/>
      <c r="F740" s="391"/>
      <c r="G740" s="391"/>
      <c r="H740" s="391"/>
      <c r="I740" s="391"/>
      <c r="J740" s="1010"/>
      <c r="K740" s="978"/>
      <c r="L740" s="391"/>
      <c r="M740" s="978"/>
      <c r="N740" s="391"/>
      <c r="O740" s="391"/>
      <c r="P740" s="391"/>
      <c r="Q740" s="391"/>
      <c r="R740" s="391"/>
    </row>
    <row r="741" spans="1:18">
      <c r="A741" s="978"/>
      <c r="B741" s="1009"/>
      <c r="C741" s="391"/>
      <c r="D741" s="391"/>
      <c r="E741" s="391"/>
      <c r="F741" s="391"/>
      <c r="G741" s="391"/>
      <c r="H741" s="391"/>
      <c r="I741" s="391"/>
      <c r="J741" s="1010"/>
      <c r="K741" s="978"/>
      <c r="L741" s="391"/>
      <c r="M741" s="978"/>
      <c r="N741" s="391"/>
      <c r="O741" s="391"/>
      <c r="P741" s="391"/>
      <c r="Q741" s="391"/>
      <c r="R741" s="391"/>
    </row>
    <row r="742" spans="1:18">
      <c r="A742" s="978"/>
      <c r="B742" s="1009"/>
      <c r="C742" s="391"/>
      <c r="D742" s="391"/>
      <c r="E742" s="391"/>
      <c r="F742" s="391"/>
      <c r="G742" s="391"/>
      <c r="H742" s="391"/>
      <c r="I742" s="391"/>
      <c r="J742" s="1010"/>
      <c r="K742" s="978"/>
      <c r="L742" s="391"/>
      <c r="M742" s="978"/>
      <c r="N742" s="391"/>
      <c r="O742" s="391"/>
      <c r="P742" s="391"/>
      <c r="Q742" s="391"/>
      <c r="R742" s="391"/>
    </row>
    <row r="743" spans="1:18">
      <c r="A743" s="978"/>
      <c r="B743" s="1009"/>
      <c r="C743" s="391"/>
      <c r="D743" s="391"/>
      <c r="E743" s="391"/>
      <c r="F743" s="391"/>
      <c r="G743" s="391"/>
      <c r="H743" s="391"/>
      <c r="I743" s="391"/>
      <c r="J743" s="1010"/>
      <c r="K743" s="978"/>
      <c r="L743" s="391"/>
      <c r="M743" s="978"/>
      <c r="N743" s="391"/>
      <c r="O743" s="391"/>
      <c r="P743" s="391"/>
      <c r="Q743" s="391"/>
      <c r="R743" s="391"/>
    </row>
    <row r="744" spans="1:18">
      <c r="A744" s="978"/>
      <c r="B744" s="1009"/>
      <c r="C744" s="391"/>
      <c r="D744" s="391"/>
      <c r="E744" s="391"/>
      <c r="F744" s="391"/>
      <c r="G744" s="391"/>
      <c r="H744" s="391"/>
      <c r="I744" s="391"/>
      <c r="J744" s="1010"/>
      <c r="K744" s="978"/>
      <c r="L744" s="391"/>
      <c r="M744" s="978"/>
      <c r="N744" s="391"/>
      <c r="O744" s="391"/>
      <c r="P744" s="391"/>
      <c r="Q744" s="391"/>
      <c r="R744" s="391"/>
    </row>
    <row r="745" spans="1:18">
      <c r="A745" s="978"/>
      <c r="B745" s="1009"/>
      <c r="C745" s="391"/>
      <c r="D745" s="391"/>
      <c r="E745" s="391"/>
      <c r="F745" s="391"/>
      <c r="G745" s="391"/>
      <c r="H745" s="391"/>
      <c r="I745" s="391"/>
      <c r="J745" s="1010"/>
      <c r="K745" s="978"/>
      <c r="L745" s="391"/>
      <c r="M745" s="978"/>
      <c r="N745" s="391"/>
      <c r="O745" s="391"/>
      <c r="P745" s="391"/>
      <c r="Q745" s="391"/>
      <c r="R745" s="391"/>
    </row>
    <row r="746" spans="1:18">
      <c r="A746" s="978"/>
      <c r="B746" s="1009"/>
      <c r="C746" s="391"/>
      <c r="D746" s="391"/>
      <c r="E746" s="391"/>
      <c r="F746" s="391"/>
      <c r="G746" s="391"/>
      <c r="H746" s="391"/>
      <c r="I746" s="391"/>
      <c r="J746" s="1010"/>
      <c r="K746" s="978"/>
      <c r="L746" s="391"/>
      <c r="M746" s="978"/>
      <c r="N746" s="391"/>
      <c r="O746" s="391"/>
      <c r="P746" s="391"/>
      <c r="Q746" s="391"/>
      <c r="R746" s="391"/>
    </row>
    <row r="747" spans="1:18">
      <c r="A747" s="978"/>
      <c r="B747" s="1009"/>
      <c r="C747" s="391"/>
      <c r="D747" s="391"/>
      <c r="E747" s="391"/>
      <c r="F747" s="391"/>
      <c r="G747" s="391"/>
      <c r="H747" s="391"/>
      <c r="I747" s="391"/>
      <c r="J747" s="1010"/>
      <c r="K747" s="978"/>
      <c r="L747" s="391"/>
      <c r="M747" s="978"/>
      <c r="N747" s="391"/>
      <c r="O747" s="391"/>
      <c r="P747" s="391"/>
      <c r="Q747" s="391"/>
      <c r="R747" s="391"/>
    </row>
    <row r="748" spans="1:18">
      <c r="A748" s="978"/>
      <c r="B748" s="1009"/>
      <c r="C748" s="391"/>
      <c r="D748" s="391"/>
      <c r="E748" s="391"/>
      <c r="F748" s="391"/>
      <c r="G748" s="391"/>
      <c r="H748" s="391"/>
      <c r="I748" s="391"/>
      <c r="J748" s="1010"/>
      <c r="K748" s="978"/>
      <c r="L748" s="391"/>
      <c r="M748" s="978"/>
      <c r="N748" s="391"/>
      <c r="O748" s="391"/>
      <c r="P748" s="391"/>
      <c r="Q748" s="391"/>
      <c r="R748" s="391"/>
    </row>
    <row r="749" spans="1:18">
      <c r="A749" s="978"/>
      <c r="B749" s="1009"/>
      <c r="C749" s="391"/>
      <c r="D749" s="391"/>
      <c r="E749" s="391"/>
      <c r="F749" s="391"/>
      <c r="G749" s="391"/>
      <c r="H749" s="391"/>
      <c r="I749" s="391"/>
      <c r="J749" s="1010"/>
      <c r="K749" s="978"/>
      <c r="L749" s="391"/>
      <c r="M749" s="978"/>
      <c r="N749" s="391"/>
      <c r="O749" s="391"/>
      <c r="P749" s="391"/>
      <c r="Q749" s="391"/>
      <c r="R749" s="391"/>
    </row>
    <row r="750" spans="1:18">
      <c r="A750" s="978"/>
      <c r="B750" s="1009"/>
      <c r="C750" s="391"/>
      <c r="D750" s="391"/>
      <c r="E750" s="391"/>
      <c r="F750" s="391"/>
      <c r="G750" s="391"/>
      <c r="H750" s="391"/>
      <c r="I750" s="391"/>
      <c r="J750" s="1010"/>
      <c r="K750" s="978"/>
      <c r="L750" s="391"/>
      <c r="M750" s="978"/>
      <c r="N750" s="391"/>
      <c r="O750" s="391"/>
      <c r="P750" s="391"/>
      <c r="Q750" s="391"/>
      <c r="R750" s="391"/>
    </row>
    <row r="751" spans="1:18">
      <c r="A751" s="978"/>
      <c r="B751" s="1009"/>
      <c r="C751" s="391"/>
      <c r="D751" s="391"/>
      <c r="E751" s="391"/>
      <c r="F751" s="391"/>
      <c r="G751" s="391"/>
      <c r="H751" s="391"/>
      <c r="I751" s="391"/>
      <c r="J751" s="1010"/>
      <c r="K751" s="978"/>
      <c r="L751" s="391"/>
      <c r="M751" s="978"/>
      <c r="N751" s="391"/>
      <c r="O751" s="391"/>
      <c r="P751" s="391"/>
      <c r="Q751" s="391"/>
      <c r="R751" s="391"/>
    </row>
    <row r="752" spans="1:18">
      <c r="A752" s="978"/>
      <c r="B752" s="1009"/>
      <c r="C752" s="391"/>
      <c r="D752" s="391"/>
      <c r="E752" s="391"/>
      <c r="F752" s="391"/>
      <c r="G752" s="391"/>
      <c r="H752" s="391"/>
      <c r="I752" s="391"/>
      <c r="J752" s="1010"/>
      <c r="K752" s="978"/>
      <c r="L752" s="391"/>
      <c r="M752" s="978"/>
      <c r="N752" s="391"/>
      <c r="O752" s="391"/>
      <c r="P752" s="391"/>
      <c r="Q752" s="391"/>
      <c r="R752" s="391"/>
    </row>
    <row r="753" spans="1:18">
      <c r="A753" s="978"/>
      <c r="B753" s="1009"/>
      <c r="C753" s="391"/>
      <c r="D753" s="391"/>
      <c r="E753" s="391"/>
      <c r="F753" s="391"/>
      <c r="G753" s="391"/>
      <c r="H753" s="391"/>
      <c r="I753" s="391"/>
      <c r="J753" s="1010"/>
      <c r="K753" s="978"/>
      <c r="L753" s="391"/>
      <c r="M753" s="978"/>
      <c r="N753" s="391"/>
      <c r="O753" s="391"/>
      <c r="P753" s="391"/>
      <c r="Q753" s="391"/>
      <c r="R753" s="391"/>
    </row>
    <row r="754" spans="1:18">
      <c r="A754" s="978"/>
      <c r="B754" s="1009"/>
      <c r="C754" s="391"/>
      <c r="D754" s="391"/>
      <c r="E754" s="391"/>
      <c r="F754" s="391"/>
      <c r="G754" s="391"/>
      <c r="H754" s="391"/>
      <c r="I754" s="391"/>
      <c r="J754" s="1010"/>
      <c r="K754" s="978"/>
      <c r="L754" s="391"/>
      <c r="M754" s="978"/>
      <c r="N754" s="391"/>
      <c r="O754" s="391"/>
      <c r="P754" s="391"/>
      <c r="Q754" s="391"/>
      <c r="R754" s="391"/>
    </row>
    <row r="755" spans="1:18">
      <c r="A755" s="978"/>
      <c r="B755" s="1009"/>
      <c r="C755" s="391"/>
      <c r="D755" s="391"/>
      <c r="E755" s="391"/>
      <c r="F755" s="391"/>
      <c r="G755" s="391"/>
      <c r="H755" s="391"/>
      <c r="I755" s="391"/>
      <c r="J755" s="1010"/>
      <c r="K755" s="978"/>
      <c r="L755" s="391"/>
      <c r="M755" s="978"/>
      <c r="N755" s="391"/>
      <c r="O755" s="391"/>
      <c r="P755" s="391"/>
      <c r="Q755" s="391"/>
      <c r="R755" s="391"/>
    </row>
    <row r="756" spans="1:18">
      <c r="A756" s="978"/>
      <c r="B756" s="1009"/>
      <c r="C756" s="391"/>
      <c r="D756" s="391"/>
      <c r="E756" s="391"/>
      <c r="F756" s="391"/>
      <c r="G756" s="391"/>
      <c r="H756" s="391"/>
      <c r="I756" s="391"/>
      <c r="J756" s="1010"/>
      <c r="K756" s="978"/>
      <c r="L756" s="391"/>
      <c r="M756" s="978"/>
      <c r="N756" s="391"/>
      <c r="O756" s="391"/>
      <c r="P756" s="391"/>
      <c r="Q756" s="391"/>
      <c r="R756" s="391"/>
    </row>
    <row r="757" spans="1:18">
      <c r="A757" s="978"/>
      <c r="B757" s="1009"/>
      <c r="C757" s="391"/>
      <c r="D757" s="391"/>
      <c r="E757" s="391"/>
      <c r="F757" s="391"/>
      <c r="G757" s="391"/>
      <c r="H757" s="391"/>
      <c r="I757" s="391"/>
      <c r="J757" s="1010"/>
      <c r="K757" s="978"/>
      <c r="L757" s="391"/>
      <c r="M757" s="978"/>
      <c r="N757" s="391"/>
      <c r="O757" s="391"/>
      <c r="P757" s="391"/>
      <c r="Q757" s="391"/>
      <c r="R757" s="391"/>
    </row>
    <row r="758" spans="1:18">
      <c r="A758" s="978"/>
      <c r="B758" s="1009"/>
      <c r="C758" s="391"/>
      <c r="D758" s="391"/>
      <c r="E758" s="391"/>
      <c r="F758" s="391"/>
      <c r="G758" s="391"/>
      <c r="H758" s="391"/>
      <c r="I758" s="391"/>
      <c r="J758" s="1010"/>
      <c r="K758" s="978"/>
      <c r="L758" s="391"/>
      <c r="M758" s="978"/>
      <c r="N758" s="391"/>
      <c r="O758" s="391"/>
      <c r="P758" s="391"/>
      <c r="Q758" s="391"/>
      <c r="R758" s="391"/>
    </row>
    <row r="759" spans="1:18">
      <c r="A759" s="978"/>
      <c r="B759" s="1009"/>
      <c r="C759" s="391"/>
      <c r="D759" s="391"/>
      <c r="E759" s="391"/>
      <c r="F759" s="391"/>
      <c r="G759" s="391"/>
      <c r="H759" s="391"/>
      <c r="I759" s="391"/>
      <c r="J759" s="1010"/>
      <c r="K759" s="978"/>
      <c r="L759" s="391"/>
      <c r="M759" s="978"/>
      <c r="N759" s="391"/>
      <c r="O759" s="391"/>
      <c r="P759" s="391"/>
      <c r="Q759" s="391"/>
      <c r="R759" s="391"/>
    </row>
    <row r="760" spans="1:18">
      <c r="A760" s="978"/>
      <c r="B760" s="1009"/>
      <c r="C760" s="391"/>
      <c r="D760" s="391"/>
      <c r="E760" s="391"/>
      <c r="F760" s="391"/>
      <c r="G760" s="391"/>
      <c r="H760" s="391"/>
      <c r="I760" s="391"/>
      <c r="J760" s="1010"/>
      <c r="K760" s="978"/>
      <c r="L760" s="391"/>
      <c r="M760" s="978"/>
      <c r="N760" s="391"/>
      <c r="O760" s="391"/>
      <c r="P760" s="391"/>
      <c r="Q760" s="391"/>
      <c r="R760" s="391"/>
    </row>
    <row r="761" spans="1:18">
      <c r="A761" s="978"/>
      <c r="B761" s="1009"/>
      <c r="C761" s="391"/>
      <c r="D761" s="391"/>
      <c r="E761" s="391"/>
      <c r="F761" s="391"/>
      <c r="G761" s="391"/>
      <c r="H761" s="391"/>
      <c r="I761" s="391"/>
      <c r="J761" s="1010"/>
      <c r="K761" s="978"/>
      <c r="L761" s="391"/>
      <c r="M761" s="978"/>
      <c r="N761" s="391"/>
      <c r="O761" s="391"/>
      <c r="P761" s="391"/>
      <c r="Q761" s="391"/>
      <c r="R761" s="391"/>
    </row>
    <row r="762" spans="1:18">
      <c r="A762" s="978"/>
      <c r="B762" s="1009"/>
      <c r="C762" s="391"/>
      <c r="D762" s="391"/>
      <c r="E762" s="391"/>
      <c r="F762" s="391"/>
      <c r="G762" s="391"/>
      <c r="H762" s="391"/>
      <c r="I762" s="391"/>
      <c r="J762" s="1010"/>
      <c r="K762" s="978"/>
      <c r="L762" s="391"/>
      <c r="M762" s="978"/>
      <c r="N762" s="391"/>
      <c r="O762" s="391"/>
      <c r="P762" s="391"/>
      <c r="Q762" s="391"/>
      <c r="R762" s="391"/>
    </row>
    <row r="763" spans="1:18">
      <c r="A763" s="978"/>
      <c r="B763" s="1009"/>
      <c r="C763" s="391"/>
      <c r="D763" s="391"/>
      <c r="E763" s="391"/>
      <c r="F763" s="391"/>
      <c r="G763" s="391"/>
      <c r="H763" s="391"/>
      <c r="I763" s="391"/>
      <c r="J763" s="1010"/>
      <c r="K763" s="978"/>
      <c r="L763" s="391"/>
      <c r="M763" s="978"/>
      <c r="N763" s="391"/>
      <c r="O763" s="391"/>
      <c r="P763" s="391"/>
      <c r="Q763" s="391"/>
      <c r="R763" s="391"/>
    </row>
    <row r="764" spans="1:18">
      <c r="A764" s="978"/>
      <c r="B764" s="1009"/>
      <c r="C764" s="391"/>
      <c r="D764" s="391"/>
      <c r="E764" s="391"/>
      <c r="F764" s="391"/>
      <c r="G764" s="391"/>
      <c r="H764" s="391"/>
      <c r="I764" s="391"/>
      <c r="J764" s="1010"/>
      <c r="K764" s="978"/>
      <c r="L764" s="391"/>
      <c r="M764" s="978"/>
      <c r="N764" s="391"/>
      <c r="O764" s="391"/>
      <c r="P764" s="391"/>
      <c r="Q764" s="391"/>
      <c r="R764" s="391"/>
    </row>
    <row r="765" spans="1:18">
      <c r="A765" s="978"/>
      <c r="B765" s="1009"/>
      <c r="C765" s="391"/>
      <c r="D765" s="391"/>
      <c r="E765" s="391"/>
      <c r="F765" s="391"/>
      <c r="G765" s="391"/>
      <c r="H765" s="391"/>
      <c r="I765" s="391"/>
      <c r="J765" s="1010"/>
      <c r="K765" s="978"/>
      <c r="L765" s="391"/>
      <c r="M765" s="978"/>
      <c r="N765" s="391"/>
      <c r="O765" s="391"/>
      <c r="P765" s="391"/>
      <c r="Q765" s="391"/>
      <c r="R765" s="391"/>
    </row>
    <row r="766" spans="1:18">
      <c r="A766" s="978"/>
      <c r="B766" s="1009"/>
      <c r="C766" s="391"/>
      <c r="D766" s="391"/>
      <c r="E766" s="391"/>
      <c r="F766" s="391"/>
      <c r="G766" s="391"/>
      <c r="H766" s="391"/>
      <c r="I766" s="391"/>
      <c r="J766" s="1010"/>
      <c r="K766" s="978"/>
      <c r="L766" s="391"/>
      <c r="M766" s="978"/>
      <c r="N766" s="391"/>
      <c r="O766" s="391"/>
      <c r="P766" s="391"/>
      <c r="Q766" s="391"/>
      <c r="R766" s="391"/>
    </row>
    <row r="767" spans="1:18">
      <c r="A767" s="978"/>
      <c r="B767" s="1009"/>
      <c r="C767" s="391"/>
      <c r="D767" s="391"/>
      <c r="E767" s="391"/>
      <c r="F767" s="391"/>
      <c r="G767" s="391"/>
      <c r="H767" s="391"/>
      <c r="I767" s="391"/>
      <c r="J767" s="1010"/>
      <c r="K767" s="978"/>
      <c r="L767" s="391"/>
      <c r="M767" s="978"/>
      <c r="N767" s="391"/>
      <c r="O767" s="391"/>
      <c r="P767" s="391"/>
      <c r="Q767" s="391"/>
      <c r="R767" s="391"/>
    </row>
    <row r="768" spans="1:18">
      <c r="A768" s="978"/>
      <c r="B768" s="1009"/>
      <c r="C768" s="391"/>
      <c r="D768" s="391"/>
      <c r="E768" s="391"/>
      <c r="F768" s="391"/>
      <c r="G768" s="391"/>
      <c r="H768" s="391"/>
      <c r="I768" s="391"/>
      <c r="J768" s="1010"/>
      <c r="K768" s="978"/>
      <c r="L768" s="391"/>
      <c r="M768" s="978"/>
      <c r="N768" s="391"/>
      <c r="O768" s="391"/>
      <c r="P768" s="391"/>
      <c r="Q768" s="391"/>
      <c r="R768" s="391"/>
    </row>
    <row r="769" spans="1:18">
      <c r="A769" s="978"/>
      <c r="B769" s="1009"/>
      <c r="C769" s="391"/>
      <c r="D769" s="391"/>
      <c r="E769" s="391"/>
      <c r="F769" s="391"/>
      <c r="G769" s="391"/>
      <c r="H769" s="391"/>
      <c r="I769" s="391"/>
      <c r="J769" s="1010"/>
      <c r="K769" s="978"/>
      <c r="L769" s="391"/>
      <c r="M769" s="978"/>
      <c r="N769" s="391"/>
      <c r="O769" s="391"/>
      <c r="P769" s="391"/>
      <c r="Q769" s="391"/>
      <c r="R769" s="391"/>
    </row>
    <row r="770" spans="1:18">
      <c r="A770" s="978"/>
      <c r="B770" s="1009"/>
      <c r="C770" s="391"/>
      <c r="D770" s="391"/>
      <c r="E770" s="391"/>
      <c r="F770" s="391"/>
      <c r="G770" s="391"/>
      <c r="H770" s="391"/>
      <c r="I770" s="391"/>
      <c r="J770" s="1010"/>
      <c r="K770" s="978"/>
      <c r="L770" s="391"/>
      <c r="M770" s="978"/>
      <c r="N770" s="391"/>
      <c r="O770" s="391"/>
      <c r="P770" s="391"/>
      <c r="Q770" s="391"/>
      <c r="R770" s="391"/>
    </row>
    <row r="771" spans="1:18">
      <c r="A771" s="978"/>
      <c r="B771" s="1009"/>
      <c r="C771" s="391"/>
      <c r="D771" s="391"/>
      <c r="E771" s="391"/>
      <c r="F771" s="391"/>
      <c r="G771" s="391"/>
      <c r="H771" s="391"/>
      <c r="I771" s="391"/>
      <c r="J771" s="1010"/>
      <c r="K771" s="978"/>
      <c r="L771" s="391"/>
      <c r="M771" s="978"/>
      <c r="N771" s="391"/>
      <c r="O771" s="391"/>
      <c r="P771" s="391"/>
      <c r="Q771" s="391"/>
      <c r="R771" s="391"/>
    </row>
    <row r="772" spans="1:18">
      <c r="A772" s="978"/>
      <c r="B772" s="1009"/>
      <c r="C772" s="391"/>
      <c r="D772" s="391"/>
      <c r="E772" s="391"/>
      <c r="F772" s="391"/>
      <c r="G772" s="391"/>
      <c r="H772" s="391"/>
      <c r="I772" s="391"/>
      <c r="J772" s="1010"/>
      <c r="K772" s="978"/>
      <c r="L772" s="391"/>
      <c r="M772" s="978"/>
      <c r="N772" s="391"/>
      <c r="O772" s="391"/>
      <c r="P772" s="391"/>
      <c r="Q772" s="391"/>
      <c r="R772" s="391"/>
    </row>
    <row r="773" spans="1:18">
      <c r="A773" s="978"/>
      <c r="B773" s="1009"/>
      <c r="C773" s="391"/>
      <c r="D773" s="391"/>
      <c r="E773" s="391"/>
      <c r="F773" s="391"/>
      <c r="G773" s="391"/>
      <c r="H773" s="391"/>
      <c r="I773" s="391"/>
      <c r="J773" s="1010"/>
      <c r="K773" s="978"/>
      <c r="L773" s="391"/>
      <c r="M773" s="978"/>
      <c r="N773" s="391"/>
      <c r="O773" s="391"/>
      <c r="P773" s="391"/>
      <c r="Q773" s="391"/>
      <c r="R773" s="391"/>
    </row>
    <row r="774" spans="1:18">
      <c r="A774" s="978"/>
      <c r="B774" s="1009"/>
      <c r="C774" s="391"/>
      <c r="D774" s="391"/>
      <c r="E774" s="391"/>
      <c r="F774" s="391"/>
      <c r="G774" s="391"/>
      <c r="H774" s="391"/>
      <c r="I774" s="391"/>
      <c r="J774" s="1010"/>
      <c r="K774" s="978"/>
      <c r="L774" s="391"/>
      <c r="M774" s="978"/>
      <c r="N774" s="391"/>
      <c r="O774" s="391"/>
      <c r="P774" s="391"/>
      <c r="Q774" s="391"/>
      <c r="R774" s="391"/>
    </row>
    <row r="775" spans="1:18">
      <c r="A775" s="978"/>
      <c r="B775" s="1009"/>
      <c r="C775" s="391"/>
      <c r="D775" s="391"/>
      <c r="E775" s="391"/>
      <c r="F775" s="391"/>
      <c r="G775" s="391"/>
      <c r="H775" s="391"/>
      <c r="I775" s="391"/>
      <c r="J775" s="1010"/>
      <c r="K775" s="978"/>
      <c r="L775" s="391"/>
      <c r="M775" s="978"/>
      <c r="N775" s="391"/>
      <c r="O775" s="391"/>
      <c r="P775" s="391"/>
      <c r="Q775" s="391"/>
      <c r="R775" s="391"/>
    </row>
    <row r="776" spans="1:18">
      <c r="A776" s="978"/>
      <c r="B776" s="1009"/>
      <c r="C776" s="391"/>
      <c r="D776" s="391"/>
      <c r="E776" s="391"/>
      <c r="F776" s="391"/>
      <c r="G776" s="391"/>
      <c r="H776" s="391"/>
      <c r="I776" s="391"/>
      <c r="J776" s="1010"/>
      <c r="K776" s="978"/>
      <c r="L776" s="391"/>
      <c r="M776" s="978"/>
      <c r="N776" s="391"/>
      <c r="O776" s="391"/>
      <c r="P776" s="391"/>
      <c r="Q776" s="391"/>
      <c r="R776" s="391"/>
    </row>
    <row r="777" spans="1:18">
      <c r="A777" s="978"/>
      <c r="B777" s="1009"/>
      <c r="C777" s="391"/>
      <c r="D777" s="391"/>
      <c r="E777" s="391"/>
      <c r="F777" s="391"/>
      <c r="G777" s="391"/>
      <c r="H777" s="391"/>
      <c r="I777" s="391"/>
      <c r="J777" s="1010"/>
      <c r="K777" s="978"/>
      <c r="L777" s="391"/>
      <c r="M777" s="978"/>
      <c r="N777" s="391"/>
      <c r="O777" s="391"/>
      <c r="P777" s="391"/>
      <c r="Q777" s="391"/>
      <c r="R777" s="391"/>
    </row>
    <row r="778" spans="1:18">
      <c r="A778" s="978"/>
      <c r="B778" s="1009"/>
      <c r="C778" s="391"/>
      <c r="D778" s="391"/>
      <c r="E778" s="391"/>
      <c r="F778" s="391"/>
      <c r="G778" s="391"/>
      <c r="H778" s="391"/>
      <c r="I778" s="391"/>
      <c r="J778" s="1010"/>
      <c r="K778" s="978"/>
      <c r="L778" s="391"/>
      <c r="M778" s="978"/>
      <c r="N778" s="391"/>
      <c r="O778" s="391"/>
      <c r="P778" s="391"/>
      <c r="Q778" s="391"/>
      <c r="R778" s="391"/>
    </row>
    <row r="779" spans="1:18">
      <c r="A779" s="978"/>
      <c r="B779" s="1009"/>
      <c r="C779" s="391"/>
      <c r="D779" s="391"/>
      <c r="E779" s="391"/>
      <c r="F779" s="391"/>
      <c r="G779" s="391"/>
      <c r="H779" s="391"/>
      <c r="I779" s="391"/>
      <c r="J779" s="1010"/>
      <c r="K779" s="978"/>
      <c r="L779" s="391"/>
      <c r="M779" s="978"/>
      <c r="N779" s="391"/>
      <c r="O779" s="391"/>
      <c r="P779" s="391"/>
      <c r="Q779" s="391"/>
      <c r="R779" s="391"/>
    </row>
    <row r="780" spans="1:18">
      <c r="A780" s="978"/>
      <c r="B780" s="1009"/>
      <c r="C780" s="391"/>
      <c r="D780" s="391"/>
      <c r="E780" s="391"/>
      <c r="F780" s="391"/>
      <c r="G780" s="391"/>
      <c r="H780" s="391"/>
      <c r="I780" s="391"/>
      <c r="J780" s="1010"/>
      <c r="K780" s="978"/>
      <c r="L780" s="391"/>
      <c r="M780" s="978"/>
      <c r="N780" s="391"/>
      <c r="O780" s="391"/>
      <c r="P780" s="391"/>
      <c r="Q780" s="391"/>
      <c r="R780" s="391"/>
    </row>
    <row r="781" spans="1:18">
      <c r="A781" s="978"/>
      <c r="B781" s="1009"/>
      <c r="C781" s="391"/>
      <c r="D781" s="391"/>
      <c r="E781" s="391"/>
      <c r="F781" s="391"/>
      <c r="G781" s="391"/>
      <c r="H781" s="391"/>
      <c r="I781" s="391"/>
      <c r="J781" s="1010"/>
      <c r="K781" s="978"/>
      <c r="L781" s="391"/>
      <c r="M781" s="978"/>
      <c r="N781" s="391"/>
      <c r="O781" s="391"/>
      <c r="P781" s="391"/>
      <c r="Q781" s="391"/>
      <c r="R781" s="391"/>
    </row>
    <row r="782" spans="1:18">
      <c r="A782" s="978"/>
      <c r="B782" s="1009"/>
      <c r="C782" s="391"/>
      <c r="D782" s="391"/>
      <c r="E782" s="391"/>
      <c r="F782" s="391"/>
      <c r="G782" s="391"/>
      <c r="H782" s="391"/>
      <c r="I782" s="391"/>
      <c r="J782" s="1010"/>
      <c r="K782" s="978"/>
      <c r="L782" s="391"/>
      <c r="M782" s="978"/>
      <c r="N782" s="391"/>
      <c r="O782" s="391"/>
      <c r="P782" s="391"/>
      <c r="Q782" s="391"/>
      <c r="R782" s="391"/>
    </row>
    <row r="783" spans="1:18">
      <c r="A783" s="978"/>
      <c r="B783" s="1009"/>
      <c r="C783" s="391"/>
      <c r="D783" s="391"/>
      <c r="E783" s="391"/>
      <c r="F783" s="391"/>
      <c r="G783" s="391"/>
      <c r="H783" s="391"/>
      <c r="I783" s="391"/>
      <c r="J783" s="1010"/>
      <c r="K783" s="978"/>
      <c r="L783" s="391"/>
      <c r="M783" s="978"/>
      <c r="N783" s="391"/>
      <c r="O783" s="391"/>
      <c r="P783" s="391"/>
      <c r="Q783" s="391"/>
      <c r="R783" s="391"/>
    </row>
    <row r="784" spans="1:18">
      <c r="A784" s="978"/>
      <c r="B784" s="1009"/>
      <c r="C784" s="391"/>
      <c r="D784" s="391"/>
      <c r="E784" s="391"/>
      <c r="F784" s="391"/>
      <c r="G784" s="391"/>
      <c r="H784" s="391"/>
      <c r="I784" s="391"/>
      <c r="J784" s="1010"/>
      <c r="K784" s="978"/>
      <c r="L784" s="391"/>
      <c r="M784" s="978"/>
      <c r="N784" s="391"/>
      <c r="O784" s="391"/>
      <c r="P784" s="391"/>
      <c r="Q784" s="391"/>
      <c r="R784" s="391"/>
    </row>
    <row r="785" spans="1:18">
      <c r="A785" s="978"/>
      <c r="B785" s="1009"/>
      <c r="C785" s="391"/>
      <c r="D785" s="391"/>
      <c r="E785" s="391"/>
      <c r="F785" s="391"/>
      <c r="G785" s="391"/>
      <c r="H785" s="391"/>
      <c r="I785" s="391"/>
      <c r="J785" s="1010"/>
      <c r="K785" s="978"/>
      <c r="L785" s="391"/>
      <c r="M785" s="978"/>
      <c r="N785" s="391"/>
      <c r="O785" s="391"/>
      <c r="P785" s="391"/>
      <c r="Q785" s="391"/>
      <c r="R785" s="391"/>
    </row>
    <row r="786" spans="1:18">
      <c r="A786" s="978"/>
      <c r="B786" s="1009"/>
      <c r="C786" s="391"/>
      <c r="D786" s="391"/>
      <c r="E786" s="391"/>
      <c r="F786" s="391"/>
      <c r="G786" s="391"/>
      <c r="H786" s="391"/>
      <c r="I786" s="391"/>
      <c r="J786" s="1010"/>
      <c r="K786" s="978"/>
      <c r="L786" s="391"/>
      <c r="M786" s="978"/>
      <c r="N786" s="391"/>
      <c r="O786" s="391"/>
      <c r="P786" s="391"/>
      <c r="Q786" s="391"/>
      <c r="R786" s="391"/>
    </row>
    <row r="787" spans="1:18">
      <c r="A787" s="978"/>
      <c r="B787" s="1009"/>
      <c r="C787" s="391"/>
      <c r="D787" s="391"/>
      <c r="E787" s="391"/>
      <c r="F787" s="391"/>
      <c r="G787" s="391"/>
      <c r="H787" s="391"/>
      <c r="I787" s="391"/>
      <c r="J787" s="1010"/>
      <c r="K787" s="978"/>
      <c r="L787" s="391"/>
      <c r="M787" s="978"/>
      <c r="N787" s="391"/>
      <c r="O787" s="391"/>
      <c r="P787" s="391"/>
      <c r="Q787" s="391"/>
      <c r="R787" s="391"/>
    </row>
    <row r="788" spans="1:18">
      <c r="A788" s="978"/>
      <c r="B788" s="1009"/>
      <c r="C788" s="391"/>
      <c r="D788" s="391"/>
      <c r="E788" s="391"/>
      <c r="F788" s="391"/>
      <c r="G788" s="391"/>
      <c r="H788" s="391"/>
      <c r="I788" s="391"/>
      <c r="J788" s="1010"/>
      <c r="K788" s="978"/>
      <c r="L788" s="391"/>
      <c r="M788" s="978"/>
      <c r="N788" s="391"/>
      <c r="O788" s="391"/>
      <c r="P788" s="391"/>
      <c r="Q788" s="391"/>
      <c r="R788" s="391"/>
    </row>
    <row r="789" spans="1:18">
      <c r="A789" s="978"/>
      <c r="B789" s="1009"/>
      <c r="C789" s="391"/>
      <c r="D789" s="391"/>
      <c r="E789" s="391"/>
      <c r="F789" s="391"/>
      <c r="G789" s="391"/>
      <c r="H789" s="391"/>
      <c r="I789" s="391"/>
      <c r="J789" s="1010"/>
      <c r="K789" s="978"/>
      <c r="L789" s="391"/>
      <c r="M789" s="978"/>
      <c r="N789" s="391"/>
      <c r="O789" s="391"/>
      <c r="P789" s="391"/>
      <c r="Q789" s="391"/>
      <c r="R789" s="391"/>
    </row>
    <row r="790" spans="1:18">
      <c r="A790" s="978"/>
      <c r="B790" s="1009"/>
      <c r="C790" s="391"/>
      <c r="D790" s="391"/>
      <c r="E790" s="391"/>
      <c r="F790" s="391"/>
      <c r="G790" s="391"/>
      <c r="H790" s="391"/>
      <c r="I790" s="391"/>
      <c r="J790" s="1010"/>
      <c r="K790" s="978"/>
      <c r="L790" s="391"/>
      <c r="M790" s="978"/>
      <c r="N790" s="391"/>
      <c r="O790" s="391"/>
      <c r="P790" s="391"/>
      <c r="Q790" s="391"/>
      <c r="R790" s="391"/>
    </row>
    <row r="791" spans="1:18">
      <c r="A791" s="978"/>
      <c r="B791" s="1009"/>
      <c r="C791" s="391"/>
      <c r="D791" s="391"/>
      <c r="E791" s="391"/>
      <c r="F791" s="391"/>
      <c r="G791" s="391"/>
      <c r="H791" s="391"/>
      <c r="I791" s="391"/>
      <c r="J791" s="1010"/>
      <c r="K791" s="978"/>
      <c r="L791" s="391"/>
      <c r="M791" s="978"/>
      <c r="N791" s="391"/>
      <c r="O791" s="391"/>
      <c r="P791" s="391"/>
      <c r="Q791" s="391"/>
      <c r="R791" s="391"/>
    </row>
    <row r="792" spans="1:18">
      <c r="A792" s="978"/>
      <c r="B792" s="1009"/>
      <c r="C792" s="391"/>
      <c r="D792" s="391"/>
      <c r="E792" s="391"/>
      <c r="F792" s="391"/>
      <c r="G792" s="391"/>
      <c r="H792" s="391"/>
      <c r="I792" s="391"/>
      <c r="J792" s="1010"/>
      <c r="K792" s="978"/>
      <c r="L792" s="391"/>
      <c r="M792" s="978"/>
      <c r="N792" s="391"/>
      <c r="O792" s="391"/>
      <c r="P792" s="391"/>
      <c r="Q792" s="391"/>
      <c r="R792" s="391"/>
    </row>
    <row r="793" spans="1:18">
      <c r="A793" s="978"/>
      <c r="B793" s="1009"/>
      <c r="C793" s="391"/>
      <c r="D793" s="391"/>
      <c r="E793" s="391"/>
      <c r="F793" s="391"/>
      <c r="G793" s="391"/>
      <c r="H793" s="391"/>
      <c r="I793" s="391"/>
      <c r="J793" s="1010"/>
      <c r="K793" s="978"/>
      <c r="L793" s="391"/>
      <c r="M793" s="978"/>
      <c r="N793" s="391"/>
      <c r="O793" s="391"/>
      <c r="P793" s="391"/>
      <c r="Q793" s="391"/>
      <c r="R793" s="391"/>
    </row>
    <row r="794" spans="1:18">
      <c r="A794" s="978"/>
      <c r="B794" s="1009"/>
      <c r="C794" s="391"/>
      <c r="D794" s="391"/>
      <c r="E794" s="391"/>
      <c r="F794" s="391"/>
      <c r="G794" s="391"/>
      <c r="H794" s="391"/>
      <c r="I794" s="391"/>
      <c r="J794" s="1010"/>
      <c r="K794" s="978"/>
      <c r="L794" s="391"/>
      <c r="M794" s="978"/>
      <c r="N794" s="391"/>
      <c r="O794" s="391"/>
      <c r="P794" s="391"/>
      <c r="Q794" s="391"/>
      <c r="R794" s="391"/>
    </row>
    <row r="795" spans="1:18">
      <c r="A795" s="978"/>
      <c r="B795" s="1009"/>
      <c r="C795" s="391"/>
      <c r="D795" s="391"/>
      <c r="E795" s="391"/>
      <c r="F795" s="391"/>
      <c r="G795" s="391"/>
      <c r="H795" s="391"/>
      <c r="I795" s="391"/>
      <c r="J795" s="1010"/>
      <c r="K795" s="978"/>
      <c r="L795" s="391"/>
      <c r="M795" s="978"/>
      <c r="N795" s="391"/>
      <c r="O795" s="391"/>
      <c r="P795" s="391"/>
      <c r="Q795" s="391"/>
      <c r="R795" s="391"/>
    </row>
    <row r="796" spans="1:18">
      <c r="A796" s="978"/>
      <c r="B796" s="1009"/>
      <c r="C796" s="391"/>
      <c r="D796" s="391"/>
      <c r="E796" s="391"/>
      <c r="F796" s="391"/>
      <c r="G796" s="391"/>
      <c r="H796" s="391"/>
      <c r="I796" s="391"/>
      <c r="J796" s="1010"/>
      <c r="K796" s="978"/>
      <c r="L796" s="391"/>
      <c r="M796" s="978"/>
      <c r="N796" s="391"/>
      <c r="O796" s="391"/>
      <c r="P796" s="391"/>
      <c r="Q796" s="391"/>
      <c r="R796" s="391"/>
    </row>
    <row r="797" spans="1:18">
      <c r="A797" s="978"/>
      <c r="B797" s="1009"/>
      <c r="C797" s="391"/>
      <c r="D797" s="391"/>
      <c r="E797" s="391"/>
      <c r="F797" s="391"/>
      <c r="G797" s="391"/>
      <c r="H797" s="391"/>
      <c r="I797" s="391"/>
      <c r="J797" s="1010"/>
      <c r="K797" s="978"/>
      <c r="L797" s="391"/>
      <c r="M797" s="978"/>
      <c r="N797" s="391"/>
      <c r="O797" s="391"/>
      <c r="P797" s="391"/>
      <c r="Q797" s="391"/>
      <c r="R797" s="391"/>
    </row>
    <row r="798" spans="1:18">
      <c r="A798" s="978"/>
      <c r="B798" s="1009"/>
      <c r="C798" s="391"/>
      <c r="D798" s="391"/>
      <c r="E798" s="391"/>
      <c r="F798" s="391"/>
      <c r="G798" s="391"/>
      <c r="H798" s="391"/>
      <c r="I798" s="391"/>
      <c r="J798" s="1010"/>
      <c r="K798" s="978"/>
      <c r="L798" s="391"/>
      <c r="M798" s="978"/>
      <c r="N798" s="391"/>
      <c r="O798" s="391"/>
      <c r="P798" s="391"/>
      <c r="Q798" s="391"/>
      <c r="R798" s="391"/>
    </row>
    <row r="799" spans="1:18">
      <c r="A799" s="978"/>
      <c r="B799" s="1009"/>
      <c r="C799" s="391"/>
      <c r="D799" s="391"/>
      <c r="E799" s="391"/>
      <c r="F799" s="391"/>
      <c r="G799" s="391"/>
      <c r="H799" s="391"/>
      <c r="I799" s="391"/>
      <c r="J799" s="1010"/>
      <c r="K799" s="978"/>
      <c r="L799" s="391"/>
      <c r="M799" s="978"/>
      <c r="N799" s="391"/>
      <c r="O799" s="391"/>
      <c r="P799" s="391"/>
      <c r="Q799" s="391"/>
      <c r="R799" s="391"/>
    </row>
    <row r="800" spans="1:18">
      <c r="A800" s="978"/>
      <c r="B800" s="1009"/>
      <c r="C800" s="391"/>
      <c r="D800" s="391"/>
      <c r="E800" s="391"/>
      <c r="F800" s="391"/>
      <c r="G800" s="391"/>
      <c r="H800" s="391"/>
      <c r="I800" s="391"/>
      <c r="J800" s="1010"/>
      <c r="K800" s="978"/>
      <c r="L800" s="391"/>
      <c r="M800" s="978"/>
      <c r="N800" s="391"/>
      <c r="O800" s="391"/>
      <c r="P800" s="391"/>
      <c r="Q800" s="391"/>
      <c r="R800" s="391"/>
    </row>
    <row r="801" spans="1:18">
      <c r="A801" s="978"/>
      <c r="B801" s="1009"/>
      <c r="C801" s="391"/>
      <c r="D801" s="391"/>
      <c r="E801" s="391"/>
      <c r="F801" s="391"/>
      <c r="G801" s="391"/>
      <c r="H801" s="391"/>
      <c r="I801" s="391"/>
      <c r="J801" s="1010"/>
      <c r="K801" s="978"/>
      <c r="L801" s="391"/>
      <c r="M801" s="978"/>
      <c r="N801" s="391"/>
      <c r="O801" s="391"/>
      <c r="P801" s="391"/>
      <c r="Q801" s="391"/>
      <c r="R801" s="391"/>
    </row>
    <row r="802" spans="1:18">
      <c r="A802" s="978"/>
      <c r="B802" s="1009"/>
      <c r="C802" s="391"/>
      <c r="D802" s="391"/>
      <c r="E802" s="391"/>
      <c r="F802" s="391"/>
      <c r="G802" s="391"/>
      <c r="H802" s="391"/>
      <c r="I802" s="391"/>
      <c r="J802" s="1010"/>
      <c r="K802" s="978"/>
      <c r="L802" s="391"/>
      <c r="M802" s="978"/>
      <c r="N802" s="391"/>
      <c r="O802" s="391"/>
      <c r="P802" s="391"/>
      <c r="Q802" s="391"/>
      <c r="R802" s="391"/>
    </row>
    <row r="803" spans="1:18">
      <c r="A803" s="978"/>
      <c r="B803" s="1009"/>
      <c r="C803" s="391"/>
      <c r="D803" s="391"/>
      <c r="E803" s="391"/>
      <c r="F803" s="391"/>
      <c r="G803" s="391"/>
      <c r="H803" s="391"/>
      <c r="I803" s="391"/>
      <c r="J803" s="1010"/>
      <c r="K803" s="978"/>
      <c r="L803" s="391"/>
      <c r="M803" s="978"/>
      <c r="N803" s="391"/>
      <c r="O803" s="391"/>
      <c r="P803" s="391"/>
      <c r="Q803" s="391"/>
      <c r="R803" s="391"/>
    </row>
    <row r="804" spans="1:18">
      <c r="A804" s="978"/>
      <c r="B804" s="1009"/>
      <c r="C804" s="391"/>
      <c r="D804" s="391"/>
      <c r="E804" s="391"/>
      <c r="F804" s="391"/>
      <c r="G804" s="391"/>
      <c r="H804" s="391"/>
      <c r="I804" s="391"/>
      <c r="J804" s="1010"/>
      <c r="K804" s="978"/>
      <c r="L804" s="391"/>
      <c r="M804" s="978"/>
      <c r="N804" s="391"/>
      <c r="O804" s="391"/>
      <c r="P804" s="391"/>
      <c r="Q804" s="391"/>
      <c r="R804" s="391"/>
    </row>
    <row r="805" spans="1:18">
      <c r="A805" s="978"/>
      <c r="B805" s="1009"/>
      <c r="C805" s="391"/>
      <c r="D805" s="391"/>
      <c r="E805" s="391"/>
      <c r="F805" s="391"/>
      <c r="G805" s="391"/>
      <c r="H805" s="391"/>
      <c r="I805" s="391"/>
      <c r="J805" s="1010"/>
      <c r="K805" s="978"/>
      <c r="L805" s="391"/>
      <c r="M805" s="978"/>
      <c r="N805" s="391"/>
      <c r="O805" s="391"/>
      <c r="P805" s="391"/>
      <c r="Q805" s="391"/>
      <c r="R805" s="391"/>
    </row>
    <row r="806" spans="1:18">
      <c r="A806" s="978"/>
      <c r="B806" s="1009"/>
      <c r="C806" s="391"/>
      <c r="D806" s="391"/>
      <c r="E806" s="391"/>
      <c r="F806" s="391"/>
      <c r="G806" s="391"/>
      <c r="H806" s="391"/>
      <c r="I806" s="391"/>
      <c r="J806" s="1010"/>
      <c r="K806" s="978"/>
      <c r="L806" s="391"/>
      <c r="M806" s="978"/>
      <c r="N806" s="391"/>
      <c r="O806" s="391"/>
      <c r="P806" s="391"/>
      <c r="Q806" s="391"/>
      <c r="R806" s="391"/>
    </row>
    <row r="807" spans="1:18">
      <c r="A807" s="978"/>
      <c r="B807" s="1009"/>
      <c r="C807" s="391"/>
      <c r="D807" s="391"/>
      <c r="E807" s="391"/>
      <c r="F807" s="391"/>
      <c r="G807" s="391"/>
      <c r="H807" s="391"/>
      <c r="I807" s="391"/>
      <c r="J807" s="1010"/>
      <c r="K807" s="978"/>
      <c r="L807" s="391"/>
      <c r="M807" s="978"/>
      <c r="N807" s="391"/>
      <c r="O807" s="391"/>
      <c r="P807" s="391"/>
      <c r="Q807" s="391"/>
      <c r="R807" s="391"/>
    </row>
    <row r="808" spans="1:18">
      <c r="A808" s="978"/>
      <c r="B808" s="1009"/>
      <c r="C808" s="391"/>
      <c r="D808" s="391"/>
      <c r="E808" s="391"/>
      <c r="F808" s="391"/>
      <c r="G808" s="391"/>
      <c r="H808" s="391"/>
      <c r="I808" s="391"/>
      <c r="J808" s="1010"/>
      <c r="K808" s="978"/>
      <c r="L808" s="391"/>
      <c r="M808" s="978"/>
      <c r="N808" s="391"/>
      <c r="O808" s="391"/>
      <c r="P808" s="391"/>
      <c r="Q808" s="391"/>
      <c r="R808" s="391"/>
    </row>
    <row r="809" spans="1:18">
      <c r="A809" s="978"/>
      <c r="B809" s="1009"/>
      <c r="C809" s="391"/>
      <c r="D809" s="391"/>
      <c r="E809" s="391"/>
      <c r="F809" s="391"/>
      <c r="G809" s="391"/>
      <c r="H809" s="391"/>
      <c r="I809" s="391"/>
      <c r="J809" s="1010"/>
      <c r="K809" s="978"/>
      <c r="L809" s="391"/>
      <c r="M809" s="978"/>
      <c r="N809" s="391"/>
      <c r="O809" s="391"/>
      <c r="P809" s="391"/>
      <c r="Q809" s="391"/>
      <c r="R809" s="391"/>
    </row>
    <row r="810" spans="1:18">
      <c r="A810" s="978"/>
      <c r="B810" s="1009"/>
      <c r="C810" s="391"/>
      <c r="D810" s="391"/>
      <c r="E810" s="391"/>
      <c r="F810" s="391"/>
      <c r="G810" s="391"/>
      <c r="H810" s="391"/>
      <c r="I810" s="391"/>
      <c r="J810" s="1010"/>
      <c r="K810" s="978"/>
      <c r="L810" s="391"/>
      <c r="M810" s="978"/>
      <c r="N810" s="391"/>
      <c r="O810" s="391"/>
      <c r="P810" s="391"/>
      <c r="Q810" s="391"/>
      <c r="R810" s="391"/>
    </row>
    <row r="811" spans="1:18">
      <c r="A811" s="978"/>
      <c r="B811" s="1009"/>
      <c r="C811" s="391"/>
      <c r="D811" s="391"/>
      <c r="E811" s="391"/>
      <c r="F811" s="391"/>
      <c r="G811" s="391"/>
      <c r="H811" s="391"/>
      <c r="I811" s="391"/>
      <c r="J811" s="1010"/>
      <c r="K811" s="978"/>
      <c r="L811" s="391"/>
      <c r="M811" s="978"/>
      <c r="N811" s="391"/>
      <c r="O811" s="391"/>
      <c r="P811" s="391"/>
      <c r="Q811" s="391"/>
      <c r="R811" s="391"/>
    </row>
    <row r="812" spans="1:18">
      <c r="A812" s="978"/>
      <c r="B812" s="1009"/>
      <c r="C812" s="391"/>
      <c r="D812" s="391"/>
      <c r="E812" s="391"/>
      <c r="F812" s="391"/>
      <c r="G812" s="391"/>
      <c r="H812" s="391"/>
      <c r="I812" s="391"/>
      <c r="J812" s="1010"/>
      <c r="K812" s="978"/>
      <c r="L812" s="391"/>
      <c r="M812" s="978"/>
      <c r="N812" s="391"/>
      <c r="O812" s="391"/>
      <c r="P812" s="391"/>
      <c r="Q812" s="391"/>
      <c r="R812" s="391"/>
    </row>
    <row r="813" spans="1:18">
      <c r="A813" s="978"/>
      <c r="B813" s="1009"/>
      <c r="C813" s="391"/>
      <c r="D813" s="391"/>
      <c r="E813" s="391"/>
      <c r="F813" s="391"/>
      <c r="G813" s="391"/>
      <c r="H813" s="391"/>
      <c r="I813" s="391"/>
      <c r="J813" s="1010"/>
      <c r="K813" s="978"/>
      <c r="L813" s="391"/>
      <c r="M813" s="978"/>
      <c r="N813" s="391"/>
      <c r="O813" s="391"/>
      <c r="P813" s="391"/>
      <c r="Q813" s="391"/>
      <c r="R813" s="391"/>
    </row>
    <row r="814" spans="1:18">
      <c r="A814" s="978"/>
      <c r="B814" s="1009"/>
      <c r="C814" s="391"/>
      <c r="D814" s="391"/>
      <c r="E814" s="391"/>
      <c r="F814" s="391"/>
      <c r="G814" s="391"/>
      <c r="H814" s="391"/>
      <c r="I814" s="391"/>
      <c r="J814" s="1010"/>
      <c r="K814" s="978"/>
      <c r="L814" s="391"/>
      <c r="M814" s="978"/>
      <c r="N814" s="391"/>
      <c r="O814" s="391"/>
      <c r="P814" s="391"/>
      <c r="Q814" s="391"/>
      <c r="R814" s="391"/>
    </row>
    <row r="815" spans="1:18">
      <c r="A815" s="978"/>
      <c r="B815" s="1009"/>
      <c r="C815" s="391"/>
      <c r="D815" s="391"/>
      <c r="E815" s="391"/>
      <c r="F815" s="391"/>
      <c r="G815" s="391"/>
      <c r="H815" s="391"/>
      <c r="I815" s="391"/>
      <c r="J815" s="1010"/>
      <c r="K815" s="978"/>
      <c r="L815" s="391"/>
      <c r="M815" s="978"/>
      <c r="N815" s="391"/>
      <c r="O815" s="391"/>
      <c r="P815" s="391"/>
      <c r="Q815" s="391"/>
      <c r="R815" s="391"/>
    </row>
    <row r="816" spans="1:18">
      <c r="A816" s="978"/>
      <c r="B816" s="1009"/>
      <c r="C816" s="391"/>
      <c r="D816" s="391"/>
      <c r="E816" s="391"/>
      <c r="F816" s="391"/>
      <c r="G816" s="391"/>
      <c r="H816" s="391"/>
      <c r="I816" s="391"/>
      <c r="J816" s="1010"/>
      <c r="K816" s="978"/>
      <c r="L816" s="391"/>
      <c r="M816" s="978"/>
      <c r="N816" s="391"/>
      <c r="O816" s="391"/>
      <c r="P816" s="391"/>
      <c r="Q816" s="391"/>
      <c r="R816" s="391"/>
    </row>
    <row r="817" spans="1:18">
      <c r="A817" s="978"/>
      <c r="B817" s="1009"/>
      <c r="C817" s="391"/>
      <c r="D817" s="391"/>
      <c r="E817" s="391"/>
      <c r="F817" s="391"/>
      <c r="G817" s="391"/>
      <c r="H817" s="391"/>
      <c r="I817" s="391"/>
      <c r="J817" s="1010"/>
      <c r="K817" s="978"/>
      <c r="L817" s="391"/>
      <c r="M817" s="978"/>
      <c r="N817" s="391"/>
      <c r="O817" s="391"/>
      <c r="P817" s="391"/>
      <c r="Q817" s="391"/>
      <c r="R817" s="391"/>
    </row>
    <row r="818" spans="1:18">
      <c r="A818" s="978"/>
      <c r="B818" s="1009"/>
      <c r="C818" s="391"/>
      <c r="D818" s="391"/>
      <c r="E818" s="391"/>
      <c r="F818" s="391"/>
      <c r="G818" s="391"/>
      <c r="H818" s="391"/>
      <c r="I818" s="391"/>
      <c r="J818" s="1010"/>
      <c r="K818" s="978"/>
      <c r="L818" s="391"/>
      <c r="M818" s="978"/>
      <c r="N818" s="391"/>
      <c r="O818" s="391"/>
      <c r="P818" s="391"/>
      <c r="Q818" s="391"/>
      <c r="R818" s="391"/>
    </row>
    <row r="819" spans="1:18">
      <c r="A819" s="978"/>
      <c r="B819" s="1009"/>
      <c r="C819" s="391"/>
      <c r="D819" s="391"/>
      <c r="E819" s="391"/>
      <c r="F819" s="391"/>
      <c r="G819" s="391"/>
      <c r="H819" s="391"/>
      <c r="I819" s="391"/>
      <c r="J819" s="1010"/>
      <c r="K819" s="978"/>
      <c r="L819" s="391"/>
      <c r="M819" s="978"/>
      <c r="N819" s="391"/>
      <c r="O819" s="391"/>
      <c r="P819" s="391"/>
      <c r="Q819" s="391"/>
      <c r="R819" s="391"/>
    </row>
    <row r="820" spans="1:18">
      <c r="A820" s="978"/>
      <c r="B820" s="1009"/>
      <c r="C820" s="391"/>
      <c r="D820" s="391"/>
      <c r="E820" s="391"/>
      <c r="F820" s="391"/>
      <c r="G820" s="391"/>
      <c r="H820" s="391"/>
      <c r="I820" s="391"/>
      <c r="J820" s="1010"/>
      <c r="K820" s="978"/>
      <c r="L820" s="391"/>
      <c r="M820" s="978"/>
      <c r="N820" s="391"/>
      <c r="O820" s="391"/>
      <c r="P820" s="391"/>
      <c r="Q820" s="391"/>
      <c r="R820" s="391"/>
    </row>
    <row r="821" spans="1:18">
      <c r="A821" s="978"/>
      <c r="B821" s="1009"/>
      <c r="C821" s="391"/>
      <c r="D821" s="391"/>
      <c r="E821" s="391"/>
      <c r="F821" s="391"/>
      <c r="G821" s="391"/>
      <c r="H821" s="391"/>
      <c r="I821" s="391"/>
      <c r="J821" s="1010"/>
      <c r="K821" s="978"/>
      <c r="L821" s="391"/>
      <c r="M821" s="978"/>
      <c r="N821" s="391"/>
      <c r="O821" s="391"/>
      <c r="P821" s="391"/>
      <c r="Q821" s="391"/>
      <c r="R821" s="391"/>
    </row>
    <row r="822" spans="1:18">
      <c r="A822" s="978"/>
      <c r="B822" s="1009"/>
      <c r="C822" s="391"/>
      <c r="D822" s="391"/>
      <c r="E822" s="391"/>
      <c r="F822" s="391"/>
      <c r="G822" s="391"/>
      <c r="H822" s="391"/>
      <c r="I822" s="391"/>
      <c r="J822" s="1010"/>
      <c r="K822" s="978"/>
      <c r="L822" s="391"/>
      <c r="M822" s="978"/>
      <c r="N822" s="391"/>
      <c r="O822" s="391"/>
      <c r="P822" s="391"/>
      <c r="Q822" s="391"/>
      <c r="R822" s="391"/>
    </row>
    <row r="823" spans="1:18">
      <c r="A823" s="978"/>
      <c r="B823" s="1009"/>
      <c r="C823" s="391"/>
      <c r="D823" s="391"/>
      <c r="E823" s="391"/>
      <c r="F823" s="391"/>
      <c r="G823" s="391"/>
      <c r="H823" s="391"/>
      <c r="I823" s="391"/>
      <c r="J823" s="1010"/>
      <c r="K823" s="978"/>
      <c r="L823" s="391"/>
      <c r="M823" s="978"/>
      <c r="N823" s="391"/>
      <c r="O823" s="391"/>
      <c r="P823" s="391"/>
      <c r="Q823" s="391"/>
      <c r="R823" s="391"/>
    </row>
    <row r="824" spans="1:18">
      <c r="A824" s="978"/>
      <c r="B824" s="1009"/>
      <c r="C824" s="391"/>
      <c r="D824" s="391"/>
      <c r="E824" s="391"/>
      <c r="F824" s="391"/>
      <c r="G824" s="391"/>
      <c r="H824" s="391"/>
      <c r="I824" s="391"/>
      <c r="J824" s="1010"/>
      <c r="K824" s="978"/>
      <c r="L824" s="391"/>
      <c r="M824" s="978"/>
      <c r="N824" s="391"/>
      <c r="O824" s="391"/>
      <c r="P824" s="391"/>
      <c r="Q824" s="391"/>
      <c r="R824" s="391"/>
    </row>
    <row r="825" spans="1:18">
      <c r="A825" s="978"/>
      <c r="B825" s="1009"/>
      <c r="C825" s="391"/>
      <c r="D825" s="391"/>
      <c r="E825" s="391"/>
      <c r="F825" s="391"/>
      <c r="G825" s="391"/>
      <c r="H825" s="391"/>
      <c r="I825" s="391"/>
      <c r="J825" s="1010"/>
      <c r="K825" s="978"/>
      <c r="L825" s="391"/>
      <c r="M825" s="978"/>
      <c r="N825" s="391"/>
      <c r="O825" s="391"/>
      <c r="P825" s="391"/>
      <c r="Q825" s="391"/>
      <c r="R825" s="391"/>
    </row>
    <row r="826" spans="1:18">
      <c r="A826" s="978"/>
      <c r="B826" s="1009"/>
      <c r="C826" s="391"/>
      <c r="D826" s="391"/>
      <c r="E826" s="391"/>
      <c r="F826" s="391"/>
      <c r="G826" s="391"/>
      <c r="H826" s="391"/>
      <c r="I826" s="391"/>
      <c r="J826" s="1010"/>
      <c r="K826" s="978"/>
      <c r="L826" s="391"/>
      <c r="M826" s="978"/>
      <c r="N826" s="391"/>
      <c r="O826" s="391"/>
      <c r="P826" s="391"/>
      <c r="Q826" s="391"/>
      <c r="R826" s="391"/>
    </row>
    <row r="827" spans="1:18">
      <c r="A827" s="978"/>
      <c r="B827" s="1009"/>
      <c r="C827" s="391"/>
      <c r="D827" s="391"/>
      <c r="E827" s="391"/>
      <c r="F827" s="391"/>
      <c r="G827" s="391"/>
      <c r="H827" s="391"/>
      <c r="I827" s="391"/>
      <c r="J827" s="1010"/>
      <c r="K827" s="978"/>
      <c r="L827" s="391"/>
      <c r="M827" s="978"/>
      <c r="N827" s="391"/>
      <c r="O827" s="391"/>
      <c r="P827" s="391"/>
      <c r="Q827" s="391"/>
      <c r="R827" s="391"/>
    </row>
    <row r="828" spans="1:18">
      <c r="A828" s="978"/>
      <c r="B828" s="1009"/>
      <c r="C828" s="391"/>
      <c r="D828" s="391"/>
      <c r="E828" s="391"/>
      <c r="F828" s="391"/>
      <c r="G828" s="391"/>
      <c r="H828" s="391"/>
      <c r="I828" s="391"/>
      <c r="J828" s="1010"/>
      <c r="K828" s="978"/>
      <c r="L828" s="391"/>
      <c r="M828" s="978"/>
      <c r="N828" s="391"/>
      <c r="O828" s="391"/>
      <c r="P828" s="391"/>
      <c r="Q828" s="391"/>
      <c r="R828" s="391"/>
    </row>
    <row r="829" spans="1:18">
      <c r="A829" s="978"/>
      <c r="B829" s="1009"/>
      <c r="C829" s="391"/>
      <c r="D829" s="391"/>
      <c r="E829" s="391"/>
      <c r="F829" s="391"/>
      <c r="G829" s="391"/>
      <c r="H829" s="391"/>
      <c r="I829" s="391"/>
      <c r="J829" s="1010"/>
      <c r="K829" s="978"/>
      <c r="L829" s="391"/>
      <c r="M829" s="978"/>
      <c r="N829" s="391"/>
      <c r="O829" s="391"/>
      <c r="P829" s="391"/>
      <c r="Q829" s="391"/>
      <c r="R829" s="391"/>
    </row>
    <row r="830" spans="1:18">
      <c r="A830" s="978"/>
      <c r="B830" s="1009"/>
      <c r="C830" s="391"/>
      <c r="D830" s="391"/>
      <c r="E830" s="391"/>
      <c r="F830" s="391"/>
      <c r="G830" s="391"/>
      <c r="H830" s="391"/>
      <c r="I830" s="391"/>
      <c r="J830" s="1010"/>
      <c r="K830" s="978"/>
      <c r="L830" s="391"/>
      <c r="M830" s="978"/>
      <c r="N830" s="391"/>
      <c r="O830" s="391"/>
      <c r="P830" s="391"/>
      <c r="Q830" s="391"/>
      <c r="R830" s="391"/>
    </row>
    <row r="831" spans="1:18">
      <c r="A831" s="978"/>
      <c r="B831" s="1009"/>
      <c r="C831" s="391"/>
      <c r="D831" s="391"/>
      <c r="E831" s="391"/>
      <c r="F831" s="391"/>
      <c r="G831" s="391"/>
      <c r="H831" s="391"/>
      <c r="I831" s="391"/>
      <c r="J831" s="1010"/>
      <c r="K831" s="978"/>
      <c r="L831" s="391"/>
      <c r="M831" s="978"/>
      <c r="N831" s="391"/>
      <c r="O831" s="391"/>
      <c r="P831" s="391"/>
      <c r="Q831" s="391"/>
      <c r="R831" s="391"/>
    </row>
    <row r="832" spans="1:18">
      <c r="A832" s="978"/>
      <c r="B832" s="1009"/>
      <c r="C832" s="391"/>
      <c r="D832" s="391"/>
      <c r="E832" s="391"/>
      <c r="F832" s="391"/>
      <c r="G832" s="391"/>
      <c r="H832" s="391"/>
      <c r="I832" s="391"/>
      <c r="J832" s="1010"/>
      <c r="K832" s="978"/>
      <c r="L832" s="391"/>
      <c r="M832" s="978"/>
      <c r="N832" s="391"/>
      <c r="O832" s="391"/>
      <c r="P832" s="391"/>
      <c r="Q832" s="391"/>
      <c r="R832" s="391"/>
    </row>
    <row r="833" spans="1:18">
      <c r="A833" s="978"/>
      <c r="B833" s="1009"/>
      <c r="C833" s="391"/>
      <c r="D833" s="391"/>
      <c r="E833" s="391"/>
      <c r="F833" s="391"/>
      <c r="G833" s="391"/>
      <c r="H833" s="391"/>
      <c r="I833" s="391"/>
      <c r="J833" s="1010"/>
      <c r="K833" s="978"/>
      <c r="L833" s="391"/>
      <c r="M833" s="978"/>
      <c r="N833" s="391"/>
      <c r="O833" s="391"/>
      <c r="P833" s="391"/>
      <c r="Q833" s="391"/>
      <c r="R833" s="391"/>
    </row>
    <row r="834" spans="1:18">
      <c r="A834" s="978"/>
      <c r="B834" s="1009"/>
      <c r="C834" s="391"/>
      <c r="D834" s="391"/>
      <c r="E834" s="391"/>
      <c r="F834" s="391"/>
      <c r="G834" s="391"/>
      <c r="H834" s="391"/>
      <c r="I834" s="391"/>
      <c r="J834" s="1010"/>
      <c r="K834" s="978"/>
      <c r="L834" s="391"/>
      <c r="M834" s="978"/>
      <c r="N834" s="391"/>
      <c r="O834" s="391"/>
      <c r="P834" s="391"/>
      <c r="Q834" s="391"/>
      <c r="R834" s="391"/>
    </row>
    <row r="835" spans="1:18">
      <c r="A835" s="978"/>
      <c r="B835" s="1009"/>
      <c r="C835" s="391"/>
      <c r="D835" s="391"/>
      <c r="E835" s="391"/>
      <c r="F835" s="391"/>
      <c r="G835" s="391"/>
      <c r="H835" s="391"/>
      <c r="I835" s="391"/>
      <c r="J835" s="1010"/>
      <c r="K835" s="978"/>
      <c r="L835" s="391"/>
      <c r="M835" s="978"/>
      <c r="N835" s="391"/>
      <c r="O835" s="391"/>
      <c r="P835" s="391"/>
      <c r="Q835" s="391"/>
      <c r="R835" s="391"/>
    </row>
    <row r="836" spans="1:18">
      <c r="A836" s="978"/>
      <c r="B836" s="1009"/>
      <c r="C836" s="391"/>
      <c r="D836" s="391"/>
      <c r="E836" s="391"/>
      <c r="F836" s="391"/>
      <c r="G836" s="391"/>
      <c r="H836" s="391"/>
      <c r="I836" s="391"/>
      <c r="J836" s="1010"/>
      <c r="K836" s="978"/>
      <c r="L836" s="391"/>
      <c r="M836" s="978"/>
      <c r="N836" s="391"/>
      <c r="O836" s="391"/>
      <c r="P836" s="391"/>
      <c r="Q836" s="391"/>
      <c r="R836" s="391"/>
    </row>
    <row r="837" spans="1:18">
      <c r="A837" s="978"/>
      <c r="B837" s="1009"/>
      <c r="C837" s="391"/>
      <c r="D837" s="391"/>
      <c r="E837" s="391"/>
      <c r="F837" s="391"/>
      <c r="G837" s="391"/>
      <c r="H837" s="391"/>
      <c r="I837" s="391"/>
      <c r="J837" s="1010"/>
      <c r="K837" s="978"/>
      <c r="L837" s="391"/>
      <c r="M837" s="978"/>
      <c r="N837" s="391"/>
      <c r="O837" s="391"/>
      <c r="P837" s="391"/>
      <c r="Q837" s="391"/>
      <c r="R837" s="391"/>
    </row>
    <row r="838" spans="1:18">
      <c r="A838" s="978"/>
      <c r="B838" s="1009"/>
      <c r="C838" s="391"/>
      <c r="D838" s="391"/>
      <c r="E838" s="391"/>
      <c r="F838" s="391"/>
      <c r="G838" s="391"/>
      <c r="H838" s="391"/>
      <c r="I838" s="391"/>
      <c r="J838" s="1010"/>
      <c r="K838" s="978"/>
      <c r="L838" s="391"/>
      <c r="M838" s="978"/>
      <c r="N838" s="391"/>
      <c r="O838" s="391"/>
      <c r="P838" s="391"/>
      <c r="Q838" s="391"/>
      <c r="R838" s="391"/>
    </row>
    <row r="839" spans="1:18">
      <c r="A839" s="978"/>
      <c r="B839" s="1009"/>
      <c r="C839" s="391"/>
      <c r="D839" s="391"/>
      <c r="E839" s="391"/>
      <c r="F839" s="391"/>
      <c r="G839" s="391"/>
      <c r="H839" s="391"/>
      <c r="I839" s="391"/>
      <c r="J839" s="1010"/>
      <c r="K839" s="978"/>
      <c r="L839" s="391"/>
      <c r="M839" s="978"/>
      <c r="N839" s="391"/>
      <c r="O839" s="391"/>
      <c r="P839" s="391"/>
      <c r="Q839" s="391"/>
      <c r="R839" s="391"/>
    </row>
    <row r="840" spans="1:18">
      <c r="A840" s="978"/>
      <c r="B840" s="1009"/>
      <c r="C840" s="391"/>
      <c r="D840" s="391"/>
      <c r="E840" s="391"/>
      <c r="F840" s="391"/>
      <c r="G840" s="391"/>
      <c r="H840" s="391"/>
      <c r="I840" s="391"/>
      <c r="J840" s="1010"/>
      <c r="K840" s="978"/>
      <c r="L840" s="391"/>
      <c r="M840" s="978"/>
      <c r="N840" s="391"/>
      <c r="O840" s="391"/>
      <c r="P840" s="391"/>
      <c r="Q840" s="391"/>
      <c r="R840" s="391"/>
    </row>
    <row r="841" spans="1:18">
      <c r="A841" s="978"/>
      <c r="B841" s="1009"/>
      <c r="C841" s="391"/>
      <c r="D841" s="391"/>
      <c r="E841" s="391"/>
      <c r="F841" s="391"/>
      <c r="G841" s="391"/>
      <c r="H841" s="391"/>
      <c r="I841" s="391"/>
      <c r="J841" s="1010"/>
      <c r="K841" s="978"/>
      <c r="L841" s="391"/>
      <c r="M841" s="978"/>
      <c r="N841" s="391"/>
      <c r="O841" s="391"/>
      <c r="P841" s="391"/>
      <c r="Q841" s="391"/>
      <c r="R841" s="391"/>
    </row>
    <row r="842" spans="1:18">
      <c r="A842" s="978"/>
      <c r="B842" s="1009"/>
      <c r="C842" s="391"/>
      <c r="D842" s="391"/>
      <c r="E842" s="391"/>
      <c r="F842" s="391"/>
      <c r="G842" s="391"/>
      <c r="H842" s="391"/>
      <c r="I842" s="391"/>
      <c r="J842" s="1010"/>
      <c r="K842" s="978"/>
      <c r="L842" s="391"/>
      <c r="M842" s="978"/>
      <c r="N842" s="391"/>
      <c r="O842" s="391"/>
      <c r="P842" s="391"/>
      <c r="Q842" s="391"/>
      <c r="R842" s="391"/>
    </row>
    <row r="843" spans="1:18">
      <c r="A843" s="978"/>
      <c r="B843" s="1009"/>
      <c r="C843" s="391"/>
      <c r="D843" s="391"/>
      <c r="E843" s="391"/>
      <c r="F843" s="391"/>
      <c r="G843" s="391"/>
      <c r="H843" s="391"/>
      <c r="I843" s="391"/>
      <c r="J843" s="1010"/>
      <c r="K843" s="978"/>
      <c r="L843" s="391"/>
      <c r="M843" s="978"/>
      <c r="N843" s="391"/>
      <c r="O843" s="391"/>
      <c r="P843" s="391"/>
      <c r="Q843" s="391"/>
      <c r="R843" s="391"/>
    </row>
    <row r="844" spans="1:18">
      <c r="A844" s="978"/>
      <c r="B844" s="1009"/>
      <c r="C844" s="391"/>
      <c r="D844" s="391"/>
      <c r="E844" s="391"/>
      <c r="F844" s="391"/>
      <c r="G844" s="391"/>
      <c r="H844" s="391"/>
      <c r="I844" s="391"/>
      <c r="J844" s="1010"/>
      <c r="K844" s="978"/>
      <c r="L844" s="391"/>
      <c r="M844" s="978"/>
      <c r="N844" s="391"/>
      <c r="O844" s="391"/>
      <c r="P844" s="391"/>
      <c r="Q844" s="391"/>
      <c r="R844" s="391"/>
    </row>
    <row r="845" spans="1:18">
      <c r="A845" s="978"/>
      <c r="B845" s="1009"/>
      <c r="C845" s="391"/>
      <c r="D845" s="391"/>
      <c r="E845" s="391"/>
      <c r="F845" s="391"/>
      <c r="G845" s="391"/>
      <c r="H845" s="391"/>
      <c r="I845" s="391"/>
      <c r="J845" s="1010"/>
      <c r="K845" s="978"/>
      <c r="L845" s="391"/>
      <c r="M845" s="978"/>
      <c r="N845" s="391"/>
      <c r="O845" s="391"/>
      <c r="P845" s="391"/>
      <c r="Q845" s="391"/>
      <c r="R845" s="391"/>
    </row>
    <row r="846" spans="1:18">
      <c r="A846" s="978"/>
      <c r="B846" s="1009"/>
      <c r="C846" s="391"/>
      <c r="D846" s="391"/>
      <c r="E846" s="391"/>
      <c r="F846" s="391"/>
      <c r="G846" s="391"/>
      <c r="H846" s="391"/>
      <c r="I846" s="391"/>
      <c r="J846" s="1010"/>
      <c r="K846" s="978"/>
      <c r="L846" s="391"/>
      <c r="M846" s="978"/>
      <c r="N846" s="391"/>
      <c r="O846" s="391"/>
      <c r="P846" s="391"/>
      <c r="Q846" s="391"/>
      <c r="R846" s="391"/>
    </row>
    <row r="847" spans="1:18">
      <c r="A847" s="978"/>
      <c r="B847" s="1009"/>
      <c r="C847" s="391"/>
      <c r="D847" s="391"/>
      <c r="E847" s="391"/>
      <c r="F847" s="391"/>
      <c r="G847" s="391"/>
      <c r="H847" s="391"/>
      <c r="I847" s="391"/>
      <c r="J847" s="1010"/>
      <c r="K847" s="978"/>
      <c r="L847" s="391"/>
      <c r="M847" s="978"/>
      <c r="N847" s="391"/>
      <c r="O847" s="391"/>
      <c r="P847" s="391"/>
      <c r="Q847" s="391"/>
      <c r="R847" s="391"/>
    </row>
    <row r="848" spans="1:18">
      <c r="A848" s="978"/>
      <c r="B848" s="1009"/>
      <c r="C848" s="391"/>
      <c r="D848" s="391"/>
      <c r="E848" s="391"/>
      <c r="F848" s="391"/>
      <c r="G848" s="391"/>
      <c r="H848" s="391"/>
      <c r="I848" s="391"/>
      <c r="J848" s="1010"/>
      <c r="K848" s="978"/>
      <c r="L848" s="391"/>
      <c r="M848" s="978"/>
      <c r="N848" s="391"/>
      <c r="O848" s="391"/>
      <c r="P848" s="391"/>
      <c r="Q848" s="391"/>
      <c r="R848" s="391"/>
    </row>
    <row r="849" spans="1:18">
      <c r="A849" s="978"/>
      <c r="B849" s="1009"/>
      <c r="C849" s="391"/>
      <c r="D849" s="391"/>
      <c r="E849" s="391"/>
      <c r="F849" s="391"/>
      <c r="G849" s="391"/>
      <c r="H849" s="391"/>
      <c r="I849" s="391"/>
      <c r="J849" s="1010"/>
      <c r="K849" s="978"/>
      <c r="L849" s="391"/>
      <c r="M849" s="978"/>
      <c r="N849" s="391"/>
      <c r="O849" s="391"/>
      <c r="P849" s="391"/>
      <c r="Q849" s="391"/>
      <c r="R849" s="391"/>
    </row>
    <row r="850" spans="1:18">
      <c r="A850" s="978"/>
      <c r="B850" s="1009"/>
      <c r="C850" s="391"/>
      <c r="D850" s="391"/>
      <c r="E850" s="391"/>
      <c r="F850" s="391"/>
      <c r="G850" s="391"/>
      <c r="H850" s="391"/>
      <c r="I850" s="391"/>
      <c r="J850" s="1010"/>
      <c r="K850" s="978"/>
      <c r="L850" s="391"/>
      <c r="M850" s="978"/>
      <c r="N850" s="391"/>
      <c r="O850" s="391"/>
      <c r="P850" s="391"/>
      <c r="Q850" s="391"/>
      <c r="R850" s="391"/>
    </row>
    <row r="851" spans="1:18">
      <c r="A851" s="978"/>
      <c r="B851" s="1009"/>
      <c r="C851" s="391"/>
      <c r="D851" s="391"/>
      <c r="E851" s="391"/>
      <c r="F851" s="391"/>
      <c r="G851" s="391"/>
      <c r="H851" s="391"/>
      <c r="I851" s="391"/>
      <c r="J851" s="1010"/>
      <c r="K851" s="978"/>
      <c r="L851" s="391"/>
      <c r="M851" s="978"/>
      <c r="N851" s="391"/>
      <c r="O851" s="391"/>
      <c r="P851" s="391"/>
      <c r="Q851" s="391"/>
      <c r="R851" s="391"/>
    </row>
    <row r="852" spans="1:18">
      <c r="A852" s="978"/>
      <c r="B852" s="1009"/>
      <c r="C852" s="391"/>
      <c r="D852" s="391"/>
      <c r="E852" s="391"/>
      <c r="F852" s="391"/>
      <c r="G852" s="391"/>
      <c r="H852" s="391"/>
      <c r="I852" s="391"/>
      <c r="J852" s="1010"/>
      <c r="K852" s="978"/>
      <c r="L852" s="391"/>
      <c r="M852" s="978"/>
      <c r="N852" s="391"/>
      <c r="O852" s="391"/>
      <c r="P852" s="391"/>
      <c r="Q852" s="391"/>
      <c r="R852" s="391"/>
    </row>
    <row r="853" spans="1:18">
      <c r="A853" s="978"/>
      <c r="B853" s="1009"/>
      <c r="C853" s="391"/>
      <c r="D853" s="391"/>
      <c r="E853" s="391"/>
      <c r="F853" s="391"/>
      <c r="G853" s="391"/>
      <c r="H853" s="391"/>
      <c r="I853" s="391"/>
      <c r="J853" s="1010"/>
      <c r="K853" s="978"/>
      <c r="L853" s="391"/>
      <c r="M853" s="978"/>
      <c r="N853" s="391"/>
      <c r="O853" s="391"/>
      <c r="P853" s="391"/>
      <c r="Q853" s="391"/>
      <c r="R853" s="391"/>
    </row>
    <row r="854" spans="1:18">
      <c r="A854" s="978"/>
      <c r="B854" s="1009"/>
      <c r="C854" s="391"/>
      <c r="D854" s="391"/>
      <c r="E854" s="391"/>
      <c r="F854" s="391"/>
      <c r="G854" s="391"/>
      <c r="H854" s="391"/>
      <c r="I854" s="391"/>
      <c r="J854" s="1010"/>
      <c r="K854" s="978"/>
      <c r="L854" s="391"/>
      <c r="M854" s="978"/>
      <c r="N854" s="391"/>
      <c r="O854" s="391"/>
      <c r="P854" s="391"/>
      <c r="Q854" s="391"/>
      <c r="R854" s="391"/>
    </row>
    <row r="855" spans="1:18">
      <c r="A855" s="978"/>
      <c r="B855" s="1009"/>
      <c r="C855" s="391"/>
      <c r="D855" s="391"/>
      <c r="E855" s="391"/>
      <c r="F855" s="391"/>
      <c r="G855" s="391"/>
      <c r="H855" s="391"/>
      <c r="I855" s="391"/>
      <c r="J855" s="1010"/>
      <c r="K855" s="978"/>
      <c r="L855" s="391"/>
      <c r="M855" s="978"/>
      <c r="N855" s="391"/>
      <c r="O855" s="391"/>
      <c r="P855" s="391"/>
      <c r="Q855" s="391"/>
      <c r="R855" s="391"/>
    </row>
    <row r="856" spans="1:18">
      <c r="A856" s="978"/>
      <c r="B856" s="1009"/>
      <c r="C856" s="391"/>
      <c r="D856" s="391"/>
      <c r="E856" s="391"/>
      <c r="F856" s="391"/>
      <c r="G856" s="391"/>
      <c r="H856" s="391"/>
      <c r="I856" s="391"/>
      <c r="J856" s="1010"/>
      <c r="K856" s="978"/>
      <c r="L856" s="391"/>
      <c r="M856" s="978"/>
      <c r="N856" s="391"/>
      <c r="O856" s="391"/>
      <c r="P856" s="391"/>
      <c r="Q856" s="391"/>
      <c r="R856" s="391"/>
    </row>
    <row r="857" spans="1:18">
      <c r="A857" s="978"/>
      <c r="B857" s="1009"/>
      <c r="C857" s="391"/>
      <c r="D857" s="391"/>
      <c r="E857" s="391"/>
      <c r="F857" s="391"/>
      <c r="G857" s="391"/>
      <c r="H857" s="391"/>
      <c r="I857" s="391"/>
      <c r="J857" s="1010"/>
      <c r="K857" s="978"/>
      <c r="L857" s="391"/>
      <c r="M857" s="978"/>
      <c r="N857" s="391"/>
      <c r="O857" s="391"/>
      <c r="P857" s="391"/>
      <c r="Q857" s="391"/>
      <c r="R857" s="391"/>
    </row>
    <row r="858" spans="1:18">
      <c r="A858" s="978"/>
      <c r="B858" s="1009"/>
      <c r="C858" s="391"/>
      <c r="D858" s="391"/>
      <c r="E858" s="391"/>
      <c r="F858" s="391"/>
      <c r="G858" s="391"/>
      <c r="H858" s="391"/>
      <c r="I858" s="391"/>
      <c r="J858" s="1010"/>
      <c r="K858" s="978"/>
      <c r="L858" s="391"/>
      <c r="M858" s="978"/>
      <c r="N858" s="391"/>
      <c r="O858" s="391"/>
      <c r="P858" s="391"/>
      <c r="Q858" s="391"/>
      <c r="R858" s="391"/>
    </row>
    <row r="859" spans="1:18">
      <c r="A859" s="978"/>
      <c r="B859" s="1009"/>
      <c r="C859" s="391"/>
      <c r="D859" s="391"/>
      <c r="E859" s="391"/>
      <c r="F859" s="391"/>
      <c r="G859" s="391"/>
      <c r="H859" s="391"/>
      <c r="I859" s="391"/>
      <c r="J859" s="1010"/>
      <c r="K859" s="978"/>
      <c r="L859" s="391"/>
      <c r="M859" s="978"/>
      <c r="N859" s="391"/>
      <c r="O859" s="391"/>
      <c r="P859" s="391"/>
      <c r="Q859" s="391"/>
      <c r="R859" s="391"/>
    </row>
    <row r="860" spans="1:18">
      <c r="A860" s="978"/>
      <c r="B860" s="1009"/>
      <c r="C860" s="391"/>
      <c r="D860" s="391"/>
      <c r="E860" s="391"/>
      <c r="F860" s="391"/>
      <c r="G860" s="391"/>
      <c r="H860" s="391"/>
      <c r="I860" s="391"/>
      <c r="J860" s="1010"/>
      <c r="K860" s="978"/>
      <c r="L860" s="391"/>
      <c r="M860" s="978"/>
      <c r="N860" s="391"/>
      <c r="O860" s="391"/>
      <c r="P860" s="391"/>
      <c r="Q860" s="391"/>
      <c r="R860" s="391"/>
    </row>
    <row r="861" spans="1:18">
      <c r="A861" s="978"/>
      <c r="B861" s="1009"/>
      <c r="C861" s="391"/>
      <c r="D861" s="391"/>
      <c r="E861" s="391"/>
      <c r="F861" s="391"/>
      <c r="G861" s="391"/>
      <c r="H861" s="391"/>
      <c r="I861" s="391"/>
      <c r="J861" s="1010"/>
      <c r="K861" s="978"/>
      <c r="L861" s="391"/>
      <c r="M861" s="978"/>
      <c r="N861" s="391"/>
      <c r="O861" s="391"/>
      <c r="P861" s="391"/>
      <c r="Q861" s="391"/>
      <c r="R861" s="391"/>
    </row>
    <row r="862" spans="1:18">
      <c r="A862" s="978"/>
      <c r="B862" s="1009"/>
      <c r="C862" s="391"/>
      <c r="D862" s="391"/>
      <c r="E862" s="391"/>
      <c r="F862" s="391"/>
      <c r="G862" s="391"/>
      <c r="H862" s="391"/>
      <c r="I862" s="391"/>
      <c r="J862" s="1010"/>
      <c r="K862" s="978"/>
      <c r="L862" s="391"/>
      <c r="M862" s="978"/>
      <c r="N862" s="391"/>
      <c r="O862" s="391"/>
      <c r="P862" s="391"/>
      <c r="Q862" s="391"/>
      <c r="R862" s="391"/>
    </row>
    <row r="863" spans="1:18">
      <c r="A863" s="978"/>
      <c r="B863" s="1009"/>
      <c r="C863" s="391"/>
      <c r="D863" s="391"/>
      <c r="E863" s="391"/>
      <c r="F863" s="391"/>
      <c r="G863" s="391"/>
      <c r="H863" s="391"/>
      <c r="I863" s="391"/>
      <c r="J863" s="1010"/>
      <c r="K863" s="978"/>
      <c r="L863" s="391"/>
      <c r="M863" s="978"/>
      <c r="N863" s="391"/>
      <c r="O863" s="391"/>
      <c r="P863" s="391"/>
      <c r="Q863" s="391"/>
      <c r="R863" s="391"/>
    </row>
    <row r="864" spans="1:18">
      <c r="A864" s="978"/>
      <c r="B864" s="1009"/>
      <c r="C864" s="391"/>
      <c r="D864" s="391"/>
      <c r="E864" s="391"/>
      <c r="F864" s="391"/>
      <c r="G864" s="391"/>
      <c r="H864" s="391"/>
      <c r="I864" s="391"/>
      <c r="J864" s="1010"/>
      <c r="K864" s="978"/>
      <c r="L864" s="391"/>
      <c r="M864" s="978"/>
      <c r="N864" s="391"/>
      <c r="O864" s="391"/>
      <c r="P864" s="391"/>
      <c r="Q864" s="391"/>
      <c r="R864" s="391"/>
    </row>
    <row r="865" spans="1:18">
      <c r="A865" s="978"/>
      <c r="B865" s="1009"/>
      <c r="C865" s="391"/>
      <c r="D865" s="391"/>
      <c r="E865" s="391"/>
      <c r="F865" s="391"/>
      <c r="G865" s="391"/>
      <c r="H865" s="391"/>
      <c r="I865" s="391"/>
      <c r="J865" s="1010"/>
      <c r="K865" s="978"/>
      <c r="L865" s="391"/>
      <c r="M865" s="978"/>
      <c r="N865" s="391"/>
      <c r="O865" s="391"/>
      <c r="P865" s="391"/>
      <c r="Q865" s="391"/>
      <c r="R865" s="391"/>
    </row>
    <row r="866" spans="1:18">
      <c r="A866" s="978"/>
      <c r="B866" s="1009"/>
      <c r="C866" s="391"/>
      <c r="D866" s="391"/>
      <c r="E866" s="391"/>
      <c r="F866" s="391"/>
      <c r="G866" s="391"/>
      <c r="H866" s="391"/>
      <c r="I866" s="391"/>
      <c r="J866" s="1010"/>
      <c r="K866" s="978"/>
      <c r="L866" s="391"/>
      <c r="M866" s="978"/>
      <c r="N866" s="391"/>
      <c r="O866" s="391"/>
      <c r="P866" s="391"/>
      <c r="Q866" s="391"/>
      <c r="R866" s="391"/>
    </row>
    <row r="867" spans="1:18">
      <c r="A867" s="978"/>
      <c r="B867" s="1009"/>
      <c r="C867" s="391"/>
      <c r="D867" s="391"/>
      <c r="E867" s="391"/>
      <c r="F867" s="391"/>
      <c r="G867" s="391"/>
      <c r="H867" s="391"/>
      <c r="I867" s="391"/>
      <c r="J867" s="1010"/>
      <c r="K867" s="978"/>
      <c r="L867" s="391"/>
      <c r="M867" s="978"/>
      <c r="N867" s="391"/>
      <c r="O867" s="391"/>
      <c r="P867" s="391"/>
      <c r="Q867" s="391"/>
      <c r="R867" s="391"/>
    </row>
    <row r="868" spans="1:18">
      <c r="A868" s="978"/>
      <c r="B868" s="1009"/>
      <c r="C868" s="391"/>
      <c r="D868" s="391"/>
      <c r="E868" s="391"/>
      <c r="F868" s="391"/>
      <c r="G868" s="391"/>
      <c r="H868" s="391"/>
      <c r="I868" s="391"/>
      <c r="J868" s="1010"/>
      <c r="K868" s="978"/>
      <c r="L868" s="391"/>
      <c r="M868" s="978"/>
      <c r="N868" s="391"/>
      <c r="O868" s="391"/>
      <c r="P868" s="391"/>
      <c r="Q868" s="391"/>
      <c r="R868" s="391"/>
    </row>
    <row r="869" spans="1:18">
      <c r="A869" s="978"/>
      <c r="B869" s="1009"/>
      <c r="C869" s="391"/>
      <c r="D869" s="391"/>
      <c r="E869" s="391"/>
      <c r="F869" s="391"/>
      <c r="G869" s="391"/>
      <c r="H869" s="391"/>
      <c r="I869" s="391"/>
      <c r="J869" s="1010"/>
      <c r="K869" s="978"/>
      <c r="L869" s="391"/>
      <c r="M869" s="978"/>
      <c r="N869" s="391"/>
      <c r="O869" s="391"/>
      <c r="P869" s="391"/>
      <c r="Q869" s="391"/>
      <c r="R869" s="391"/>
    </row>
    <row r="870" spans="1:18">
      <c r="A870" s="978"/>
      <c r="B870" s="1009"/>
      <c r="C870" s="391"/>
      <c r="D870" s="391"/>
      <c r="E870" s="391"/>
      <c r="F870" s="391"/>
      <c r="G870" s="391"/>
      <c r="H870" s="391"/>
      <c r="I870" s="391"/>
      <c r="J870" s="1010"/>
      <c r="K870" s="978"/>
      <c r="L870" s="391"/>
      <c r="M870" s="978"/>
      <c r="N870" s="391"/>
      <c r="O870" s="391"/>
      <c r="P870" s="391"/>
      <c r="Q870" s="391"/>
      <c r="R870" s="391"/>
    </row>
    <row r="871" spans="1:18">
      <c r="A871" s="978"/>
      <c r="B871" s="1009"/>
      <c r="C871" s="391"/>
      <c r="D871" s="391"/>
      <c r="E871" s="391"/>
      <c r="F871" s="391"/>
      <c r="G871" s="391"/>
      <c r="H871" s="391"/>
      <c r="I871" s="391"/>
      <c r="J871" s="1010"/>
      <c r="K871" s="978"/>
      <c r="L871" s="391"/>
      <c r="M871" s="978"/>
      <c r="N871" s="391"/>
      <c r="O871" s="391"/>
      <c r="P871" s="391"/>
      <c r="Q871" s="391"/>
      <c r="R871" s="391"/>
    </row>
    <row r="872" spans="1:18">
      <c r="A872" s="978"/>
      <c r="B872" s="1009"/>
      <c r="C872" s="391"/>
      <c r="D872" s="391"/>
      <c r="E872" s="391"/>
      <c r="F872" s="391"/>
      <c r="G872" s="391"/>
      <c r="H872" s="391"/>
      <c r="I872" s="391"/>
      <c r="J872" s="1010"/>
      <c r="K872" s="978"/>
      <c r="L872" s="391"/>
      <c r="M872" s="978"/>
      <c r="N872" s="391"/>
      <c r="O872" s="391"/>
      <c r="P872" s="391"/>
      <c r="Q872" s="391"/>
      <c r="R872" s="391"/>
    </row>
    <row r="873" spans="1:18">
      <c r="A873" s="978"/>
      <c r="B873" s="1009"/>
      <c r="C873" s="391"/>
      <c r="D873" s="391"/>
      <c r="E873" s="391"/>
      <c r="F873" s="391"/>
      <c r="G873" s="391"/>
      <c r="H873" s="391"/>
      <c r="I873" s="391"/>
      <c r="J873" s="1010"/>
      <c r="K873" s="978"/>
      <c r="L873" s="391"/>
      <c r="M873" s="978"/>
      <c r="N873" s="391"/>
      <c r="O873" s="391"/>
      <c r="P873" s="391"/>
      <c r="Q873" s="391"/>
      <c r="R873" s="391"/>
    </row>
    <row r="874" spans="1:18">
      <c r="A874" s="978"/>
      <c r="B874" s="1009"/>
      <c r="C874" s="391"/>
      <c r="D874" s="391"/>
      <c r="E874" s="391"/>
      <c r="F874" s="391"/>
      <c r="G874" s="391"/>
      <c r="H874" s="391"/>
      <c r="I874" s="391"/>
      <c r="J874" s="1010"/>
      <c r="K874" s="978"/>
      <c r="L874" s="391"/>
      <c r="M874" s="978"/>
      <c r="N874" s="391"/>
      <c r="O874" s="391"/>
      <c r="P874" s="391"/>
      <c r="Q874" s="391"/>
      <c r="R874" s="391"/>
    </row>
    <row r="875" spans="1:18">
      <c r="A875" s="978"/>
      <c r="B875" s="1009"/>
      <c r="C875" s="391"/>
      <c r="D875" s="391"/>
      <c r="E875" s="391"/>
      <c r="F875" s="391"/>
      <c r="G875" s="391"/>
      <c r="H875" s="391"/>
      <c r="I875" s="391"/>
      <c r="J875" s="1010"/>
      <c r="K875" s="978"/>
      <c r="L875" s="391"/>
      <c r="M875" s="978"/>
      <c r="N875" s="391"/>
      <c r="O875" s="391"/>
      <c r="P875" s="391"/>
      <c r="Q875" s="391"/>
      <c r="R875" s="391"/>
    </row>
    <row r="876" spans="1:18">
      <c r="A876" s="978"/>
      <c r="B876" s="1009"/>
      <c r="C876" s="391"/>
      <c r="D876" s="391"/>
      <c r="E876" s="391"/>
      <c r="F876" s="391"/>
      <c r="G876" s="391"/>
      <c r="H876" s="391"/>
      <c r="I876" s="391"/>
      <c r="J876" s="1010"/>
      <c r="K876" s="978"/>
      <c r="L876" s="391"/>
      <c r="M876" s="978"/>
      <c r="N876" s="391"/>
      <c r="O876" s="391"/>
      <c r="P876" s="391"/>
      <c r="Q876" s="391"/>
      <c r="R876" s="391"/>
    </row>
    <row r="877" spans="1:18">
      <c r="A877" s="978"/>
      <c r="B877" s="1009"/>
      <c r="C877" s="391"/>
      <c r="D877" s="391"/>
      <c r="E877" s="391"/>
      <c r="F877" s="391"/>
      <c r="G877" s="391"/>
      <c r="H877" s="391"/>
      <c r="I877" s="391"/>
      <c r="J877" s="1010"/>
      <c r="K877" s="978"/>
      <c r="L877" s="391"/>
      <c r="M877" s="978"/>
      <c r="N877" s="391"/>
      <c r="O877" s="391"/>
      <c r="P877" s="391"/>
      <c r="Q877" s="391"/>
      <c r="R877" s="391"/>
    </row>
    <row r="878" spans="1:18">
      <c r="A878" s="978"/>
      <c r="B878" s="1009"/>
      <c r="C878" s="391"/>
      <c r="D878" s="391"/>
      <c r="E878" s="391"/>
      <c r="F878" s="391"/>
      <c r="G878" s="391"/>
      <c r="H878" s="391"/>
      <c r="I878" s="391"/>
      <c r="J878" s="1010"/>
      <c r="K878" s="978"/>
      <c r="L878" s="391"/>
      <c r="M878" s="978"/>
      <c r="N878" s="391"/>
      <c r="O878" s="391"/>
      <c r="P878" s="391"/>
      <c r="Q878" s="391"/>
      <c r="R878" s="391"/>
    </row>
    <row r="879" spans="1:18">
      <c r="A879" s="978"/>
      <c r="B879" s="1009"/>
      <c r="C879" s="391"/>
      <c r="D879" s="391"/>
      <c r="E879" s="391"/>
      <c r="F879" s="391"/>
      <c r="G879" s="391"/>
      <c r="H879" s="391"/>
      <c r="I879" s="391"/>
      <c r="J879" s="1010"/>
      <c r="K879" s="978"/>
      <c r="L879" s="391"/>
      <c r="M879" s="978"/>
      <c r="N879" s="391"/>
      <c r="O879" s="391"/>
      <c r="P879" s="391"/>
      <c r="Q879" s="391"/>
      <c r="R879" s="391"/>
    </row>
    <row r="880" spans="1:18">
      <c r="A880" s="978"/>
      <c r="B880" s="1009"/>
      <c r="C880" s="391"/>
      <c r="D880" s="391"/>
      <c r="E880" s="391"/>
      <c r="F880" s="391"/>
      <c r="G880" s="391"/>
      <c r="H880" s="391"/>
      <c r="I880" s="391"/>
      <c r="J880" s="1010"/>
      <c r="K880" s="978"/>
      <c r="L880" s="391"/>
      <c r="M880" s="978"/>
      <c r="N880" s="391"/>
      <c r="O880" s="391"/>
      <c r="P880" s="391"/>
      <c r="Q880" s="391"/>
      <c r="R880" s="391"/>
    </row>
    <row r="881" spans="1:18">
      <c r="A881" s="978"/>
      <c r="B881" s="1009"/>
      <c r="C881" s="391"/>
      <c r="D881" s="391"/>
      <c r="E881" s="391"/>
      <c r="F881" s="391"/>
      <c r="G881" s="391"/>
      <c r="H881" s="391"/>
      <c r="I881" s="391"/>
      <c r="J881" s="1010"/>
      <c r="K881" s="978"/>
      <c r="L881" s="391"/>
      <c r="M881" s="978"/>
      <c r="N881" s="391"/>
      <c r="O881" s="391"/>
      <c r="P881" s="391"/>
      <c r="Q881" s="391"/>
      <c r="R881" s="391"/>
    </row>
    <row r="882" spans="1:18">
      <c r="A882" s="978"/>
      <c r="B882" s="1009"/>
      <c r="C882" s="391"/>
      <c r="D882" s="391"/>
      <c r="E882" s="391"/>
      <c r="F882" s="391"/>
      <c r="G882" s="391"/>
      <c r="H882" s="391"/>
      <c r="I882" s="391"/>
      <c r="J882" s="1010"/>
      <c r="K882" s="978"/>
      <c r="L882" s="391"/>
      <c r="M882" s="978"/>
      <c r="N882" s="391"/>
      <c r="O882" s="391"/>
      <c r="P882" s="391"/>
      <c r="Q882" s="391"/>
      <c r="R882" s="391"/>
    </row>
    <row r="883" spans="1:18">
      <c r="A883" s="978"/>
      <c r="B883" s="1009"/>
      <c r="C883" s="391"/>
      <c r="D883" s="391"/>
      <c r="E883" s="391"/>
      <c r="F883" s="391"/>
      <c r="G883" s="391"/>
      <c r="H883" s="391"/>
      <c r="I883" s="391"/>
      <c r="J883" s="1010"/>
      <c r="K883" s="978"/>
      <c r="L883" s="391"/>
      <c r="M883" s="978"/>
      <c r="N883" s="391"/>
      <c r="O883" s="391"/>
      <c r="P883" s="391"/>
      <c r="Q883" s="391"/>
      <c r="R883" s="391"/>
    </row>
    <row r="884" spans="1:18">
      <c r="A884" s="978"/>
      <c r="B884" s="1009"/>
      <c r="C884" s="391"/>
      <c r="D884" s="391"/>
      <c r="E884" s="391"/>
      <c r="F884" s="391"/>
      <c r="G884" s="391"/>
      <c r="H884" s="391"/>
      <c r="I884" s="391"/>
      <c r="J884" s="1010"/>
      <c r="K884" s="978"/>
      <c r="L884" s="391"/>
      <c r="M884" s="978"/>
      <c r="N884" s="391"/>
      <c r="O884" s="391"/>
      <c r="P884" s="391"/>
      <c r="Q884" s="391"/>
      <c r="R884" s="391"/>
    </row>
    <row r="885" spans="1:18">
      <c r="A885" s="978"/>
      <c r="B885" s="1009"/>
      <c r="C885" s="391"/>
      <c r="D885" s="391"/>
      <c r="E885" s="391"/>
      <c r="F885" s="391"/>
      <c r="G885" s="391"/>
      <c r="H885" s="391"/>
      <c r="I885" s="391"/>
      <c r="J885" s="1010"/>
      <c r="K885" s="978"/>
      <c r="L885" s="391"/>
      <c r="M885" s="978"/>
      <c r="N885" s="391"/>
      <c r="O885" s="391"/>
      <c r="P885" s="391"/>
      <c r="Q885" s="391"/>
      <c r="R885" s="391"/>
    </row>
    <row r="886" spans="1:18">
      <c r="A886" s="978"/>
      <c r="B886" s="1009"/>
      <c r="C886" s="1009"/>
      <c r="D886" s="391"/>
      <c r="E886" s="391"/>
      <c r="F886" s="391"/>
      <c r="G886" s="391"/>
      <c r="H886" s="391"/>
      <c r="I886" s="391"/>
      <c r="J886" s="391"/>
      <c r="K886" s="978"/>
      <c r="L886" s="391"/>
      <c r="M886" s="978"/>
      <c r="N886" s="391"/>
      <c r="O886" s="391"/>
      <c r="P886" s="391"/>
      <c r="Q886" s="391"/>
      <c r="R886" s="391"/>
    </row>
    <row r="887" spans="1:18">
      <c r="A887" s="978"/>
      <c r="B887" s="1009"/>
      <c r="C887" s="1009"/>
      <c r="D887" s="391"/>
      <c r="E887" s="391"/>
      <c r="F887" s="391"/>
      <c r="G887" s="391"/>
      <c r="H887" s="391"/>
      <c r="I887" s="391"/>
      <c r="J887" s="391"/>
      <c r="K887" s="978"/>
      <c r="L887" s="391"/>
      <c r="M887" s="978"/>
      <c r="N887" s="391"/>
      <c r="O887" s="391"/>
      <c r="P887" s="391"/>
      <c r="Q887" s="391"/>
      <c r="R887" s="391"/>
    </row>
    <row r="888" spans="1:18">
      <c r="A888" s="978"/>
      <c r="B888" s="1009"/>
      <c r="C888" s="1009"/>
      <c r="D888" s="391"/>
      <c r="E888" s="391"/>
      <c r="F888" s="391"/>
      <c r="G888" s="391"/>
      <c r="H888" s="391"/>
      <c r="I888" s="391"/>
      <c r="J888" s="391"/>
      <c r="K888" s="978"/>
      <c r="L888" s="391"/>
      <c r="M888" s="978"/>
      <c r="N888" s="391"/>
      <c r="O888" s="391"/>
      <c r="P888" s="391"/>
      <c r="Q888" s="391"/>
      <c r="R888" s="391"/>
    </row>
    <row r="889" spans="1:18">
      <c r="A889" s="978"/>
      <c r="B889" s="1009"/>
      <c r="C889" s="1009"/>
      <c r="D889" s="391"/>
      <c r="E889" s="391"/>
      <c r="F889" s="391"/>
      <c r="G889" s="391"/>
      <c r="H889" s="391"/>
      <c r="I889" s="391"/>
      <c r="J889" s="391"/>
      <c r="K889" s="978"/>
      <c r="L889" s="391"/>
      <c r="M889" s="978"/>
      <c r="N889" s="391"/>
      <c r="O889" s="391"/>
      <c r="P889" s="391"/>
      <c r="Q889" s="391"/>
      <c r="R889" s="391"/>
    </row>
    <row r="890" spans="1:18">
      <c r="A890" s="978"/>
      <c r="B890" s="1009"/>
      <c r="C890" s="1009"/>
      <c r="D890" s="391"/>
      <c r="E890" s="391"/>
      <c r="F890" s="391"/>
      <c r="G890" s="391"/>
      <c r="H890" s="391"/>
      <c r="I890" s="391"/>
      <c r="J890" s="391"/>
      <c r="K890" s="978"/>
      <c r="L890" s="391"/>
      <c r="M890" s="978"/>
      <c r="N890" s="391"/>
      <c r="O890" s="391"/>
      <c r="P890" s="391"/>
      <c r="Q890" s="391"/>
      <c r="R890" s="391"/>
    </row>
    <row r="891" spans="1:18">
      <c r="A891" s="978"/>
      <c r="B891" s="1009"/>
      <c r="C891" s="1009"/>
      <c r="D891" s="391"/>
      <c r="E891" s="391"/>
      <c r="F891" s="391"/>
      <c r="G891" s="391"/>
      <c r="H891" s="391"/>
      <c r="I891" s="391"/>
      <c r="J891" s="391"/>
      <c r="K891" s="978"/>
      <c r="L891" s="391"/>
      <c r="M891" s="978"/>
      <c r="N891" s="391"/>
      <c r="O891" s="391"/>
      <c r="P891" s="391"/>
      <c r="Q891" s="391"/>
      <c r="R891" s="391"/>
    </row>
    <row r="892" spans="1:18">
      <c r="A892" s="978"/>
      <c r="B892" s="1009"/>
      <c r="C892" s="1009"/>
      <c r="D892" s="391"/>
      <c r="E892" s="391"/>
      <c r="F892" s="391"/>
      <c r="G892" s="391"/>
      <c r="H892" s="391"/>
      <c r="I892" s="391"/>
      <c r="J892" s="391"/>
      <c r="K892" s="978"/>
      <c r="L892" s="391"/>
      <c r="M892" s="978"/>
      <c r="N892" s="391"/>
      <c r="O892" s="391"/>
      <c r="P892" s="391"/>
      <c r="Q892" s="391"/>
      <c r="R892" s="391"/>
    </row>
  </sheetData>
  <autoFilter ref="A4:W893"/>
  <mergeCells count="2">
    <mergeCell ref="V9:W9"/>
    <mergeCell ref="A2:U2"/>
  </mergeCells>
  <pageMargins bottom="0.75" footer="0.3" header="0.3" left="0.25" right="0.25" top="0.75"/>
  <pageSetup fitToHeight="0" horizontalDpi="300" orientation="landscape" paperSize="9" r:id="rId1" scale="41" verticalDpi="300"/>
</worksheet>
</file>

<file path=xl/worksheets/sheet1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bestFit="true" customWidth="true" style="85" width="14.28515625" collapsed="false"/>
    <col min="2" max="2" customWidth="true" style="85" width="11.42578125" collapsed="false"/>
    <col min="3" max="3" customWidth="true" style="85" width="17.85546875" collapsed="false"/>
    <col min="4" max="4" customWidth="true" style="85" width="11.28515625" collapsed="false"/>
    <col min="5" max="5" customWidth="true" style="85" width="12.7109375" collapsed="false"/>
    <col min="6" max="6" customWidth="true" style="85" width="10.42578125" collapsed="false"/>
    <col min="7" max="8" customWidth="true" style="85" width="12.42578125" collapsed="false"/>
    <col min="9" max="9" customWidth="true" style="85" width="13.140625" collapsed="false"/>
    <col min="10" max="11" customWidth="true" style="85" width="12.42578125" collapsed="false"/>
    <col min="12" max="12" customWidth="true" style="85" width="15.42578125" collapsed="false"/>
    <col min="13" max="13" customWidth="true" style="85" width="14.28515625" collapsed="false"/>
    <col min="14" max="39" customWidth="true" style="85" width="12.42578125" collapsed="false"/>
    <col min="40" max="16384" style="85" width="9.140625" collapsed="false"/>
  </cols>
  <sheetData>
    <row r="2" spans="1:39">
      <c r="A2" s="2048" t="s">
        <v>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c r="N2" s="2048" t="s">
        <v>102</v>
      </c>
      <c r="O2" s="2048" t="s">
        <v>102</v>
      </c>
      <c r="P2" s="2048" t="s">
        <v>102</v>
      </c>
      <c r="Q2" s="2048" t="s">
        <v>102</v>
      </c>
      <c r="R2" s="2048" t="s">
        <v>102</v>
      </c>
      <c r="S2" s="2048"/>
      <c r="T2" s="2048"/>
      <c r="U2" s="2048"/>
      <c r="V2" s="2048"/>
      <c r="W2" s="2048"/>
      <c r="X2" s="2048"/>
      <c r="Y2" s="2048"/>
      <c r="Z2" s="2048"/>
      <c r="AA2" s="2048"/>
      <c r="AB2" s="2048"/>
      <c r="AC2" s="2048"/>
      <c r="AD2" s="2048"/>
      <c r="AE2" s="2048"/>
      <c r="AF2" s="2048"/>
      <c r="AG2" s="2048"/>
      <c r="AH2" s="2048"/>
      <c r="AI2" s="2048"/>
      <c r="AJ2" s="2048"/>
      <c r="AK2" s="2048"/>
      <c r="AL2" s="2048"/>
      <c r="AM2" s="2048"/>
    </row>
    <row r="3" spans="1:39">
      <c r="A3" s="227" t="s">
        <v>102</v>
      </c>
      <c r="B3" s="227" t="s">
        <v>102</v>
      </c>
      <c r="C3" s="227" t="s">
        <v>102</v>
      </c>
      <c r="D3" s="227" t="s">
        <v>102</v>
      </c>
      <c r="E3" s="227" t="s">
        <v>102</v>
      </c>
      <c r="F3" s="227" t="s">
        <v>102</v>
      </c>
      <c r="G3" s="227" t="s">
        <v>102</v>
      </c>
      <c r="H3" s="227" t="s">
        <v>102</v>
      </c>
      <c r="I3" s="227" t="s">
        <v>102</v>
      </c>
      <c r="J3" s="227" t="s">
        <v>102</v>
      </c>
      <c r="K3" s="227" t="s">
        <v>102</v>
      </c>
      <c r="L3" s="227" t="s">
        <v>102</v>
      </c>
      <c r="M3" s="227" t="s">
        <v>102</v>
      </c>
      <c r="N3" s="227" t="s">
        <v>102</v>
      </c>
      <c r="O3" s="227" t="s">
        <v>102</v>
      </c>
      <c r="P3" s="227" t="s">
        <v>102</v>
      </c>
      <c r="Q3" s="227" t="s">
        <v>102</v>
      </c>
      <c r="R3" s="227" t="s">
        <v>102</v>
      </c>
      <c r="S3" s="227"/>
      <c r="T3" s="227"/>
      <c r="U3" s="227"/>
      <c r="V3" s="227"/>
      <c r="W3" s="227"/>
      <c r="X3" s="227"/>
      <c r="Y3" s="227"/>
      <c r="Z3" s="227"/>
      <c r="AA3" s="227"/>
      <c r="AB3" s="227"/>
      <c r="AC3" s="227"/>
      <c r="AD3" s="227"/>
      <c r="AE3" s="227"/>
      <c r="AF3" s="227"/>
      <c r="AG3" s="227"/>
      <c r="AH3" s="227"/>
      <c r="AI3" s="227"/>
      <c r="AJ3" s="227"/>
      <c r="AK3" s="227"/>
      <c r="AL3" s="227"/>
      <c r="AM3" s="227"/>
    </row>
    <row customHeight="1" ht="15.75" r="4" spans="1:39">
      <c r="A4" s="2184" t="s">
        <v>52</v>
      </c>
      <c r="B4" s="2184" t="s">
        <v>102</v>
      </c>
      <c r="C4" s="2184" t="s">
        <v>102</v>
      </c>
      <c r="D4" s="2184" t="s">
        <v>102</v>
      </c>
      <c r="E4" s="2184" t="s">
        <v>102</v>
      </c>
      <c r="F4" s="2184" t="s">
        <v>102</v>
      </c>
      <c r="G4" s="2185" t="s">
        <v>49</v>
      </c>
      <c r="H4" s="2185" t="s">
        <v>102</v>
      </c>
      <c r="I4" s="2185" t="s">
        <v>102</v>
      </c>
      <c r="J4" s="2189" t="s">
        <v>32</v>
      </c>
      <c r="K4" s="2189" t="s">
        <v>102</v>
      </c>
      <c r="L4" s="2188" t="s">
        <v>621</v>
      </c>
      <c r="M4" s="2188" t="s">
        <v>102</v>
      </c>
      <c r="N4" s="2186" t="s">
        <v>33</v>
      </c>
      <c r="O4" s="2186" t="s">
        <v>102</v>
      </c>
      <c r="P4" s="2186" t="s">
        <v>102</v>
      </c>
      <c r="Q4" s="2187" t="s">
        <v>50</v>
      </c>
      <c r="R4" s="2187" t="s">
        <v>621</v>
      </c>
      <c r="S4" s="2187"/>
      <c r="T4" s="2187"/>
      <c r="U4" s="2185" t="s">
        <v>54</v>
      </c>
      <c r="V4" s="2185"/>
      <c r="W4" s="2185"/>
      <c r="X4" s="2185"/>
      <c r="Y4" s="2185"/>
      <c r="Z4" s="2185"/>
      <c r="AA4" s="2190" t="s">
        <v>552</v>
      </c>
      <c r="AB4" s="2184" t="s">
        <v>51</v>
      </c>
      <c r="AC4" s="2184"/>
      <c r="AD4" s="2184"/>
      <c r="AE4" s="2184"/>
      <c r="AF4" s="2184"/>
      <c r="AG4" s="2184"/>
      <c r="AH4" s="2184"/>
      <c r="AI4" s="2184"/>
      <c r="AJ4" s="2184"/>
      <c r="AK4" s="2184"/>
      <c r="AL4" s="2184"/>
      <c r="AM4" s="2184"/>
    </row>
    <row ht="51" r="5" spans="1:39">
      <c r="A5" s="241" t="s">
        <v>26</v>
      </c>
      <c r="B5" s="241" t="s">
        <v>44</v>
      </c>
      <c r="C5" s="241" t="s">
        <v>45</v>
      </c>
      <c r="D5" s="241" t="s">
        <v>46</v>
      </c>
      <c r="E5" s="241" t="s">
        <v>47</v>
      </c>
      <c r="F5" s="241" t="s">
        <v>48</v>
      </c>
      <c r="G5" s="244" t="s">
        <v>53</v>
      </c>
      <c r="H5" s="244" t="s">
        <v>36</v>
      </c>
      <c r="I5" s="244" t="s">
        <v>619</v>
      </c>
      <c r="J5" s="170" t="s">
        <v>53</v>
      </c>
      <c r="K5" s="170" t="s">
        <v>36</v>
      </c>
      <c r="L5" s="245" t="s">
        <v>620</v>
      </c>
      <c r="M5" s="245" t="s">
        <v>616</v>
      </c>
      <c r="N5" s="246" t="s">
        <v>53</v>
      </c>
      <c r="O5" s="246" t="s">
        <v>36</v>
      </c>
      <c r="P5" s="246" t="s">
        <v>618</v>
      </c>
      <c r="Q5" s="247" t="s">
        <v>53</v>
      </c>
      <c r="R5" s="247" t="s">
        <v>620</v>
      </c>
      <c r="S5" s="247" t="s">
        <v>619</v>
      </c>
      <c r="T5" s="247" t="s">
        <v>617</v>
      </c>
      <c r="U5" s="244" t="s">
        <v>55</v>
      </c>
      <c r="V5" s="244" t="s">
        <v>119</v>
      </c>
      <c r="W5" s="244" t="s">
        <v>120</v>
      </c>
      <c r="X5" s="244" t="s">
        <v>56</v>
      </c>
      <c r="Y5" s="244" t="s">
        <v>57</v>
      </c>
      <c r="Z5" s="244" t="s">
        <v>58</v>
      </c>
      <c r="AA5" s="2190"/>
      <c r="AB5" s="241" t="s">
        <v>14</v>
      </c>
      <c r="AC5" s="241" t="s">
        <v>15</v>
      </c>
      <c r="AD5" s="241" t="s">
        <v>16</v>
      </c>
      <c r="AE5" s="241" t="s">
        <v>17</v>
      </c>
      <c r="AF5" s="241" t="s">
        <v>18</v>
      </c>
      <c r="AG5" s="241" t="s">
        <v>19</v>
      </c>
      <c r="AH5" s="241" t="s">
        <v>20</v>
      </c>
      <c r="AI5" s="241" t="s">
        <v>21</v>
      </c>
      <c r="AJ5" s="241" t="s">
        <v>22</v>
      </c>
      <c r="AK5" s="241" t="s">
        <v>23</v>
      </c>
      <c r="AL5" s="241" t="s">
        <v>24</v>
      </c>
      <c r="AM5" s="241" t="s">
        <v>25</v>
      </c>
    </row>
    <row r="6" spans="1:39">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c r="N6" s="242" t="s">
        <v>102</v>
      </c>
      <c r="O6" s="242" t="s">
        <v>102</v>
      </c>
      <c r="P6" s="242" t="s">
        <v>102</v>
      </c>
      <c r="Q6" s="242" t="s">
        <v>102</v>
      </c>
      <c r="R6" s="242" t="s">
        <v>102</v>
      </c>
      <c r="S6" s="242"/>
      <c r="T6" s="242"/>
      <c r="U6" s="242"/>
      <c r="V6" s="242"/>
      <c r="W6" s="242"/>
      <c r="X6" s="242"/>
      <c r="Y6" s="242"/>
      <c r="Z6" s="242"/>
      <c r="AA6" s="242"/>
      <c r="AB6" s="242"/>
      <c r="AC6" s="242"/>
      <c r="AD6" s="242"/>
      <c r="AE6" s="242"/>
      <c r="AF6" s="242"/>
      <c r="AG6" s="242"/>
      <c r="AH6" s="242"/>
      <c r="AI6" s="242"/>
      <c r="AJ6" s="242"/>
      <c r="AK6" s="242"/>
      <c r="AL6" s="242"/>
      <c r="AM6" s="242"/>
    </row>
    <row r="7" spans="1:39">
      <c r="A7" s="172"/>
      <c r="B7" s="172"/>
      <c r="C7" s="172"/>
      <c r="D7" s="172"/>
      <c r="E7" s="172"/>
      <c r="F7" s="172"/>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row>
  </sheetData>
  <autoFilter ref="A5:F5"/>
  <mergeCells count="10">
    <mergeCell ref="AB4:AM4"/>
    <mergeCell ref="A2:AM2"/>
    <mergeCell ref="A4:F4"/>
    <mergeCell ref="U4:Z4"/>
    <mergeCell ref="G4:I4"/>
    <mergeCell ref="N4:P4"/>
    <mergeCell ref="Q4:T4"/>
    <mergeCell ref="L4:M4"/>
    <mergeCell ref="J4:K4"/>
    <mergeCell ref="AA4:AA5"/>
  </mergeCells>
  <pageMargins bottom="0.75" footer="0.3" header="0.3" left="0.25" right="0.25" top="0.75"/>
  <pageSetup fitToHeight="0" horizontalDpi="300" orientation="landscape" paperSize="9" r:id="rId1" scale="29" verticalDpi="300"/>
</worksheet>
</file>

<file path=xl/worksheets/sheet1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customWidth="true" style="85" width="11.28515625" collapsed="false"/>
    <col min="2" max="2" customWidth="true" style="85" width="15.0" collapsed="false"/>
    <col min="3" max="3" customWidth="true" style="85" width="11.0" collapsed="false"/>
    <col min="4" max="4" customWidth="true" style="85" width="19.5703125" collapsed="false"/>
    <col min="5" max="5" customWidth="true" style="85" width="15.5703125" collapsed="false"/>
    <col min="6" max="6" customWidth="true" style="85" width="14.28515625" collapsed="false"/>
    <col min="7" max="7" customWidth="true" style="85" width="17.7109375" collapsed="false"/>
    <col min="8" max="8" customWidth="true" style="85" width="14.140625" collapsed="false"/>
    <col min="9" max="9" customWidth="true" style="85" width="17.7109375" collapsed="false"/>
    <col min="10" max="10" customWidth="true" style="85" width="14.85546875" collapsed="false"/>
    <col min="11" max="13" customWidth="true" style="85" width="17.7109375" collapsed="false"/>
    <col min="14" max="16384" style="85" width="9.140625" collapsed="false"/>
  </cols>
  <sheetData>
    <row r="2" spans="1:13">
      <c r="A2" s="2048" t="s">
        <v>83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row>
    <row r="3" spans="1:13">
      <c r="A3" s="169" t="s">
        <v>102</v>
      </c>
      <c r="B3" s="169" t="s">
        <v>102</v>
      </c>
      <c r="C3" s="169" t="s">
        <v>102</v>
      </c>
      <c r="D3" s="169" t="s">
        <v>102</v>
      </c>
      <c r="E3" s="169" t="s">
        <v>102</v>
      </c>
      <c r="F3" s="169" t="s">
        <v>102</v>
      </c>
      <c r="G3" s="169" t="s">
        <v>102</v>
      </c>
      <c r="H3" s="169" t="s">
        <v>102</v>
      </c>
      <c r="I3" s="169" t="s">
        <v>102</v>
      </c>
      <c r="J3" s="169" t="s">
        <v>102</v>
      </c>
      <c r="K3" s="169" t="s">
        <v>102</v>
      </c>
      <c r="L3" s="169" t="s">
        <v>102</v>
      </c>
      <c r="M3" s="169" t="s">
        <v>102</v>
      </c>
    </row>
    <row r="4" spans="1:13">
      <c r="A4" s="2184" t="s">
        <v>84</v>
      </c>
      <c r="B4" s="2184" t="s">
        <v>102</v>
      </c>
      <c r="C4" s="2184" t="s">
        <v>102</v>
      </c>
      <c r="D4" s="2184" t="s">
        <v>102</v>
      </c>
      <c r="E4" s="2184" t="s">
        <v>102</v>
      </c>
      <c r="F4" s="2184" t="s">
        <v>49</v>
      </c>
      <c r="G4" s="2184" t="s">
        <v>102</v>
      </c>
      <c r="H4" s="2184" t="s">
        <v>32</v>
      </c>
      <c r="I4" s="2184" t="s">
        <v>102</v>
      </c>
      <c r="J4" s="2184" t="s">
        <v>33</v>
      </c>
      <c r="K4" s="2184" t="s">
        <v>102</v>
      </c>
      <c r="L4" s="2191" t="s">
        <v>50</v>
      </c>
      <c r="M4" s="2191" t="s">
        <v>102</v>
      </c>
    </row>
    <row customHeight="1" ht="27.75" r="5" spans="1:13">
      <c r="A5" s="241" t="s">
        <v>1052</v>
      </c>
      <c r="B5" s="241" t="s">
        <v>78</v>
      </c>
      <c r="C5" s="241" t="s">
        <v>11</v>
      </c>
      <c r="D5" s="241" t="s">
        <v>101</v>
      </c>
      <c r="E5" s="241" t="s">
        <v>85</v>
      </c>
      <c r="F5" s="241" t="s">
        <v>53</v>
      </c>
      <c r="G5" s="241" t="s">
        <v>36</v>
      </c>
      <c r="H5" s="241" t="s">
        <v>53</v>
      </c>
      <c r="I5" s="241" t="s">
        <v>36</v>
      </c>
      <c r="J5" s="241" t="s">
        <v>53</v>
      </c>
      <c r="K5" s="241" t="s">
        <v>36</v>
      </c>
      <c r="L5" s="241" t="s">
        <v>53</v>
      </c>
      <c r="M5" s="241" t="s">
        <v>36</v>
      </c>
    </row>
    <row customHeight="1" ht="27.75" r="6" spans="1:13">
      <c r="A6" s="241" t="s">
        <v>102</v>
      </c>
      <c r="B6" s="241" t="s">
        <v>102</v>
      </c>
      <c r="C6" s="241" t="s">
        <v>102</v>
      </c>
      <c r="D6" s="241" t="s">
        <v>102</v>
      </c>
      <c r="E6" s="241" t="s">
        <v>102</v>
      </c>
      <c r="F6" s="241" t="s">
        <v>102</v>
      </c>
      <c r="G6" s="241" t="s">
        <v>102</v>
      </c>
      <c r="H6" s="241" t="s">
        <v>102</v>
      </c>
      <c r="I6" s="241" t="s">
        <v>102</v>
      </c>
      <c r="J6" s="241" t="s">
        <v>102</v>
      </c>
      <c r="K6" s="241" t="s">
        <v>102</v>
      </c>
      <c r="L6" s="241" t="s">
        <v>102</v>
      </c>
      <c r="M6" s="241" t="s">
        <v>102</v>
      </c>
    </row>
    <row customHeight="1" ht="27.75" r="7" spans="1:13">
      <c r="A7" s="241" t="s">
        <v>102</v>
      </c>
      <c r="B7" s="241" t="s">
        <v>102</v>
      </c>
      <c r="C7" s="241" t="s">
        <v>102</v>
      </c>
      <c r="D7" s="241" t="s">
        <v>102</v>
      </c>
      <c r="E7" s="241" t="s">
        <v>102</v>
      </c>
      <c r="F7" s="241" t="s">
        <v>102</v>
      </c>
      <c r="G7" s="241" t="s">
        <v>102</v>
      </c>
      <c r="H7" s="241" t="s">
        <v>102</v>
      </c>
      <c r="I7" s="241" t="s">
        <v>102</v>
      </c>
      <c r="J7" s="241" t="s">
        <v>102</v>
      </c>
      <c r="K7" s="241" t="s">
        <v>102</v>
      </c>
      <c r="L7" s="241" t="s">
        <v>102</v>
      </c>
      <c r="M7" s="241" t="s">
        <v>102</v>
      </c>
    </row>
    <row customHeight="1" ht="27.75" r="8" spans="1:13">
      <c r="A8" s="241" t="s">
        <v>102</v>
      </c>
      <c r="B8" s="241" t="s">
        <v>102</v>
      </c>
      <c r="C8" s="241" t="s">
        <v>102</v>
      </c>
      <c r="D8" s="241" t="s">
        <v>102</v>
      </c>
      <c r="E8" s="241" t="s">
        <v>102</v>
      </c>
      <c r="F8" s="241" t="s">
        <v>102</v>
      </c>
      <c r="G8" s="241" t="s">
        <v>102</v>
      </c>
      <c r="H8" s="241" t="s">
        <v>102</v>
      </c>
      <c r="I8" s="241" t="s">
        <v>102</v>
      </c>
      <c r="J8" s="241" t="s">
        <v>102</v>
      </c>
      <c r="K8" s="241" t="s">
        <v>102</v>
      </c>
      <c r="L8" s="241" t="s">
        <v>102</v>
      </c>
      <c r="M8" s="241" t="s">
        <v>102</v>
      </c>
    </row>
    <row r="9" spans="1:13">
      <c r="A9" s="242"/>
      <c r="B9" s="242"/>
      <c r="C9" s="242"/>
      <c r="D9" s="242"/>
      <c r="E9" s="242"/>
      <c r="F9" s="243"/>
      <c r="G9" s="243"/>
      <c r="H9" s="243"/>
      <c r="I9" s="243"/>
      <c r="J9" s="243"/>
      <c r="K9" s="243"/>
      <c r="L9" s="243"/>
      <c r="M9" s="243"/>
    </row>
    <row r="10" spans="1:13">
      <c r="A10" s="166"/>
      <c r="B10" s="166"/>
      <c r="C10" s="166"/>
      <c r="D10" s="166"/>
      <c r="E10" s="166"/>
      <c r="F10" s="166"/>
      <c r="G10" s="166"/>
      <c r="H10" s="166"/>
      <c r="I10" s="166"/>
      <c r="J10" s="166"/>
      <c r="K10" s="166"/>
      <c r="L10" s="166"/>
      <c r="M10" s="166"/>
    </row>
  </sheetData>
  <autoFilter ref="A5:D5"/>
  <mergeCells count="6">
    <mergeCell ref="A2:M2"/>
    <mergeCell ref="A4:E4"/>
    <mergeCell ref="F4:G4"/>
    <mergeCell ref="L4:M4"/>
    <mergeCell ref="J4:K4"/>
    <mergeCell ref="H4:I4"/>
  </mergeCells>
  <pageMargins bottom="0.75" footer="0.3" header="0.3" left="0.25" right="0.25" top="0.75"/>
  <pageSetup fitToHeight="0" orientation="landscape" paperSize="9" r:id="rId1" scale="69"/>
</worksheet>
</file>

<file path=xl/worksheets/sheet1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bestFit="true" customWidth="true" style="1" width="9.5703125" collapsed="false"/>
    <col min="2" max="2" customWidth="true" style="1" width="15.140625" collapsed="false"/>
    <col min="3" max="3" customWidth="true" style="1" width="16.7109375" collapsed="false"/>
    <col min="4" max="4" customWidth="true" style="1" width="15.5703125" collapsed="false"/>
    <col min="5" max="5" customWidth="true" style="1" width="18.140625" collapsed="false"/>
    <col min="6" max="6" customWidth="true" style="1" width="15.28515625" collapsed="false"/>
    <col min="7" max="9" customWidth="true" style="1" width="18.28515625" collapsed="false"/>
    <col min="10" max="11" customWidth="true" style="1" width="17.7109375" collapsed="false"/>
    <col min="12" max="12" customWidth="true" style="1" width="17.85546875" collapsed="false"/>
    <col min="13" max="13" style="1" width="9.140625" collapsed="false"/>
    <col min="14" max="20" customWidth="true" style="1" width="11.28515625" collapsed="false"/>
    <col min="21" max="16384" style="1" width="9.140625" collapsed="false"/>
  </cols>
  <sheetData>
    <row ht="15" r="2" spans="1:21">
      <c r="A2" t="s">
        <v>102</v>
      </c>
      <c r="B2" s="2193" t="s">
        <v>4</v>
      </c>
      <c r="C2" s="2193" t="s">
        <v>102</v>
      </c>
      <c r="D2" s="2193" t="s">
        <v>102</v>
      </c>
      <c r="E2" s="2193" t="s">
        <v>102</v>
      </c>
      <c r="F2" s="2193" t="s">
        <v>102</v>
      </c>
      <c r="G2" s="2193" t="s">
        <v>102</v>
      </c>
      <c r="H2" s="2193" t="s">
        <v>102</v>
      </c>
      <c r="I2" s="2193" t="s">
        <v>102</v>
      </c>
      <c r="J2" s="2193" t="s">
        <v>102</v>
      </c>
      <c r="K2" s="2193" t="s">
        <v>102</v>
      </c>
      <c r="L2" s="2193" t="s">
        <v>102</v>
      </c>
    </row>
    <row customHeight="1" ht="25.5" r="4" spans="1:21">
      <c r="A4" s="2192" t="s">
        <v>1198</v>
      </c>
      <c r="B4" s="2192" t="s">
        <v>102</v>
      </c>
      <c r="C4" s="2192" t="s">
        <v>102</v>
      </c>
      <c r="D4" s="2192" t="s">
        <v>102</v>
      </c>
      <c r="E4" s="2192" t="s">
        <v>102</v>
      </c>
      <c r="F4" s="2192" t="s">
        <v>1199</v>
      </c>
      <c r="G4" s="2192" t="s">
        <v>102</v>
      </c>
      <c r="H4" s="2192" t="s">
        <v>102</v>
      </c>
      <c r="I4" s="2192" t="s">
        <v>102</v>
      </c>
      <c r="J4" s="2192" t="s">
        <v>102</v>
      </c>
      <c r="K4" s="2192" t="s">
        <v>102</v>
      </c>
      <c r="L4" s="2192" t="s">
        <v>102</v>
      </c>
      <c r="M4" s="2192" t="s">
        <v>102</v>
      </c>
      <c r="N4" s="2192" t="s">
        <v>1200</v>
      </c>
      <c r="O4" s="2192" t="s">
        <v>102</v>
      </c>
      <c r="P4" s="2192" t="s">
        <v>102</v>
      </c>
      <c r="Q4" s="2192" t="s">
        <v>102</v>
      </c>
      <c r="R4" s="2192" t="s">
        <v>102</v>
      </c>
      <c r="S4" s="2192"/>
      <c r="T4" s="2192"/>
      <c r="U4" s="2192" t="s">
        <v>1201</v>
      </c>
    </row>
    <row customFormat="1" ht="25.5" r="5" s="22" spans="1:21">
      <c r="A5" s="232" t="s">
        <v>59</v>
      </c>
      <c r="B5" s="233" t="s">
        <v>60</v>
      </c>
      <c r="C5" s="232" t="s">
        <v>61</v>
      </c>
      <c r="D5" s="232" t="s">
        <v>62</v>
      </c>
      <c r="E5" s="232" t="s">
        <v>79</v>
      </c>
      <c r="F5" s="232" t="s">
        <v>623</v>
      </c>
      <c r="G5" s="232" t="s">
        <v>1202</v>
      </c>
      <c r="H5" s="232" t="s">
        <v>1203</v>
      </c>
      <c r="I5" s="232" t="s">
        <v>1204</v>
      </c>
      <c r="J5" s="232" t="s">
        <v>1205</v>
      </c>
      <c r="K5" s="232" t="s">
        <v>1206</v>
      </c>
      <c r="L5" s="232" t="s">
        <v>1207</v>
      </c>
      <c r="M5" s="232" t="s">
        <v>1208</v>
      </c>
      <c r="N5" s="232" t="s">
        <v>35</v>
      </c>
      <c r="O5" s="232" t="s">
        <v>1209</v>
      </c>
      <c r="P5" s="232" t="s">
        <v>2323</v>
      </c>
      <c r="Q5" s="232" t="s">
        <v>2324</v>
      </c>
      <c r="R5" s="232" t="s">
        <v>1207</v>
      </c>
      <c r="S5" s="232" t="s">
        <v>1210</v>
      </c>
      <c r="T5" s="232" t="s">
        <v>1211</v>
      </c>
      <c r="U5" s="2192"/>
    </row>
    <row r="6" spans="1:21">
      <c r="A6" s="234" t="s">
        <v>102</v>
      </c>
      <c r="B6" s="234" t="s">
        <v>102</v>
      </c>
      <c r="C6" s="235" t="s">
        <v>102</v>
      </c>
      <c r="D6" s="236" t="s">
        <v>102</v>
      </c>
      <c r="E6" s="236" t="s">
        <v>102</v>
      </c>
      <c r="F6" s="236" t="s">
        <v>102</v>
      </c>
      <c r="G6" s="236" t="s">
        <v>102</v>
      </c>
      <c r="H6" s="236" t="s">
        <v>102</v>
      </c>
      <c r="I6" s="236" t="s">
        <v>102</v>
      </c>
      <c r="J6" s="236" t="s">
        <v>102</v>
      </c>
      <c r="K6" s="236" t="s">
        <v>102</v>
      </c>
      <c r="L6" s="236" t="s">
        <v>102</v>
      </c>
      <c r="M6" s="237">
        <f ref="M6:M12" si="0" t="shared">SUM(F6:L6)</f>
        <v>0</v>
      </c>
      <c r="N6" s="236" t="s">
        <v>102</v>
      </c>
      <c r="O6" s="236" t="s">
        <v>102</v>
      </c>
      <c r="P6" s="236" t="s">
        <v>102</v>
      </c>
      <c r="Q6" s="236" t="s">
        <v>102</v>
      </c>
      <c r="R6" s="236" t="s">
        <v>102</v>
      </c>
      <c r="S6" s="236"/>
      <c r="T6" s="238">
        <f ref="T6:T12" si="1" t="shared">SUM(N6:S6)</f>
        <v>0</v>
      </c>
      <c r="U6" s="238">
        <f ref="U6:U12" si="2" t="shared">M6-T6</f>
        <v>0</v>
      </c>
    </row>
    <row r="7" spans="1:21">
      <c r="A7" s="239" t="s">
        <v>102</v>
      </c>
      <c r="B7" s="239" t="s">
        <v>102</v>
      </c>
      <c r="C7" s="239" t="s">
        <v>102</v>
      </c>
      <c r="D7" s="239" t="s">
        <v>102</v>
      </c>
      <c r="E7" s="239" t="s">
        <v>102</v>
      </c>
      <c r="F7" s="239" t="s">
        <v>102</v>
      </c>
      <c r="G7" s="239" t="s">
        <v>102</v>
      </c>
      <c r="H7" s="239" t="s">
        <v>102</v>
      </c>
      <c r="I7" s="239" t="s">
        <v>102</v>
      </c>
      <c r="J7" s="239" t="s">
        <v>102</v>
      </c>
      <c r="K7" s="239" t="s">
        <v>102</v>
      </c>
      <c r="L7" s="239" t="s">
        <v>102</v>
      </c>
      <c r="M7" s="237">
        <f si="0" t="shared"/>
        <v>0</v>
      </c>
      <c r="N7" s="239" t="s">
        <v>102</v>
      </c>
      <c r="O7" s="239" t="s">
        <v>102</v>
      </c>
      <c r="P7" s="239" t="s">
        <v>102</v>
      </c>
      <c r="Q7" s="239" t="s">
        <v>102</v>
      </c>
      <c r="R7" s="239" t="s">
        <v>102</v>
      </c>
      <c r="S7" s="239"/>
      <c r="T7" s="238">
        <f si="1" t="shared"/>
        <v>0</v>
      </c>
      <c r="U7" s="238">
        <f si="2" t="shared"/>
        <v>0</v>
      </c>
    </row>
    <row r="8" spans="1:21">
      <c r="A8" s="239" t="s">
        <v>102</v>
      </c>
      <c r="B8" s="239" t="s">
        <v>102</v>
      </c>
      <c r="C8" s="239" t="s">
        <v>102</v>
      </c>
      <c r="D8" s="239" t="s">
        <v>102</v>
      </c>
      <c r="E8" s="239" t="s">
        <v>102</v>
      </c>
      <c r="F8" s="239" t="s">
        <v>102</v>
      </c>
      <c r="G8" s="239" t="s">
        <v>102</v>
      </c>
      <c r="H8" s="239" t="s">
        <v>102</v>
      </c>
      <c r="I8" s="239" t="s">
        <v>102</v>
      </c>
      <c r="J8" s="239" t="s">
        <v>102</v>
      </c>
      <c r="K8" s="239" t="s">
        <v>102</v>
      </c>
      <c r="L8" s="239" t="s">
        <v>102</v>
      </c>
      <c r="M8" s="237">
        <f si="0" t="shared"/>
        <v>0</v>
      </c>
      <c r="N8" s="239" t="s">
        <v>102</v>
      </c>
      <c r="O8" s="239" t="s">
        <v>102</v>
      </c>
      <c r="P8" s="239" t="s">
        <v>102</v>
      </c>
      <c r="Q8" s="239" t="s">
        <v>102</v>
      </c>
      <c r="R8" s="239" t="s">
        <v>102</v>
      </c>
      <c r="S8" s="239"/>
      <c r="T8" s="238">
        <f si="1" t="shared"/>
        <v>0</v>
      </c>
      <c r="U8" s="238">
        <f si="2" t="shared"/>
        <v>0</v>
      </c>
    </row>
    <row r="9" spans="1:21">
      <c r="A9" s="239" t="s">
        <v>102</v>
      </c>
      <c r="B9" s="239" t="s">
        <v>102</v>
      </c>
      <c r="C9" s="239" t="s">
        <v>102</v>
      </c>
      <c r="D9" s="239" t="s">
        <v>102</v>
      </c>
      <c r="E9" s="239" t="s">
        <v>102</v>
      </c>
      <c r="F9" s="239" t="s">
        <v>102</v>
      </c>
      <c r="G9" s="239" t="s">
        <v>102</v>
      </c>
      <c r="H9" s="239" t="s">
        <v>102</v>
      </c>
      <c r="I9" s="239" t="s">
        <v>102</v>
      </c>
      <c r="J9" s="239" t="s">
        <v>102</v>
      </c>
      <c r="K9" s="239" t="s">
        <v>102</v>
      </c>
      <c r="L9" s="239" t="s">
        <v>102</v>
      </c>
      <c r="M9" s="237">
        <f si="0" t="shared"/>
        <v>0</v>
      </c>
      <c r="N9" s="239" t="s">
        <v>102</v>
      </c>
      <c r="O9" s="239" t="s">
        <v>102</v>
      </c>
      <c r="P9" s="239" t="s">
        <v>102</v>
      </c>
      <c r="Q9" s="239" t="s">
        <v>102</v>
      </c>
      <c r="R9" s="239" t="s">
        <v>102</v>
      </c>
      <c r="S9" s="239"/>
      <c r="T9" s="238">
        <f si="1" t="shared"/>
        <v>0</v>
      </c>
      <c r="U9" s="238">
        <f si="2" t="shared"/>
        <v>0</v>
      </c>
    </row>
    <row r="10" spans="1:21">
      <c r="A10" s="239" t="s">
        <v>102</v>
      </c>
      <c r="B10" s="239" t="s">
        <v>102</v>
      </c>
      <c r="C10" s="239" t="s">
        <v>102</v>
      </c>
      <c r="D10" s="239" t="s">
        <v>102</v>
      </c>
      <c r="E10" s="239" t="s">
        <v>102</v>
      </c>
      <c r="F10" s="239" t="s">
        <v>102</v>
      </c>
      <c r="G10" s="239" t="s">
        <v>102</v>
      </c>
      <c r="H10" s="239" t="s">
        <v>102</v>
      </c>
      <c r="I10" s="239" t="s">
        <v>102</v>
      </c>
      <c r="J10" s="239" t="s">
        <v>102</v>
      </c>
      <c r="K10" s="239" t="s">
        <v>102</v>
      </c>
      <c r="L10" s="239" t="s">
        <v>102</v>
      </c>
      <c r="M10" s="237">
        <f si="0" t="shared"/>
        <v>0</v>
      </c>
      <c r="N10" s="239" t="s">
        <v>102</v>
      </c>
      <c r="O10" s="239" t="s">
        <v>102</v>
      </c>
      <c r="P10" s="239" t="s">
        <v>102</v>
      </c>
      <c r="Q10" s="239" t="s">
        <v>102</v>
      </c>
      <c r="R10" s="239" t="s">
        <v>102</v>
      </c>
      <c r="S10" s="239"/>
      <c r="T10" s="238">
        <f si="1" t="shared"/>
        <v>0</v>
      </c>
      <c r="U10" s="238">
        <f si="2" t="shared"/>
        <v>0</v>
      </c>
    </row>
    <row r="11" spans="1:21">
      <c r="A11" s="239" t="s">
        <v>102</v>
      </c>
      <c r="B11" s="239" t="s">
        <v>102</v>
      </c>
      <c r="C11" s="239" t="s">
        <v>102</v>
      </c>
      <c r="D11" s="239" t="s">
        <v>102</v>
      </c>
      <c r="E11" s="239" t="s">
        <v>102</v>
      </c>
      <c r="F11" s="239" t="s">
        <v>102</v>
      </c>
      <c r="G11" s="239" t="s">
        <v>102</v>
      </c>
      <c r="H11" s="239" t="s">
        <v>102</v>
      </c>
      <c r="I11" s="239" t="s">
        <v>102</v>
      </c>
      <c r="J11" s="239" t="s">
        <v>102</v>
      </c>
      <c r="K11" s="239" t="s">
        <v>102</v>
      </c>
      <c r="L11" s="239" t="s">
        <v>102</v>
      </c>
      <c r="M11" s="237">
        <f si="0" t="shared"/>
        <v>0</v>
      </c>
      <c r="N11" s="239" t="s">
        <v>102</v>
      </c>
      <c r="O11" s="239" t="s">
        <v>102</v>
      </c>
      <c r="P11" s="239" t="s">
        <v>102</v>
      </c>
      <c r="Q11" s="239" t="s">
        <v>102</v>
      </c>
      <c r="R11" s="239" t="s">
        <v>102</v>
      </c>
      <c r="S11" s="239"/>
      <c r="T11" s="238">
        <f si="1" t="shared"/>
        <v>0</v>
      </c>
      <c r="U11" s="238">
        <f si="2" t="shared"/>
        <v>0</v>
      </c>
    </row>
    <row r="12" spans="1:21">
      <c r="A12" s="239" t="s">
        <v>102</v>
      </c>
      <c r="B12" s="239" t="s">
        <v>102</v>
      </c>
      <c r="C12" s="239" t="s">
        <v>102</v>
      </c>
      <c r="D12" s="239" t="s">
        <v>102</v>
      </c>
      <c r="E12" s="239" t="s">
        <v>102</v>
      </c>
      <c r="F12" s="239" t="s">
        <v>102</v>
      </c>
      <c r="G12" s="239" t="s">
        <v>102</v>
      </c>
      <c r="H12" s="239" t="s">
        <v>102</v>
      </c>
      <c r="I12" s="239" t="s">
        <v>102</v>
      </c>
      <c r="J12" s="239" t="s">
        <v>102</v>
      </c>
      <c r="K12" s="239" t="s">
        <v>102</v>
      </c>
      <c r="L12" s="239" t="s">
        <v>102</v>
      </c>
      <c r="M12" s="237">
        <f si="0" t="shared"/>
        <v>0</v>
      </c>
      <c r="N12" s="239" t="s">
        <v>102</v>
      </c>
      <c r="O12" s="239" t="s">
        <v>102</v>
      </c>
      <c r="P12" s="239" t="s">
        <v>102</v>
      </c>
      <c r="Q12" s="239" t="s">
        <v>102</v>
      </c>
      <c r="R12" s="239" t="s">
        <v>102</v>
      </c>
      <c r="S12" s="239"/>
      <c r="T12" s="238">
        <f si="1" t="shared"/>
        <v>0</v>
      </c>
      <c r="U12" s="238">
        <f si="2" t="shared"/>
        <v>0</v>
      </c>
    </row>
    <row r="13" spans="1:21">
      <c r="A13" s="239"/>
      <c r="B13" s="239"/>
      <c r="C13" s="239"/>
      <c r="D13" s="239"/>
      <c r="E13" s="239"/>
      <c r="F13" s="240"/>
      <c r="G13" s="240"/>
      <c r="H13" s="240"/>
      <c r="I13" s="240"/>
      <c r="J13" s="240"/>
      <c r="K13" s="240"/>
      <c r="L13" s="240"/>
      <c r="M13" s="240"/>
      <c r="N13" s="240"/>
      <c r="O13" s="240"/>
      <c r="P13" s="240"/>
      <c r="Q13" s="240"/>
      <c r="R13" s="240"/>
      <c r="S13" s="240"/>
      <c r="T13" s="240"/>
      <c r="U13" s="240"/>
    </row>
    <row ht="15" r="38" spans="1:5">
      <c r="A38" s="85">
        <v>1</v>
      </c>
      <c r="B38" t="s">
        <v>2189</v>
      </c>
      <c r="C38" t="s">
        <v>2190</v>
      </c>
      <c r="D38" t="s">
        <v>2191</v>
      </c>
      <c r="E38" t="s">
        <v>2192</v>
      </c>
    </row>
  </sheetData>
  <mergeCells count="5">
    <mergeCell ref="N4:T4"/>
    <mergeCell ref="U4:U5"/>
    <mergeCell ref="B2:L2"/>
    <mergeCell ref="A4:E4"/>
    <mergeCell ref="F4:M4"/>
  </mergeCells>
  <pageMargins bottom="0.75" footer="0.3" header="0.3" left="0.25" right="0.25" top="0.75"/>
  <pageSetup fitToHeight="0" orientation="landscape" paperSize="9" r:id="rId1" scale="53"/>
</worksheet>
</file>

<file path=xl/worksheets/sheet1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customWidth="true" style="85" width="12.5703125" collapsed="false"/>
    <col min="2" max="3" customWidth="true" style="85" width="11.5703125" collapsed="false"/>
    <col min="4" max="4" customWidth="true" style="89" width="60.85546875" collapsed="false"/>
    <col min="5" max="5" customWidth="true" style="85" width="22.7109375" collapsed="false"/>
    <col min="6" max="17" customWidth="true" style="85" width="14.140625" collapsed="false"/>
    <col min="18" max="18" customWidth="true" style="85" width="8.140625" collapsed="false"/>
    <col min="19" max="16384" style="85" width="9.140625" collapsed="false"/>
  </cols>
  <sheetData>
    <row customHeight="1" ht="18.75" r="2" spans="1:17">
      <c r="A2" s="2194" t="s">
        <v>2</v>
      </c>
      <c r="B2" s="2194" t="s">
        <v>102</v>
      </c>
      <c r="C2" s="2194" t="s">
        <v>102</v>
      </c>
      <c r="D2" s="2194" t="s">
        <v>102</v>
      </c>
      <c r="E2" s="2194" t="s">
        <v>102</v>
      </c>
      <c r="F2" s="2194" t="s">
        <v>102</v>
      </c>
      <c r="G2" s="2194" t="s">
        <v>102</v>
      </c>
      <c r="H2" s="2194" t="s">
        <v>102</v>
      </c>
      <c r="I2" s="2194" t="s">
        <v>102</v>
      </c>
      <c r="J2" s="2194" t="s">
        <v>102</v>
      </c>
      <c r="K2" s="2194" t="s">
        <v>102</v>
      </c>
      <c r="L2" s="2194" t="s">
        <v>102</v>
      </c>
      <c r="M2" s="2194" t="s">
        <v>102</v>
      </c>
      <c r="N2" s="2194" t="s">
        <v>102</v>
      </c>
      <c r="O2" s="2194" t="s">
        <v>102</v>
      </c>
      <c r="P2" s="2194" t="s">
        <v>102</v>
      </c>
      <c r="Q2" s="2194" t="s">
        <v>102</v>
      </c>
    </row>
    <row customHeight="1" ht="18.75" r="3" spans="1:17">
      <c r="A3" s="2195" t="s">
        <v>451</v>
      </c>
      <c r="B3" s="2195" t="s">
        <v>102</v>
      </c>
      <c r="C3" s="2195" t="s">
        <v>102</v>
      </c>
      <c r="D3" s="2195" t="s">
        <v>102</v>
      </c>
      <c r="E3" s="2195" t="s">
        <v>102</v>
      </c>
      <c r="F3" s="2195" t="s">
        <v>102</v>
      </c>
      <c r="G3" s="2195" t="s">
        <v>102</v>
      </c>
      <c r="H3" s="2195" t="s">
        <v>102</v>
      </c>
      <c r="I3" s="2195" t="s">
        <v>102</v>
      </c>
      <c r="J3" s="2195" t="s">
        <v>102</v>
      </c>
      <c r="K3" s="2195" t="s">
        <v>102</v>
      </c>
      <c r="L3" s="2195" t="s">
        <v>102</v>
      </c>
      <c r="M3" s="2195" t="s">
        <v>102</v>
      </c>
      <c r="N3" s="2195" t="s">
        <v>102</v>
      </c>
      <c r="O3" s="2195" t="s">
        <v>102</v>
      </c>
      <c r="P3" s="2195" t="s">
        <v>102</v>
      </c>
      <c r="Q3" s="2195" t="s">
        <v>102</v>
      </c>
    </row>
    <row customHeight="1" ht="15.75" r="4" spans="1:17">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customHeight="1" ht="53.25" r="5" spans="1:17">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v>71403</v>
      </c>
      <c r="B6" s="121">
        <v>80101</v>
      </c>
      <c r="C6" s="122">
        <v>2</v>
      </c>
      <c r="D6" s="123" t="s">
        <v>3626</v>
      </c>
      <c r="E6" s="124">
        <v>207067000</v>
      </c>
      <c r="F6" s="124">
        <v>16897800</v>
      </c>
      <c r="G6" s="124">
        <v>24291700</v>
      </c>
      <c r="H6" s="124">
        <v>18708400</v>
      </c>
      <c r="I6" s="124">
        <v>15197800</v>
      </c>
      <c r="J6" s="124">
        <v>16555100</v>
      </c>
      <c r="K6" s="124">
        <v>16055100</v>
      </c>
      <c r="L6" s="124">
        <v>16055100</v>
      </c>
      <c r="M6" s="124">
        <v>16055100</v>
      </c>
      <c r="N6" s="124">
        <v>17540100</v>
      </c>
      <c r="O6" s="124">
        <v>17601000</v>
      </c>
      <c r="P6" s="124">
        <v>16055100</v>
      </c>
      <c r="Q6" s="124">
        <v>16054700</v>
      </c>
    </row>
    <row r="7" spans="1:17">
      <c r="A7" s="121">
        <v>71403</v>
      </c>
      <c r="B7" s="121">
        <v>80835</v>
      </c>
      <c r="C7" s="125">
        <v>2</v>
      </c>
      <c r="D7" s="126" t="s">
        <v>3626</v>
      </c>
      <c r="E7" s="124">
        <v>3600000</v>
      </c>
      <c r="F7" s="124">
        <v>0</v>
      </c>
      <c r="G7" s="124">
        <v>0</v>
      </c>
      <c r="H7" s="124">
        <v>0</v>
      </c>
      <c r="I7" s="124">
        <v>0</v>
      </c>
      <c r="J7" s="124">
        <v>0</v>
      </c>
      <c r="K7" s="124">
        <v>0</v>
      </c>
      <c r="L7" s="124">
        <v>0</v>
      </c>
      <c r="M7" s="124">
        <v>0</v>
      </c>
      <c r="N7" s="124">
        <v>0</v>
      </c>
      <c r="O7" s="124">
        <v>0</v>
      </c>
      <c r="P7" s="124">
        <v>0</v>
      </c>
      <c r="Q7" s="124">
        <v>3600000</v>
      </c>
    </row>
    <row r="8" spans="1:17">
      <c r="A8" s="121">
        <v>71403</v>
      </c>
      <c r="B8" s="121">
        <v>80101</v>
      </c>
      <c r="C8" s="125">
        <v>21</v>
      </c>
      <c r="D8" s="126" t="s">
        <v>3627</v>
      </c>
      <c r="E8" s="127">
        <v>207067000</v>
      </c>
      <c r="F8" s="127">
        <v>16897800</v>
      </c>
      <c r="G8" s="127">
        <v>24291700</v>
      </c>
      <c r="H8" s="127">
        <v>18708400</v>
      </c>
      <c r="I8" s="127">
        <v>15197800</v>
      </c>
      <c r="J8" s="127">
        <v>16555100</v>
      </c>
      <c r="K8" s="127">
        <v>16055100</v>
      </c>
      <c r="L8" s="127">
        <v>16055100</v>
      </c>
      <c r="M8" s="127">
        <v>16055100</v>
      </c>
      <c r="N8" s="127">
        <v>17540100</v>
      </c>
      <c r="O8" s="127">
        <v>17601000</v>
      </c>
      <c r="P8" s="127">
        <v>16055100</v>
      </c>
      <c r="Q8" s="127">
        <v>16054700</v>
      </c>
    </row>
    <row r="9" spans="1:17">
      <c r="A9" s="121">
        <v>71403</v>
      </c>
      <c r="B9" s="121">
        <v>80835</v>
      </c>
      <c r="C9" s="125">
        <v>21</v>
      </c>
      <c r="D9" s="126" t="s">
        <v>3627</v>
      </c>
      <c r="E9" s="127">
        <v>3600000</v>
      </c>
      <c r="F9" s="127">
        <v>0</v>
      </c>
      <c r="G9" s="127">
        <v>0</v>
      </c>
      <c r="H9" s="127">
        <v>0</v>
      </c>
      <c r="I9" s="127">
        <v>0</v>
      </c>
      <c r="J9" s="127">
        <v>0</v>
      </c>
      <c r="K9" s="127">
        <v>0</v>
      </c>
      <c r="L9" s="127">
        <v>0</v>
      </c>
      <c r="M9" s="127">
        <v>0</v>
      </c>
      <c r="N9" s="127">
        <v>0</v>
      </c>
      <c r="O9" s="127">
        <v>0</v>
      </c>
      <c r="P9" s="127">
        <v>0</v>
      </c>
      <c r="Q9" s="127">
        <v>3600000</v>
      </c>
    </row>
    <row r="10" spans="1:17">
      <c r="A10" s="121">
        <v>71403</v>
      </c>
      <c r="B10" s="121">
        <v>80101</v>
      </c>
      <c r="C10" s="128">
        <v>210</v>
      </c>
      <c r="D10" s="129" t="s">
        <v>3628</v>
      </c>
      <c r="E10" s="127">
        <v>207067000</v>
      </c>
      <c r="F10" s="127">
        <v>16897800</v>
      </c>
      <c r="G10" s="127">
        <v>24291700</v>
      </c>
      <c r="H10" s="127">
        <v>18708400</v>
      </c>
      <c r="I10" s="127">
        <v>15197800</v>
      </c>
      <c r="J10" s="127">
        <v>16555100</v>
      </c>
      <c r="K10" s="127">
        <v>16055100</v>
      </c>
      <c r="L10" s="127">
        <v>16055100</v>
      </c>
      <c r="M10" s="127">
        <v>16055100</v>
      </c>
      <c r="N10" s="127">
        <v>17540100</v>
      </c>
      <c r="O10" s="127">
        <v>17601000</v>
      </c>
      <c r="P10" s="127">
        <v>16055100</v>
      </c>
      <c r="Q10" s="127">
        <v>16054700</v>
      </c>
    </row>
    <row r="11" spans="1:17">
      <c r="A11" s="121">
        <v>71403</v>
      </c>
      <c r="B11" s="121">
        <v>80101</v>
      </c>
      <c r="C11" s="128">
        <v>2101</v>
      </c>
      <c r="D11" s="129" t="s">
        <v>3629</v>
      </c>
      <c r="E11" s="127">
        <v>148347800</v>
      </c>
      <c r="F11" s="127">
        <v>12362400</v>
      </c>
      <c r="G11" s="127">
        <v>12362400</v>
      </c>
      <c r="H11" s="127">
        <v>12362400</v>
      </c>
      <c r="I11" s="127">
        <v>12362400</v>
      </c>
      <c r="J11" s="127">
        <v>12362400</v>
      </c>
      <c r="K11" s="127">
        <v>12362400</v>
      </c>
      <c r="L11" s="127">
        <v>12362400</v>
      </c>
      <c r="M11" s="127">
        <v>12362400</v>
      </c>
      <c r="N11" s="127">
        <v>12362400</v>
      </c>
      <c r="O11" s="127">
        <v>12362400</v>
      </c>
      <c r="P11" s="127">
        <v>12362400</v>
      </c>
      <c r="Q11" s="127">
        <v>12361400</v>
      </c>
    </row>
    <row r="12" spans="1:17">
      <c r="A12" s="121">
        <v>71403</v>
      </c>
      <c r="B12" s="121">
        <v>80101</v>
      </c>
      <c r="C12" s="128">
        <v>210101</v>
      </c>
      <c r="D12" s="129" t="s">
        <v>623</v>
      </c>
      <c r="E12" s="127">
        <v>97537000</v>
      </c>
      <c r="F12" s="127">
        <v>8128100</v>
      </c>
      <c r="G12" s="127">
        <v>8128100</v>
      </c>
      <c r="H12" s="127">
        <v>8128100</v>
      </c>
      <c r="I12" s="127">
        <v>8128100</v>
      </c>
      <c r="J12" s="127">
        <v>8128100</v>
      </c>
      <c r="K12" s="127">
        <v>8128100</v>
      </c>
      <c r="L12" s="127">
        <v>8128100</v>
      </c>
      <c r="M12" s="127">
        <v>8128100</v>
      </c>
      <c r="N12" s="127">
        <v>8128100</v>
      </c>
      <c r="O12" s="127">
        <v>8128100</v>
      </c>
      <c r="P12" s="127">
        <v>8128100</v>
      </c>
      <c r="Q12" s="127">
        <v>8127900</v>
      </c>
    </row>
    <row r="13" spans="1:17">
      <c r="A13" s="121">
        <v>71403</v>
      </c>
      <c r="B13" s="121">
        <v>80101</v>
      </c>
      <c r="C13" s="128">
        <v>210102</v>
      </c>
      <c r="D13" s="129" t="s">
        <v>3630</v>
      </c>
      <c r="E13" s="127">
        <v>36660800</v>
      </c>
      <c r="F13" s="127">
        <v>3055100</v>
      </c>
      <c r="G13" s="127">
        <v>3055100</v>
      </c>
      <c r="H13" s="127">
        <v>3055100</v>
      </c>
      <c r="I13" s="127">
        <v>3055100</v>
      </c>
      <c r="J13" s="127">
        <v>3055100</v>
      </c>
      <c r="K13" s="127">
        <v>3055100</v>
      </c>
      <c r="L13" s="127">
        <v>3055100</v>
      </c>
      <c r="M13" s="127">
        <v>3055100</v>
      </c>
      <c r="N13" s="127">
        <v>3055100</v>
      </c>
      <c r="O13" s="127">
        <v>3055100</v>
      </c>
      <c r="P13" s="127">
        <v>3055100</v>
      </c>
      <c r="Q13" s="127">
        <v>3054700</v>
      </c>
    </row>
    <row r="14" spans="1:17">
      <c r="A14" s="121">
        <v>71403</v>
      </c>
      <c r="B14" s="121">
        <v>80101</v>
      </c>
      <c r="C14" s="128">
        <v>210103</v>
      </c>
      <c r="D14" s="129" t="s">
        <v>3631</v>
      </c>
      <c r="E14" s="127">
        <v>14150000</v>
      </c>
      <c r="F14" s="127">
        <v>1179200</v>
      </c>
      <c r="G14" s="127">
        <v>1179200</v>
      </c>
      <c r="H14" s="127">
        <v>1179200</v>
      </c>
      <c r="I14" s="127">
        <v>1179200</v>
      </c>
      <c r="J14" s="127">
        <v>1179200</v>
      </c>
      <c r="K14" s="127">
        <v>1179200</v>
      </c>
      <c r="L14" s="127">
        <v>1179200</v>
      </c>
      <c r="M14" s="127">
        <v>1179200</v>
      </c>
      <c r="N14" s="127">
        <v>1179200</v>
      </c>
      <c r="O14" s="127">
        <v>1179200</v>
      </c>
      <c r="P14" s="127">
        <v>1179200</v>
      </c>
      <c r="Q14" s="127">
        <v>1178800</v>
      </c>
    </row>
    <row r="15" spans="1:17">
      <c r="A15" s="121">
        <v>71403</v>
      </c>
      <c r="B15" s="121">
        <v>80101</v>
      </c>
      <c r="C15" s="125">
        <v>2102</v>
      </c>
      <c r="D15" s="126" t="s">
        <v>3632</v>
      </c>
      <c r="E15" s="127">
        <v>16318200</v>
      </c>
      <c r="F15" s="127">
        <v>1359800</v>
      </c>
      <c r="G15" s="127">
        <v>1359800</v>
      </c>
      <c r="H15" s="127">
        <v>1359800</v>
      </c>
      <c r="I15" s="127">
        <v>1359800</v>
      </c>
      <c r="J15" s="127">
        <v>1359800</v>
      </c>
      <c r="K15" s="127">
        <v>1359800</v>
      </c>
      <c r="L15" s="127">
        <v>1359800</v>
      </c>
      <c r="M15" s="127">
        <v>1359800</v>
      </c>
      <c r="N15" s="127">
        <v>1359800</v>
      </c>
      <c r="O15" s="127">
        <v>1359800</v>
      </c>
      <c r="P15" s="127">
        <v>1359800</v>
      </c>
      <c r="Q15" s="127">
        <v>1360400</v>
      </c>
    </row>
    <row r="16" spans="1:17">
      <c r="A16" s="121">
        <v>71403</v>
      </c>
      <c r="B16" s="121">
        <v>80101</v>
      </c>
      <c r="C16" s="128">
        <v>210201</v>
      </c>
      <c r="D16" s="129" t="s">
        <v>3633</v>
      </c>
      <c r="E16" s="127">
        <v>10384300</v>
      </c>
      <c r="F16" s="127">
        <v>865400</v>
      </c>
      <c r="G16" s="127">
        <v>865400</v>
      </c>
      <c r="H16" s="127">
        <v>865400</v>
      </c>
      <c r="I16" s="127">
        <v>865400</v>
      </c>
      <c r="J16" s="127">
        <v>865400</v>
      </c>
      <c r="K16" s="127">
        <v>865400</v>
      </c>
      <c r="L16" s="127">
        <v>865400</v>
      </c>
      <c r="M16" s="127">
        <v>865400</v>
      </c>
      <c r="N16" s="127">
        <v>865400</v>
      </c>
      <c r="O16" s="127">
        <v>865400</v>
      </c>
      <c r="P16" s="127">
        <v>865400</v>
      </c>
      <c r="Q16" s="127">
        <v>864900</v>
      </c>
    </row>
    <row r="17" spans="1:17">
      <c r="A17" s="121">
        <v>71403</v>
      </c>
      <c r="B17" s="121">
        <v>80101</v>
      </c>
      <c r="C17" s="128">
        <v>210202</v>
      </c>
      <c r="D17" s="129" t="s">
        <v>3634</v>
      </c>
      <c r="E17" s="127">
        <v>1483500</v>
      </c>
      <c r="F17" s="127">
        <v>123600</v>
      </c>
      <c r="G17" s="127">
        <v>123600</v>
      </c>
      <c r="H17" s="127">
        <v>123600</v>
      </c>
      <c r="I17" s="127">
        <v>123600</v>
      </c>
      <c r="J17" s="127">
        <v>123600</v>
      </c>
      <c r="K17" s="127">
        <v>123600</v>
      </c>
      <c r="L17" s="127">
        <v>123600</v>
      </c>
      <c r="M17" s="127">
        <v>123600</v>
      </c>
      <c r="N17" s="127">
        <v>123600</v>
      </c>
      <c r="O17" s="127">
        <v>123600</v>
      </c>
      <c r="P17" s="127">
        <v>123600</v>
      </c>
      <c r="Q17" s="127">
        <v>123900</v>
      </c>
    </row>
    <row r="18" spans="1:17">
      <c r="A18" s="121">
        <v>71403</v>
      </c>
      <c r="B18" s="121">
        <v>80101</v>
      </c>
      <c r="C18" s="128">
        <v>210203</v>
      </c>
      <c r="D18" s="129" t="s">
        <v>3635</v>
      </c>
      <c r="E18" s="127">
        <v>1186800</v>
      </c>
      <c r="F18" s="127">
        <v>98900</v>
      </c>
      <c r="G18" s="127">
        <v>98900</v>
      </c>
      <c r="H18" s="127">
        <v>98900</v>
      </c>
      <c r="I18" s="127">
        <v>98900</v>
      </c>
      <c r="J18" s="127">
        <v>98900</v>
      </c>
      <c r="K18" s="127">
        <v>98900</v>
      </c>
      <c r="L18" s="127">
        <v>98900</v>
      </c>
      <c r="M18" s="127">
        <v>98900</v>
      </c>
      <c r="N18" s="127">
        <v>98900</v>
      </c>
      <c r="O18" s="127">
        <v>98900</v>
      </c>
      <c r="P18" s="127">
        <v>98900</v>
      </c>
      <c r="Q18" s="127">
        <v>98900</v>
      </c>
    </row>
    <row r="19" spans="1:17">
      <c r="A19" s="121">
        <v>71403</v>
      </c>
      <c r="B19" s="121">
        <v>80101</v>
      </c>
      <c r="C19" s="128">
        <v>210204</v>
      </c>
      <c r="D19" s="129" t="s">
        <v>3636</v>
      </c>
      <c r="E19" s="127">
        <v>296700</v>
      </c>
      <c r="F19" s="127">
        <v>24700</v>
      </c>
      <c r="G19" s="127">
        <v>24700</v>
      </c>
      <c r="H19" s="127">
        <v>24700</v>
      </c>
      <c r="I19" s="127">
        <v>24700</v>
      </c>
      <c r="J19" s="127">
        <v>24700</v>
      </c>
      <c r="K19" s="127">
        <v>24700</v>
      </c>
      <c r="L19" s="127">
        <v>24700</v>
      </c>
      <c r="M19" s="127">
        <v>24700</v>
      </c>
      <c r="N19" s="127">
        <v>24700</v>
      </c>
      <c r="O19" s="127">
        <v>24700</v>
      </c>
      <c r="P19" s="127">
        <v>24700</v>
      </c>
      <c r="Q19" s="127">
        <v>25000</v>
      </c>
    </row>
    <row r="20" spans="1:17">
      <c r="A20" s="121">
        <v>71403</v>
      </c>
      <c r="B20" s="121">
        <v>80101</v>
      </c>
      <c r="C20" s="128">
        <v>210205</v>
      </c>
      <c r="D20" s="129" t="s">
        <v>3637</v>
      </c>
      <c r="E20" s="127">
        <v>2966900</v>
      </c>
      <c r="F20" s="127">
        <v>247200</v>
      </c>
      <c r="G20" s="127">
        <v>247200</v>
      </c>
      <c r="H20" s="127">
        <v>247200</v>
      </c>
      <c r="I20" s="127">
        <v>247200</v>
      </c>
      <c r="J20" s="127">
        <v>247200</v>
      </c>
      <c r="K20" s="127">
        <v>247200</v>
      </c>
      <c r="L20" s="127">
        <v>247200</v>
      </c>
      <c r="M20" s="127">
        <v>247200</v>
      </c>
      <c r="N20" s="127">
        <v>247200</v>
      </c>
      <c r="O20" s="127">
        <v>247200</v>
      </c>
      <c r="P20" s="127">
        <v>247200</v>
      </c>
      <c r="Q20" s="127">
        <v>247700</v>
      </c>
    </row>
    <row r="21" spans="1:17">
      <c r="A21" s="121">
        <v>71403</v>
      </c>
      <c r="B21" s="121">
        <v>80101</v>
      </c>
      <c r="C21" s="125">
        <v>2103</v>
      </c>
      <c r="D21" s="126" t="s">
        <v>3638</v>
      </c>
      <c r="E21" s="127">
        <v>10858500</v>
      </c>
      <c r="F21" s="127">
        <v>0</v>
      </c>
      <c r="G21" s="127">
        <v>0</v>
      </c>
      <c r="H21" s="127">
        <v>0</v>
      </c>
      <c r="I21" s="127">
        <v>0</v>
      </c>
      <c r="J21" s="127">
        <v>1357300</v>
      </c>
      <c r="K21" s="127">
        <v>1357300</v>
      </c>
      <c r="L21" s="127">
        <v>1357300</v>
      </c>
      <c r="M21" s="127">
        <v>1357300</v>
      </c>
      <c r="N21" s="127">
        <v>1357300</v>
      </c>
      <c r="O21" s="127">
        <v>1357300</v>
      </c>
      <c r="P21" s="127">
        <v>1357300</v>
      </c>
      <c r="Q21" s="127">
        <v>1357400</v>
      </c>
    </row>
    <row r="22" spans="1:17">
      <c r="A22" s="121">
        <v>71403</v>
      </c>
      <c r="B22" s="121">
        <v>80101</v>
      </c>
      <c r="C22" s="128">
        <v>210301</v>
      </c>
      <c r="D22" s="129" t="s">
        <v>3639</v>
      </c>
      <c r="E22" s="127">
        <v>4852800</v>
      </c>
      <c r="F22" s="127">
        <v>0</v>
      </c>
      <c r="G22" s="127">
        <v>0</v>
      </c>
      <c r="H22" s="127">
        <v>0</v>
      </c>
      <c r="I22" s="127">
        <v>0</v>
      </c>
      <c r="J22" s="127">
        <v>606600</v>
      </c>
      <c r="K22" s="127">
        <v>606600</v>
      </c>
      <c r="L22" s="127">
        <v>606600</v>
      </c>
      <c r="M22" s="127">
        <v>606600</v>
      </c>
      <c r="N22" s="127">
        <v>606600</v>
      </c>
      <c r="O22" s="127">
        <v>606600</v>
      </c>
      <c r="P22" s="127">
        <v>606600</v>
      </c>
      <c r="Q22" s="127">
        <v>606600</v>
      </c>
    </row>
    <row r="23" spans="1:17">
      <c r="A23" s="121">
        <v>71403</v>
      </c>
      <c r="B23" s="121">
        <v>80101</v>
      </c>
      <c r="C23" s="128">
        <v>210302</v>
      </c>
      <c r="D23" s="129" t="s">
        <v>3640</v>
      </c>
      <c r="E23" s="127">
        <v>6005700</v>
      </c>
      <c r="F23" s="127">
        <v>0</v>
      </c>
      <c r="G23" s="127">
        <v>0</v>
      </c>
      <c r="H23" s="127">
        <v>0</v>
      </c>
      <c r="I23" s="127">
        <v>0</v>
      </c>
      <c r="J23" s="127">
        <v>750700</v>
      </c>
      <c r="K23" s="127">
        <v>750700</v>
      </c>
      <c r="L23" s="127">
        <v>750700</v>
      </c>
      <c r="M23" s="127">
        <v>750700</v>
      </c>
      <c r="N23" s="127">
        <v>750700</v>
      </c>
      <c r="O23" s="127">
        <v>750700</v>
      </c>
      <c r="P23" s="127">
        <v>750700</v>
      </c>
      <c r="Q23" s="127">
        <v>750800</v>
      </c>
    </row>
    <row r="24" spans="1:17">
      <c r="A24" s="121">
        <v>71403</v>
      </c>
      <c r="B24" s="121">
        <v>80101</v>
      </c>
      <c r="C24" s="128">
        <v>2104</v>
      </c>
      <c r="D24" s="129" t="s">
        <v>3641</v>
      </c>
      <c r="E24" s="127">
        <v>19278600</v>
      </c>
      <c r="F24" s="127">
        <v>1975600</v>
      </c>
      <c r="G24" s="127">
        <v>3675600</v>
      </c>
      <c r="H24" s="127">
        <v>2301200</v>
      </c>
      <c r="I24" s="127">
        <v>1475600</v>
      </c>
      <c r="J24" s="127">
        <v>1475600</v>
      </c>
      <c r="K24" s="127">
        <v>975600</v>
      </c>
      <c r="L24" s="127">
        <v>975600</v>
      </c>
      <c r="M24" s="127">
        <v>975600</v>
      </c>
      <c r="N24" s="127">
        <v>975600</v>
      </c>
      <c r="O24" s="127">
        <v>2521500</v>
      </c>
      <c r="P24" s="127">
        <v>975600</v>
      </c>
      <c r="Q24" s="127">
        <v>975500</v>
      </c>
    </row>
    <row r="25" spans="1:17">
      <c r="A25" s="121">
        <v>71403</v>
      </c>
      <c r="B25" s="121">
        <v>80101</v>
      </c>
      <c r="C25" s="128">
        <v>210401</v>
      </c>
      <c r="D25" s="129" t="s">
        <v>3642</v>
      </c>
      <c r="E25" s="127">
        <v>6145900</v>
      </c>
      <c r="F25" s="127">
        <v>800000</v>
      </c>
      <c r="G25" s="127">
        <v>2000000</v>
      </c>
      <c r="H25" s="127">
        <v>800000</v>
      </c>
      <c r="I25" s="127">
        <v>500000</v>
      </c>
      <c r="J25" s="127">
        <v>500000</v>
      </c>
      <c r="K25" s="127">
        <v>0</v>
      </c>
      <c r="L25" s="127">
        <v>0</v>
      </c>
      <c r="M25" s="127">
        <v>0</v>
      </c>
      <c r="N25" s="127">
        <v>0</v>
      </c>
      <c r="O25" s="127">
        <v>1545900</v>
      </c>
      <c r="P25" s="127">
        <v>0</v>
      </c>
      <c r="Q25" s="127">
        <v>0</v>
      </c>
    </row>
    <row r="26" spans="1:17">
      <c r="A26" s="121">
        <v>71403</v>
      </c>
      <c r="B26" s="121">
        <v>80101</v>
      </c>
      <c r="C26" s="125">
        <v>210402</v>
      </c>
      <c r="D26" s="126" t="s">
        <v>3643</v>
      </c>
      <c r="E26" s="127">
        <v>6917100</v>
      </c>
      <c r="F26" s="127">
        <v>576400</v>
      </c>
      <c r="G26" s="127">
        <v>576400</v>
      </c>
      <c r="H26" s="127">
        <v>576400</v>
      </c>
      <c r="I26" s="127">
        <v>576400</v>
      </c>
      <c r="J26" s="127">
        <v>576400</v>
      </c>
      <c r="K26" s="127">
        <v>576400</v>
      </c>
      <c r="L26" s="127">
        <v>576400</v>
      </c>
      <c r="M26" s="127">
        <v>576400</v>
      </c>
      <c r="N26" s="127">
        <v>576400</v>
      </c>
      <c r="O26" s="127">
        <v>576400</v>
      </c>
      <c r="P26" s="127">
        <v>576400</v>
      </c>
      <c r="Q26" s="127">
        <v>576700</v>
      </c>
    </row>
    <row r="27" spans="1:17">
      <c r="A27" s="121">
        <v>71403</v>
      </c>
      <c r="B27" s="121">
        <v>80101</v>
      </c>
      <c r="C27" s="128">
        <v>210403</v>
      </c>
      <c r="D27" s="129" t="s">
        <v>3644</v>
      </c>
      <c r="E27" s="127">
        <v>4790000</v>
      </c>
      <c r="F27" s="127">
        <v>399200</v>
      </c>
      <c r="G27" s="127">
        <v>399200</v>
      </c>
      <c r="H27" s="127">
        <v>399200</v>
      </c>
      <c r="I27" s="127">
        <v>399200</v>
      </c>
      <c r="J27" s="127">
        <v>399200</v>
      </c>
      <c r="K27" s="127">
        <v>399200</v>
      </c>
      <c r="L27" s="127">
        <v>399200</v>
      </c>
      <c r="M27" s="127">
        <v>399200</v>
      </c>
      <c r="N27" s="127">
        <v>399200</v>
      </c>
      <c r="O27" s="127">
        <v>399200</v>
      </c>
      <c r="P27" s="127">
        <v>399200</v>
      </c>
      <c r="Q27" s="127">
        <v>398800</v>
      </c>
    </row>
    <row r="28" spans="1:17">
      <c r="A28" s="121">
        <v>71403</v>
      </c>
      <c r="B28" s="121">
        <v>80101</v>
      </c>
      <c r="C28" s="128">
        <v>210406</v>
      </c>
      <c r="D28" s="129" t="s">
        <v>3645</v>
      </c>
      <c r="E28" s="127">
        <v>1425600</v>
      </c>
      <c r="F28" s="127">
        <v>200000</v>
      </c>
      <c r="G28" s="127">
        <v>700000</v>
      </c>
      <c r="H28" s="127">
        <v>525600</v>
      </c>
      <c r="I28" s="127">
        <v>0</v>
      </c>
      <c r="J28" s="127">
        <v>0</v>
      </c>
      <c r="K28" s="127">
        <v>0</v>
      </c>
      <c r="L28" s="127">
        <v>0</v>
      </c>
      <c r="M28" s="127">
        <v>0</v>
      </c>
      <c r="N28" s="127">
        <v>0</v>
      </c>
      <c r="O28" s="127">
        <v>0</v>
      </c>
      <c r="P28" s="127">
        <v>0</v>
      </c>
      <c r="Q28" s="127">
        <v>0</v>
      </c>
    </row>
    <row r="29" spans="1:17">
      <c r="A29" s="121">
        <v>71403</v>
      </c>
      <c r="B29" s="121">
        <v>80101</v>
      </c>
      <c r="C29" s="128">
        <v>2105</v>
      </c>
      <c r="D29" s="129" t="s">
        <v>3646</v>
      </c>
      <c r="E29" s="127">
        <v>2851200</v>
      </c>
      <c r="F29" s="127">
        <v>0</v>
      </c>
      <c r="G29" s="127">
        <v>2851200</v>
      </c>
      <c r="H29" s="127">
        <v>0</v>
      </c>
      <c r="I29" s="127">
        <v>0</v>
      </c>
      <c r="J29" s="127">
        <v>0</v>
      </c>
      <c r="K29" s="127">
        <v>0</v>
      </c>
      <c r="L29" s="127">
        <v>0</v>
      </c>
      <c r="M29" s="127">
        <v>0</v>
      </c>
      <c r="N29" s="127">
        <v>0</v>
      </c>
      <c r="O29" s="127">
        <v>0</v>
      </c>
      <c r="P29" s="127">
        <v>0</v>
      </c>
      <c r="Q29" s="127">
        <v>0</v>
      </c>
    </row>
    <row r="30" spans="1:17">
      <c r="A30" s="121">
        <v>71403</v>
      </c>
      <c r="B30" s="121">
        <v>80101</v>
      </c>
      <c r="C30" s="128">
        <v>210503</v>
      </c>
      <c r="D30" s="129" t="s">
        <v>3647</v>
      </c>
      <c r="E30" s="127">
        <v>2851200</v>
      </c>
      <c r="F30" s="127">
        <v>0</v>
      </c>
      <c r="G30" s="127">
        <v>2851200</v>
      </c>
      <c r="H30" s="127">
        <v>0</v>
      </c>
      <c r="I30" s="127">
        <v>0</v>
      </c>
      <c r="J30" s="127">
        <v>0</v>
      </c>
      <c r="K30" s="127">
        <v>0</v>
      </c>
      <c r="L30" s="127">
        <v>0</v>
      </c>
      <c r="M30" s="127">
        <v>0</v>
      </c>
      <c r="N30" s="127">
        <v>0</v>
      </c>
      <c r="O30" s="127">
        <v>0</v>
      </c>
      <c r="P30" s="127">
        <v>0</v>
      </c>
      <c r="Q30" s="127">
        <v>0</v>
      </c>
    </row>
    <row r="31" spans="1:17">
      <c r="A31" s="121">
        <v>71403</v>
      </c>
      <c r="B31" s="121">
        <v>80101</v>
      </c>
      <c r="C31" s="128">
        <v>2106</v>
      </c>
      <c r="D31" s="129" t="s">
        <v>3648</v>
      </c>
      <c r="E31" s="127">
        <v>1425600</v>
      </c>
      <c r="F31" s="127">
        <v>0</v>
      </c>
      <c r="G31" s="127">
        <v>425600</v>
      </c>
      <c r="H31" s="127">
        <v>1000000</v>
      </c>
      <c r="I31" s="127">
        <v>0</v>
      </c>
      <c r="J31" s="127">
        <v>0</v>
      </c>
      <c r="K31" s="127">
        <v>0</v>
      </c>
      <c r="L31" s="127">
        <v>0</v>
      </c>
      <c r="M31" s="127">
        <v>0</v>
      </c>
      <c r="N31" s="127">
        <v>0</v>
      </c>
      <c r="O31" s="127">
        <v>0</v>
      </c>
      <c r="P31" s="127">
        <v>0</v>
      </c>
      <c r="Q31" s="127">
        <v>0</v>
      </c>
    </row>
    <row r="32" spans="1:17">
      <c r="A32" s="121">
        <v>71403</v>
      </c>
      <c r="B32" s="121">
        <v>80101</v>
      </c>
      <c r="C32" s="128">
        <v>210603</v>
      </c>
      <c r="D32" s="129" t="s">
        <v>3649</v>
      </c>
      <c r="E32" s="127">
        <v>1425600</v>
      </c>
      <c r="F32" s="127">
        <v>0</v>
      </c>
      <c r="G32" s="127">
        <v>425600</v>
      </c>
      <c r="H32" s="127">
        <v>1000000</v>
      </c>
      <c r="I32" s="127">
        <v>0</v>
      </c>
      <c r="J32" s="127">
        <v>0</v>
      </c>
      <c r="K32" s="127">
        <v>0</v>
      </c>
      <c r="L32" s="127">
        <v>0</v>
      </c>
      <c r="M32" s="127">
        <v>0</v>
      </c>
      <c r="N32" s="127">
        <v>0</v>
      </c>
      <c r="O32" s="127">
        <v>0</v>
      </c>
      <c r="P32" s="127">
        <v>0</v>
      </c>
      <c r="Q32" s="127">
        <v>0</v>
      </c>
    </row>
    <row r="33" spans="1:17">
      <c r="A33" s="121">
        <v>71403</v>
      </c>
      <c r="B33" s="121">
        <v>80101</v>
      </c>
      <c r="C33" s="125">
        <v>2107</v>
      </c>
      <c r="D33" s="126" t="s">
        <v>3650</v>
      </c>
      <c r="E33" s="127">
        <v>3433100</v>
      </c>
      <c r="F33" s="127">
        <v>1000000</v>
      </c>
      <c r="G33" s="127">
        <v>1433100</v>
      </c>
      <c r="H33" s="127">
        <v>1000000</v>
      </c>
      <c r="I33" s="127">
        <v>0</v>
      </c>
      <c r="J33" s="127">
        <v>0</v>
      </c>
      <c r="K33" s="127">
        <v>0</v>
      </c>
      <c r="L33" s="127">
        <v>0</v>
      </c>
      <c r="M33" s="127">
        <v>0</v>
      </c>
      <c r="N33" s="127">
        <v>0</v>
      </c>
      <c r="O33" s="127">
        <v>0</v>
      </c>
      <c r="P33" s="127">
        <v>0</v>
      </c>
      <c r="Q33" s="127">
        <v>0</v>
      </c>
    </row>
    <row r="34" spans="1:17">
      <c r="A34" s="121">
        <v>71403</v>
      </c>
      <c r="B34" s="121">
        <v>80101</v>
      </c>
      <c r="C34" s="128">
        <v>210702</v>
      </c>
      <c r="D34" s="129" t="s">
        <v>3651</v>
      </c>
      <c r="E34" s="127">
        <v>3433100</v>
      </c>
      <c r="F34" s="127">
        <v>1000000</v>
      </c>
      <c r="G34" s="127">
        <v>1433100</v>
      </c>
      <c r="H34" s="127">
        <v>1000000</v>
      </c>
      <c r="I34" s="127">
        <v>0</v>
      </c>
      <c r="J34" s="127">
        <v>0</v>
      </c>
      <c r="K34" s="127">
        <v>0</v>
      </c>
      <c r="L34" s="127">
        <v>0</v>
      </c>
      <c r="M34" s="127">
        <v>0</v>
      </c>
      <c r="N34" s="127">
        <v>0</v>
      </c>
      <c r="O34" s="127">
        <v>0</v>
      </c>
      <c r="P34" s="127">
        <v>0</v>
      </c>
      <c r="Q34" s="127">
        <v>0</v>
      </c>
    </row>
    <row r="35" spans="1:17">
      <c r="A35" s="121">
        <v>71403</v>
      </c>
      <c r="B35" s="121">
        <v>80101</v>
      </c>
      <c r="C35" s="128">
        <v>2108</v>
      </c>
      <c r="D35" s="129" t="s">
        <v>3652</v>
      </c>
      <c r="E35" s="127">
        <v>3069000</v>
      </c>
      <c r="F35" s="127">
        <v>0</v>
      </c>
      <c r="G35" s="127">
        <v>1584000</v>
      </c>
      <c r="H35" s="127">
        <v>0</v>
      </c>
      <c r="I35" s="127">
        <v>0</v>
      </c>
      <c r="J35" s="127">
        <v>0</v>
      </c>
      <c r="K35" s="127">
        <v>0</v>
      </c>
      <c r="L35" s="127">
        <v>0</v>
      </c>
      <c r="M35" s="127">
        <v>0</v>
      </c>
      <c r="N35" s="127">
        <v>1485000</v>
      </c>
      <c r="O35" s="127">
        <v>0</v>
      </c>
      <c r="P35" s="127">
        <v>0</v>
      </c>
      <c r="Q35" s="127">
        <v>0</v>
      </c>
    </row>
    <row r="36" spans="1:17">
      <c r="A36" s="121">
        <v>71403</v>
      </c>
      <c r="B36" s="121">
        <v>80101</v>
      </c>
      <c r="C36" s="128">
        <v>210802</v>
      </c>
      <c r="D36" s="129" t="s">
        <v>3653</v>
      </c>
      <c r="E36" s="127">
        <v>1485000</v>
      </c>
      <c r="F36" s="127">
        <v>0</v>
      </c>
      <c r="G36" s="127">
        <v>0</v>
      </c>
      <c r="H36" s="127">
        <v>0</v>
      </c>
      <c r="I36" s="127">
        <v>0</v>
      </c>
      <c r="J36" s="127">
        <v>0</v>
      </c>
      <c r="K36" s="127">
        <v>0</v>
      </c>
      <c r="L36" s="127">
        <v>0</v>
      </c>
      <c r="M36" s="127">
        <v>0</v>
      </c>
      <c r="N36" s="127">
        <v>1485000</v>
      </c>
      <c r="O36" s="127">
        <v>0</v>
      </c>
      <c r="P36" s="127">
        <v>0</v>
      </c>
      <c r="Q36" s="127">
        <v>0</v>
      </c>
    </row>
    <row r="37" spans="1:17">
      <c r="A37" s="121">
        <v>71403</v>
      </c>
      <c r="B37" s="121">
        <v>80101</v>
      </c>
      <c r="C37" s="128">
        <v>210803</v>
      </c>
      <c r="D37" s="129" t="s">
        <v>3654</v>
      </c>
      <c r="E37" s="127">
        <v>792000</v>
      </c>
      <c r="F37" s="127">
        <v>0</v>
      </c>
      <c r="G37" s="127">
        <v>792000</v>
      </c>
      <c r="H37" s="127">
        <v>0</v>
      </c>
      <c r="I37" s="127">
        <v>0</v>
      </c>
      <c r="J37" s="127">
        <v>0</v>
      </c>
      <c r="K37" s="127">
        <v>0</v>
      </c>
      <c r="L37" s="127">
        <v>0</v>
      </c>
      <c r="M37" s="127">
        <v>0</v>
      </c>
      <c r="N37" s="127">
        <v>0</v>
      </c>
      <c r="O37" s="127">
        <v>0</v>
      </c>
      <c r="P37" s="127">
        <v>0</v>
      </c>
      <c r="Q37" s="127">
        <v>0</v>
      </c>
    </row>
    <row r="38" spans="1:17">
      <c r="A38" s="160">
        <v>71403</v>
      </c>
      <c r="B38" s="121">
        <v>80101</v>
      </c>
      <c r="C38" s="125">
        <v>210804</v>
      </c>
      <c r="D38" s="126" t="s">
        <v>3655</v>
      </c>
      <c r="E38" s="127">
        <v>633600</v>
      </c>
      <c r="F38" s="127">
        <v>0</v>
      </c>
      <c r="G38" s="127">
        <v>633600</v>
      </c>
      <c r="H38" s="127">
        <v>0</v>
      </c>
      <c r="I38" s="127">
        <v>0</v>
      </c>
      <c r="J38" s="127">
        <v>0</v>
      </c>
      <c r="K38" s="127">
        <v>0</v>
      </c>
      <c r="L38" s="127">
        <v>0</v>
      </c>
      <c r="M38" s="127">
        <v>0</v>
      </c>
      <c r="N38" s="127">
        <v>0</v>
      </c>
      <c r="O38" s="127">
        <v>0</v>
      </c>
      <c r="P38" s="127">
        <v>0</v>
      </c>
      <c r="Q38" s="127">
        <v>0</v>
      </c>
    </row>
    <row r="39" spans="1:17">
      <c r="A39" s="121">
        <v>71403</v>
      </c>
      <c r="B39" s="121">
        <v>80101</v>
      </c>
      <c r="C39" s="128">
        <v>210805</v>
      </c>
      <c r="D39" s="129" t="s">
        <v>3656</v>
      </c>
      <c r="E39" s="127">
        <v>158400</v>
      </c>
      <c r="F39" s="127">
        <v>0</v>
      </c>
      <c r="G39" s="127">
        <v>158400</v>
      </c>
      <c r="H39" s="127">
        <v>0</v>
      </c>
      <c r="I39" s="127">
        <v>0</v>
      </c>
      <c r="J39" s="127">
        <v>0</v>
      </c>
      <c r="K39" s="127">
        <v>0</v>
      </c>
      <c r="L39" s="127">
        <v>0</v>
      </c>
      <c r="M39" s="127">
        <v>0</v>
      </c>
      <c r="N39" s="127">
        <v>0</v>
      </c>
      <c r="O39" s="127">
        <v>0</v>
      </c>
      <c r="P39" s="127">
        <v>0</v>
      </c>
      <c r="Q39" s="127">
        <v>0</v>
      </c>
    </row>
    <row r="40" spans="1:17">
      <c r="A40" s="121">
        <v>71403</v>
      </c>
      <c r="B40" s="121">
        <v>80101</v>
      </c>
      <c r="C40" s="128">
        <v>2109</v>
      </c>
      <c r="D40" s="129" t="s">
        <v>3657</v>
      </c>
      <c r="E40" s="127">
        <v>1485000</v>
      </c>
      <c r="F40" s="127">
        <v>200000</v>
      </c>
      <c r="G40" s="127">
        <v>600000</v>
      </c>
      <c r="H40" s="127">
        <v>685000</v>
      </c>
      <c r="I40" s="127">
        <v>0</v>
      </c>
      <c r="J40" s="127">
        <v>0</v>
      </c>
      <c r="K40" s="127">
        <v>0</v>
      </c>
      <c r="L40" s="127">
        <v>0</v>
      </c>
      <c r="M40" s="127">
        <v>0</v>
      </c>
      <c r="N40" s="127">
        <v>0</v>
      </c>
      <c r="O40" s="127">
        <v>0</v>
      </c>
      <c r="P40" s="127">
        <v>0</v>
      </c>
      <c r="Q40" s="127">
        <v>0</v>
      </c>
    </row>
    <row r="41" spans="1:17">
      <c r="A41" s="121">
        <v>71403</v>
      </c>
      <c r="B41" s="121">
        <v>80101</v>
      </c>
      <c r="C41" s="128">
        <v>210901</v>
      </c>
      <c r="D41" s="129" t="s">
        <v>3657</v>
      </c>
      <c r="E41" s="127">
        <v>1485000</v>
      </c>
      <c r="F41" s="127">
        <v>200000</v>
      </c>
      <c r="G41" s="127">
        <v>600000</v>
      </c>
      <c r="H41" s="127">
        <v>685000</v>
      </c>
      <c r="I41" s="127">
        <v>0</v>
      </c>
      <c r="J41" s="127">
        <v>0</v>
      </c>
      <c r="K41" s="127">
        <v>0</v>
      </c>
      <c r="L41" s="127">
        <v>0</v>
      </c>
      <c r="M41" s="127">
        <v>0</v>
      </c>
      <c r="N41" s="127">
        <v>0</v>
      </c>
      <c r="O41" s="127">
        <v>0</v>
      </c>
      <c r="P41" s="127">
        <v>0</v>
      </c>
      <c r="Q41" s="127">
        <v>0</v>
      </c>
    </row>
    <row r="42" spans="1:17">
      <c r="A42" s="121">
        <v>71403</v>
      </c>
      <c r="B42" s="121">
        <v>80101</v>
      </c>
      <c r="C42" s="128">
        <v>21090102</v>
      </c>
      <c r="D42" s="129" t="s">
        <v>3657</v>
      </c>
      <c r="E42" s="127">
        <v>1485000</v>
      </c>
      <c r="F42" s="127">
        <v>200000</v>
      </c>
      <c r="G42" s="127">
        <v>600000</v>
      </c>
      <c r="H42" s="127">
        <v>685000</v>
      </c>
      <c r="I42" s="127">
        <v>0</v>
      </c>
      <c r="J42" s="127">
        <v>0</v>
      </c>
      <c r="K42" s="127">
        <v>0</v>
      </c>
      <c r="L42" s="127">
        <v>0</v>
      </c>
      <c r="M42" s="127">
        <v>0</v>
      </c>
      <c r="N42" s="127">
        <v>0</v>
      </c>
      <c r="O42" s="127">
        <v>0</v>
      </c>
      <c r="P42" s="127">
        <v>0</v>
      </c>
      <c r="Q42" s="127">
        <v>0</v>
      </c>
    </row>
    <row r="43" spans="1:17">
      <c r="A43" s="121">
        <v>71403</v>
      </c>
      <c r="B43" s="121">
        <v>80835</v>
      </c>
      <c r="C43" s="125">
        <v>213</v>
      </c>
      <c r="D43" s="126" t="s">
        <v>3658</v>
      </c>
      <c r="E43" s="127">
        <v>3600000</v>
      </c>
      <c r="F43" s="127">
        <v>0</v>
      </c>
      <c r="G43" s="127">
        <v>0</v>
      </c>
      <c r="H43" s="127">
        <v>0</v>
      </c>
      <c r="I43" s="127">
        <v>0</v>
      </c>
      <c r="J43" s="127">
        <v>0</v>
      </c>
      <c r="K43" s="127">
        <v>0</v>
      </c>
      <c r="L43" s="127">
        <v>0</v>
      </c>
      <c r="M43" s="127">
        <v>0</v>
      </c>
      <c r="N43" s="127">
        <v>0</v>
      </c>
      <c r="O43" s="127">
        <v>0</v>
      </c>
      <c r="P43" s="127">
        <v>0</v>
      </c>
      <c r="Q43" s="127">
        <v>3600000</v>
      </c>
    </row>
    <row r="44" spans="1:17">
      <c r="A44" s="121">
        <v>71403</v>
      </c>
      <c r="B44" s="121">
        <v>80835</v>
      </c>
      <c r="C44" s="128">
        <v>2132</v>
      </c>
      <c r="D44" s="129" t="s">
        <v>3659</v>
      </c>
      <c r="E44" s="127">
        <v>3600000</v>
      </c>
      <c r="F44" s="127">
        <v>0</v>
      </c>
      <c r="G44" s="127">
        <v>0</v>
      </c>
      <c r="H44" s="127">
        <v>0</v>
      </c>
      <c r="I44" s="127">
        <v>0</v>
      </c>
      <c r="J44" s="127">
        <v>0</v>
      </c>
      <c r="K44" s="127">
        <v>0</v>
      </c>
      <c r="L44" s="127">
        <v>0</v>
      </c>
      <c r="M44" s="127">
        <v>0</v>
      </c>
      <c r="N44" s="127">
        <v>0</v>
      </c>
      <c r="O44" s="127">
        <v>0</v>
      </c>
      <c r="P44" s="127">
        <v>0</v>
      </c>
      <c r="Q44" s="127">
        <v>3600000</v>
      </c>
    </row>
    <row r="45" spans="1:17">
      <c r="A45" s="121">
        <v>70101</v>
      </c>
      <c r="B45" s="121">
        <v>80101</v>
      </c>
      <c r="C45" s="128" t="s">
        <v>2325</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v>70101</v>
      </c>
      <c r="B46" s="121">
        <v>80101</v>
      </c>
      <c r="C46" s="128" t="s">
        <v>2326</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ht="25.5" r="47" spans="1:17">
      <c r="A47" s="121">
        <v>70101</v>
      </c>
      <c r="B47" s="121">
        <v>80101</v>
      </c>
      <c r="C47" s="125" t="s">
        <v>2327</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v>70101</v>
      </c>
      <c r="B48" s="121">
        <v>80101</v>
      </c>
      <c r="C48" s="128" t="s">
        <v>2328</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v>70101</v>
      </c>
      <c r="B49" s="121">
        <v>80101</v>
      </c>
      <c r="C49" s="128" t="s">
        <v>2329</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v>70101</v>
      </c>
      <c r="B50" s="121">
        <v>80101</v>
      </c>
      <c r="C50" s="128" t="s">
        <v>2330</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v>70101</v>
      </c>
      <c r="B51" s="121">
        <v>80101</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v>70101</v>
      </c>
      <c r="B52" s="121">
        <v>80101</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v>70101</v>
      </c>
      <c r="B53" s="121">
        <v>80101</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v>70101</v>
      </c>
      <c r="B54" s="121">
        <v>80101</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v>70101</v>
      </c>
      <c r="B55" s="121">
        <v>80101</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v>70101</v>
      </c>
      <c r="B56" s="121">
        <v>80101</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v>70101</v>
      </c>
      <c r="B57" s="121">
        <v>80101</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v>70101</v>
      </c>
      <c r="B58" s="121">
        <v>80101</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v>70101</v>
      </c>
      <c r="B59" s="121">
        <v>80101</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v>70101</v>
      </c>
      <c r="B60" s="121">
        <v>80101</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v>70101</v>
      </c>
      <c r="B61" s="121">
        <v>80101</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v>70101</v>
      </c>
      <c r="B62" s="121">
        <v>80101</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v>70101</v>
      </c>
      <c r="B63" s="121">
        <v>80101</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v>70101</v>
      </c>
      <c r="B64" s="121">
        <v>80101</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v>70101</v>
      </c>
      <c r="B65" s="121">
        <v>80101</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v>70101</v>
      </c>
      <c r="B66" s="121">
        <v>80101</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v>70101</v>
      </c>
      <c r="B67" s="121">
        <v>80101</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v>70101</v>
      </c>
      <c r="B68" s="121">
        <v>80101</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v>70101</v>
      </c>
      <c r="B69" s="121">
        <v>80101</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v>70101</v>
      </c>
      <c r="B70" s="121">
        <v>80101</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v>70101</v>
      </c>
      <c r="B71" s="121">
        <v>80101</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v>70101</v>
      </c>
      <c r="B72" s="121">
        <v>80101</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v>70101</v>
      </c>
      <c r="B73" s="121">
        <v>80101</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v>70101</v>
      </c>
      <c r="B74" s="121">
        <v>80101</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v>70101</v>
      </c>
      <c r="B75" s="121">
        <v>80101</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v>70101</v>
      </c>
      <c r="B76" s="121">
        <v>80101</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v>70101</v>
      </c>
      <c r="B77" s="121">
        <v>80101</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v>70101</v>
      </c>
      <c r="B78" s="121">
        <v>80101</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v>70101</v>
      </c>
      <c r="B79" s="121">
        <v>80101</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ht="25.5" r="80" spans="1:17">
      <c r="A80" s="121">
        <v>70101</v>
      </c>
      <c r="B80" s="121">
        <v>80101</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v>70101</v>
      </c>
      <c r="B81" s="121">
        <v>80101</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v>70101</v>
      </c>
      <c r="B82" s="121">
        <v>80101</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v>70101</v>
      </c>
      <c r="B83" s="121">
        <v>80101</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v>70101</v>
      </c>
      <c r="B84" s="121">
        <v>80101</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v>70101</v>
      </c>
      <c r="B85" s="121">
        <v>80101</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v>70101</v>
      </c>
      <c r="B86" s="121">
        <v>80101</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v>70101</v>
      </c>
      <c r="B87" s="121">
        <v>80101</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v>70101</v>
      </c>
      <c r="B88" s="121">
        <v>80101</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v>70101</v>
      </c>
      <c r="B89" s="121">
        <v>80101</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v>70101</v>
      </c>
      <c r="B90" s="121">
        <v>80101</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v>70101</v>
      </c>
      <c r="B91" s="121">
        <v>80101</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v>70101</v>
      </c>
      <c r="B92" s="121">
        <v>80101</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v>70101</v>
      </c>
      <c r="B93" s="121">
        <v>80101</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v>70101</v>
      </c>
      <c r="B94" s="121">
        <v>80101</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v>70101</v>
      </c>
      <c r="B95" s="121">
        <v>80101</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v>70101</v>
      </c>
      <c r="B96" s="121">
        <v>80101</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v>70101</v>
      </c>
      <c r="B97" s="121">
        <v>80101</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v>70101</v>
      </c>
      <c r="B98" s="121">
        <v>80101</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v>70101</v>
      </c>
      <c r="B99" s="121">
        <v>80101</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v>70101</v>
      </c>
      <c r="B100" s="121">
        <v>80101</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v>70101</v>
      </c>
      <c r="B101" s="121">
        <v>80101</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v>70101</v>
      </c>
      <c r="B102" s="121">
        <v>80101</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v>70101</v>
      </c>
      <c r="B103" s="121">
        <v>80101</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v>70101</v>
      </c>
      <c r="B104" s="121">
        <v>80101</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v>70101</v>
      </c>
      <c r="B105" s="121">
        <v>80101</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v>70101</v>
      </c>
      <c r="B106" s="121">
        <v>80101</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v>70101</v>
      </c>
      <c r="B107" s="121">
        <v>80101</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v>70101</v>
      </c>
      <c r="B108" s="121">
        <v>80101</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v>70101</v>
      </c>
      <c r="B109" s="121">
        <v>80101</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v>70101</v>
      </c>
      <c r="B110" s="121">
        <v>80101</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v>70101</v>
      </c>
      <c r="B111" s="121">
        <v>80101</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v>70101</v>
      </c>
      <c r="B112" s="121">
        <v>80101</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v>70101</v>
      </c>
      <c r="B113" s="121">
        <v>80101</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ht="25.5" r="114" spans="1:17">
      <c r="A114" s="121">
        <v>70101</v>
      </c>
      <c r="B114" s="121">
        <v>80101</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bottom="0.75" footer="0.3" header="0.3" left="0.25" right="0.25" top="0.75"/>
  <pageSetup horizontalDpi="300" orientation="portrait" paperSize="9" r:id="rId1" verticalDpi="300"/>
</worksheet>
</file>

<file path=xl/worksheets/sheet1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H393"/>
  <sheetViews>
    <sheetView workbookViewId="0" zoomScale="85" zoomScaleNormal="85">
      <pane activePane="bottomRight" state="frozen" topLeftCell="E8" xSplit="4" ySplit="7"/>
      <selection activeCell="BP170" sqref="BP170"/>
      <selection activeCell="BP170" pane="topRight" sqref="BP170"/>
      <selection activeCell="BP170" pane="bottomLeft" sqref="BP170"/>
      <selection activeCell="E7" pane="bottomRight" sqref="E7"/>
    </sheetView>
  </sheetViews>
  <sheetFormatPr defaultColWidth="9.140625" defaultRowHeight="15"/>
  <cols>
    <col min="1" max="1" customWidth="true" style="381" width="9.28515625" collapsed="false"/>
    <col min="2" max="2" customWidth="true" style="381" width="13.42578125" collapsed="false"/>
    <col min="3" max="3" customWidth="true" style="480" width="19.42578125" collapsed="false"/>
    <col min="4" max="4" customWidth="true" style="381" width="67.140625" collapsed="false"/>
    <col min="5" max="5" customWidth="true" style="381" width="22.0" collapsed="false"/>
    <col min="6" max="6" customWidth="true" style="381" width="19.7109375" collapsed="false"/>
    <col min="7" max="7" customWidth="true" style="1014" width="19.140625" collapsed="false"/>
    <col min="8" max="8" customWidth="true" style="1014" width="17.42578125" collapsed="false"/>
    <col min="9" max="16384" style="381" width="9.140625" collapsed="false"/>
  </cols>
  <sheetData>
    <row r="1" spans="1:8">
      <c r="H1" s="1014" t="s">
        <v>1195</v>
      </c>
    </row>
    <row r="2" spans="1:8">
      <c r="A2" s="979"/>
      <c r="B2" s="979"/>
      <c r="C2" s="1015"/>
      <c r="D2" s="979"/>
      <c r="E2" s="979"/>
      <c r="F2" s="979"/>
      <c r="G2" s="1016"/>
      <c r="H2" s="1016"/>
    </row>
    <row r="3" spans="1:8">
      <c r="A3" s="2171" t="s">
        <v>8</v>
      </c>
      <c r="B3" s="2171"/>
      <c r="C3" s="2171"/>
      <c r="D3" s="2171"/>
      <c r="E3" s="2171"/>
      <c r="F3" s="2171"/>
      <c r="G3" s="2171"/>
      <c r="H3" s="2171"/>
    </row>
    <row r="4" spans="1:8">
      <c r="A4" s="916"/>
      <c r="B4" s="916"/>
      <c r="C4" s="482"/>
      <c r="D4" s="916"/>
      <c r="E4" s="916"/>
      <c r="F4" s="916"/>
      <c r="G4" s="1017"/>
      <c r="H4" s="1017"/>
    </row>
    <row r="5" spans="1:8">
      <c r="A5" s="916"/>
      <c r="B5" s="916"/>
      <c r="C5" s="482"/>
      <c r="D5" s="916"/>
      <c r="E5" s="916"/>
      <c r="F5" s="916"/>
      <c r="G5" s="1017"/>
      <c r="H5" s="1017" t="s">
        <v>482</v>
      </c>
    </row>
    <row customHeight="1" ht="27.75" r="6" spans="1:8">
      <c r="A6" s="386"/>
      <c r="B6" s="386"/>
      <c r="C6" s="2198" t="s">
        <v>31</v>
      </c>
      <c r="D6" s="2197" t="s">
        <v>12</v>
      </c>
      <c r="E6" s="2196" t="s">
        <v>1212</v>
      </c>
      <c r="F6" s="2196"/>
      <c r="G6" s="2196" t="s">
        <v>1214</v>
      </c>
      <c r="H6" s="2196"/>
    </row>
    <row customHeight="1" ht="41.25" r="7" spans="1:8">
      <c r="A7" s="1018" t="s">
        <v>112</v>
      </c>
      <c r="B7" s="1019" t="s">
        <v>113</v>
      </c>
      <c r="C7" s="2198"/>
      <c r="D7" s="2197"/>
      <c r="E7" s="1020" t="s">
        <v>1213</v>
      </c>
      <c r="F7" s="1020" t="s">
        <v>30</v>
      </c>
      <c r="G7" s="1020" t="s">
        <v>1213</v>
      </c>
      <c r="H7" s="1020" t="s">
        <v>30</v>
      </c>
    </row>
    <row r="8" spans="1:8">
      <c r="A8" s="1021"/>
      <c r="B8" s="1022"/>
      <c r="C8" s="1023">
        <v>1</v>
      </c>
      <c r="D8" s="530" t="s">
        <v>488</v>
      </c>
      <c r="E8" s="530"/>
      <c r="F8" s="530"/>
      <c r="G8" s="1024"/>
      <c r="H8" s="1025"/>
    </row>
    <row r="9" spans="1:8">
      <c r="A9" s="1026">
        <v>70101</v>
      </c>
      <c r="B9" s="1027">
        <v>80101</v>
      </c>
      <c r="C9" s="1023">
        <v>2</v>
      </c>
      <c r="D9" s="530" t="s">
        <v>489</v>
      </c>
      <c r="E9" s="1028">
        <f>E10+E86+E95</f>
        <v>0</v>
      </c>
      <c r="F9" s="1028">
        <f>F10+F86+F95</f>
        <v>0</v>
      </c>
      <c r="G9" s="1028">
        <f>G10+G86+G95</f>
        <v>0</v>
      </c>
      <c r="H9" s="1028">
        <f>H10+H86+H95</f>
        <v>0</v>
      </c>
    </row>
    <row r="10" spans="1:8">
      <c r="A10" s="1026">
        <v>70101</v>
      </c>
      <c r="B10" s="1027">
        <v>80101</v>
      </c>
      <c r="C10" s="529">
        <v>21</v>
      </c>
      <c r="D10" s="530" t="s">
        <v>330</v>
      </c>
      <c r="E10" s="1028">
        <f>SUM(E73,E68,E63,E11)</f>
        <v>0</v>
      </c>
      <c r="F10" s="1028">
        <f>SUM(F73,F68,F63,F11)</f>
        <v>0</v>
      </c>
      <c r="G10" s="1028">
        <f>SUM(G73,G68,G63,G11)</f>
        <v>0</v>
      </c>
      <c r="H10" s="1028">
        <f>SUM(H73,H68,H63,H11)</f>
        <v>0</v>
      </c>
    </row>
    <row r="11" spans="1:8">
      <c r="A11" s="1026">
        <v>70101</v>
      </c>
      <c r="B11" s="1027">
        <v>80101</v>
      </c>
      <c r="C11" s="529">
        <v>210</v>
      </c>
      <c r="D11" s="530" t="s">
        <v>332</v>
      </c>
      <c r="E11" s="1028">
        <f>SUM(E12,E18,E24,E29,E37,E41,E46,E50,E60)</f>
        <v>0</v>
      </c>
      <c r="F11" s="1028">
        <f>SUM(F12,F18,F24,F29,F37,F41,F46,F50,F60)</f>
        <v>0</v>
      </c>
      <c r="G11" s="1028">
        <f>SUM(G12,G18,G24,G29,G37,G41,G46,G50,G60)</f>
        <v>0</v>
      </c>
      <c r="H11" s="1028">
        <f>SUM(H12,H18,H24,H29,H37,H41,H46,H50,H60)</f>
        <v>0</v>
      </c>
    </row>
    <row r="12" spans="1:8">
      <c r="A12" s="1026">
        <v>70101</v>
      </c>
      <c r="B12" s="1027">
        <v>80101</v>
      </c>
      <c r="C12" s="529">
        <v>2101</v>
      </c>
      <c r="D12" s="530" t="s">
        <v>333</v>
      </c>
      <c r="E12" s="1028">
        <f>SUM(E13:E17)</f>
        <v>0</v>
      </c>
      <c r="F12" s="1028">
        <f>SUM(F13:F17)</f>
        <v>0</v>
      </c>
      <c r="G12" s="1028">
        <f>SUM(G13:G17)</f>
        <v>0</v>
      </c>
      <c r="H12" s="1028">
        <f>SUM(H13:H17)</f>
        <v>0</v>
      </c>
    </row>
    <row r="13" spans="1:8">
      <c r="A13" s="1026">
        <v>70101</v>
      </c>
      <c r="B13" s="1027">
        <v>80101</v>
      </c>
      <c r="C13" s="516">
        <v>210101</v>
      </c>
      <c r="D13" s="1029" t="s">
        <v>453</v>
      </c>
      <c r="E13" s="1030"/>
      <c r="F13" s="1030"/>
      <c r="G13" s="1030"/>
      <c r="H13" s="1030"/>
    </row>
    <row r="14" spans="1:8">
      <c r="A14" s="1026">
        <v>70101</v>
      </c>
      <c r="B14" s="1027">
        <v>80101</v>
      </c>
      <c r="C14" s="516">
        <v>210102</v>
      </c>
      <c r="D14" s="1029" t="s">
        <v>334</v>
      </c>
      <c r="E14" s="1030"/>
      <c r="F14" s="1030"/>
      <c r="G14" s="1030"/>
      <c r="H14" s="1030"/>
    </row>
    <row r="15" spans="1:8">
      <c r="A15" s="1026">
        <v>70101</v>
      </c>
      <c r="B15" s="1027">
        <v>80101</v>
      </c>
      <c r="C15" s="516">
        <v>210103</v>
      </c>
      <c r="D15" s="1029" t="s">
        <v>454</v>
      </c>
      <c r="E15" s="1030"/>
      <c r="F15" s="1030"/>
      <c r="G15" s="1030"/>
      <c r="H15" s="1030"/>
    </row>
    <row r="16" spans="1:8">
      <c r="A16" s="1026">
        <v>70101</v>
      </c>
      <c r="B16" s="1027">
        <v>80101</v>
      </c>
      <c r="C16" s="516">
        <v>210104</v>
      </c>
      <c r="D16" s="1029" t="s">
        <v>455</v>
      </c>
      <c r="E16" s="1030"/>
      <c r="F16" s="1030"/>
      <c r="G16" s="1030"/>
      <c r="H16" s="1030"/>
    </row>
    <row r="17" spans="1:8">
      <c r="A17" s="1026">
        <v>70101</v>
      </c>
      <c r="B17" s="1027">
        <v>80101</v>
      </c>
      <c r="C17" s="516">
        <v>210105</v>
      </c>
      <c r="D17" s="1029" t="s">
        <v>335</v>
      </c>
      <c r="E17" s="1030"/>
      <c r="F17" s="1030"/>
      <c r="G17" s="1030"/>
      <c r="H17" s="1030"/>
    </row>
    <row r="18" spans="1:8">
      <c r="A18" s="1026">
        <v>70101</v>
      </c>
      <c r="B18" s="1027">
        <v>80101</v>
      </c>
      <c r="C18" s="529">
        <v>2102</v>
      </c>
      <c r="D18" s="530" t="s">
        <v>336</v>
      </c>
      <c r="E18" s="1028">
        <f>SUM(E19:E23)</f>
        <v>0</v>
      </c>
      <c r="F18" s="1028">
        <f>SUM(F19:F23)</f>
        <v>0</v>
      </c>
      <c r="G18" s="1028">
        <f>SUM(G19:G23)</f>
        <v>0</v>
      </c>
      <c r="H18" s="1028">
        <f>SUM(H19:H23)</f>
        <v>0</v>
      </c>
    </row>
    <row r="19" spans="1:8">
      <c r="A19" s="1026">
        <v>70101</v>
      </c>
      <c r="B19" s="1027">
        <v>80101</v>
      </c>
      <c r="C19" s="516">
        <v>210201</v>
      </c>
      <c r="D19" s="1029" t="s">
        <v>337</v>
      </c>
      <c r="E19" s="1030"/>
      <c r="F19" s="1030"/>
      <c r="G19" s="1030"/>
      <c r="H19" s="1030"/>
    </row>
    <row r="20" spans="1:8">
      <c r="A20" s="1026">
        <v>70101</v>
      </c>
      <c r="B20" s="1027">
        <v>80101</v>
      </c>
      <c r="C20" s="516">
        <v>210202</v>
      </c>
      <c r="D20" s="1029" t="s">
        <v>338</v>
      </c>
      <c r="E20" s="1030"/>
      <c r="F20" s="1030"/>
      <c r="G20" s="1030"/>
      <c r="H20" s="1030"/>
    </row>
    <row r="21" spans="1:8">
      <c r="A21" s="1026">
        <v>70101</v>
      </c>
      <c r="B21" s="1027">
        <v>80101</v>
      </c>
      <c r="C21" s="516">
        <v>210203</v>
      </c>
      <c r="D21" s="1029" t="s">
        <v>339</v>
      </c>
      <c r="E21" s="1030"/>
      <c r="F21" s="1030"/>
      <c r="G21" s="1030"/>
      <c r="H21" s="1030"/>
    </row>
    <row r="22" spans="1:8">
      <c r="A22" s="1026">
        <v>70101</v>
      </c>
      <c r="B22" s="1027">
        <v>80101</v>
      </c>
      <c r="C22" s="516">
        <v>210204</v>
      </c>
      <c r="D22" s="1029" t="s">
        <v>340</v>
      </c>
      <c r="E22" s="1030"/>
      <c r="F22" s="1030"/>
      <c r="G22" s="1030"/>
      <c r="H22" s="1030"/>
    </row>
    <row r="23" spans="1:8">
      <c r="A23" s="1026">
        <v>70101</v>
      </c>
      <c r="B23" s="1027">
        <v>80101</v>
      </c>
      <c r="C23" s="516">
        <v>210205</v>
      </c>
      <c r="D23" s="1029" t="s">
        <v>341</v>
      </c>
      <c r="E23" s="1030"/>
      <c r="F23" s="1030"/>
      <c r="G23" s="1030"/>
      <c r="H23" s="1030"/>
    </row>
    <row r="24" spans="1:8">
      <c r="A24" s="1026">
        <v>70101</v>
      </c>
      <c r="B24" s="1027">
        <v>80101</v>
      </c>
      <c r="C24" s="529">
        <v>2103</v>
      </c>
      <c r="D24" s="530" t="s">
        <v>342</v>
      </c>
      <c r="E24" s="1028">
        <f>SUM(E25:E28)</f>
        <v>0</v>
      </c>
      <c r="F24" s="1028">
        <f>SUM(F25:F28)</f>
        <v>0</v>
      </c>
      <c r="G24" s="1028">
        <f>SUM(G25:G28)</f>
        <v>0</v>
      </c>
      <c r="H24" s="1028">
        <f>SUM(H25:H28)</f>
        <v>0</v>
      </c>
    </row>
    <row r="25" spans="1:8">
      <c r="A25" s="1026">
        <v>70101</v>
      </c>
      <c r="B25" s="1027">
        <v>80101</v>
      </c>
      <c r="C25" s="516">
        <v>210301</v>
      </c>
      <c r="D25" s="1029" t="s">
        <v>343</v>
      </c>
      <c r="E25" s="1030"/>
      <c r="F25" s="1030"/>
      <c r="G25" s="1030"/>
      <c r="H25" s="1030"/>
    </row>
    <row r="26" spans="1:8">
      <c r="A26" s="1026">
        <v>70101</v>
      </c>
      <c r="B26" s="1027">
        <v>80101</v>
      </c>
      <c r="C26" s="516">
        <v>210302</v>
      </c>
      <c r="D26" s="1029" t="s">
        <v>344</v>
      </c>
      <c r="E26" s="1030"/>
      <c r="F26" s="1030"/>
      <c r="G26" s="1030"/>
      <c r="H26" s="1030"/>
    </row>
    <row r="27" spans="1:8">
      <c r="A27" s="1026">
        <v>70101</v>
      </c>
      <c r="B27" s="1027">
        <v>80101</v>
      </c>
      <c r="C27" s="516">
        <v>210303</v>
      </c>
      <c r="D27" s="1029" t="s">
        <v>345</v>
      </c>
      <c r="E27" s="1030"/>
      <c r="F27" s="1030"/>
      <c r="G27" s="1030"/>
      <c r="H27" s="1030"/>
    </row>
    <row r="28" spans="1:8">
      <c r="A28" s="1026">
        <v>70101</v>
      </c>
      <c r="B28" s="1027">
        <v>80101</v>
      </c>
      <c r="C28" s="516">
        <v>210304</v>
      </c>
      <c r="D28" s="1029" t="s">
        <v>346</v>
      </c>
      <c r="E28" s="1030"/>
      <c r="F28" s="1030"/>
      <c r="G28" s="1030"/>
      <c r="H28" s="1030"/>
    </row>
    <row r="29" spans="1:8">
      <c r="A29" s="1026">
        <v>70101</v>
      </c>
      <c r="B29" s="1027">
        <v>80101</v>
      </c>
      <c r="C29" s="529">
        <v>2104</v>
      </c>
      <c r="D29" s="530" t="s">
        <v>347</v>
      </c>
      <c r="E29" s="1028">
        <f>SUM(E30:E36)</f>
        <v>0</v>
      </c>
      <c r="F29" s="1028">
        <f>SUM(F30:F36)</f>
        <v>0</v>
      </c>
      <c r="G29" s="1028">
        <f>SUM(G30:G36)</f>
        <v>0</v>
      </c>
      <c r="H29" s="1028">
        <f>SUM(H30:H36)</f>
        <v>0</v>
      </c>
    </row>
    <row r="30" spans="1:8">
      <c r="A30" s="1026">
        <v>70101</v>
      </c>
      <c r="B30" s="1027">
        <v>80101</v>
      </c>
      <c r="C30" s="516">
        <v>210401</v>
      </c>
      <c r="D30" s="1029" t="s">
        <v>348</v>
      </c>
      <c r="E30" s="1030"/>
      <c r="F30" s="1030"/>
      <c r="G30" s="1030"/>
      <c r="H30" s="1030"/>
    </row>
    <row r="31" spans="1:8">
      <c r="A31" s="1026">
        <v>70101</v>
      </c>
      <c r="B31" s="1027">
        <v>80101</v>
      </c>
      <c r="C31" s="516">
        <v>210402</v>
      </c>
      <c r="D31" s="1029" t="s">
        <v>349</v>
      </c>
      <c r="E31" s="1030"/>
      <c r="F31" s="1030"/>
      <c r="G31" s="1030"/>
      <c r="H31" s="1030"/>
    </row>
    <row r="32" spans="1:8">
      <c r="A32" s="1026">
        <v>70101</v>
      </c>
      <c r="B32" s="1027">
        <v>80101</v>
      </c>
      <c r="C32" s="516">
        <v>210403</v>
      </c>
      <c r="D32" s="1029" t="s">
        <v>350</v>
      </c>
      <c r="E32" s="1030"/>
      <c r="F32" s="1030"/>
      <c r="G32" s="1030"/>
      <c r="H32" s="1030"/>
    </row>
    <row r="33" spans="1:8">
      <c r="A33" s="1026">
        <v>70101</v>
      </c>
      <c r="B33" s="1027">
        <v>80101</v>
      </c>
      <c r="C33" s="516">
        <v>210404</v>
      </c>
      <c r="D33" s="1029" t="s">
        <v>351</v>
      </c>
      <c r="E33" s="1030"/>
      <c r="F33" s="1030"/>
      <c r="G33" s="1030"/>
      <c r="H33" s="1030"/>
    </row>
    <row r="34" spans="1:8">
      <c r="A34" s="1026">
        <v>70101</v>
      </c>
      <c r="B34" s="1027">
        <v>80101</v>
      </c>
      <c r="C34" s="516">
        <v>210405</v>
      </c>
      <c r="D34" s="1029" t="s">
        <v>352</v>
      </c>
      <c r="E34" s="1030"/>
      <c r="F34" s="1030"/>
      <c r="G34" s="1030"/>
      <c r="H34" s="1030"/>
    </row>
    <row r="35" spans="1:8">
      <c r="A35" s="1026">
        <v>70101</v>
      </c>
      <c r="B35" s="1027">
        <v>80101</v>
      </c>
      <c r="C35" s="516">
        <v>210406</v>
      </c>
      <c r="D35" s="1029" t="s">
        <v>353</v>
      </c>
      <c r="E35" s="1030"/>
      <c r="F35" s="1030"/>
      <c r="G35" s="1030"/>
      <c r="H35" s="1030"/>
    </row>
    <row r="36" spans="1:8">
      <c r="A36" s="1026">
        <v>70101</v>
      </c>
      <c r="B36" s="1027">
        <v>80101</v>
      </c>
      <c r="C36" s="502">
        <v>210407</v>
      </c>
      <c r="D36" s="503" t="s">
        <v>1196</v>
      </c>
      <c r="E36" s="1030"/>
      <c r="F36" s="1030"/>
      <c r="G36" s="1030"/>
      <c r="H36" s="1030"/>
    </row>
    <row r="37" spans="1:8">
      <c r="A37" s="1026">
        <v>70101</v>
      </c>
      <c r="B37" s="1027">
        <v>80101</v>
      </c>
      <c r="C37" s="529">
        <v>2105</v>
      </c>
      <c r="D37" s="530" t="s">
        <v>354</v>
      </c>
      <c r="E37" s="1028">
        <f>SUM(E38:E40)</f>
        <v>0</v>
      </c>
      <c r="F37" s="1028">
        <f>SUM(F38:F40)</f>
        <v>0</v>
      </c>
      <c r="G37" s="1028">
        <f>SUM(G38:G40)</f>
        <v>0</v>
      </c>
      <c r="H37" s="1028">
        <f>SUM(H38:H40)</f>
        <v>0</v>
      </c>
    </row>
    <row r="38" spans="1:8">
      <c r="A38" s="1026">
        <v>70101</v>
      </c>
      <c r="B38" s="1027">
        <v>80101</v>
      </c>
      <c r="C38" s="516">
        <v>210501</v>
      </c>
      <c r="D38" s="1029" t="s">
        <v>355</v>
      </c>
      <c r="E38" s="1030"/>
      <c r="F38" s="1030"/>
      <c r="G38" s="1030"/>
      <c r="H38" s="1030"/>
    </row>
    <row r="39" spans="1:8">
      <c r="A39" s="1026">
        <v>70101</v>
      </c>
      <c r="B39" s="1027">
        <v>80101</v>
      </c>
      <c r="C39" s="516">
        <v>210502</v>
      </c>
      <c r="D39" s="1029" t="s">
        <v>356</v>
      </c>
      <c r="E39" s="1030"/>
      <c r="F39" s="1030"/>
      <c r="G39" s="1030"/>
      <c r="H39" s="1030"/>
    </row>
    <row r="40" spans="1:8">
      <c r="A40" s="1026">
        <v>70101</v>
      </c>
      <c r="B40" s="1027">
        <v>80101</v>
      </c>
      <c r="C40" s="516">
        <v>210503</v>
      </c>
      <c r="D40" s="1029" t="s">
        <v>357</v>
      </c>
      <c r="E40" s="1030"/>
      <c r="F40" s="1030"/>
      <c r="G40" s="1030"/>
      <c r="H40" s="1030"/>
    </row>
    <row r="41" spans="1:8">
      <c r="A41" s="1026">
        <v>70101</v>
      </c>
      <c r="B41" s="1027">
        <v>80101</v>
      </c>
      <c r="C41" s="529">
        <v>2106</v>
      </c>
      <c r="D41" s="530" t="s">
        <v>358</v>
      </c>
      <c r="E41" s="1028">
        <f>SUM(E42:E45)</f>
        <v>0</v>
      </c>
      <c r="F41" s="1028">
        <f>SUM(F42:F45)</f>
        <v>0</v>
      </c>
      <c r="G41" s="1028">
        <f>SUM(G42:G45)</f>
        <v>0</v>
      </c>
      <c r="H41" s="1028">
        <f>SUM(H42:H45)</f>
        <v>0</v>
      </c>
    </row>
    <row r="42" spans="1:8">
      <c r="A42" s="1026">
        <v>70101</v>
      </c>
      <c r="B42" s="1027">
        <v>80101</v>
      </c>
      <c r="C42" s="516">
        <v>210601</v>
      </c>
      <c r="D42" s="1029" t="s">
        <v>359</v>
      </c>
      <c r="E42" s="1030"/>
      <c r="F42" s="1030"/>
      <c r="G42" s="1030"/>
      <c r="H42" s="1030"/>
    </row>
    <row r="43" spans="1:8">
      <c r="A43" s="1026">
        <v>70101</v>
      </c>
      <c r="B43" s="1027">
        <v>80101</v>
      </c>
      <c r="C43" s="516">
        <v>210602</v>
      </c>
      <c r="D43" s="1029" t="s">
        <v>360</v>
      </c>
      <c r="E43" s="1030"/>
      <c r="F43" s="1030"/>
      <c r="G43" s="1030"/>
      <c r="H43" s="1030"/>
    </row>
    <row r="44" spans="1:8">
      <c r="A44" s="1026">
        <v>70101</v>
      </c>
      <c r="B44" s="1027">
        <v>80101</v>
      </c>
      <c r="C44" s="516">
        <v>210603</v>
      </c>
      <c r="D44" s="1029" t="s">
        <v>361</v>
      </c>
      <c r="E44" s="1030"/>
      <c r="F44" s="1030"/>
      <c r="G44" s="1030"/>
      <c r="H44" s="1030"/>
    </row>
    <row r="45" spans="1:8">
      <c r="A45" s="1026">
        <v>70101</v>
      </c>
      <c r="B45" s="1027">
        <v>80101</v>
      </c>
      <c r="C45" s="516">
        <v>210604</v>
      </c>
      <c r="D45" s="1029" t="s">
        <v>362</v>
      </c>
      <c r="E45" s="1030"/>
      <c r="F45" s="1030"/>
      <c r="G45" s="1030"/>
      <c r="H45" s="1030"/>
    </row>
    <row r="46" spans="1:8">
      <c r="A46" s="1026">
        <v>70101</v>
      </c>
      <c r="B46" s="1027">
        <v>80101</v>
      </c>
      <c r="C46" s="1023">
        <v>2107</v>
      </c>
      <c r="D46" s="530" t="s">
        <v>363</v>
      </c>
      <c r="E46" s="1028">
        <f>SUM(E47:E49)</f>
        <v>0</v>
      </c>
      <c r="F46" s="1028">
        <f>SUM(F47:F49)</f>
        <v>0</v>
      </c>
      <c r="G46" s="1028">
        <f>SUM(G47:G49)</f>
        <v>0</v>
      </c>
      <c r="H46" s="1028">
        <f>SUM(H47:H49)</f>
        <v>0</v>
      </c>
    </row>
    <row r="47" spans="1:8">
      <c r="A47" s="1026">
        <v>70101</v>
      </c>
      <c r="B47" s="1027">
        <v>80101</v>
      </c>
      <c r="C47" s="516">
        <v>210701</v>
      </c>
      <c r="D47" s="1029" t="s">
        <v>364</v>
      </c>
      <c r="E47" s="1030"/>
      <c r="F47" s="1030"/>
      <c r="G47" s="1030"/>
      <c r="H47" s="1030"/>
    </row>
    <row r="48" spans="1:8">
      <c r="A48" s="1026">
        <v>70101</v>
      </c>
      <c r="B48" s="1027">
        <v>80101</v>
      </c>
      <c r="C48" s="516">
        <v>210702</v>
      </c>
      <c r="D48" s="1029" t="s">
        <v>365</v>
      </c>
      <c r="E48" s="1030"/>
      <c r="F48" s="1030"/>
      <c r="G48" s="1030"/>
      <c r="H48" s="1030"/>
    </row>
    <row r="49" spans="1:8">
      <c r="A49" s="1026">
        <v>70101</v>
      </c>
      <c r="B49" s="1027">
        <v>80101</v>
      </c>
      <c r="C49" s="516">
        <v>210703</v>
      </c>
      <c r="D49" s="1029" t="s">
        <v>366</v>
      </c>
      <c r="E49" s="1030"/>
      <c r="F49" s="1030"/>
      <c r="G49" s="1030"/>
      <c r="H49" s="1030"/>
    </row>
    <row r="50" spans="1:8">
      <c r="A50" s="1026">
        <v>70101</v>
      </c>
      <c r="B50" s="1027">
        <v>80101</v>
      </c>
      <c r="C50" s="529">
        <v>2108</v>
      </c>
      <c r="D50" s="530" t="s">
        <v>367</v>
      </c>
      <c r="E50" s="1028">
        <f>SUM(E51:E59)</f>
        <v>0</v>
      </c>
      <c r="F50" s="1028">
        <f>SUM(F51:F59)</f>
        <v>0</v>
      </c>
      <c r="G50" s="1028">
        <f>SUM(G51:G59)</f>
        <v>0</v>
      </c>
      <c r="H50" s="1028">
        <f>SUM(H51:H59)</f>
        <v>0</v>
      </c>
    </row>
    <row r="51" spans="1:8">
      <c r="A51" s="1026">
        <v>70101</v>
      </c>
      <c r="B51" s="1027">
        <v>80101</v>
      </c>
      <c r="C51" s="516">
        <v>210801</v>
      </c>
      <c r="D51" s="1029" t="s">
        <v>368</v>
      </c>
      <c r="E51" s="1030"/>
      <c r="F51" s="1030"/>
      <c r="G51" s="1030"/>
      <c r="H51" s="1030"/>
    </row>
    <row r="52" spans="1:8">
      <c r="A52" s="1026">
        <v>70101</v>
      </c>
      <c r="B52" s="1027">
        <v>80101</v>
      </c>
      <c r="C52" s="516">
        <v>210802</v>
      </c>
      <c r="D52" s="1029" t="s">
        <v>456</v>
      </c>
      <c r="E52" s="1030"/>
      <c r="F52" s="1030"/>
      <c r="G52" s="1030"/>
      <c r="H52" s="1030"/>
    </row>
    <row r="53" spans="1:8">
      <c r="A53" s="1026">
        <v>70101</v>
      </c>
      <c r="B53" s="1027">
        <v>80101</v>
      </c>
      <c r="C53" s="516">
        <v>210803</v>
      </c>
      <c r="D53" s="1029" t="s">
        <v>369</v>
      </c>
      <c r="E53" s="1030"/>
      <c r="F53" s="1030"/>
      <c r="G53" s="1030"/>
      <c r="H53" s="1030"/>
    </row>
    <row r="54" spans="1:8">
      <c r="A54" s="1026">
        <v>70101</v>
      </c>
      <c r="B54" s="1027">
        <v>80101</v>
      </c>
      <c r="C54" s="516">
        <v>210804</v>
      </c>
      <c r="D54" s="1029" t="s">
        <v>370</v>
      </c>
      <c r="E54" s="1030"/>
      <c r="F54" s="1030"/>
      <c r="G54" s="1030"/>
      <c r="H54" s="1030"/>
    </row>
    <row r="55" spans="1:8">
      <c r="A55" s="1026">
        <v>70101</v>
      </c>
      <c r="B55" s="1027">
        <v>80101</v>
      </c>
      <c r="C55" s="516">
        <v>210805</v>
      </c>
      <c r="D55" s="1029" t="s">
        <v>371</v>
      </c>
      <c r="E55" s="1030"/>
      <c r="F55" s="1030"/>
      <c r="G55" s="1030"/>
      <c r="H55" s="1030"/>
    </row>
    <row r="56" spans="1:8">
      <c r="A56" s="1026">
        <v>70101</v>
      </c>
      <c r="B56" s="1027">
        <v>80101</v>
      </c>
      <c r="C56" s="516">
        <v>210806</v>
      </c>
      <c r="D56" s="1029" t="s">
        <v>372</v>
      </c>
      <c r="E56" s="1030"/>
      <c r="F56" s="1030"/>
      <c r="G56" s="1030"/>
      <c r="H56" s="1030"/>
    </row>
    <row r="57" spans="1:8">
      <c r="A57" s="1026">
        <v>70101</v>
      </c>
      <c r="B57" s="1027">
        <v>80101</v>
      </c>
      <c r="C57" s="516">
        <v>210807</v>
      </c>
      <c r="D57" s="1029" t="s">
        <v>457</v>
      </c>
      <c r="E57" s="1030"/>
      <c r="F57" s="1030"/>
      <c r="G57" s="1030"/>
      <c r="H57" s="1030"/>
    </row>
    <row r="58" spans="1:8">
      <c r="A58" s="1026">
        <v>70101</v>
      </c>
      <c r="B58" s="1027">
        <v>80101</v>
      </c>
      <c r="C58" s="516">
        <v>210808</v>
      </c>
      <c r="D58" s="1029" t="s">
        <v>374</v>
      </c>
      <c r="E58" s="1030"/>
      <c r="F58" s="1030"/>
      <c r="G58" s="1030"/>
      <c r="H58" s="1030"/>
    </row>
    <row r="59" spans="1:8">
      <c r="A59" s="1026">
        <v>70101</v>
      </c>
      <c r="B59" s="1027">
        <v>80101</v>
      </c>
      <c r="C59" s="516">
        <v>210809</v>
      </c>
      <c r="D59" s="1029" t="s">
        <v>376</v>
      </c>
      <c r="E59" s="1030"/>
      <c r="F59" s="1030"/>
      <c r="G59" s="1030"/>
      <c r="H59" s="1030"/>
    </row>
    <row r="60" spans="1:8">
      <c r="A60" s="1026">
        <v>70101</v>
      </c>
      <c r="B60" s="1027">
        <v>80101</v>
      </c>
      <c r="C60" s="529">
        <v>2109</v>
      </c>
      <c r="D60" s="530" t="s">
        <v>378</v>
      </c>
      <c r="E60" s="1028">
        <f>SUM(E61:E62)</f>
        <v>0</v>
      </c>
      <c r="F60" s="1028">
        <f>SUM(F61:F62)</f>
        <v>0</v>
      </c>
      <c r="G60" s="1028">
        <f>SUM(G61:G62)</f>
        <v>0</v>
      </c>
      <c r="H60" s="1028">
        <f>SUM(H61:H62)</f>
        <v>0</v>
      </c>
    </row>
    <row r="61" spans="1:8">
      <c r="A61" s="1026">
        <v>70101</v>
      </c>
      <c r="B61" s="1027">
        <v>80101</v>
      </c>
      <c r="C61" s="516">
        <v>210901</v>
      </c>
      <c r="D61" s="1029" t="s">
        <v>380</v>
      </c>
      <c r="E61" s="1030"/>
      <c r="F61" s="1030"/>
      <c r="G61" s="1030"/>
      <c r="H61" s="1030"/>
    </row>
    <row r="62" spans="1:8">
      <c r="A62" s="1026">
        <v>70101</v>
      </c>
      <c r="B62" s="1027">
        <v>80101</v>
      </c>
      <c r="C62" s="516">
        <v>210902</v>
      </c>
      <c r="D62" s="1029" t="s">
        <v>458</v>
      </c>
      <c r="E62" s="1030"/>
      <c r="F62" s="1030"/>
      <c r="G62" s="1030"/>
      <c r="H62" s="1030"/>
    </row>
    <row r="63" spans="1:8">
      <c r="A63" s="1026">
        <v>70101</v>
      </c>
      <c r="B63" s="1027">
        <v>80101</v>
      </c>
      <c r="C63" s="529">
        <v>211</v>
      </c>
      <c r="D63" s="530" t="s">
        <v>383</v>
      </c>
      <c r="E63" s="1028">
        <f>SUM(E64,E66)</f>
        <v>0</v>
      </c>
      <c r="F63" s="1028">
        <f>SUM(F64,F66)</f>
        <v>0</v>
      </c>
      <c r="G63" s="1028">
        <f>SUM(G64,G66)</f>
        <v>0</v>
      </c>
      <c r="H63" s="1028">
        <f>SUM(H64,H66)</f>
        <v>0</v>
      </c>
    </row>
    <row r="64" spans="1:8">
      <c r="A64" s="1026">
        <v>70101</v>
      </c>
      <c r="B64" s="1027">
        <v>80101</v>
      </c>
      <c r="C64" s="529">
        <v>2111</v>
      </c>
      <c r="D64" s="530" t="s">
        <v>385</v>
      </c>
      <c r="E64" s="1028">
        <f>SUM(E65)</f>
        <v>0</v>
      </c>
      <c r="F64" s="1028">
        <f>SUM(F65)</f>
        <v>0</v>
      </c>
      <c r="G64" s="1028">
        <f>SUM(G65)</f>
        <v>0</v>
      </c>
      <c r="H64" s="1028">
        <f>SUM(H65)</f>
        <v>0</v>
      </c>
    </row>
    <row r="65" spans="1:8">
      <c r="A65" s="1026">
        <v>70101</v>
      </c>
      <c r="B65" s="1027">
        <v>80101</v>
      </c>
      <c r="C65" s="516">
        <v>211101</v>
      </c>
      <c r="D65" s="1029" t="s">
        <v>387</v>
      </c>
      <c r="E65" s="1029"/>
      <c r="F65" s="1029"/>
      <c r="G65" s="1030"/>
      <c r="H65" s="1030"/>
    </row>
    <row r="66" spans="1:8">
      <c r="A66" s="1026">
        <v>70101</v>
      </c>
      <c r="B66" s="1027">
        <v>80101</v>
      </c>
      <c r="C66" s="529">
        <v>2112</v>
      </c>
      <c r="D66" s="530" t="s">
        <v>389</v>
      </c>
      <c r="E66" s="1028">
        <f>SUM(E67)</f>
        <v>0</v>
      </c>
      <c r="F66" s="1028">
        <f>SUM(F67)</f>
        <v>0</v>
      </c>
      <c r="G66" s="1028">
        <f>SUM(G67)</f>
        <v>0</v>
      </c>
      <c r="H66" s="1028">
        <f>SUM(H67)</f>
        <v>0</v>
      </c>
    </row>
    <row r="67" spans="1:8">
      <c r="A67" s="1026">
        <v>70101</v>
      </c>
      <c r="B67" s="1027">
        <v>80101</v>
      </c>
      <c r="C67" s="516">
        <v>211201</v>
      </c>
      <c r="D67" s="1029" t="s">
        <v>391</v>
      </c>
      <c r="E67" s="1029"/>
      <c r="F67" s="1029"/>
      <c r="G67" s="1030"/>
      <c r="H67" s="1030"/>
    </row>
    <row r="68" spans="1:8">
      <c r="A68" s="1026">
        <v>70101</v>
      </c>
      <c r="B68" s="1027">
        <v>80101</v>
      </c>
      <c r="C68" s="529">
        <v>212</v>
      </c>
      <c r="D68" s="530" t="s">
        <v>393</v>
      </c>
      <c r="E68" s="1028">
        <f>SUM(E69,E71)</f>
        <v>0</v>
      </c>
      <c r="F68" s="1028">
        <f>SUM(F69,F71)</f>
        <v>0</v>
      </c>
      <c r="G68" s="1028">
        <f>SUM(G69,G71)</f>
        <v>0</v>
      </c>
      <c r="H68" s="1028">
        <f ref="H68" si="0" t="shared">SUM(H69,H71)</f>
        <v>0</v>
      </c>
    </row>
    <row r="69" spans="1:8">
      <c r="A69" s="1026">
        <v>70101</v>
      </c>
      <c r="B69" s="1027">
        <v>80101</v>
      </c>
      <c r="C69" s="529">
        <v>2121</v>
      </c>
      <c r="D69" s="530" t="s">
        <v>395</v>
      </c>
      <c r="E69" s="1028">
        <f>SUM(E70)</f>
        <v>0</v>
      </c>
      <c r="F69" s="1028">
        <f>SUM(F70)</f>
        <v>0</v>
      </c>
      <c r="G69" s="1028">
        <f>SUM(G70)</f>
        <v>0</v>
      </c>
      <c r="H69" s="1028">
        <f>SUM(H70)</f>
        <v>0</v>
      </c>
    </row>
    <row r="70" spans="1:8">
      <c r="A70" s="1026">
        <v>70101</v>
      </c>
      <c r="B70" s="1027">
        <v>80101</v>
      </c>
      <c r="C70" s="516">
        <v>212101</v>
      </c>
      <c r="D70" s="1029" t="s">
        <v>397</v>
      </c>
      <c r="E70" s="1029"/>
      <c r="F70" s="1029"/>
      <c r="G70" s="1030"/>
      <c r="H70" s="1030"/>
    </row>
    <row r="71" spans="1:8">
      <c r="A71" s="1026">
        <v>70101</v>
      </c>
      <c r="B71" s="1027">
        <v>80101</v>
      </c>
      <c r="C71" s="529">
        <v>2122</v>
      </c>
      <c r="D71" s="530" t="s">
        <v>399</v>
      </c>
      <c r="E71" s="1028">
        <f>SUM(E72)</f>
        <v>0</v>
      </c>
      <c r="F71" s="1028">
        <f>SUM(F72)</f>
        <v>0</v>
      </c>
      <c r="G71" s="1028">
        <f>SUM(G72)</f>
        <v>0</v>
      </c>
      <c r="H71" s="1028">
        <f ref="H71" si="1" t="shared">SUM(H72)</f>
        <v>0</v>
      </c>
    </row>
    <row r="72" spans="1:8">
      <c r="A72" s="1026">
        <v>70101</v>
      </c>
      <c r="B72" s="1027">
        <v>80101</v>
      </c>
      <c r="C72" s="516">
        <v>212201</v>
      </c>
      <c r="D72" s="1029" t="s">
        <v>401</v>
      </c>
      <c r="E72" s="1029"/>
      <c r="F72" s="1029"/>
      <c r="G72" s="1030"/>
      <c r="H72" s="1030"/>
    </row>
    <row r="73" spans="1:8">
      <c r="A73" s="1026">
        <v>70101</v>
      </c>
      <c r="B73" s="1027">
        <v>80101</v>
      </c>
      <c r="C73" s="529">
        <v>213</v>
      </c>
      <c r="D73" s="530" t="s">
        <v>403</v>
      </c>
      <c r="E73" s="1028">
        <f>SUM(E74,E77)</f>
        <v>0</v>
      </c>
      <c r="F73" s="1028">
        <f>SUM(F74,F77)</f>
        <v>0</v>
      </c>
      <c r="G73" s="1028">
        <f>SUM(G74,G77)</f>
        <v>0</v>
      </c>
      <c r="H73" s="1028">
        <f>SUM(H74,H77)</f>
        <v>0</v>
      </c>
    </row>
    <row r="74" spans="1:8">
      <c r="A74" s="1026">
        <v>70101</v>
      </c>
      <c r="B74" s="1027">
        <v>80101</v>
      </c>
      <c r="C74" s="529">
        <v>2131</v>
      </c>
      <c r="D74" s="530" t="s">
        <v>405</v>
      </c>
      <c r="E74" s="1028">
        <f>SUM(E75:E76)</f>
        <v>0</v>
      </c>
      <c r="F74" s="1028">
        <f>SUM(F75:F76)</f>
        <v>0</v>
      </c>
      <c r="G74" s="1028">
        <f>SUM(G75:G76)</f>
        <v>0</v>
      </c>
      <c r="H74" s="1028">
        <f>SUM(H75:H76)</f>
        <v>0</v>
      </c>
    </row>
    <row r="75" spans="1:8">
      <c r="A75" s="1026">
        <v>70101</v>
      </c>
      <c r="B75" s="1027">
        <v>80101</v>
      </c>
      <c r="C75" s="516">
        <v>213101</v>
      </c>
      <c r="D75" s="1029" t="s">
        <v>407</v>
      </c>
      <c r="E75" s="1029"/>
      <c r="F75" s="1029"/>
      <c r="G75" s="1030"/>
      <c r="H75" s="1030"/>
    </row>
    <row r="76" spans="1:8">
      <c r="A76" s="1026">
        <v>70101</v>
      </c>
      <c r="B76" s="1027">
        <v>80101</v>
      </c>
      <c r="C76" s="516">
        <v>213102</v>
      </c>
      <c r="D76" s="1029" t="s">
        <v>409</v>
      </c>
      <c r="E76" s="1029"/>
      <c r="F76" s="1029"/>
      <c r="G76" s="1030"/>
      <c r="H76" s="1030"/>
    </row>
    <row r="77" spans="1:8">
      <c r="A77" s="1026">
        <v>70101</v>
      </c>
      <c r="B77" s="1027">
        <v>80101</v>
      </c>
      <c r="C77" s="529">
        <v>2132</v>
      </c>
      <c r="D77" s="530" t="s">
        <v>411</v>
      </c>
      <c r="E77" s="1028">
        <f>SUM(E78:E85)</f>
        <v>0</v>
      </c>
      <c r="F77" s="1028">
        <f>SUM(F78:F85)</f>
        <v>0</v>
      </c>
      <c r="G77" s="1028">
        <f>SUM(G78:G85)</f>
        <v>0</v>
      </c>
      <c r="H77" s="1028">
        <f ref="H77" si="2" t="shared">SUM(H78:H85)</f>
        <v>0</v>
      </c>
    </row>
    <row r="78" spans="1:8">
      <c r="A78" s="1026">
        <v>70101</v>
      </c>
      <c r="B78" s="1027">
        <v>80101</v>
      </c>
      <c r="C78" s="516">
        <v>213202</v>
      </c>
      <c r="D78" s="1029" t="s">
        <v>413</v>
      </c>
      <c r="E78" s="1029"/>
      <c r="F78" s="1029"/>
      <c r="G78" s="1030"/>
      <c r="H78" s="1030"/>
    </row>
    <row r="79" spans="1:8">
      <c r="A79" s="1026">
        <v>70101</v>
      </c>
      <c r="B79" s="1027">
        <v>80101</v>
      </c>
      <c r="C79" s="516">
        <v>213203</v>
      </c>
      <c r="D79" s="1029" t="s">
        <v>415</v>
      </c>
      <c r="E79" s="1029"/>
      <c r="F79" s="1029"/>
      <c r="G79" s="1030"/>
      <c r="H79" s="1030"/>
    </row>
    <row r="80" spans="1:8">
      <c r="A80" s="1026">
        <v>70101</v>
      </c>
      <c r="B80" s="1027">
        <v>80101</v>
      </c>
      <c r="C80" s="516">
        <v>213204</v>
      </c>
      <c r="D80" s="1029" t="s">
        <v>459</v>
      </c>
      <c r="E80" s="1029"/>
      <c r="F80" s="1029"/>
      <c r="G80" s="1030"/>
      <c r="H80" s="1030"/>
    </row>
    <row r="81" spans="1:8">
      <c r="A81" s="1026">
        <v>70101</v>
      </c>
      <c r="B81" s="1027">
        <v>80101</v>
      </c>
      <c r="C81" s="516">
        <v>213205</v>
      </c>
      <c r="D81" s="1029" t="s">
        <v>418</v>
      </c>
      <c r="E81" s="1029"/>
      <c r="F81" s="1029"/>
      <c r="G81" s="1030"/>
      <c r="H81" s="1030"/>
    </row>
    <row r="82" spans="1:8">
      <c r="A82" s="1026">
        <v>70101</v>
      </c>
      <c r="B82" s="1027">
        <v>80101</v>
      </c>
      <c r="C82" s="516">
        <v>213206</v>
      </c>
      <c r="D82" s="1029" t="s">
        <v>420</v>
      </c>
      <c r="E82" s="1029"/>
      <c r="F82" s="1029"/>
      <c r="G82" s="1030"/>
      <c r="H82" s="1030"/>
    </row>
    <row r="83" spans="1:8">
      <c r="A83" s="1026">
        <v>70101</v>
      </c>
      <c r="B83" s="1027">
        <v>80101</v>
      </c>
      <c r="C83" s="516">
        <v>213207</v>
      </c>
      <c r="D83" s="1029" t="s">
        <v>422</v>
      </c>
      <c r="E83" s="1029"/>
      <c r="F83" s="1029"/>
      <c r="G83" s="1030"/>
      <c r="H83" s="1030"/>
    </row>
    <row ht="30" r="84" spans="1:8">
      <c r="A84" s="1026">
        <v>70101</v>
      </c>
      <c r="B84" s="1027">
        <v>80101</v>
      </c>
      <c r="C84" s="516">
        <v>213208</v>
      </c>
      <c r="D84" s="503" t="s">
        <v>460</v>
      </c>
      <c r="E84" s="1029"/>
      <c r="F84" s="1029"/>
      <c r="G84" s="1030"/>
      <c r="H84" s="1030"/>
    </row>
    <row r="85" spans="1:8">
      <c r="A85" s="1026">
        <v>70101</v>
      </c>
      <c r="B85" s="1027">
        <v>80101</v>
      </c>
      <c r="C85" s="516">
        <v>213209</v>
      </c>
      <c r="D85" s="1029" t="s">
        <v>461</v>
      </c>
      <c r="E85" s="1029"/>
      <c r="F85" s="1029"/>
      <c r="G85" s="1030"/>
      <c r="H85" s="1030"/>
    </row>
    <row r="86" spans="1:8">
      <c r="A86" s="1026">
        <v>70101</v>
      </c>
      <c r="B86" s="1027">
        <v>80101</v>
      </c>
      <c r="C86" s="529">
        <v>22</v>
      </c>
      <c r="D86" s="530" t="s">
        <v>432</v>
      </c>
      <c r="E86" s="1031">
        <f>E87+E93</f>
        <v>0</v>
      </c>
      <c r="F86" s="1031">
        <f>F87+F93</f>
        <v>0</v>
      </c>
      <c r="G86" s="1031">
        <f ref="G86:H86" si="3" t="shared">G87+G93</f>
        <v>0</v>
      </c>
      <c r="H86" s="1031">
        <f si="3" t="shared"/>
        <v>0</v>
      </c>
    </row>
    <row r="87" spans="1:8">
      <c r="A87" s="1026">
        <v>70101</v>
      </c>
      <c r="B87" s="1027">
        <v>80101</v>
      </c>
      <c r="C87" s="509">
        <v>2200</v>
      </c>
      <c r="D87" s="514" t="s">
        <v>1070</v>
      </c>
      <c r="E87" s="1032">
        <f>SUM(E88:E92)</f>
        <v>0</v>
      </c>
      <c r="F87" s="1032">
        <f>SUM(F88:F92)</f>
        <v>0</v>
      </c>
      <c r="G87" s="1032">
        <f ref="G87:H87" si="4" t="shared">SUM(G88:G92)</f>
        <v>0</v>
      </c>
      <c r="H87" s="1032">
        <f si="4" t="shared"/>
        <v>0</v>
      </c>
    </row>
    <row r="88" spans="1:8">
      <c r="A88" s="1026">
        <v>70101</v>
      </c>
      <c r="B88" s="1027">
        <v>80101</v>
      </c>
      <c r="C88" s="516">
        <v>220001</v>
      </c>
      <c r="D88" s="1029" t="s">
        <v>434</v>
      </c>
      <c r="E88" s="1029"/>
      <c r="F88" s="1029"/>
      <c r="G88" s="1030"/>
      <c r="H88" s="1030"/>
    </row>
    <row r="89" spans="1:8">
      <c r="A89" s="1026">
        <v>70101</v>
      </c>
      <c r="B89" s="1027">
        <v>80101</v>
      </c>
      <c r="C89" s="516">
        <v>221001</v>
      </c>
      <c r="D89" s="1029" t="s">
        <v>436</v>
      </c>
      <c r="E89" s="1029"/>
      <c r="F89" s="1029"/>
      <c r="G89" s="1030"/>
      <c r="H89" s="1030"/>
    </row>
    <row r="90" spans="1:8">
      <c r="A90" s="1026">
        <v>70101</v>
      </c>
      <c r="B90" s="1027">
        <v>80101</v>
      </c>
      <c r="C90" s="516">
        <v>222001</v>
      </c>
      <c r="D90" s="1029" t="s">
        <v>438</v>
      </c>
      <c r="E90" s="1029"/>
      <c r="F90" s="1029"/>
      <c r="G90" s="1030"/>
      <c r="H90" s="1030"/>
    </row>
    <row r="91" spans="1:8">
      <c r="A91" s="1026">
        <v>70101</v>
      </c>
      <c r="B91" s="1027">
        <v>80101</v>
      </c>
      <c r="C91" s="516">
        <v>223001</v>
      </c>
      <c r="D91" s="1029" t="s">
        <v>440</v>
      </c>
      <c r="E91" s="1029"/>
      <c r="F91" s="1029"/>
      <c r="G91" s="1030"/>
      <c r="H91" s="1030"/>
    </row>
    <row r="92" spans="1:8">
      <c r="A92" s="1026">
        <v>70101</v>
      </c>
      <c r="B92" s="1027">
        <v>80101</v>
      </c>
      <c r="C92" s="516">
        <v>224001</v>
      </c>
      <c r="D92" s="1029" t="s">
        <v>442</v>
      </c>
      <c r="E92" s="1029"/>
      <c r="F92" s="1029"/>
      <c r="G92" s="1030"/>
      <c r="H92" s="1030"/>
    </row>
    <row r="93" spans="1:8">
      <c r="A93" s="1026"/>
      <c r="B93" s="1027"/>
      <c r="C93" s="509">
        <v>2260</v>
      </c>
      <c r="D93" s="514" t="s">
        <v>1021</v>
      </c>
      <c r="E93" s="1033">
        <f>SUM(E94)</f>
        <v>0</v>
      </c>
      <c r="F93" s="1033">
        <f>SUM(F94)</f>
        <v>0</v>
      </c>
      <c r="G93" s="1033">
        <f ref="G93:H93" si="5" t="shared">SUM(G94)</f>
        <v>0</v>
      </c>
      <c r="H93" s="1033">
        <f si="5" t="shared"/>
        <v>0</v>
      </c>
    </row>
    <row r="94" spans="1:8">
      <c r="A94" s="1026"/>
      <c r="B94" s="1027"/>
      <c r="C94" s="1034">
        <v>226001</v>
      </c>
      <c r="D94" s="515" t="s">
        <v>1197</v>
      </c>
      <c r="E94" s="1029"/>
      <c r="F94" s="1029"/>
      <c r="G94" s="1030"/>
      <c r="H94" s="1030"/>
    </row>
    <row r="95" spans="1:8">
      <c r="A95" s="1026">
        <v>70101</v>
      </c>
      <c r="B95" s="1027">
        <v>80101</v>
      </c>
      <c r="C95" s="529">
        <v>23</v>
      </c>
      <c r="D95" s="530" t="s">
        <v>466</v>
      </c>
      <c r="E95" s="1028">
        <f>SUM(E96:E98)</f>
        <v>0</v>
      </c>
      <c r="F95" s="1028">
        <f>SUM(F96:F98)</f>
        <v>0</v>
      </c>
      <c r="G95" s="1028">
        <f>SUM(G96:G98)</f>
        <v>0</v>
      </c>
      <c r="H95" s="1028">
        <f>SUM(H96:H98)</f>
        <v>0</v>
      </c>
    </row>
    <row r="96" spans="1:8">
      <c r="A96" s="1026">
        <v>70101</v>
      </c>
      <c r="B96" s="1027">
        <v>80101</v>
      </c>
      <c r="C96" s="516">
        <v>230001</v>
      </c>
      <c r="D96" s="1029" t="s">
        <v>468</v>
      </c>
      <c r="E96" s="1029"/>
      <c r="F96" s="1029"/>
      <c r="G96" s="1030"/>
      <c r="H96" s="1030"/>
    </row>
    <row r="97" spans="1:8">
      <c r="A97" s="1026">
        <v>70101</v>
      </c>
      <c r="B97" s="1027">
        <v>80101</v>
      </c>
      <c r="C97" s="516">
        <v>231001</v>
      </c>
      <c r="D97" s="1029" t="s">
        <v>470</v>
      </c>
      <c r="E97" s="1029"/>
      <c r="F97" s="1029"/>
      <c r="G97" s="1030"/>
      <c r="H97" s="1030"/>
    </row>
    <row r="98" spans="1:8">
      <c r="A98" s="1026">
        <v>70101</v>
      </c>
      <c r="B98" s="1027">
        <v>80101</v>
      </c>
      <c r="C98" s="516">
        <v>232001</v>
      </c>
      <c r="D98" s="1029" t="s">
        <v>472</v>
      </c>
      <c r="E98" s="1029"/>
      <c r="F98" s="1029"/>
      <c r="G98" s="1030"/>
      <c r="H98" s="1030"/>
    </row>
    <row r="99" spans="1:8">
      <c r="A99" s="1026">
        <v>70101</v>
      </c>
      <c r="B99" s="1027">
        <v>80101</v>
      </c>
      <c r="C99" s="1023"/>
      <c r="D99" s="530" t="s">
        <v>490</v>
      </c>
      <c r="E99" s="1028">
        <f>SUM(E100,E105,E108,E112,E117,E120)</f>
        <v>0</v>
      </c>
      <c r="F99" s="1028">
        <f ref="F99:H99" si="6" t="shared">SUM(F100,F105,F108,F112,F117,F120)</f>
        <v>0</v>
      </c>
      <c r="G99" s="1028">
        <f si="6" t="shared"/>
        <v>0</v>
      </c>
      <c r="H99" s="1028">
        <f si="6" t="shared"/>
        <v>0</v>
      </c>
    </row>
    <row r="100" spans="1:8">
      <c r="A100" s="1026">
        <v>70101</v>
      </c>
      <c r="B100" s="1027">
        <v>80101</v>
      </c>
      <c r="C100" s="529">
        <v>1310</v>
      </c>
      <c r="D100" s="530" t="s">
        <v>491</v>
      </c>
      <c r="E100" s="1028">
        <f>SUM(E101:E104)</f>
        <v>0</v>
      </c>
      <c r="F100" s="1028">
        <f>SUM(F101:F104)</f>
        <v>0</v>
      </c>
      <c r="G100" s="1028">
        <f>SUM(G101:G104)</f>
        <v>0</v>
      </c>
      <c r="H100" s="1028">
        <f>SUM(H101:H104)</f>
        <v>0</v>
      </c>
    </row>
    <row r="101" spans="1:8">
      <c r="A101" s="1026">
        <v>70101</v>
      </c>
      <c r="B101" s="1027">
        <v>80101</v>
      </c>
      <c r="C101" s="516">
        <v>131001</v>
      </c>
      <c r="D101" s="1029" t="s">
        <v>493</v>
      </c>
      <c r="E101" s="1029"/>
      <c r="F101" s="1029"/>
      <c r="G101" s="1030"/>
      <c r="H101" s="1030"/>
    </row>
    <row r="102" spans="1:8">
      <c r="A102" s="1026">
        <v>70101</v>
      </c>
      <c r="B102" s="1027">
        <v>80101</v>
      </c>
      <c r="C102" s="516">
        <v>131006</v>
      </c>
      <c r="D102" s="1029" t="s">
        <v>313</v>
      </c>
      <c r="E102" s="1029"/>
      <c r="F102" s="1029"/>
      <c r="G102" s="1030"/>
      <c r="H102" s="1030"/>
    </row>
    <row r="103" spans="1:8">
      <c r="A103" s="1026">
        <v>70101</v>
      </c>
      <c r="B103" s="1027">
        <v>80101</v>
      </c>
      <c r="C103" s="516">
        <v>131007</v>
      </c>
      <c r="D103" s="1029" t="s">
        <v>314</v>
      </c>
      <c r="E103" s="1029"/>
      <c r="F103" s="1029"/>
      <c r="G103" s="1030"/>
      <c r="H103" s="1030"/>
    </row>
    <row r="104" spans="1:8">
      <c r="A104" s="1026">
        <v>70101</v>
      </c>
      <c r="B104" s="1027">
        <v>80101</v>
      </c>
      <c r="C104" s="516">
        <v>131008</v>
      </c>
      <c r="D104" s="1029" t="s">
        <v>315</v>
      </c>
      <c r="E104" s="1029"/>
      <c r="F104" s="1029"/>
      <c r="G104" s="1030"/>
      <c r="H104" s="1030"/>
    </row>
    <row r="105" spans="1:8">
      <c r="A105" s="1026">
        <v>70101</v>
      </c>
      <c r="B105" s="1027">
        <v>80101</v>
      </c>
      <c r="C105" s="529">
        <v>1320</v>
      </c>
      <c r="D105" s="530" t="s">
        <v>497</v>
      </c>
      <c r="E105" s="1028">
        <f>SUM(E106:E107)</f>
        <v>0</v>
      </c>
      <c r="F105" s="1028">
        <f>SUM(F106:F107)</f>
        <v>0</v>
      </c>
      <c r="G105" s="1028">
        <f>SUM(G106:G107)</f>
        <v>0</v>
      </c>
      <c r="H105" s="1028">
        <f ref="H105" si="7" t="shared">SUM(H106:H107)</f>
        <v>0</v>
      </c>
    </row>
    <row r="106" spans="1:8">
      <c r="A106" s="1026">
        <v>70101</v>
      </c>
      <c r="B106" s="1027">
        <v>80101</v>
      </c>
      <c r="C106" s="516">
        <v>132001</v>
      </c>
      <c r="D106" s="1029" t="s">
        <v>499</v>
      </c>
      <c r="E106" s="1029"/>
      <c r="F106" s="1029"/>
      <c r="G106" s="1030"/>
      <c r="H106" s="1030"/>
    </row>
    <row r="107" spans="1:8">
      <c r="A107" s="1026">
        <v>70101</v>
      </c>
      <c r="B107" s="1027">
        <v>80101</v>
      </c>
      <c r="C107" s="516">
        <v>132007</v>
      </c>
      <c r="D107" s="1029" t="s">
        <v>322</v>
      </c>
      <c r="E107" s="1029"/>
      <c r="F107" s="1029"/>
      <c r="G107" s="1030"/>
      <c r="H107" s="1030"/>
    </row>
    <row r="108" spans="1:8">
      <c r="A108" s="1026">
        <v>70101</v>
      </c>
      <c r="B108" s="1027">
        <v>80101</v>
      </c>
      <c r="C108" s="529">
        <v>1340</v>
      </c>
      <c r="D108" s="530" t="s">
        <v>501</v>
      </c>
      <c r="E108" s="1028">
        <f>SUM(E109:E110)</f>
        <v>0</v>
      </c>
      <c r="F108" s="1028">
        <f>SUM(F109:F110)</f>
        <v>0</v>
      </c>
      <c r="G108" s="1028">
        <f>SUM(G109:G110)</f>
        <v>0</v>
      </c>
      <c r="H108" s="1028">
        <f ref="H108" si="8" t="shared">SUM(H109:H110)</f>
        <v>0</v>
      </c>
    </row>
    <row r="109" spans="1:8">
      <c r="A109" s="1026">
        <v>70101</v>
      </c>
      <c r="B109" s="1027">
        <v>80101</v>
      </c>
      <c r="C109" s="516">
        <v>134001</v>
      </c>
      <c r="D109" s="1029" t="s">
        <v>325</v>
      </c>
      <c r="E109" s="1029"/>
      <c r="F109" s="1029"/>
      <c r="G109" s="1030"/>
      <c r="H109" s="1030"/>
    </row>
    <row r="110" spans="1:8">
      <c r="A110" s="1026">
        <v>70101</v>
      </c>
      <c r="B110" s="1027">
        <v>80101</v>
      </c>
      <c r="C110" s="516">
        <v>134002</v>
      </c>
      <c r="D110" s="1029" t="s">
        <v>326</v>
      </c>
      <c r="E110" s="1029"/>
      <c r="F110" s="1029"/>
      <c r="G110" s="1030"/>
      <c r="H110" s="1030"/>
    </row>
    <row r="111" spans="1:8">
      <c r="A111" s="1026"/>
      <c r="B111" s="1027"/>
      <c r="C111" s="516">
        <v>134003</v>
      </c>
      <c r="D111" s="1029" t="s">
        <v>1233</v>
      </c>
      <c r="E111" s="1029"/>
      <c r="F111" s="1029"/>
      <c r="G111" s="1030"/>
      <c r="H111" s="1030"/>
    </row>
    <row r="112" spans="1:8">
      <c r="A112" s="1026">
        <v>70101</v>
      </c>
      <c r="B112" s="1027">
        <v>80101</v>
      </c>
      <c r="C112" s="529">
        <v>120004</v>
      </c>
      <c r="D112" s="530" t="s">
        <v>507</v>
      </c>
      <c r="E112" s="1028">
        <f>SUM(E113:E116)</f>
        <v>0</v>
      </c>
      <c r="F112" s="1028">
        <f>SUM(F113:F116)</f>
        <v>0</v>
      </c>
      <c r="G112" s="1028">
        <f>SUM(G113:G116)</f>
        <v>0</v>
      </c>
      <c r="H112" s="1028">
        <f ref="H112" si="9" t="shared">SUM(H113:H116)</f>
        <v>0</v>
      </c>
    </row>
    <row r="113" spans="1:8">
      <c r="A113" s="1026">
        <v>70101</v>
      </c>
      <c r="B113" s="1027">
        <v>80101</v>
      </c>
      <c r="C113" s="516">
        <v>1200041</v>
      </c>
      <c r="D113" s="1029" t="s">
        <v>509</v>
      </c>
      <c r="E113" s="1029"/>
      <c r="F113" s="1029"/>
      <c r="G113" s="1030"/>
      <c r="H113" s="1030"/>
    </row>
    <row r="114" spans="1:8">
      <c r="A114" s="1026">
        <v>70101</v>
      </c>
      <c r="B114" s="1027">
        <v>80101</v>
      </c>
      <c r="C114" s="516">
        <v>1200042</v>
      </c>
      <c r="D114" s="1029" t="s">
        <v>511</v>
      </c>
      <c r="E114" s="1029"/>
      <c r="F114" s="1029"/>
      <c r="G114" s="1030"/>
      <c r="H114" s="1030"/>
    </row>
    <row r="115" spans="1:8">
      <c r="A115" s="1026">
        <v>70101</v>
      </c>
      <c r="B115" s="1027">
        <v>80101</v>
      </c>
      <c r="C115" s="516">
        <v>1200043</v>
      </c>
      <c r="D115" s="1029" t="s">
        <v>513</v>
      </c>
      <c r="E115" s="1029"/>
      <c r="F115" s="1029"/>
      <c r="G115" s="1030"/>
      <c r="H115" s="1030"/>
    </row>
    <row r="116" spans="1:8">
      <c r="A116" s="1026">
        <v>70101</v>
      </c>
      <c r="B116" s="1027">
        <v>80101</v>
      </c>
      <c r="C116" s="516">
        <v>1200044</v>
      </c>
      <c r="D116" s="1029" t="s">
        <v>515</v>
      </c>
      <c r="E116" s="1029"/>
      <c r="F116" s="1029"/>
      <c r="G116" s="1030"/>
      <c r="H116" s="1030"/>
    </row>
    <row r="117" spans="1:8">
      <c r="A117" s="1026">
        <v>70101</v>
      </c>
      <c r="B117" s="1027">
        <v>80101</v>
      </c>
      <c r="C117" s="1023">
        <v>122</v>
      </c>
      <c r="D117" s="530" t="s">
        <v>516</v>
      </c>
      <c r="E117" s="1028">
        <f>SUM(E118:E119)</f>
        <v>0</v>
      </c>
      <c r="F117" s="1028">
        <f ref="F117:H117" si="10" t="shared">SUM(F118:F119)</f>
        <v>0</v>
      </c>
      <c r="G117" s="1028">
        <f si="10" t="shared"/>
        <v>0</v>
      </c>
      <c r="H117" s="1028">
        <f si="10" t="shared"/>
        <v>0</v>
      </c>
    </row>
    <row r="118" spans="1:8">
      <c r="A118" s="1026">
        <v>70101</v>
      </c>
      <c r="B118" s="1027">
        <v>80101</v>
      </c>
      <c r="C118" s="516">
        <v>122001</v>
      </c>
      <c r="D118" s="1029" t="s">
        <v>1115</v>
      </c>
      <c r="E118" s="1029"/>
      <c r="F118" s="1029"/>
      <c r="G118" s="1030"/>
      <c r="H118" s="1030"/>
    </row>
    <row r="119" spans="1:8">
      <c r="A119" s="1026"/>
      <c r="B119" s="1027"/>
      <c r="C119" s="516">
        <v>122002</v>
      </c>
      <c r="D119" s="1029" t="s">
        <v>1116</v>
      </c>
      <c r="E119" s="1029"/>
      <c r="F119" s="1029"/>
      <c r="G119" s="1030"/>
      <c r="H119" s="1030"/>
    </row>
    <row r="120" spans="1:8">
      <c r="A120" s="1035"/>
      <c r="B120" s="1036"/>
      <c r="C120" s="1023">
        <v>14</v>
      </c>
      <c r="D120" s="530" t="s">
        <v>519</v>
      </c>
      <c r="E120" s="1028">
        <f>SUM(E121)</f>
        <v>0</v>
      </c>
      <c r="F120" s="1028">
        <f>SUM(F121)</f>
        <v>0</v>
      </c>
      <c r="G120" s="1028">
        <f>SUM(G121)</f>
        <v>0</v>
      </c>
      <c r="H120" s="1028">
        <f ref="H120" si="11" t="shared">SUM(H121)</f>
        <v>0</v>
      </c>
    </row>
    <row r="121" spans="1:8">
      <c r="A121" s="1035"/>
      <c r="B121" s="1036"/>
      <c r="C121" s="516">
        <v>145005</v>
      </c>
      <c r="D121" s="1029" t="s">
        <v>312</v>
      </c>
      <c r="E121" s="1029"/>
      <c r="F121" s="1029"/>
      <c r="G121" s="1030"/>
      <c r="H121" s="1030"/>
    </row>
    <row r="122" spans="1:8">
      <c r="A122" s="1035"/>
      <c r="B122" s="1036"/>
      <c r="C122" s="1037">
        <v>4</v>
      </c>
      <c r="D122" s="1038" t="s">
        <v>488</v>
      </c>
      <c r="E122" s="1038"/>
      <c r="F122" s="1038"/>
      <c r="G122" s="1039"/>
      <c r="H122" s="1039"/>
    </row>
    <row r="123" spans="1:8">
      <c r="A123" s="1035"/>
      <c r="B123" s="1036"/>
      <c r="C123" s="1037">
        <v>5</v>
      </c>
      <c r="D123" s="1038" t="s">
        <v>521</v>
      </c>
      <c r="E123" s="1038"/>
      <c r="F123" s="1038"/>
      <c r="G123" s="1039"/>
      <c r="H123" s="1039"/>
    </row>
    <row r="124" spans="1:8">
      <c r="A124" s="1035"/>
      <c r="B124" s="1036"/>
      <c r="C124" s="529">
        <v>6</v>
      </c>
      <c r="D124" s="530" t="s">
        <v>522</v>
      </c>
      <c r="E124" s="530"/>
      <c r="F124" s="530"/>
      <c r="G124" s="1028"/>
      <c r="H124" s="1028"/>
    </row>
    <row r="125" spans="1:8">
      <c r="A125" s="1035"/>
      <c r="B125" s="1036"/>
      <c r="C125" s="529">
        <v>61</v>
      </c>
      <c r="D125" s="530" t="s">
        <v>523</v>
      </c>
      <c r="E125" s="1028">
        <f>SUM(E126:E127)</f>
        <v>0</v>
      </c>
      <c r="F125" s="1028">
        <f>SUM(F126:F127)</f>
        <v>0</v>
      </c>
      <c r="G125" s="1028">
        <f>SUM(G126:G127)</f>
        <v>0</v>
      </c>
      <c r="H125" s="1028">
        <f ref="H125" si="12" t="shared">SUM(H126:H127)</f>
        <v>0</v>
      </c>
    </row>
    <row r="126" spans="1:8">
      <c r="A126" s="1035"/>
      <c r="B126" s="1036"/>
      <c r="C126" s="516">
        <v>610001</v>
      </c>
      <c r="D126" s="1029" t="s">
        <v>524</v>
      </c>
      <c r="E126" s="1029"/>
      <c r="F126" s="1029"/>
      <c r="G126" s="1030"/>
      <c r="H126" s="1030"/>
    </row>
    <row r="127" spans="1:8">
      <c r="A127" s="1035"/>
      <c r="B127" s="1036"/>
      <c r="C127" s="516">
        <v>610002</v>
      </c>
      <c r="D127" s="1029" t="s">
        <v>525</v>
      </c>
      <c r="E127" s="1029"/>
      <c r="F127" s="1029"/>
      <c r="G127" s="1030"/>
      <c r="H127" s="1030"/>
    </row>
    <row r="128" spans="1:8">
      <c r="A128" s="1035"/>
      <c r="B128" s="1036"/>
      <c r="C128" s="529">
        <v>62</v>
      </c>
      <c r="D128" s="530" t="s">
        <v>526</v>
      </c>
      <c r="E128" s="1028">
        <f>SUM(E129:E132)</f>
        <v>0</v>
      </c>
      <c r="F128" s="1028">
        <f>SUM(F129:F132)</f>
        <v>0</v>
      </c>
      <c r="G128" s="1028">
        <f>SUM(G129:G132)</f>
        <v>0</v>
      </c>
      <c r="H128" s="1028">
        <f ref="H128" si="13" t="shared">SUM(H129:H132)</f>
        <v>0</v>
      </c>
    </row>
    <row r="129" spans="1:8">
      <c r="A129" s="1035"/>
      <c r="B129" s="1036"/>
      <c r="C129" s="516">
        <v>620001</v>
      </c>
      <c r="D129" s="1029" t="s">
        <v>527</v>
      </c>
      <c r="E129" s="1029"/>
      <c r="F129" s="1029"/>
      <c r="G129" s="1030"/>
      <c r="H129" s="1030"/>
    </row>
    <row r="130" spans="1:8">
      <c r="A130" s="1035"/>
      <c r="B130" s="1036"/>
      <c r="C130" s="516">
        <v>620002</v>
      </c>
      <c r="D130" s="1029" t="s">
        <v>528</v>
      </c>
      <c r="E130" s="1029"/>
      <c r="F130" s="1029"/>
      <c r="G130" s="1030"/>
      <c r="H130" s="1030"/>
    </row>
    <row r="131" spans="1:8">
      <c r="A131" s="1035"/>
      <c r="B131" s="1036"/>
      <c r="C131" s="516">
        <v>620003</v>
      </c>
      <c r="D131" s="1029" t="s">
        <v>529</v>
      </c>
      <c r="E131" s="1029"/>
      <c r="F131" s="1029"/>
      <c r="G131" s="1030"/>
      <c r="H131" s="1030"/>
    </row>
    <row r="132" spans="1:8">
      <c r="A132" s="1035"/>
      <c r="B132" s="1036"/>
      <c r="C132" s="516">
        <v>620004</v>
      </c>
      <c r="D132" s="1029" t="s">
        <v>530</v>
      </c>
      <c r="E132" s="1029"/>
      <c r="F132" s="1029"/>
      <c r="G132" s="1030"/>
      <c r="H132" s="1030"/>
    </row>
    <row r="133" spans="1:8">
      <c r="A133" s="1035"/>
      <c r="B133" s="1036"/>
      <c r="C133" s="529">
        <v>63</v>
      </c>
      <c r="D133" s="530" t="s">
        <v>531</v>
      </c>
      <c r="E133" s="1028">
        <f>SUM(E134,E137,E140)</f>
        <v>0</v>
      </c>
      <c r="F133" s="1028">
        <f>SUM(F134,F137,F140)</f>
        <v>0</v>
      </c>
      <c r="G133" s="1028">
        <f>SUM(G134,G137,G140)</f>
        <v>0</v>
      </c>
      <c r="H133" s="1028">
        <f ref="H133" si="14" t="shared">SUM(H134,H137,H140)</f>
        <v>0</v>
      </c>
    </row>
    <row r="134" spans="1:8">
      <c r="A134" s="1035"/>
      <c r="B134" s="1036"/>
      <c r="C134" s="529">
        <v>630</v>
      </c>
      <c r="D134" s="530" t="s">
        <v>532</v>
      </c>
      <c r="E134" s="1028">
        <f>SUM(E135:E136)</f>
        <v>0</v>
      </c>
      <c r="F134" s="1028">
        <f>SUM(F135:F136)</f>
        <v>0</v>
      </c>
      <c r="G134" s="1028">
        <f>SUM(G135:G136)</f>
        <v>0</v>
      </c>
      <c r="H134" s="1028">
        <f ref="H134" si="15" t="shared">SUM(H135:H136)</f>
        <v>0</v>
      </c>
    </row>
    <row r="135" spans="1:8">
      <c r="A135" s="1035"/>
      <c r="B135" s="1036"/>
      <c r="C135" s="516">
        <v>630001</v>
      </c>
      <c r="D135" s="1029" t="s">
        <v>533</v>
      </c>
      <c r="E135" s="1029"/>
      <c r="F135" s="1029"/>
      <c r="G135" s="1030"/>
      <c r="H135" s="1030"/>
    </row>
    <row r="136" spans="1:8">
      <c r="A136" s="1035"/>
      <c r="B136" s="1036"/>
      <c r="C136" s="516">
        <v>630002</v>
      </c>
      <c r="D136" s="1029" t="s">
        <v>534</v>
      </c>
      <c r="E136" s="1029"/>
      <c r="F136" s="1029"/>
      <c r="G136" s="1030"/>
      <c r="H136" s="1030"/>
    </row>
    <row r="137" spans="1:8">
      <c r="A137" s="1035"/>
      <c r="B137" s="1036"/>
      <c r="C137" s="529">
        <v>631</v>
      </c>
      <c r="D137" s="530" t="s">
        <v>535</v>
      </c>
      <c r="E137" s="1028">
        <f>SUM(E138:E139)</f>
        <v>0</v>
      </c>
      <c r="F137" s="1028">
        <f>SUM(F138:F139)</f>
        <v>0</v>
      </c>
      <c r="G137" s="1028">
        <f>SUM(G138:G139)</f>
        <v>0</v>
      </c>
      <c r="H137" s="1028">
        <f ref="H137" si="16" t="shared">SUM(H138:H139)</f>
        <v>0</v>
      </c>
    </row>
    <row r="138" spans="1:8">
      <c r="A138" s="1035"/>
      <c r="B138" s="1036"/>
      <c r="C138" s="516">
        <v>631001</v>
      </c>
      <c r="D138" s="1029" t="s">
        <v>536</v>
      </c>
      <c r="E138" s="1029"/>
      <c r="F138" s="1029"/>
      <c r="G138" s="1030"/>
      <c r="H138" s="1030"/>
    </row>
    <row r="139" spans="1:8">
      <c r="A139" s="1035"/>
      <c r="B139" s="1036"/>
      <c r="C139" s="516">
        <v>631002</v>
      </c>
      <c r="D139" s="1029" t="s">
        <v>537</v>
      </c>
      <c r="E139" s="1029"/>
      <c r="F139" s="1029"/>
      <c r="G139" s="1030"/>
      <c r="H139" s="1030"/>
    </row>
    <row r="140" spans="1:8">
      <c r="A140" s="1035"/>
      <c r="B140" s="1036"/>
      <c r="C140" s="529">
        <v>632</v>
      </c>
      <c r="D140" s="530" t="s">
        <v>538</v>
      </c>
      <c r="E140" s="1028">
        <f>SUM(E141:E142)</f>
        <v>0</v>
      </c>
      <c r="F140" s="1028">
        <f>SUM(F141:F142)</f>
        <v>0</v>
      </c>
      <c r="G140" s="1028">
        <f>SUM(G141:G142)</f>
        <v>0</v>
      </c>
      <c r="H140" s="1028">
        <f ref="H140" si="17" t="shared">SUM(H141:H142)</f>
        <v>0</v>
      </c>
    </row>
    <row r="141" spans="1:8">
      <c r="A141" s="1035"/>
      <c r="B141" s="1036"/>
      <c r="C141" s="516">
        <v>632001</v>
      </c>
      <c r="D141" s="1029" t="s">
        <v>539</v>
      </c>
      <c r="E141" s="1029"/>
      <c r="F141" s="1029"/>
      <c r="G141" s="1030"/>
      <c r="H141" s="1030"/>
    </row>
    <row r="142" spans="1:8">
      <c r="A142" s="1035"/>
      <c r="B142" s="1036"/>
      <c r="C142" s="516">
        <v>632002</v>
      </c>
      <c r="D142" s="1029" t="s">
        <v>540</v>
      </c>
      <c r="E142" s="1029"/>
      <c r="F142" s="1029"/>
      <c r="G142" s="1030"/>
      <c r="H142" s="1030"/>
    </row>
    <row r="143" spans="1:8">
      <c r="A143" s="1035"/>
      <c r="B143" s="1036"/>
      <c r="C143" s="1040">
        <v>64</v>
      </c>
      <c r="D143" s="1041" t="s">
        <v>541</v>
      </c>
      <c r="E143" s="1028">
        <f>SUM(E144:E146)</f>
        <v>0</v>
      </c>
      <c r="F143" s="1028">
        <f>SUM(F144:F146)</f>
        <v>0</v>
      </c>
      <c r="G143" s="1028">
        <f>SUM(G144:G146)</f>
        <v>0</v>
      </c>
      <c r="H143" s="1028">
        <f ref="H143" si="18" t="shared">SUM(H144:H146)</f>
        <v>0</v>
      </c>
    </row>
    <row r="144" spans="1:8">
      <c r="A144" s="1035"/>
      <c r="B144" s="1036"/>
      <c r="C144" s="516">
        <v>640001</v>
      </c>
      <c r="D144" s="1029" t="s">
        <v>542</v>
      </c>
      <c r="E144" s="1029"/>
      <c r="F144" s="1029"/>
      <c r="G144" s="1030"/>
      <c r="H144" s="1030"/>
    </row>
    <row r="145" spans="1:8">
      <c r="A145" s="1042"/>
      <c r="B145" s="1042"/>
      <c r="C145" s="516">
        <v>640002</v>
      </c>
      <c r="D145" s="1029" t="s">
        <v>543</v>
      </c>
      <c r="E145" s="1029"/>
      <c r="F145" s="1029"/>
      <c r="G145" s="1030"/>
      <c r="H145" s="1030"/>
    </row>
    <row r="146" spans="1:8">
      <c r="A146" s="1042"/>
      <c r="B146" s="1042"/>
      <c r="C146" s="516">
        <v>640003</v>
      </c>
      <c r="D146" s="1029" t="s">
        <v>544</v>
      </c>
      <c r="E146" s="1029"/>
      <c r="F146" s="1029"/>
      <c r="G146" s="1030"/>
      <c r="H146" s="1030"/>
    </row>
    <row r="147" spans="1:8">
      <c r="A147" s="1042"/>
      <c r="B147" s="1042"/>
      <c r="C147" s="1043">
        <v>65</v>
      </c>
      <c r="D147" s="1044" t="s">
        <v>663</v>
      </c>
      <c r="E147" s="1045">
        <f>SUM(E148:E158)</f>
        <v>0</v>
      </c>
      <c r="F147" s="1045">
        <f>SUM(F148:F158)</f>
        <v>0</v>
      </c>
      <c r="G147" s="1045">
        <f ref="G147:H147" si="19" t="shared">SUM(G148:G158)</f>
        <v>0</v>
      </c>
      <c r="H147" s="1045">
        <f si="19" t="shared"/>
        <v>0</v>
      </c>
    </row>
    <row r="148" spans="1:8">
      <c r="A148" s="1042"/>
      <c r="B148" s="1042"/>
      <c r="C148" s="516">
        <v>650001</v>
      </c>
      <c r="D148" s="1029" t="s">
        <v>664</v>
      </c>
      <c r="E148" s="1029"/>
      <c r="F148" s="1029"/>
      <c r="G148" s="1030"/>
      <c r="H148" s="1030"/>
    </row>
    <row r="149" spans="1:8">
      <c r="A149" s="1042"/>
      <c r="B149" s="1042"/>
      <c r="C149" s="516">
        <v>650002</v>
      </c>
      <c r="D149" s="1029" t="s">
        <v>665</v>
      </c>
      <c r="E149" s="1029"/>
      <c r="F149" s="1029"/>
      <c r="G149" s="1030"/>
      <c r="H149" s="1030"/>
    </row>
    <row r="150" spans="1:8">
      <c r="A150" s="1042"/>
      <c r="B150" s="1042"/>
      <c r="C150" s="516">
        <v>650003</v>
      </c>
      <c r="D150" s="1029" t="s">
        <v>666</v>
      </c>
      <c r="E150" s="1029"/>
      <c r="F150" s="1029"/>
      <c r="G150" s="1030"/>
      <c r="H150" s="1030"/>
    </row>
    <row r="151" spans="1:8">
      <c r="A151" s="1042"/>
      <c r="B151" s="1042"/>
      <c r="C151" s="516">
        <v>650004</v>
      </c>
      <c r="D151" s="1029" t="s">
        <v>667</v>
      </c>
      <c r="E151" s="1029"/>
      <c r="F151" s="1029"/>
      <c r="G151" s="1030"/>
      <c r="H151" s="1030"/>
    </row>
    <row r="152" spans="1:8">
      <c r="A152" s="1042"/>
      <c r="B152" s="1042"/>
      <c r="C152" s="516">
        <v>650005</v>
      </c>
      <c r="D152" s="1029" t="s">
        <v>668</v>
      </c>
      <c r="E152" s="1029"/>
      <c r="F152" s="1029"/>
      <c r="G152" s="1030"/>
      <c r="H152" s="1030"/>
    </row>
    <row r="153" spans="1:8">
      <c r="A153" s="1042"/>
      <c r="B153" s="1042"/>
      <c r="C153" s="516">
        <v>650006</v>
      </c>
      <c r="D153" s="1029" t="s">
        <v>669</v>
      </c>
      <c r="E153" s="1029"/>
      <c r="F153" s="1029"/>
      <c r="G153" s="1030"/>
      <c r="H153" s="1030"/>
    </row>
    <row r="154" spans="1:8">
      <c r="A154" s="1042"/>
      <c r="B154" s="1042"/>
      <c r="C154" s="516">
        <v>650007</v>
      </c>
      <c r="D154" s="1029" t="s">
        <v>670</v>
      </c>
      <c r="E154" s="1029"/>
      <c r="F154" s="1029"/>
      <c r="G154" s="1030"/>
      <c r="H154" s="1030"/>
    </row>
    <row r="155" spans="1:8">
      <c r="A155" s="1042"/>
      <c r="B155" s="1042"/>
      <c r="C155" s="516">
        <v>650008</v>
      </c>
      <c r="D155" s="1029" t="s">
        <v>671</v>
      </c>
      <c r="E155" s="1029"/>
      <c r="F155" s="1029"/>
      <c r="G155" s="1030"/>
      <c r="H155" s="1030"/>
    </row>
    <row r="156" spans="1:8">
      <c r="A156" s="1042"/>
      <c r="B156" s="1042"/>
      <c r="C156" s="516">
        <v>650009</v>
      </c>
      <c r="D156" s="1029" t="s">
        <v>672</v>
      </c>
      <c r="E156" s="1029"/>
      <c r="F156" s="1029"/>
      <c r="G156" s="1030"/>
      <c r="H156" s="1030"/>
    </row>
    <row r="157" spans="1:8">
      <c r="A157" s="1042"/>
      <c r="B157" s="1042"/>
      <c r="C157" s="516">
        <v>650010</v>
      </c>
      <c r="D157" s="1029" t="s">
        <v>662</v>
      </c>
      <c r="E157" s="1029"/>
      <c r="F157" s="1029"/>
      <c r="G157" s="1030"/>
      <c r="H157" s="1030"/>
    </row>
    <row r="158" spans="1:8">
      <c r="A158" s="1042"/>
      <c r="B158" s="1042"/>
      <c r="C158" s="516">
        <v>650011</v>
      </c>
      <c r="D158" s="1029" t="s">
        <v>673</v>
      </c>
      <c r="E158" s="1029"/>
      <c r="F158" s="1029"/>
      <c r="G158" s="1030"/>
      <c r="H158" s="1030"/>
    </row>
    <row r="159" spans="1:8">
      <c r="A159" s="1042"/>
      <c r="B159" s="1042"/>
      <c r="C159" s="390"/>
      <c r="D159" s="391"/>
      <c r="E159" s="391"/>
      <c r="F159" s="391"/>
      <c r="G159" s="1046"/>
      <c r="H159" s="1046"/>
    </row>
    <row r="160" spans="1:8">
      <c r="A160" s="1042"/>
      <c r="B160" s="1042"/>
      <c r="C160" s="390"/>
      <c r="D160" s="391"/>
      <c r="E160" s="391"/>
      <c r="F160" s="391"/>
      <c r="G160" s="1046"/>
      <c r="H160" s="1046"/>
    </row>
    <row r="161" spans="1:8">
      <c r="A161" s="1042"/>
      <c r="B161" s="1042"/>
      <c r="C161" s="390"/>
      <c r="D161" s="391"/>
      <c r="E161" s="391"/>
      <c r="F161" s="391"/>
      <c r="G161" s="1046"/>
      <c r="H161" s="1046"/>
    </row>
    <row r="162" spans="1:8">
      <c r="A162" s="1042"/>
      <c r="B162" s="1042"/>
      <c r="C162" s="390"/>
      <c r="D162" s="391"/>
      <c r="E162" s="391"/>
      <c r="F162" s="391"/>
      <c r="G162" s="1046"/>
      <c r="H162" s="1046"/>
    </row>
    <row r="163" spans="1:8">
      <c r="A163" s="1042"/>
      <c r="B163" s="1042"/>
      <c r="C163" s="390"/>
      <c r="D163" s="391"/>
      <c r="E163" s="391"/>
      <c r="F163" s="391"/>
      <c r="G163" s="1046"/>
      <c r="H163" s="1046"/>
    </row>
    <row r="164" spans="1:8">
      <c r="A164" s="1042"/>
      <c r="B164" s="1042"/>
      <c r="C164" s="390"/>
      <c r="D164" s="391"/>
      <c r="E164" s="391"/>
      <c r="F164" s="391"/>
      <c r="G164" s="1046"/>
      <c r="H164" s="1046"/>
    </row>
    <row r="165" spans="1:8">
      <c r="A165" s="1042"/>
      <c r="B165" s="1042"/>
      <c r="C165" s="390"/>
      <c r="D165" s="391"/>
      <c r="E165" s="391"/>
      <c r="F165" s="391"/>
      <c r="G165" s="1046"/>
      <c r="H165" s="1046"/>
    </row>
    <row r="166" spans="1:8">
      <c r="A166" s="1042"/>
      <c r="B166" s="1042"/>
      <c r="C166" s="390"/>
      <c r="D166" s="391"/>
      <c r="E166" s="391"/>
      <c r="F166" s="391"/>
      <c r="G166" s="1046"/>
      <c r="H166" s="1046"/>
    </row>
    <row r="167" spans="1:8">
      <c r="A167" s="1042"/>
      <c r="B167" s="1042"/>
      <c r="C167" s="390"/>
      <c r="D167" s="391"/>
      <c r="E167" s="391"/>
      <c r="F167" s="391"/>
      <c r="G167" s="1046"/>
      <c r="H167" s="1046"/>
    </row>
    <row r="168" spans="1:8">
      <c r="A168" s="1042"/>
      <c r="B168" s="1042"/>
      <c r="C168" s="390"/>
      <c r="D168" s="391"/>
      <c r="E168" s="391"/>
      <c r="F168" s="391"/>
      <c r="G168" s="1046"/>
      <c r="H168" s="1046"/>
    </row>
    <row r="169" spans="1:8">
      <c r="A169" s="1042"/>
      <c r="B169" s="1042"/>
      <c r="C169" s="390"/>
      <c r="D169" s="391"/>
      <c r="E169" s="391"/>
      <c r="F169" s="391"/>
      <c r="G169" s="1046"/>
      <c r="H169" s="1046"/>
    </row>
    <row r="170" spans="1:8">
      <c r="A170" s="1042"/>
      <c r="B170" s="1042"/>
      <c r="C170" s="390"/>
      <c r="D170" s="391"/>
      <c r="E170" s="391"/>
      <c r="F170" s="391"/>
      <c r="G170" s="1046"/>
      <c r="H170" s="1046"/>
    </row>
    <row r="171" spans="1:8">
      <c r="A171" s="1042"/>
      <c r="B171" s="1042"/>
      <c r="C171" s="390"/>
      <c r="D171" s="391"/>
      <c r="E171" s="391"/>
      <c r="F171" s="391"/>
      <c r="G171" s="1046"/>
      <c r="H171" s="1046"/>
    </row>
    <row r="172" spans="1:8">
      <c r="A172" s="1042"/>
      <c r="B172" s="1042"/>
      <c r="C172" s="390"/>
      <c r="D172" s="391"/>
      <c r="E172" s="391"/>
      <c r="F172" s="391"/>
      <c r="G172" s="1046"/>
      <c r="H172" s="1046"/>
    </row>
    <row r="173" spans="1:8">
      <c r="A173" s="1042"/>
      <c r="B173" s="1042"/>
      <c r="C173" s="390"/>
      <c r="D173" s="391"/>
      <c r="E173" s="391"/>
      <c r="F173" s="391"/>
      <c r="G173" s="1046"/>
      <c r="H173" s="1046"/>
    </row>
    <row r="174" spans="1:8">
      <c r="A174" s="1042"/>
      <c r="B174" s="1042"/>
      <c r="C174" s="390"/>
      <c r="D174" s="391"/>
      <c r="E174" s="391"/>
      <c r="F174" s="391"/>
      <c r="G174" s="1046"/>
      <c r="H174" s="1046"/>
    </row>
    <row r="175" spans="1:8">
      <c r="A175" s="1042"/>
      <c r="B175" s="1042"/>
      <c r="C175" s="390"/>
      <c r="D175" s="391"/>
      <c r="E175" s="391"/>
      <c r="F175" s="391"/>
      <c r="G175" s="1046"/>
      <c r="H175" s="1046"/>
    </row>
    <row r="176" spans="1:8">
      <c r="A176" s="1042"/>
      <c r="B176" s="1042"/>
      <c r="C176" s="390"/>
      <c r="D176" s="391"/>
      <c r="E176" s="391"/>
      <c r="F176" s="391"/>
      <c r="G176" s="1046"/>
      <c r="H176" s="1046"/>
    </row>
    <row r="177" spans="1:8">
      <c r="A177" s="1042"/>
      <c r="B177" s="1042"/>
      <c r="C177" s="390"/>
      <c r="D177" s="391"/>
      <c r="E177" s="391"/>
      <c r="F177" s="391"/>
      <c r="G177" s="1046"/>
      <c r="H177" s="1046"/>
    </row>
    <row r="178" spans="1:8">
      <c r="A178" s="1042"/>
      <c r="B178" s="1042"/>
      <c r="C178" s="390"/>
      <c r="D178" s="391"/>
      <c r="E178" s="391"/>
      <c r="F178" s="391"/>
      <c r="G178" s="1046"/>
      <c r="H178" s="1046"/>
    </row>
    <row r="179" spans="1:8">
      <c r="A179" s="1042"/>
      <c r="B179" s="1042"/>
      <c r="C179" s="390"/>
      <c r="D179" s="391"/>
      <c r="E179" s="391"/>
      <c r="F179" s="391"/>
      <c r="G179" s="1046"/>
      <c r="H179" s="1046"/>
    </row>
    <row r="180" spans="1:8">
      <c r="A180" s="1042"/>
      <c r="B180" s="1042"/>
      <c r="C180" s="390"/>
      <c r="D180" s="391"/>
      <c r="E180" s="391"/>
      <c r="F180" s="391"/>
      <c r="G180" s="1046"/>
      <c r="H180" s="1046"/>
    </row>
    <row r="181" spans="1:8">
      <c r="A181" s="1042"/>
      <c r="B181" s="1042"/>
      <c r="C181" s="390"/>
      <c r="D181" s="391"/>
      <c r="E181" s="391"/>
      <c r="F181" s="391"/>
      <c r="G181" s="1046"/>
      <c r="H181" s="1046"/>
    </row>
    <row r="182" spans="1:8">
      <c r="A182" s="1042"/>
      <c r="B182" s="1042"/>
      <c r="C182" s="390"/>
      <c r="D182" s="391"/>
      <c r="E182" s="391"/>
      <c r="F182" s="391"/>
      <c r="G182" s="1046"/>
      <c r="H182" s="1046"/>
    </row>
    <row r="183" spans="1:8">
      <c r="A183" s="1042"/>
      <c r="B183" s="1042"/>
      <c r="C183" s="390"/>
      <c r="D183" s="391"/>
      <c r="E183" s="391"/>
      <c r="F183" s="391"/>
      <c r="G183" s="1046"/>
      <c r="H183" s="1046"/>
    </row>
    <row r="184" spans="1:8">
      <c r="A184" s="1042"/>
      <c r="B184" s="1042"/>
      <c r="C184" s="390"/>
      <c r="D184" s="391"/>
      <c r="E184" s="391"/>
      <c r="F184" s="391"/>
      <c r="G184" s="1046"/>
      <c r="H184" s="1046"/>
    </row>
    <row r="185" spans="1:8">
      <c r="A185" s="1042"/>
      <c r="B185" s="1042"/>
      <c r="C185" s="390"/>
      <c r="D185" s="391"/>
      <c r="E185" s="391"/>
      <c r="F185" s="391"/>
      <c r="G185" s="1046"/>
      <c r="H185" s="1046"/>
    </row>
    <row r="186" spans="1:8">
      <c r="A186" s="1042"/>
      <c r="B186" s="1042"/>
      <c r="C186" s="390"/>
      <c r="D186" s="391"/>
      <c r="E186" s="391"/>
      <c r="F186" s="391"/>
      <c r="G186" s="1046"/>
      <c r="H186" s="1046"/>
    </row>
    <row r="187" spans="1:8">
      <c r="A187" s="1042"/>
      <c r="B187" s="1042"/>
      <c r="C187" s="390"/>
      <c r="D187" s="391"/>
      <c r="E187" s="391"/>
      <c r="F187" s="391"/>
      <c r="G187" s="1046"/>
      <c r="H187" s="1046"/>
    </row>
    <row r="188" spans="1:8">
      <c r="A188" s="1042"/>
      <c r="B188" s="1042"/>
      <c r="C188" s="390"/>
      <c r="D188" s="391"/>
      <c r="E188" s="391"/>
      <c r="F188" s="391"/>
      <c r="G188" s="1046"/>
      <c r="H188" s="1046"/>
    </row>
    <row r="189" spans="1:8">
      <c r="A189" s="1042"/>
      <c r="B189" s="1042"/>
      <c r="C189" s="390"/>
      <c r="D189" s="391"/>
      <c r="E189" s="391"/>
      <c r="F189" s="391"/>
      <c r="G189" s="1046"/>
      <c r="H189" s="1046"/>
    </row>
    <row r="190" spans="1:8">
      <c r="A190" s="1042"/>
      <c r="B190" s="1042"/>
      <c r="C190" s="390"/>
      <c r="D190" s="391"/>
      <c r="E190" s="391"/>
      <c r="F190" s="391"/>
      <c r="G190" s="1046"/>
      <c r="H190" s="1046"/>
    </row>
    <row r="191" spans="1:8">
      <c r="A191" s="1042"/>
      <c r="B191" s="1042"/>
      <c r="C191" s="390"/>
      <c r="D191" s="391"/>
      <c r="E191" s="391"/>
      <c r="F191" s="391"/>
      <c r="G191" s="1046"/>
      <c r="H191" s="1046"/>
    </row>
    <row r="192" spans="1:8">
      <c r="A192" s="1042"/>
      <c r="B192" s="1042"/>
      <c r="C192" s="390"/>
      <c r="D192" s="391"/>
      <c r="E192" s="391"/>
      <c r="F192" s="391"/>
      <c r="G192" s="1046"/>
      <c r="H192" s="1046"/>
    </row>
    <row r="193" spans="1:8">
      <c r="A193" s="1042"/>
      <c r="B193" s="1042"/>
      <c r="C193" s="390"/>
      <c r="D193" s="391"/>
      <c r="E193" s="391"/>
      <c r="F193" s="391"/>
      <c r="G193" s="1046"/>
      <c r="H193" s="1046"/>
    </row>
    <row r="194" spans="1:8">
      <c r="A194" s="1042"/>
      <c r="B194" s="1042"/>
      <c r="C194" s="390"/>
      <c r="D194" s="391"/>
      <c r="E194" s="391"/>
      <c r="F194" s="391"/>
      <c r="G194" s="1046"/>
      <c r="H194" s="1046"/>
    </row>
    <row r="195" spans="1:8">
      <c r="A195" s="1042"/>
      <c r="B195" s="1042"/>
      <c r="C195" s="390"/>
      <c r="D195" s="391"/>
      <c r="E195" s="391"/>
      <c r="F195" s="391"/>
      <c r="G195" s="1046"/>
      <c r="H195" s="1046"/>
    </row>
    <row r="196" spans="1:8">
      <c r="A196" s="1042"/>
      <c r="B196" s="1042"/>
      <c r="C196" s="390"/>
      <c r="D196" s="391"/>
      <c r="E196" s="391"/>
      <c r="F196" s="391"/>
      <c r="G196" s="1046"/>
      <c r="H196" s="1046"/>
    </row>
    <row r="197" spans="1:8">
      <c r="A197" s="1042"/>
      <c r="B197" s="1042"/>
      <c r="C197" s="390"/>
      <c r="D197" s="391"/>
      <c r="E197" s="391"/>
      <c r="F197" s="391"/>
      <c r="G197" s="1046"/>
      <c r="H197" s="1046"/>
    </row>
    <row r="198" spans="1:8">
      <c r="A198" s="1042"/>
      <c r="B198" s="1042"/>
      <c r="C198" s="390"/>
      <c r="D198" s="391"/>
      <c r="E198" s="391"/>
      <c r="F198" s="391"/>
      <c r="G198" s="1046"/>
      <c r="H198" s="1046"/>
    </row>
    <row r="199" spans="1:8">
      <c r="A199" s="1042"/>
      <c r="B199" s="1042"/>
      <c r="C199" s="390"/>
      <c r="D199" s="391"/>
      <c r="E199" s="391"/>
      <c r="F199" s="391"/>
      <c r="G199" s="1046"/>
      <c r="H199" s="1046"/>
    </row>
    <row r="200" spans="1:8">
      <c r="A200" s="1042"/>
      <c r="B200" s="1042"/>
      <c r="C200" s="390"/>
      <c r="D200" s="391"/>
      <c r="E200" s="391"/>
      <c r="F200" s="391"/>
      <c r="G200" s="1046"/>
      <c r="H200" s="1046"/>
    </row>
    <row r="201" spans="1:8">
      <c r="A201" s="1042"/>
      <c r="B201" s="1042"/>
      <c r="C201" s="390"/>
      <c r="D201" s="391"/>
      <c r="E201" s="391"/>
      <c r="F201" s="391"/>
      <c r="G201" s="1046"/>
      <c r="H201" s="1046"/>
    </row>
    <row r="202" spans="1:8">
      <c r="A202" s="1042"/>
      <c r="B202" s="1042"/>
      <c r="C202" s="390"/>
      <c r="D202" s="391"/>
      <c r="E202" s="391"/>
      <c r="F202" s="391"/>
      <c r="G202" s="1046"/>
      <c r="H202" s="1046"/>
    </row>
    <row r="203" spans="1:8">
      <c r="A203" s="1042"/>
      <c r="B203" s="1042"/>
      <c r="C203" s="390"/>
      <c r="D203" s="391"/>
      <c r="E203" s="391"/>
      <c r="F203" s="391"/>
      <c r="G203" s="1046"/>
      <c r="H203" s="1046"/>
    </row>
    <row r="204" spans="1:8">
      <c r="A204" s="1042"/>
      <c r="B204" s="1042"/>
      <c r="C204" s="390"/>
      <c r="D204" s="391"/>
      <c r="E204" s="391"/>
      <c r="F204" s="391"/>
      <c r="G204" s="1046"/>
      <c r="H204" s="1046"/>
    </row>
    <row r="205" spans="1:8">
      <c r="A205" s="1042"/>
      <c r="B205" s="1042"/>
      <c r="C205" s="390"/>
      <c r="D205" s="391"/>
      <c r="E205" s="391"/>
      <c r="F205" s="391"/>
      <c r="G205" s="1046"/>
      <c r="H205" s="1046"/>
    </row>
    <row r="206" spans="1:8">
      <c r="A206" s="1042"/>
      <c r="B206" s="1042"/>
      <c r="C206" s="390"/>
      <c r="D206" s="391"/>
      <c r="E206" s="391"/>
      <c r="F206" s="391"/>
      <c r="G206" s="1046"/>
      <c r="H206" s="1046"/>
    </row>
    <row r="207" spans="1:8">
      <c r="A207" s="1042"/>
      <c r="B207" s="1042"/>
      <c r="C207" s="390"/>
      <c r="D207" s="391"/>
      <c r="E207" s="391"/>
      <c r="F207" s="391"/>
      <c r="G207" s="1046"/>
      <c r="H207" s="1046"/>
    </row>
    <row r="208" spans="1:8">
      <c r="A208" s="1042"/>
      <c r="B208" s="1042"/>
      <c r="C208" s="390"/>
      <c r="D208" s="391"/>
      <c r="E208" s="391"/>
      <c r="F208" s="391"/>
      <c r="G208" s="1046"/>
      <c r="H208" s="1046"/>
    </row>
    <row r="209" spans="1:8">
      <c r="A209" s="1042"/>
      <c r="B209" s="1042"/>
      <c r="C209" s="390"/>
      <c r="D209" s="391"/>
      <c r="E209" s="391"/>
      <c r="F209" s="391"/>
      <c r="G209" s="1046"/>
      <c r="H209" s="1046"/>
    </row>
    <row r="210" spans="1:8">
      <c r="A210" s="1042"/>
      <c r="B210" s="1042"/>
      <c r="C210" s="390"/>
      <c r="D210" s="391"/>
      <c r="E210" s="391"/>
      <c r="F210" s="391"/>
      <c r="G210" s="1046"/>
      <c r="H210" s="1046"/>
    </row>
    <row r="211" spans="1:8">
      <c r="A211" s="1042"/>
      <c r="B211" s="1042"/>
      <c r="C211" s="390"/>
      <c r="D211" s="391"/>
      <c r="E211" s="391"/>
      <c r="F211" s="391"/>
      <c r="G211" s="1046"/>
      <c r="H211" s="1046"/>
    </row>
    <row r="212" spans="1:8">
      <c r="A212" s="1042"/>
      <c r="B212" s="1042"/>
      <c r="C212" s="390"/>
      <c r="D212" s="391"/>
      <c r="E212" s="391"/>
      <c r="F212" s="391"/>
      <c r="G212" s="1046"/>
      <c r="H212" s="1046"/>
    </row>
    <row r="213" spans="1:8">
      <c r="A213" s="1042"/>
      <c r="B213" s="1042"/>
      <c r="C213" s="390"/>
      <c r="D213" s="391"/>
      <c r="E213" s="391"/>
      <c r="F213" s="391"/>
      <c r="G213" s="1046"/>
      <c r="H213" s="1046"/>
    </row>
    <row r="214" spans="1:8">
      <c r="A214" s="1042"/>
      <c r="B214" s="1042"/>
      <c r="C214" s="390"/>
      <c r="D214" s="391"/>
      <c r="E214" s="391"/>
      <c r="F214" s="391"/>
      <c r="G214" s="1046"/>
      <c r="H214" s="1046"/>
    </row>
    <row r="215" spans="1:8">
      <c r="A215" s="1047"/>
      <c r="B215" s="1047"/>
      <c r="C215" s="380"/>
    </row>
    <row r="216" spans="1:8">
      <c r="A216" s="1047"/>
      <c r="B216" s="1047"/>
      <c r="C216" s="380"/>
    </row>
    <row r="217" spans="1:8">
      <c r="A217" s="1047"/>
      <c r="B217" s="1047"/>
      <c r="C217" s="380"/>
    </row>
    <row r="218" spans="1:8">
      <c r="A218" s="1047"/>
      <c r="B218" s="1047"/>
      <c r="C218" s="380"/>
    </row>
    <row r="219" spans="1:8">
      <c r="A219" s="1047"/>
      <c r="B219" s="1047"/>
      <c r="C219" s="380"/>
    </row>
    <row r="220" spans="1:8">
      <c r="A220" s="1047"/>
      <c r="B220" s="1047"/>
      <c r="C220" s="380"/>
    </row>
    <row r="221" spans="1:8">
      <c r="A221" s="1047"/>
      <c r="B221" s="1047"/>
      <c r="C221" s="380"/>
    </row>
    <row r="222" spans="1:8">
      <c r="A222" s="1047"/>
      <c r="B222" s="1047"/>
      <c r="C222" s="380"/>
    </row>
    <row r="223" spans="1:8">
      <c r="A223" s="1047"/>
      <c r="B223" s="1047"/>
      <c r="C223" s="380"/>
    </row>
    <row r="224" spans="1:8">
      <c r="A224" s="1047"/>
      <c r="B224" s="1047"/>
      <c r="C224" s="380"/>
    </row>
    <row r="225" spans="1:3">
      <c r="A225" s="1047"/>
      <c r="B225" s="1047"/>
      <c r="C225" s="380"/>
    </row>
    <row r="226" spans="1:3">
      <c r="A226" s="1047"/>
      <c r="B226" s="1047"/>
      <c r="C226" s="380"/>
    </row>
    <row r="227" spans="1:3">
      <c r="A227" s="1047"/>
      <c r="B227" s="1047"/>
      <c r="C227" s="380"/>
    </row>
    <row r="228" spans="1:3">
      <c r="A228" s="1047"/>
      <c r="B228" s="1047"/>
      <c r="C228" s="380"/>
    </row>
    <row r="229" spans="1:3">
      <c r="A229" s="1047"/>
      <c r="B229" s="1047"/>
      <c r="C229" s="380"/>
    </row>
    <row r="230" spans="1:3">
      <c r="A230" s="1047"/>
      <c r="B230" s="1047"/>
      <c r="C230" s="380"/>
    </row>
    <row r="231" spans="1:3">
      <c r="A231" s="1047"/>
      <c r="B231" s="1047"/>
      <c r="C231" s="380"/>
    </row>
    <row r="232" spans="1:3">
      <c r="A232" s="1047"/>
      <c r="B232" s="1047"/>
      <c r="C232" s="380"/>
    </row>
    <row r="233" spans="1:3">
      <c r="A233" s="1047"/>
      <c r="B233" s="1047"/>
      <c r="C233" s="380"/>
    </row>
    <row r="234" spans="1:3">
      <c r="A234" s="1047"/>
      <c r="B234" s="1047"/>
      <c r="C234" s="380"/>
    </row>
    <row r="235" spans="1:3">
      <c r="A235" s="1047"/>
      <c r="B235" s="1047"/>
      <c r="C235" s="380"/>
    </row>
    <row r="236" spans="1:3">
      <c r="A236" s="1047"/>
      <c r="B236" s="1047"/>
      <c r="C236" s="380"/>
    </row>
    <row r="237" spans="1:3">
      <c r="A237" s="1047"/>
      <c r="B237" s="1047"/>
      <c r="C237" s="380"/>
    </row>
    <row r="238" spans="1:3">
      <c r="A238" s="1047"/>
      <c r="B238" s="1047"/>
      <c r="C238" s="380"/>
    </row>
    <row r="239" spans="1:3">
      <c r="A239" s="1047"/>
      <c r="B239" s="1047"/>
      <c r="C239" s="380"/>
    </row>
    <row r="240" spans="1:3">
      <c r="A240" s="1047"/>
      <c r="B240" s="1047"/>
      <c r="C240" s="380"/>
    </row>
    <row r="241" spans="1:3">
      <c r="A241" s="1047"/>
      <c r="B241" s="1047"/>
      <c r="C241" s="380"/>
    </row>
    <row r="242" spans="1:3">
      <c r="A242" s="1047"/>
      <c r="B242" s="1047"/>
      <c r="C242" s="380"/>
    </row>
    <row r="243" spans="1:3">
      <c r="A243" s="1047"/>
      <c r="B243" s="1047"/>
      <c r="C243" s="380"/>
    </row>
    <row r="244" spans="1:3">
      <c r="A244" s="1047"/>
      <c r="B244" s="1047"/>
      <c r="C244" s="380"/>
    </row>
    <row r="245" spans="1:3">
      <c r="A245" s="1047"/>
      <c r="B245" s="1047"/>
      <c r="C245" s="380"/>
    </row>
    <row r="246" spans="1:3">
      <c r="A246" s="1047"/>
      <c r="B246" s="1047"/>
      <c r="C246" s="380"/>
    </row>
    <row r="247" spans="1:3">
      <c r="A247" s="1047"/>
      <c r="B247" s="1047"/>
      <c r="C247" s="380"/>
    </row>
    <row r="248" spans="1:3">
      <c r="A248" s="1047"/>
      <c r="B248" s="1047"/>
      <c r="C248" s="380"/>
    </row>
    <row r="249" spans="1:3">
      <c r="A249" s="1047"/>
      <c r="B249" s="1047"/>
      <c r="C249" s="380"/>
    </row>
    <row r="250" spans="1:3">
      <c r="A250" s="1047"/>
      <c r="B250" s="1047"/>
      <c r="C250" s="380"/>
    </row>
    <row r="251" spans="1:3">
      <c r="A251" s="1047"/>
      <c r="B251" s="1047"/>
      <c r="C251" s="380"/>
    </row>
    <row r="252" spans="1:3">
      <c r="A252" s="1047"/>
      <c r="B252" s="1047"/>
      <c r="C252" s="380"/>
    </row>
    <row r="253" spans="1:3">
      <c r="A253" s="1047"/>
      <c r="B253" s="1047"/>
      <c r="C253" s="380"/>
    </row>
    <row r="254" spans="1:3">
      <c r="A254" s="1047"/>
      <c r="B254" s="1047"/>
      <c r="C254" s="380"/>
    </row>
    <row r="255" spans="1:3">
      <c r="A255" s="1047"/>
      <c r="B255" s="1047"/>
      <c r="C255" s="380"/>
    </row>
    <row r="256" spans="1:3">
      <c r="A256" s="1047"/>
      <c r="B256" s="1047"/>
      <c r="C256" s="380"/>
    </row>
    <row r="257" spans="1:3">
      <c r="A257" s="1047"/>
      <c r="B257" s="1047"/>
      <c r="C257" s="380"/>
    </row>
    <row r="258" spans="1:3">
      <c r="A258" s="1047"/>
      <c r="B258" s="1047"/>
      <c r="C258" s="380"/>
    </row>
    <row r="259" spans="1:3">
      <c r="A259" s="1047"/>
      <c r="B259" s="1047"/>
      <c r="C259" s="380"/>
    </row>
    <row r="260" spans="1:3">
      <c r="A260" s="1047"/>
      <c r="B260" s="1047"/>
      <c r="C260" s="380"/>
    </row>
    <row r="261" spans="1:3">
      <c r="A261" s="1047"/>
      <c r="B261" s="1047"/>
      <c r="C261" s="380"/>
    </row>
    <row r="262" spans="1:3">
      <c r="A262" s="1047"/>
      <c r="B262" s="1047"/>
      <c r="C262" s="380"/>
    </row>
    <row r="263" spans="1:3">
      <c r="A263" s="1047"/>
      <c r="B263" s="1047"/>
      <c r="C263" s="380"/>
    </row>
    <row r="264" spans="1:3">
      <c r="A264" s="1047"/>
      <c r="B264" s="1047"/>
      <c r="C264" s="380"/>
    </row>
    <row r="265" spans="1:3">
      <c r="A265" s="1047"/>
      <c r="B265" s="1047"/>
      <c r="C265" s="380"/>
    </row>
    <row r="266" spans="1:3">
      <c r="A266" s="1047"/>
      <c r="B266" s="1047"/>
      <c r="C266" s="380"/>
    </row>
    <row r="267" spans="1:3">
      <c r="A267" s="1047"/>
      <c r="B267" s="1047"/>
      <c r="C267" s="380"/>
    </row>
    <row r="268" spans="1:3">
      <c r="A268" s="1047"/>
      <c r="B268" s="1047"/>
      <c r="C268" s="380"/>
    </row>
    <row r="269" spans="1:3">
      <c r="A269" s="1047"/>
      <c r="B269" s="1047"/>
      <c r="C269" s="380"/>
    </row>
    <row r="270" spans="1:3">
      <c r="A270" s="1047"/>
      <c r="B270" s="1047"/>
      <c r="C270" s="380"/>
    </row>
    <row r="271" spans="1:3">
      <c r="A271" s="1047"/>
      <c r="B271" s="1047"/>
      <c r="C271" s="380"/>
    </row>
    <row r="272" spans="1:3">
      <c r="A272" s="1047"/>
      <c r="B272" s="1047"/>
      <c r="C272" s="380"/>
    </row>
    <row r="273" spans="1:3">
      <c r="A273" s="1047"/>
      <c r="B273" s="1047"/>
      <c r="C273" s="380"/>
    </row>
    <row r="274" spans="1:3">
      <c r="A274" s="1047"/>
      <c r="B274" s="1047"/>
      <c r="C274" s="380"/>
    </row>
    <row r="275" spans="1:3">
      <c r="A275" s="1047"/>
      <c r="B275" s="1047"/>
      <c r="C275" s="380"/>
    </row>
    <row r="276" spans="1:3">
      <c r="A276" s="1047"/>
      <c r="B276" s="1047"/>
      <c r="C276" s="380"/>
    </row>
    <row r="277" spans="1:3">
      <c r="A277" s="1047"/>
      <c r="B277" s="1047"/>
      <c r="C277" s="380"/>
    </row>
    <row r="278" spans="1:3">
      <c r="A278" s="1047"/>
      <c r="B278" s="1047"/>
      <c r="C278" s="380"/>
    </row>
    <row r="279" spans="1:3">
      <c r="A279" s="1047"/>
      <c r="B279" s="1047"/>
      <c r="C279" s="380"/>
    </row>
    <row r="280" spans="1:3">
      <c r="A280" s="1047"/>
      <c r="B280" s="1047"/>
      <c r="C280" s="380"/>
    </row>
    <row r="281" spans="1:3">
      <c r="A281" s="1047"/>
      <c r="B281" s="1047"/>
      <c r="C281" s="380"/>
    </row>
    <row r="282" spans="1:3">
      <c r="A282" s="1047"/>
      <c r="B282" s="1047"/>
      <c r="C282" s="380"/>
    </row>
    <row r="283" spans="1:3">
      <c r="A283" s="1047"/>
      <c r="B283" s="1047"/>
      <c r="C283" s="380"/>
    </row>
    <row r="284" spans="1:3">
      <c r="A284" s="1047"/>
      <c r="B284" s="1047"/>
      <c r="C284" s="380"/>
    </row>
    <row r="285" spans="1:3">
      <c r="A285" s="1047"/>
      <c r="B285" s="1047"/>
      <c r="C285" s="380"/>
    </row>
    <row r="286" spans="1:3">
      <c r="A286" s="1047"/>
      <c r="B286" s="1047"/>
      <c r="C286" s="380"/>
    </row>
    <row r="287" spans="1:3">
      <c r="A287" s="1047"/>
      <c r="B287" s="1047"/>
      <c r="C287" s="380"/>
    </row>
    <row r="288" spans="1:3">
      <c r="A288" s="1047"/>
      <c r="B288" s="1047"/>
      <c r="C288" s="380"/>
    </row>
    <row r="289" spans="1:3">
      <c r="A289" s="1047"/>
      <c r="B289" s="1047"/>
      <c r="C289" s="380"/>
    </row>
    <row r="290" spans="1:3">
      <c r="A290" s="1047"/>
      <c r="B290" s="1047"/>
      <c r="C290" s="380"/>
    </row>
    <row r="291" spans="1:3">
      <c r="A291" s="1047"/>
      <c r="B291" s="1047"/>
      <c r="C291" s="380"/>
    </row>
    <row r="292" spans="1:3">
      <c r="A292" s="1047"/>
      <c r="B292" s="1047"/>
      <c r="C292" s="380"/>
    </row>
    <row r="293" spans="1:3">
      <c r="A293" s="1047"/>
      <c r="B293" s="1047"/>
      <c r="C293" s="380"/>
    </row>
    <row r="294" spans="1:3">
      <c r="A294" s="1047"/>
      <c r="B294" s="1047"/>
      <c r="C294" s="380"/>
    </row>
    <row r="295" spans="1:3">
      <c r="A295" s="1047"/>
      <c r="B295" s="1047"/>
      <c r="C295" s="380"/>
    </row>
    <row r="296" spans="1:3">
      <c r="A296" s="1047"/>
      <c r="B296" s="1047"/>
      <c r="C296" s="380"/>
    </row>
    <row r="297" spans="1:3">
      <c r="A297" s="1047"/>
      <c r="B297" s="1047"/>
      <c r="C297" s="380"/>
    </row>
    <row r="298" spans="1:3">
      <c r="A298" s="1047"/>
      <c r="B298" s="1047"/>
      <c r="C298" s="380"/>
    </row>
    <row r="299" spans="1:3">
      <c r="A299" s="1047"/>
      <c r="B299" s="1047"/>
      <c r="C299" s="380"/>
    </row>
    <row r="300" spans="1:3">
      <c r="A300" s="1047"/>
      <c r="B300" s="1047"/>
      <c r="C300" s="380"/>
    </row>
    <row r="301" spans="1:3">
      <c r="A301" s="1047"/>
      <c r="B301" s="1047"/>
      <c r="C301" s="380"/>
    </row>
    <row r="302" spans="1:3">
      <c r="A302" s="1047"/>
      <c r="B302" s="1047"/>
      <c r="C302" s="380"/>
    </row>
    <row r="303" spans="1:3">
      <c r="A303" s="1047"/>
      <c r="B303" s="1047"/>
      <c r="C303" s="380"/>
    </row>
    <row r="304" spans="1:3">
      <c r="A304" s="1047"/>
      <c r="B304" s="1047"/>
      <c r="C304" s="380"/>
    </row>
    <row r="305" spans="1:3">
      <c r="A305" s="1047"/>
      <c r="B305" s="1047"/>
      <c r="C305" s="380"/>
    </row>
    <row r="306" spans="1:3">
      <c r="A306" s="1047"/>
      <c r="B306" s="1047"/>
      <c r="C306" s="380"/>
    </row>
    <row r="307" spans="1:3">
      <c r="A307" s="1047"/>
      <c r="B307" s="1047"/>
      <c r="C307" s="380"/>
    </row>
    <row r="308" spans="1:3">
      <c r="A308" s="1047"/>
      <c r="B308" s="1047"/>
      <c r="C308" s="380"/>
    </row>
    <row r="309" spans="1:3">
      <c r="A309" s="1047"/>
      <c r="B309" s="1047"/>
      <c r="C309" s="380"/>
    </row>
    <row r="310" spans="1:3">
      <c r="A310" s="1047"/>
      <c r="B310" s="1047"/>
      <c r="C310" s="380"/>
    </row>
    <row r="311" spans="1:3">
      <c r="A311" s="1047"/>
      <c r="B311" s="1047"/>
      <c r="C311" s="380"/>
    </row>
    <row r="312" spans="1:3">
      <c r="A312" s="1047"/>
      <c r="B312" s="1047"/>
      <c r="C312" s="380"/>
    </row>
    <row r="313" spans="1:3">
      <c r="A313" s="1047"/>
      <c r="B313" s="1047"/>
      <c r="C313" s="380"/>
    </row>
    <row r="314" spans="1:3">
      <c r="A314" s="1047"/>
      <c r="B314" s="1047"/>
      <c r="C314" s="380"/>
    </row>
    <row r="315" spans="1:3">
      <c r="A315" s="1047"/>
      <c r="B315" s="1047"/>
      <c r="C315" s="380"/>
    </row>
    <row r="316" spans="1:3">
      <c r="A316" s="1047"/>
      <c r="B316" s="1047"/>
      <c r="C316" s="380"/>
    </row>
    <row r="317" spans="1:3">
      <c r="A317" s="1047"/>
      <c r="B317" s="1047"/>
      <c r="C317" s="380"/>
    </row>
    <row r="318" spans="1:3">
      <c r="A318" s="1047"/>
      <c r="B318" s="1047"/>
      <c r="C318" s="380"/>
    </row>
    <row r="319" spans="1:3">
      <c r="A319" s="1047"/>
      <c r="B319" s="1047"/>
      <c r="C319" s="380"/>
    </row>
    <row r="320" spans="1:3">
      <c r="A320" s="1047"/>
      <c r="B320" s="1047"/>
      <c r="C320" s="380"/>
    </row>
    <row r="321" spans="1:3">
      <c r="A321" s="1047"/>
      <c r="B321" s="1047"/>
      <c r="C321" s="380"/>
    </row>
    <row r="322" spans="1:3">
      <c r="A322" s="1047"/>
      <c r="B322" s="1047"/>
      <c r="C322" s="380"/>
    </row>
    <row r="323" spans="1:3">
      <c r="A323" s="1047"/>
      <c r="B323" s="1047"/>
      <c r="C323" s="380"/>
    </row>
    <row r="324" spans="1:3">
      <c r="A324" s="1047"/>
      <c r="B324" s="1047"/>
      <c r="C324" s="380"/>
    </row>
    <row r="325" spans="1:3">
      <c r="A325" s="1047"/>
      <c r="B325" s="1047"/>
      <c r="C325" s="380"/>
    </row>
    <row r="326" spans="1:3">
      <c r="A326" s="1047"/>
      <c r="B326" s="1047"/>
      <c r="C326" s="380"/>
    </row>
    <row r="327" spans="1:3">
      <c r="A327" s="1047"/>
      <c r="B327" s="1047"/>
      <c r="C327" s="380"/>
    </row>
    <row r="328" spans="1:3">
      <c r="A328" s="1047"/>
      <c r="B328" s="1047"/>
      <c r="C328" s="380"/>
    </row>
    <row r="329" spans="1:3">
      <c r="A329" s="1047"/>
      <c r="B329" s="1047"/>
      <c r="C329" s="380"/>
    </row>
    <row r="330" spans="1:3">
      <c r="A330" s="1047"/>
      <c r="B330" s="1047"/>
      <c r="C330" s="380"/>
    </row>
    <row r="331" spans="1:3">
      <c r="A331" s="1047"/>
      <c r="B331" s="1047"/>
      <c r="C331" s="380"/>
    </row>
    <row r="332" spans="1:3">
      <c r="A332" s="1047"/>
      <c r="B332" s="1047"/>
      <c r="C332" s="380"/>
    </row>
    <row r="333" spans="1:3">
      <c r="A333" s="1047"/>
      <c r="B333" s="1047"/>
      <c r="C333" s="380"/>
    </row>
    <row r="334" spans="1:3">
      <c r="A334" s="1047"/>
      <c r="B334" s="1047"/>
      <c r="C334" s="380"/>
    </row>
    <row r="335" spans="1:3">
      <c r="A335" s="1047"/>
      <c r="B335" s="1047"/>
      <c r="C335" s="380"/>
    </row>
    <row r="336" spans="1:3">
      <c r="A336" s="1047"/>
      <c r="B336" s="1047"/>
      <c r="C336" s="380"/>
    </row>
    <row r="337" spans="1:3">
      <c r="A337" s="1047"/>
      <c r="B337" s="1047"/>
      <c r="C337" s="380"/>
    </row>
    <row r="338" spans="1:3">
      <c r="A338" s="1047"/>
      <c r="B338" s="1047"/>
      <c r="C338" s="380"/>
    </row>
    <row r="339" spans="1:3">
      <c r="A339" s="1047"/>
      <c r="B339" s="1047"/>
      <c r="C339" s="380"/>
    </row>
    <row r="340" spans="1:3">
      <c r="A340" s="1047"/>
      <c r="B340" s="1047"/>
      <c r="C340" s="380"/>
    </row>
    <row r="341" spans="1:3">
      <c r="A341" s="1047"/>
      <c r="B341" s="1047"/>
      <c r="C341" s="380"/>
    </row>
    <row r="342" spans="1:3">
      <c r="A342" s="1047"/>
      <c r="B342" s="1047"/>
      <c r="C342" s="380"/>
    </row>
    <row r="343" spans="1:3">
      <c r="A343" s="1047"/>
      <c r="B343" s="1047"/>
      <c r="C343" s="380"/>
    </row>
    <row r="344" spans="1:3">
      <c r="A344" s="1047"/>
      <c r="B344" s="1047"/>
      <c r="C344" s="380"/>
    </row>
    <row r="345" spans="1:3">
      <c r="A345" s="1047"/>
      <c r="B345" s="1047"/>
      <c r="C345" s="380"/>
    </row>
    <row r="346" spans="1:3">
      <c r="A346" s="1047"/>
      <c r="B346" s="1047"/>
      <c r="C346" s="380"/>
    </row>
    <row r="347" spans="1:3">
      <c r="A347" s="1047"/>
      <c r="B347" s="1047"/>
      <c r="C347" s="380"/>
    </row>
    <row r="348" spans="1:3">
      <c r="A348" s="1047"/>
      <c r="B348" s="1047"/>
      <c r="C348" s="380"/>
    </row>
    <row r="349" spans="1:3">
      <c r="A349" s="1047"/>
      <c r="B349" s="1047"/>
      <c r="C349" s="380"/>
    </row>
    <row r="350" spans="1:3">
      <c r="A350" s="1047"/>
      <c r="B350" s="1047"/>
      <c r="C350" s="380"/>
    </row>
    <row r="351" spans="1:3">
      <c r="A351" s="1047"/>
      <c r="B351" s="1047"/>
      <c r="C351" s="380"/>
    </row>
    <row r="352" spans="1:3">
      <c r="A352" s="1047"/>
      <c r="B352" s="1047"/>
      <c r="C352" s="380"/>
    </row>
    <row r="353" spans="1:3">
      <c r="A353" s="1047"/>
      <c r="B353" s="1047"/>
      <c r="C353" s="380"/>
    </row>
    <row r="354" spans="1:3">
      <c r="A354" s="1047"/>
      <c r="B354" s="1047"/>
      <c r="C354" s="380"/>
    </row>
    <row r="355" spans="1:3">
      <c r="A355" s="1047"/>
      <c r="B355" s="1047"/>
      <c r="C355" s="380"/>
    </row>
    <row r="356" spans="1:3">
      <c r="A356" s="1047"/>
      <c r="B356" s="1047"/>
      <c r="C356" s="380"/>
    </row>
    <row r="357" spans="1:3">
      <c r="A357" s="1047"/>
      <c r="B357" s="1047"/>
      <c r="C357" s="380"/>
    </row>
    <row r="358" spans="1:3">
      <c r="A358" s="1047"/>
      <c r="B358" s="1047"/>
      <c r="C358" s="380"/>
    </row>
    <row r="359" spans="1:3">
      <c r="A359" s="1047"/>
      <c r="B359" s="1047"/>
      <c r="C359" s="380"/>
    </row>
    <row r="360" spans="1:3">
      <c r="A360" s="1047"/>
      <c r="B360" s="1047"/>
      <c r="C360" s="380"/>
    </row>
    <row r="361" spans="1:3">
      <c r="A361" s="1047"/>
      <c r="B361" s="1047"/>
      <c r="C361" s="380"/>
    </row>
    <row r="362" spans="1:3">
      <c r="A362" s="1047"/>
      <c r="B362" s="1047"/>
      <c r="C362" s="380"/>
    </row>
    <row r="363" spans="1:3">
      <c r="A363" s="1047"/>
      <c r="B363" s="1047"/>
      <c r="C363" s="380"/>
    </row>
    <row r="364" spans="1:3">
      <c r="A364" s="1047"/>
      <c r="B364" s="1047"/>
      <c r="C364" s="380"/>
    </row>
    <row r="365" spans="1:3">
      <c r="A365" s="1047"/>
      <c r="B365" s="1047"/>
      <c r="C365" s="380"/>
    </row>
    <row r="366" spans="1:3">
      <c r="A366" s="1047"/>
      <c r="B366" s="1047"/>
      <c r="C366" s="380"/>
    </row>
    <row r="367" spans="1:3">
      <c r="A367" s="1047"/>
      <c r="B367" s="1047"/>
      <c r="C367" s="380"/>
    </row>
    <row r="368" spans="1:3">
      <c r="A368" s="1047"/>
      <c r="B368" s="1047"/>
      <c r="C368" s="380"/>
    </row>
    <row r="369" spans="1:3">
      <c r="A369" s="1047"/>
      <c r="B369" s="1047"/>
      <c r="C369" s="380"/>
    </row>
    <row r="370" spans="1:3">
      <c r="A370" s="1047"/>
      <c r="B370" s="1047"/>
      <c r="C370" s="380"/>
    </row>
    <row r="371" spans="1:3">
      <c r="A371" s="1047"/>
      <c r="B371" s="1047"/>
      <c r="C371" s="380"/>
    </row>
    <row r="372" spans="1:3">
      <c r="A372" s="1047"/>
      <c r="B372" s="1047"/>
      <c r="C372" s="380"/>
    </row>
    <row r="373" spans="1:3">
      <c r="A373" s="1047"/>
      <c r="B373" s="1047"/>
      <c r="C373" s="380"/>
    </row>
    <row r="374" spans="1:3">
      <c r="A374" s="1047"/>
      <c r="B374" s="1047"/>
      <c r="C374" s="380"/>
    </row>
    <row r="375" spans="1:3">
      <c r="A375" s="1047"/>
      <c r="B375" s="1047"/>
      <c r="C375" s="380"/>
    </row>
    <row r="376" spans="1:3">
      <c r="A376" s="1047"/>
      <c r="B376" s="1047"/>
      <c r="C376" s="380"/>
    </row>
    <row r="377" spans="1:3">
      <c r="A377" s="1047"/>
      <c r="B377" s="1047"/>
      <c r="C377" s="380"/>
    </row>
    <row r="378" spans="1:3">
      <c r="A378" s="1047"/>
      <c r="B378" s="1047"/>
      <c r="C378" s="380"/>
    </row>
    <row r="379" spans="1:3">
      <c r="A379" s="1047"/>
      <c r="B379" s="1047"/>
      <c r="C379" s="380"/>
    </row>
    <row r="380" spans="1:3">
      <c r="A380" s="1047"/>
      <c r="B380" s="1047"/>
      <c r="C380" s="380"/>
    </row>
    <row r="381" spans="1:3">
      <c r="A381" s="1047"/>
      <c r="B381" s="1047"/>
      <c r="C381" s="380"/>
    </row>
    <row r="382" spans="1:3">
      <c r="A382" s="1047"/>
      <c r="B382" s="1047"/>
      <c r="C382" s="380"/>
    </row>
    <row r="383" spans="1:3">
      <c r="A383" s="1047"/>
      <c r="B383" s="1047"/>
      <c r="C383" s="380"/>
    </row>
    <row r="384" spans="1:3">
      <c r="A384" s="1047"/>
      <c r="B384" s="1047"/>
      <c r="C384" s="380"/>
    </row>
    <row r="385" spans="1:3">
      <c r="A385" s="1047"/>
      <c r="B385" s="1047"/>
      <c r="C385" s="380"/>
    </row>
    <row r="386" spans="1:3">
      <c r="A386" s="1047"/>
      <c r="B386" s="1047"/>
      <c r="C386" s="380"/>
    </row>
    <row r="387" spans="1:3">
      <c r="A387" s="1047"/>
      <c r="B387" s="1047"/>
      <c r="C387" s="380"/>
    </row>
    <row r="388" spans="1:3">
      <c r="A388" s="1047"/>
      <c r="B388" s="1047"/>
      <c r="C388" s="380"/>
    </row>
    <row r="389" spans="1:3">
      <c r="A389" s="1047"/>
      <c r="B389" s="1047"/>
      <c r="C389" s="380"/>
    </row>
    <row r="390" spans="1:3">
      <c r="A390" s="1047"/>
      <c r="B390" s="1047"/>
      <c r="C390" s="380"/>
    </row>
    <row r="391" spans="1:3">
      <c r="A391" s="1047"/>
      <c r="B391" s="1047"/>
      <c r="C391" s="380"/>
    </row>
    <row r="392" spans="1:3">
      <c r="A392" s="1047"/>
      <c r="B392" s="1047"/>
      <c r="C392" s="380"/>
    </row>
    <row r="393" spans="1:3">
      <c r="A393" s="1047"/>
      <c r="B393" s="1047"/>
      <c r="C393" s="380"/>
    </row>
  </sheetData>
  <mergeCells count="5">
    <mergeCell ref="A3:H3"/>
    <mergeCell ref="E6:F6"/>
    <mergeCell ref="G6:H6"/>
    <mergeCell ref="D6:D7"/>
    <mergeCell ref="C6:C7"/>
  </mergeCells>
  <pageMargins bottom="0.34" footer="0.3" header="0.3" left="0.25" right="0.25" top="0.32"/>
  <pageSetup fitToHeight="0" horizontalDpi="300" orientation="portrait" paperSize="9" r:id="rId1" scale="66" verticalDpi="300"/>
</worksheet>
</file>

<file path=xl/worksheets/sheet1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bestFit="true" customWidth="true" style="85" width="14.28515625" collapsed="false"/>
    <col min="2" max="2" customWidth="true" style="85" width="18.7109375" collapsed="false"/>
    <col min="3" max="3" customWidth="true" style="85" width="14.28515625" collapsed="false"/>
    <col min="4" max="4" customWidth="true" style="85" width="28.28515625" collapsed="false"/>
    <col min="5" max="6" customWidth="true" style="85" width="18.85546875" collapsed="false"/>
    <col min="7" max="16384" style="85" width="9.140625" collapsed="false"/>
  </cols>
  <sheetData>
    <row r="3" spans="1:6">
      <c r="A3" s="2048" t="s">
        <v>9</v>
      </c>
      <c r="B3" s="2048" t="s">
        <v>102</v>
      </c>
      <c r="C3" s="2048" t="s">
        <v>102</v>
      </c>
      <c r="D3" s="2048" t="s">
        <v>102</v>
      </c>
      <c r="E3" s="2048" t="s">
        <v>102</v>
      </c>
      <c r="F3" s="2048" t="s">
        <v>102</v>
      </c>
    </row>
    <row r="4" spans="1:6">
      <c r="A4" s="111" t="s">
        <v>102</v>
      </c>
      <c r="B4" s="111" t="s">
        <v>102</v>
      </c>
      <c r="C4" s="111" t="s">
        <v>102</v>
      </c>
      <c r="D4" s="111" t="s">
        <v>102</v>
      </c>
      <c r="E4" s="111" t="s">
        <v>102</v>
      </c>
      <c r="F4" s="111" t="s">
        <v>102</v>
      </c>
    </row>
    <row customHeight="1" ht="31.5" r="5" spans="1:6">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bottom="0.75" footer="0.3" header="0.3" left="0.25" right="0.25" top="0.75"/>
  <pageSetup fitToHeight="0" orientation="portrait" paperSize="9" r:id="rId1" scale="87"/>
</worksheet>
</file>

<file path=xl/worksheets/sheet1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customWidth="true" style="465" width="12.0" collapsed="false"/>
    <col min="2" max="2" customWidth="true" style="1049" width="82.0" collapsed="false"/>
    <col min="3" max="3" customWidth="true" style="924" width="17.0" collapsed="false"/>
    <col min="4" max="4" customWidth="true" style="924" width="17.85546875" collapsed="false"/>
    <col min="5" max="5" customWidth="true" style="465" width="13.5703125" collapsed="false"/>
    <col min="6" max="16384" style="465" width="9.140625" collapsed="false"/>
  </cols>
  <sheetData>
    <row r="1" spans="1:5">
      <c r="A1" s="1048"/>
      <c r="C1" s="1050"/>
      <c r="D1" s="925" t="s">
        <v>622</v>
      </c>
    </row>
    <row r="2" spans="1:5">
      <c r="A2" s="994"/>
      <c r="C2" s="1050"/>
    </row>
    <row r="3" spans="1:5">
      <c r="A3" s="2199" t="s">
        <v>10</v>
      </c>
      <c r="B3" s="2199"/>
      <c r="C3" s="2199"/>
      <c r="D3" s="2199"/>
      <c r="E3" s="1051"/>
    </row>
    <row r="4" spans="1:5">
      <c r="A4" s="994"/>
      <c r="C4" s="1050"/>
      <c r="D4" s="1052" t="s">
        <v>482</v>
      </c>
    </row>
    <row r="5" spans="1:5">
      <c r="A5" s="994"/>
      <c r="C5" s="1050"/>
      <c r="D5" s="1052"/>
    </row>
    <row customHeight="1" ht="27.75" r="6" spans="1:5">
      <c r="A6" s="1053" t="s">
        <v>483</v>
      </c>
      <c r="B6" s="1053" t="s">
        <v>12</v>
      </c>
      <c r="C6" s="1054" t="s">
        <v>545</v>
      </c>
      <c r="D6" s="1055" t="s">
        <v>30</v>
      </c>
      <c r="E6" s="1053"/>
    </row>
    <row r="7" spans="1:5">
      <c r="A7" s="1056"/>
      <c r="B7" s="499" t="s">
        <v>488</v>
      </c>
      <c r="C7" s="1057"/>
      <c r="D7" s="1057"/>
      <c r="E7" s="1056"/>
    </row>
    <row r="8" spans="1:5">
      <c r="A8" s="1056" t="s">
        <v>292</v>
      </c>
      <c r="B8" s="499" t="s">
        <v>489</v>
      </c>
      <c r="C8" s="1058">
        <f>C9+C88+C98</f>
        <v>0</v>
      </c>
      <c r="D8" s="1058">
        <f>D9+D88+D98</f>
        <v>15202351278.380001</v>
      </c>
      <c r="E8" s="1056"/>
    </row>
    <row r="9" spans="1:5">
      <c r="A9" s="1059">
        <v>2</v>
      </c>
      <c r="B9" s="499" t="s">
        <v>3660</v>
      </c>
      <c r="C9" s="1058">
        <f>SUM(C71,C66,C61,C10)</f>
        <v>0</v>
      </c>
      <c r="D9" s="1058">
        <f>SUM(D71,D66,D61,D10)</f>
        <v>15202351278.380001</v>
      </c>
      <c r="E9" s="1056"/>
    </row>
    <row r="10" spans="1:5">
      <c r="A10" s="1059">
        <v>21</v>
      </c>
      <c r="B10" s="499" t="s">
        <v>3661</v>
      </c>
      <c r="C10" s="937">
        <f>SUM(C11,C17,C23,C28,C35,C39,C44,C48,C58)</f>
        <v>0</v>
      </c>
      <c r="D10" s="937">
        <f>SUM(D11,D17,D23,D28,D35,D39,D44,D48,D58)</f>
        <v>15202351278.380001</v>
      </c>
      <c r="E10" s="1056"/>
    </row>
    <row r="11" spans="1:5">
      <c r="A11" s="1059">
        <v>210</v>
      </c>
      <c r="B11" s="499" t="s">
        <v>3662</v>
      </c>
      <c r="C11" s="937">
        <f>SUM(C12:C16)</f>
        <v>0</v>
      </c>
      <c r="D11" s="937">
        <f>SUM(D12:D16)</f>
        <v>302656623.78999996</v>
      </c>
      <c r="E11" s="1056"/>
    </row>
    <row r="12" spans="1:5">
      <c r="A12" s="1060">
        <v>2101</v>
      </c>
      <c r="B12" s="501" t="s">
        <v>3663</v>
      </c>
      <c r="C12" s="938"/>
      <c r="D12" s="938">
        <v>138270319.96000001</v>
      </c>
      <c r="E12" s="1061"/>
    </row>
    <row r="13" spans="1:5">
      <c r="A13" s="1060">
        <v>210101</v>
      </c>
      <c r="B13" s="501" t="s">
        <v>623</v>
      </c>
      <c r="C13" s="938"/>
      <c r="D13" s="938">
        <v>119004274.95999999</v>
      </c>
      <c r="E13" s="1061"/>
    </row>
    <row r="14" spans="1:5">
      <c r="A14" s="1060">
        <v>210103</v>
      </c>
      <c r="B14" s="501" t="s">
        <v>3664</v>
      </c>
      <c r="C14" s="938"/>
      <c r="D14" s="938">
        <v>19266045</v>
      </c>
      <c r="E14" s="1061"/>
    </row>
    <row r="15" spans="1:5">
      <c r="A15" s="1060">
        <v>2102</v>
      </c>
      <c r="B15" s="501" t="s">
        <v>3632</v>
      </c>
      <c r="C15" s="938"/>
      <c r="D15" s="938">
        <v>15827083.779999999</v>
      </c>
      <c r="E15" s="1061"/>
    </row>
    <row r="16" spans="1:5">
      <c r="A16" s="1060">
        <v>210201</v>
      </c>
      <c r="B16" s="501" t="s">
        <v>3665</v>
      </c>
      <c r="C16" s="938"/>
      <c r="D16" s="938">
        <v>10288900.09</v>
      </c>
      <c r="E16" s="1061"/>
    </row>
    <row r="17" spans="1:5">
      <c r="A17" s="1059">
        <v>210202</v>
      </c>
      <c r="B17" s="499" t="s">
        <v>3666</v>
      </c>
      <c r="C17" s="937">
        <f>SUM(C18:C22)</f>
        <v>0</v>
      </c>
      <c r="D17" s="937">
        <f>SUM(D18:D22)</f>
        <v>11752609.189999999</v>
      </c>
      <c r="E17" s="1056"/>
    </row>
    <row r="18" spans="1:5">
      <c r="A18" s="1060">
        <v>210203</v>
      </c>
      <c r="B18" s="501" t="s">
        <v>3667</v>
      </c>
      <c r="C18" s="938"/>
      <c r="D18" s="938">
        <v>1096988.5900000001</v>
      </c>
      <c r="E18" s="1061"/>
    </row>
    <row r="19" spans="1:5">
      <c r="A19" s="1060">
        <v>210204</v>
      </c>
      <c r="B19" s="501" t="s">
        <v>3636</v>
      </c>
      <c r="C19" s="938"/>
      <c r="D19" s="938">
        <v>277576.14</v>
      </c>
      <c r="E19" s="1061"/>
    </row>
    <row r="20" spans="1:5">
      <c r="A20" s="1060">
        <v>210205</v>
      </c>
      <c r="B20" s="501" t="s">
        <v>3637</v>
      </c>
      <c r="C20" s="938"/>
      <c r="D20" s="938">
        <v>2775744.46</v>
      </c>
      <c r="E20" s="1061"/>
    </row>
    <row r="21" spans="1:5">
      <c r="A21" s="1060">
        <v>2103</v>
      </c>
      <c r="B21" s="501" t="s">
        <v>3638</v>
      </c>
      <c r="C21" s="938"/>
      <c r="D21" s="938">
        <v>7002300</v>
      </c>
      <c r="E21" s="1061"/>
    </row>
    <row r="22" spans="1:5">
      <c r="A22" s="1060">
        <v>210301</v>
      </c>
      <c r="B22" s="501" t="s">
        <v>3668</v>
      </c>
      <c r="C22" s="938"/>
      <c r="D22" s="938">
        <v>600000</v>
      </c>
      <c r="E22" s="1061"/>
    </row>
    <row r="23" spans="1:5">
      <c r="A23" s="1059">
        <v>210302</v>
      </c>
      <c r="B23" s="499" t="s">
        <v>3640</v>
      </c>
      <c r="C23" s="937">
        <f>SUM(C24:C27)</f>
        <v>0</v>
      </c>
      <c r="D23" s="937">
        <f>SUM(D24:D27)</f>
        <v>33965936.399999999</v>
      </c>
      <c r="E23" s="1056"/>
    </row>
    <row r="24" spans="1:5">
      <c r="A24" s="1060">
        <v>2104</v>
      </c>
      <c r="B24" s="501" t="s">
        <v>3669</v>
      </c>
      <c r="C24" s="938"/>
      <c r="D24" s="938">
        <v>21017241.199999999</v>
      </c>
      <c r="E24" s="1061"/>
    </row>
    <row r="25" spans="1:5">
      <c r="A25" s="1060">
        <v>210401</v>
      </c>
      <c r="B25" s="501" t="s">
        <v>3642</v>
      </c>
      <c r="C25" s="938"/>
      <c r="D25" s="938">
        <v>4706800</v>
      </c>
      <c r="E25" s="1061"/>
    </row>
    <row r="26" spans="1:5">
      <c r="A26" s="1060">
        <v>210402</v>
      </c>
      <c r="B26" s="501" t="s">
        <v>3670</v>
      </c>
      <c r="C26" s="938"/>
      <c r="D26" s="938">
        <v>4058000</v>
      </c>
      <c r="E26" s="1061"/>
    </row>
    <row r="27" spans="1:5">
      <c r="A27" s="1060">
        <v>210403</v>
      </c>
      <c r="B27" s="501" t="s">
        <v>3671</v>
      </c>
      <c r="C27" s="938"/>
      <c r="D27" s="938">
        <v>4183895.2</v>
      </c>
      <c r="E27" s="1061"/>
    </row>
    <row r="28" spans="1:5">
      <c r="A28" s="1059">
        <v>210404</v>
      </c>
      <c r="B28" s="499" t="s">
        <v>3672</v>
      </c>
      <c r="C28" s="937">
        <f>SUM(C29:C34)</f>
        <v>0</v>
      </c>
      <c r="D28" s="937">
        <f>SUM(D29:D34)</f>
        <v>106314456</v>
      </c>
      <c r="E28" s="1056"/>
    </row>
    <row r="29" spans="1:5">
      <c r="A29" s="1060">
        <v>210406</v>
      </c>
      <c r="B29" s="501" t="s">
        <v>3673</v>
      </c>
      <c r="C29" s="938"/>
      <c r="D29" s="938">
        <v>681656</v>
      </c>
      <c r="E29" s="1061"/>
    </row>
    <row r="30" spans="1:5">
      <c r="A30" s="1060">
        <v>2105</v>
      </c>
      <c r="B30" s="501" t="s">
        <v>3646</v>
      </c>
      <c r="C30" s="938"/>
      <c r="D30" s="938">
        <v>2377400</v>
      </c>
      <c r="E30" s="1061"/>
    </row>
    <row r="31" spans="1:5">
      <c r="A31" s="1060">
        <v>210503</v>
      </c>
      <c r="B31" s="501" t="s">
        <v>3674</v>
      </c>
      <c r="C31" s="938"/>
      <c r="D31" s="938">
        <v>2377400</v>
      </c>
      <c r="E31" s="1061"/>
    </row>
    <row r="32" spans="1:5">
      <c r="A32" s="1060">
        <v>2106</v>
      </c>
      <c r="B32" s="501" t="s">
        <v>3675</v>
      </c>
      <c r="C32" s="938"/>
      <c r="D32" s="938">
        <v>54906100</v>
      </c>
      <c r="E32" s="1061"/>
    </row>
    <row r="33" spans="1:5">
      <c r="A33" s="1060">
        <v>210601</v>
      </c>
      <c r="B33" s="501" t="s">
        <v>3676</v>
      </c>
      <c r="C33" s="938"/>
      <c r="D33" s="938">
        <v>45390900</v>
      </c>
      <c r="E33" s="1061"/>
    </row>
    <row r="34" spans="1:5">
      <c r="A34" s="1060">
        <v>210603</v>
      </c>
      <c r="B34" s="501" t="s">
        <v>3649</v>
      </c>
      <c r="C34" s="938"/>
      <c r="D34" s="938">
        <v>581000</v>
      </c>
      <c r="E34" s="1061"/>
    </row>
    <row r="35" spans="1:5">
      <c r="A35" s="1059">
        <v>210604</v>
      </c>
      <c r="B35" s="499" t="s">
        <v>3677</v>
      </c>
      <c r="C35" s="937">
        <f>SUM(C36:C38)</f>
        <v>0</v>
      </c>
      <c r="D35" s="937">
        <f>SUM(D36:D38)</f>
        <v>444336734</v>
      </c>
      <c r="E35" s="1056"/>
    </row>
    <row r="36" spans="1:5">
      <c r="A36" s="1060">
        <v>2107</v>
      </c>
      <c r="B36" s="501" t="s">
        <v>3650</v>
      </c>
      <c r="C36" s="938"/>
      <c r="D36" s="938">
        <v>222168367</v>
      </c>
      <c r="E36" s="1061"/>
    </row>
    <row r="37" spans="1:5">
      <c r="A37" s="1060">
        <v>210701</v>
      </c>
      <c r="B37" s="501" t="s">
        <v>3678</v>
      </c>
      <c r="C37" s="938"/>
      <c r="D37" s="938">
        <v>79908250</v>
      </c>
      <c r="E37" s="1061"/>
    </row>
    <row r="38" spans="1:5">
      <c r="A38" s="1060">
        <v>210702</v>
      </c>
      <c r="B38" s="501" t="s">
        <v>3651</v>
      </c>
      <c r="C38" s="938"/>
      <c r="D38" s="938">
        <v>142260117</v>
      </c>
      <c r="E38" s="1061"/>
    </row>
    <row r="39" spans="1:5">
      <c r="A39" s="1059">
        <v>2108</v>
      </c>
      <c r="B39" s="499" t="s">
        <v>3679</v>
      </c>
      <c r="C39" s="937">
        <f>SUM(C40:C43)</f>
        <v>0</v>
      </c>
      <c r="D39" s="937">
        <f>SUM(D40:D43)</f>
        <v>6765767905</v>
      </c>
      <c r="E39" s="1056"/>
    </row>
    <row r="40" spans="1:5">
      <c r="A40" s="1060">
        <v>210801</v>
      </c>
      <c r="B40" s="501" t="s">
        <v>3680</v>
      </c>
      <c r="C40" s="938"/>
      <c r="D40" s="938">
        <v>6686115795</v>
      </c>
      <c r="E40" s="1061"/>
    </row>
    <row r="41" spans="1:5">
      <c r="A41" s="1060">
        <v>210803</v>
      </c>
      <c r="B41" s="501" t="s">
        <v>3654</v>
      </c>
      <c r="C41" s="938"/>
      <c r="D41" s="938">
        <v>1909770</v>
      </c>
      <c r="E41" s="1061"/>
    </row>
    <row r="42" spans="1:5">
      <c r="A42" s="1060">
        <v>2201</v>
      </c>
      <c r="B42" s="501" t="s">
        <v>3657</v>
      </c>
      <c r="C42" s="938"/>
      <c r="D42" s="938">
        <v>38971170</v>
      </c>
      <c r="E42" s="1061"/>
    </row>
    <row r="43" spans="1:5">
      <c r="A43" s="1060">
        <v>210901</v>
      </c>
      <c r="B43" s="501" t="s">
        <v>3657</v>
      </c>
      <c r="C43" s="938"/>
      <c r="D43" s="938">
        <v>38771170</v>
      </c>
      <c r="E43" s="1061"/>
    </row>
    <row r="44" spans="1:5">
      <c r="A44" s="1056">
        <v>210902</v>
      </c>
      <c r="B44" s="499" t="s">
        <v>3681</v>
      </c>
      <c r="C44" s="937">
        <f>SUM(C45:C47)</f>
        <v>0</v>
      </c>
      <c r="D44" s="937">
        <f>SUM(D45:D47)</f>
        <v>23389180</v>
      </c>
      <c r="E44" s="1056"/>
    </row>
    <row r="45" spans="1:5">
      <c r="A45" s="1060">
        <v>210701</v>
      </c>
      <c r="B45" s="501" t="s">
        <v>364</v>
      </c>
      <c r="C45" s="938"/>
      <c r="D45" s="938"/>
      <c r="E45" s="1061"/>
    </row>
    <row r="46" spans="1:5">
      <c r="A46" s="1060">
        <v>120004</v>
      </c>
      <c r="B46" s="501" t="s">
        <v>3682</v>
      </c>
      <c r="C46" s="938"/>
      <c r="D46" s="938">
        <v>11694590</v>
      </c>
      <c r="E46" s="1061"/>
    </row>
    <row r="47" spans="1:5">
      <c r="A47" s="1060">
        <v>1200042</v>
      </c>
      <c r="B47" s="501" t="s">
        <v>3683</v>
      </c>
      <c r="C47" s="938"/>
      <c r="D47" s="938">
        <v>11694590</v>
      </c>
      <c r="E47" s="1061"/>
    </row>
    <row r="48" spans="1:5">
      <c r="A48" s="1059">
        <v>1311</v>
      </c>
      <c r="B48" s="499" t="s">
        <v>3684</v>
      </c>
      <c r="C48" s="937">
        <f>SUM(C49:C57)</f>
        <v>0</v>
      </c>
      <c r="D48" s="937">
        <f>SUM(D49:D57)</f>
        <v>7514167834</v>
      </c>
      <c r="E48" s="1056"/>
    </row>
    <row r="49" spans="1:5">
      <c r="A49" s="1060">
        <v>131101</v>
      </c>
      <c r="B49" s="501" t="s">
        <v>3685</v>
      </c>
      <c r="C49" s="938"/>
      <c r="D49" s="938">
        <v>83358902</v>
      </c>
      <c r="E49" s="1061"/>
    </row>
    <row ht="30" r="50" spans="1:5">
      <c r="A50" s="1060">
        <v>131104</v>
      </c>
      <c r="B50" s="501" t="s">
        <v>3686</v>
      </c>
      <c r="C50" s="938"/>
      <c r="D50" s="938">
        <v>7430808919</v>
      </c>
      <c r="E50" s="1061"/>
    </row>
    <row r="51" spans="1:5">
      <c r="A51" s="1060">
        <v>131105</v>
      </c>
      <c r="B51" s="501" t="s">
        <v>3687</v>
      </c>
      <c r="C51" s="938"/>
      <c r="D51" s="938">
        <v>0</v>
      </c>
      <c r="E51" s="1061"/>
    </row>
    <row r="52" spans="1:5">
      <c r="A52" s="1060">
        <v>4</v>
      </c>
      <c r="B52" s="501" t="s">
        <v>478</v>
      </c>
      <c r="C52" s="938"/>
      <c r="D52" s="938">
        <v>0</v>
      </c>
      <c r="E52" s="1061"/>
    </row>
    <row r="53" spans="1:5">
      <c r="A53" s="1060">
        <v>5</v>
      </c>
      <c r="B53" s="501" t="s">
        <v>479</v>
      </c>
      <c r="C53" s="938"/>
      <c r="D53" s="938">
        <v>0</v>
      </c>
      <c r="E53" s="1061"/>
    </row>
    <row r="54" spans="1:5">
      <c r="A54" s="1060">
        <v>6</v>
      </c>
      <c r="B54" s="501" t="s">
        <v>522</v>
      </c>
      <c r="C54" s="938"/>
      <c r="D54" s="938">
        <v>0</v>
      </c>
      <c r="E54" s="1061"/>
    </row>
    <row r="55" spans="1:5">
      <c r="A55" s="1060">
        <v>61</v>
      </c>
      <c r="B55" s="501" t="s">
        <v>3688</v>
      </c>
      <c r="C55" s="938"/>
      <c r="D55" s="938">
        <v>0</v>
      </c>
      <c r="E55" s="1061"/>
    </row>
    <row r="56" spans="1:5">
      <c r="A56" s="1060">
        <v>62</v>
      </c>
      <c r="B56" s="501" t="s">
        <v>3689</v>
      </c>
      <c r="C56" s="938"/>
      <c r="D56" s="938">
        <v>12</v>
      </c>
      <c r="E56" s="1061"/>
    </row>
    <row r="57" spans="1:5">
      <c r="A57" s="1060">
        <v>620001</v>
      </c>
      <c r="B57" s="501" t="s">
        <v>80</v>
      </c>
      <c r="C57" s="938"/>
      <c r="D57" s="938">
        <v>1</v>
      </c>
      <c r="E57" s="1061"/>
    </row>
    <row r="58" spans="1:5">
      <c r="A58" s="1059">
        <v>620002</v>
      </c>
      <c r="B58" s="499" t="s">
        <v>81</v>
      </c>
      <c r="C58" s="937">
        <f>SUM(C59:C60)</f>
        <v>0</v>
      </c>
      <c r="D58" s="937">
        <f>SUM(D59:D60)</f>
        <v>0</v>
      </c>
      <c r="E58" s="1056"/>
    </row>
    <row r="59" spans="1:5">
      <c r="A59" s="1060">
        <v>63</v>
      </c>
      <c r="B59" s="501" t="s">
        <v>3690</v>
      </c>
      <c r="C59" s="938"/>
      <c r="D59" s="938">
        <v>0</v>
      </c>
      <c r="E59" s="1061"/>
    </row>
    <row r="60" spans="1:5">
      <c r="A60" s="1060">
        <v>64</v>
      </c>
      <c r="B60" s="501" t="s">
        <v>3691</v>
      </c>
      <c r="C60" s="938"/>
      <c r="D60" s="938">
        <v>0</v>
      </c>
      <c r="E60" s="1061"/>
    </row>
    <row r="61" spans="1:5">
      <c r="A61" s="1059">
        <v>65</v>
      </c>
      <c r="B61" s="499" t="s">
        <v>663</v>
      </c>
      <c r="C61" s="937">
        <f>SUM(C62,C64)</f>
        <v>0</v>
      </c>
      <c r="D61" s="937">
        <f>SUM(D62,D64)</f>
        <v>0</v>
      </c>
      <c r="E61" s="1056"/>
    </row>
    <row r="62" spans="1:5">
      <c r="A62" s="1059">
        <v>650001</v>
      </c>
      <c r="B62" s="499" t="s">
        <v>3692</v>
      </c>
      <c r="C62" s="937">
        <f>SUM(C63)</f>
        <v>0</v>
      </c>
      <c r="D62" s="937">
        <f>SUM(D63)</f>
        <v>0</v>
      </c>
      <c r="E62" s="1056"/>
    </row>
    <row r="63" spans="1:5">
      <c r="A63" s="1060">
        <v>650002</v>
      </c>
      <c r="B63" s="501" t="s">
        <v>3693</v>
      </c>
      <c r="C63" s="938"/>
      <c r="D63" s="938">
        <v>0</v>
      </c>
      <c r="E63" s="1061"/>
    </row>
    <row r="64" spans="1:5">
      <c r="A64" s="1059">
        <v>650003</v>
      </c>
      <c r="B64" s="499" t="s">
        <v>3694</v>
      </c>
      <c r="C64" s="937">
        <f>SUM(C65)</f>
        <v>0</v>
      </c>
      <c r="D64" s="937">
        <f>SUM(D65)</f>
        <v>0</v>
      </c>
      <c r="E64" s="1056"/>
    </row>
    <row r="65" spans="1:5">
      <c r="A65" s="1060">
        <v>650004</v>
      </c>
      <c r="B65" s="501" t="s">
        <v>3695</v>
      </c>
      <c r="C65" s="938"/>
      <c r="D65" s="938">
        <v>0</v>
      </c>
      <c r="E65" s="1061"/>
    </row>
    <row r="66" spans="1:5">
      <c r="A66" s="1059">
        <v>650005</v>
      </c>
      <c r="B66" s="499" t="s">
        <v>3696</v>
      </c>
      <c r="C66" s="937">
        <f>SUM(C67,C69)</f>
        <v>0</v>
      </c>
      <c r="D66" s="937">
        <f>SUM(D67,D69)</f>
        <v>0</v>
      </c>
      <c r="E66" s="1056"/>
    </row>
    <row r="67" spans="1:5">
      <c r="A67" s="1059">
        <v>650006</v>
      </c>
      <c r="B67" s="499" t="s">
        <v>3697</v>
      </c>
      <c r="C67" s="937">
        <f>SUM(C68)</f>
        <v>0</v>
      </c>
      <c r="D67" s="937">
        <f>SUM(D68)</f>
        <v>0</v>
      </c>
      <c r="E67" s="1056"/>
    </row>
    <row r="68" spans="1:5">
      <c r="A68" s="1060">
        <v>650007</v>
      </c>
      <c r="B68" s="501" t="s">
        <v>3698</v>
      </c>
      <c r="C68" s="938"/>
      <c r="D68" s="938">
        <v>0</v>
      </c>
      <c r="E68" s="1061"/>
    </row>
    <row r="69" spans="1:5">
      <c r="A69" s="1059">
        <v>650008</v>
      </c>
      <c r="B69" s="499" t="s">
        <v>3699</v>
      </c>
      <c r="C69" s="937">
        <f>SUM(C70)</f>
        <v>0</v>
      </c>
      <c r="D69" s="937">
        <f>SUM(D70)</f>
        <v>0</v>
      </c>
      <c r="E69" s="1056"/>
    </row>
    <row r="70" spans="1:5">
      <c r="A70" s="1060">
        <v>650009</v>
      </c>
      <c r="B70" s="501" t="s">
        <v>3700</v>
      </c>
      <c r="C70" s="938"/>
      <c r="D70" s="938">
        <v>0</v>
      </c>
      <c r="E70" s="1061"/>
    </row>
    <row r="71" spans="1:5">
      <c r="A71" s="1059">
        <v>650010</v>
      </c>
      <c r="B71" s="499" t="s">
        <v>662</v>
      </c>
      <c r="C71" s="937">
        <f>SUM(C72,C75)</f>
        <v>0</v>
      </c>
      <c r="D71" s="937">
        <f>SUM(D72,D75)</f>
        <v>0</v>
      </c>
      <c r="E71" s="1056"/>
    </row>
    <row r="72" spans="1:5">
      <c r="A72" s="1059">
        <v>2131</v>
      </c>
      <c r="B72" s="499" t="s">
        <v>405</v>
      </c>
      <c r="C72" s="937">
        <f>SUM(C73:C74)</f>
        <v>0</v>
      </c>
      <c r="D72" s="937">
        <f>SUM(D73:D74)</f>
        <v>0</v>
      </c>
      <c r="E72" s="1056"/>
    </row>
    <row r="73" spans="1:5">
      <c r="A73" s="1060">
        <v>213101</v>
      </c>
      <c r="B73" s="501" t="s">
        <v>407</v>
      </c>
      <c r="C73" s="938"/>
      <c r="D73" s="938"/>
      <c r="E73" s="1061"/>
    </row>
    <row r="74" spans="1:5">
      <c r="A74" s="1060">
        <v>213102</v>
      </c>
      <c r="B74" s="501" t="s">
        <v>409</v>
      </c>
      <c r="C74" s="938"/>
      <c r="D74" s="938"/>
      <c r="E74" s="1061"/>
    </row>
    <row r="75" spans="1:5">
      <c r="A75" s="1059">
        <v>2132</v>
      </c>
      <c r="B75" s="499" t="s">
        <v>411</v>
      </c>
      <c r="C75" s="937">
        <f>SUM(C76:C83)</f>
        <v>0</v>
      </c>
      <c r="D75" s="937">
        <f>SUM(D76:D83)</f>
        <v>0</v>
      </c>
      <c r="E75" s="1056"/>
    </row>
    <row r="76" spans="1:5">
      <c r="A76" s="1060">
        <v>213202</v>
      </c>
      <c r="B76" s="501" t="s">
        <v>413</v>
      </c>
      <c r="C76" s="938"/>
      <c r="D76" s="938"/>
      <c r="E76" s="1061"/>
    </row>
    <row r="77" spans="1:5">
      <c r="A77" s="1060">
        <v>213203</v>
      </c>
      <c r="B77" s="501" t="s">
        <v>415</v>
      </c>
      <c r="C77" s="938"/>
      <c r="D77" s="938"/>
      <c r="E77" s="1061"/>
    </row>
    <row r="78" spans="1:5">
      <c r="A78" s="1060">
        <v>213204</v>
      </c>
      <c r="B78" s="501" t="s">
        <v>459</v>
      </c>
      <c r="C78" s="938"/>
      <c r="D78" s="938"/>
      <c r="E78" s="1061"/>
    </row>
    <row r="79" spans="1:5">
      <c r="A79" s="1060">
        <v>213205</v>
      </c>
      <c r="B79" s="501" t="s">
        <v>418</v>
      </c>
      <c r="C79" s="938"/>
      <c r="D79" s="938"/>
      <c r="E79" s="1061"/>
    </row>
    <row r="80" spans="1:5">
      <c r="A80" s="1060">
        <v>213206</v>
      </c>
      <c r="B80" s="501" t="s">
        <v>420</v>
      </c>
      <c r="C80" s="938"/>
      <c r="D80" s="938"/>
      <c r="E80" s="1061"/>
    </row>
    <row r="81" spans="1:5">
      <c r="A81" s="1060">
        <v>213207</v>
      </c>
      <c r="B81" s="501" t="s">
        <v>422</v>
      </c>
      <c r="C81" s="938"/>
      <c r="D81" s="938"/>
      <c r="E81" s="1061"/>
    </row>
    <row ht="30" r="82" spans="1:5">
      <c r="A82" s="1060">
        <v>213208</v>
      </c>
      <c r="B82" s="501" t="s">
        <v>460</v>
      </c>
      <c r="C82" s="938"/>
      <c r="D82" s="938"/>
      <c r="E82" s="1061"/>
    </row>
    <row r="83" spans="1:5">
      <c r="A83" s="1060">
        <v>213209</v>
      </c>
      <c r="B83" s="501" t="s">
        <v>461</v>
      </c>
      <c r="C83" s="938"/>
      <c r="D83" s="938"/>
      <c r="E83" s="1061"/>
    </row>
    <row r="84" spans="1:5">
      <c r="A84" s="1062">
        <v>2133</v>
      </c>
      <c r="B84" s="1063" t="s">
        <v>674</v>
      </c>
      <c r="C84" s="1064">
        <f>C85+C86+C87</f>
        <v>0</v>
      </c>
      <c r="D84" s="1064">
        <f ref="D84:E84" si="0" t="shared">D85+D86+D87</f>
        <v>0</v>
      </c>
      <c r="E84" s="1064">
        <f si="0" t="shared"/>
        <v>0</v>
      </c>
    </row>
    <row r="85" spans="1:5">
      <c r="A85" s="1060">
        <v>213303</v>
      </c>
      <c r="B85" s="501" t="s">
        <v>675</v>
      </c>
      <c r="C85" s="938"/>
      <c r="D85" s="938"/>
      <c r="E85" s="1061"/>
    </row>
    <row r="86" spans="1:5">
      <c r="A86" s="1060">
        <v>213403</v>
      </c>
      <c r="B86" s="501" t="s">
        <v>676</v>
      </c>
      <c r="C86" s="938"/>
      <c r="D86" s="938"/>
      <c r="E86" s="1061"/>
    </row>
    <row r="87" spans="1:5">
      <c r="A87" s="1060">
        <v>213503</v>
      </c>
      <c r="B87" s="501" t="s">
        <v>677</v>
      </c>
      <c r="C87" s="938"/>
      <c r="D87" s="938"/>
      <c r="E87" s="1061"/>
    </row>
    <row r="88" spans="1:5">
      <c r="A88" s="1059">
        <v>22</v>
      </c>
      <c r="B88" s="499" t="s">
        <v>432</v>
      </c>
      <c r="C88" s="1058">
        <f>C89+C96</f>
        <v>0</v>
      </c>
      <c r="D88" s="1058">
        <f>D89+D96</f>
        <v>0</v>
      </c>
      <c r="E88" s="1056"/>
    </row>
    <row r="89" spans="1:5">
      <c r="A89" s="1065">
        <v>2200</v>
      </c>
      <c r="B89" s="1066" t="s">
        <v>630</v>
      </c>
      <c r="C89" s="937">
        <f>SUM(C90:C95)</f>
        <v>0</v>
      </c>
      <c r="D89" s="937">
        <f>SUM(D90:D95)</f>
        <v>0</v>
      </c>
      <c r="E89" s="1067"/>
    </row>
    <row r="90" spans="1:5">
      <c r="A90" s="1060">
        <v>220001</v>
      </c>
      <c r="B90" s="501" t="s">
        <v>434</v>
      </c>
      <c r="C90" s="938"/>
      <c r="D90" s="938"/>
      <c r="E90" s="1061"/>
    </row>
    <row r="91" spans="1:5">
      <c r="A91" s="1060">
        <v>221001</v>
      </c>
      <c r="B91" s="501" t="s">
        <v>436</v>
      </c>
      <c r="C91" s="938"/>
      <c r="D91" s="938"/>
      <c r="E91" s="1061"/>
    </row>
    <row r="92" spans="1:5">
      <c r="A92" s="1060">
        <v>222001</v>
      </c>
      <c r="B92" s="501" t="s">
        <v>438</v>
      </c>
      <c r="C92" s="938"/>
      <c r="D92" s="938"/>
      <c r="E92" s="1061"/>
    </row>
    <row r="93" spans="1:5">
      <c r="A93" s="1060">
        <v>223001</v>
      </c>
      <c r="B93" s="501" t="s">
        <v>440</v>
      </c>
      <c r="C93" s="938"/>
      <c r="D93" s="938"/>
      <c r="E93" s="1061"/>
    </row>
    <row r="94" spans="1:5">
      <c r="A94" s="1060">
        <v>224001</v>
      </c>
      <c r="B94" s="501" t="s">
        <v>442</v>
      </c>
      <c r="C94" s="938"/>
      <c r="D94" s="938"/>
      <c r="E94" s="1061"/>
    </row>
    <row r="95" spans="1:5">
      <c r="A95" s="1068">
        <v>225001</v>
      </c>
      <c r="B95" s="1069" t="s">
        <v>628</v>
      </c>
      <c r="C95" s="938"/>
      <c r="D95" s="938"/>
      <c r="E95" s="1061"/>
    </row>
    <row r="96" spans="1:5">
      <c r="A96" s="1070">
        <v>2260</v>
      </c>
      <c r="B96" s="1071" t="s">
        <v>629</v>
      </c>
      <c r="C96" s="937">
        <f>SUM(C97)</f>
        <v>0</v>
      </c>
      <c r="D96" s="937">
        <f>SUM(D97)</f>
        <v>0</v>
      </c>
      <c r="E96" s="1067"/>
    </row>
    <row r="97" spans="1:5">
      <c r="A97" s="1068">
        <v>226001</v>
      </c>
      <c r="B97" s="1069" t="s">
        <v>631</v>
      </c>
      <c r="C97" s="938"/>
      <c r="D97" s="938"/>
      <c r="E97" s="1061"/>
    </row>
    <row r="98" spans="1:5">
      <c r="A98" s="1059">
        <v>23</v>
      </c>
      <c r="B98" s="499" t="s">
        <v>466</v>
      </c>
      <c r="C98" s="1058">
        <f>SUM(C99:C101)</f>
        <v>0</v>
      </c>
      <c r="D98" s="1058">
        <f>SUM(D99:D101)</f>
        <v>0</v>
      </c>
      <c r="E98" s="1056"/>
    </row>
    <row r="99" spans="1:5">
      <c r="A99" s="1060">
        <v>230001</v>
      </c>
      <c r="B99" s="501" t="s">
        <v>468</v>
      </c>
      <c r="C99" s="938"/>
      <c r="D99" s="938"/>
      <c r="E99" s="1061"/>
    </row>
    <row r="100" spans="1:5">
      <c r="A100" s="1060">
        <v>231001</v>
      </c>
      <c r="B100" s="501" t="s">
        <v>470</v>
      </c>
      <c r="C100" s="938"/>
      <c r="D100" s="938"/>
      <c r="E100" s="1061"/>
    </row>
    <row r="101" spans="1:5">
      <c r="A101" s="1060">
        <v>232001</v>
      </c>
      <c r="B101" s="501" t="s">
        <v>472</v>
      </c>
      <c r="C101" s="938"/>
      <c r="D101" s="938"/>
      <c r="E101" s="1061"/>
    </row>
    <row r="102" spans="1:5">
      <c r="A102" s="1056" t="s">
        <v>327</v>
      </c>
      <c r="B102" s="499" t="s">
        <v>490</v>
      </c>
      <c r="C102" s="937">
        <f>C103</f>
        <v>0</v>
      </c>
      <c r="D102" s="937">
        <f>D103</f>
        <v>0</v>
      </c>
      <c r="E102" s="1056"/>
    </row>
    <row r="103" spans="1:5">
      <c r="A103" s="1072">
        <v>1311</v>
      </c>
      <c r="B103" s="499" t="s">
        <v>316</v>
      </c>
      <c r="C103" s="937">
        <f>SUM(C104:C109)</f>
        <v>0</v>
      </c>
      <c r="D103" s="937">
        <f>SUM(D104:D109)</f>
        <v>0</v>
      </c>
      <c r="E103" s="1056"/>
    </row>
    <row r="104" spans="1:5">
      <c r="A104" s="1073">
        <v>131101</v>
      </c>
      <c r="B104" s="501" t="s">
        <v>317</v>
      </c>
      <c r="C104" s="938"/>
      <c r="D104" s="938"/>
      <c r="E104" s="1061"/>
    </row>
    <row ht="30" r="105" spans="1:5">
      <c r="A105" s="1073">
        <v>131102</v>
      </c>
      <c r="B105" s="501" t="s">
        <v>318</v>
      </c>
      <c r="C105" s="938"/>
      <c r="D105" s="938"/>
      <c r="E105" s="1061"/>
    </row>
    <row ht="30" r="106" spans="1:5">
      <c r="A106" s="1073">
        <v>131103</v>
      </c>
      <c r="B106" s="501" t="s">
        <v>452</v>
      </c>
      <c r="C106" s="938"/>
      <c r="D106" s="938"/>
      <c r="E106" s="1061"/>
    </row>
    <row ht="30" r="107" spans="1:5">
      <c r="A107" s="1073">
        <v>131104</v>
      </c>
      <c r="B107" s="501" t="s">
        <v>319</v>
      </c>
      <c r="C107" s="938"/>
      <c r="D107" s="938"/>
      <c r="E107" s="1061"/>
    </row>
    <row ht="30" r="108" spans="1:5">
      <c r="A108" s="1073">
        <v>131105</v>
      </c>
      <c r="B108" s="501" t="s">
        <v>320</v>
      </c>
      <c r="C108" s="938"/>
      <c r="D108" s="938"/>
      <c r="E108" s="1074"/>
    </row>
    <row r="109" spans="1:5">
      <c r="A109" s="1073">
        <v>131106</v>
      </c>
      <c r="B109" s="501" t="s">
        <v>321</v>
      </c>
      <c r="C109" s="938"/>
      <c r="D109" s="938"/>
      <c r="E109" s="1061"/>
    </row>
    <row r="110" spans="1:5">
      <c r="A110" s="1075" t="s">
        <v>444</v>
      </c>
      <c r="B110" s="1063" t="s">
        <v>626</v>
      </c>
      <c r="C110" s="1064"/>
      <c r="D110" s="1064"/>
      <c r="E110" s="1074"/>
    </row>
    <row r="111" spans="1:5">
      <c r="A111" s="1076"/>
      <c r="B111" s="1066" t="s">
        <v>478</v>
      </c>
      <c r="C111" s="937"/>
      <c r="D111" s="937"/>
      <c r="E111" s="1056"/>
    </row>
    <row r="112" spans="1:5">
      <c r="A112" s="1076"/>
      <c r="B112" s="1077" t="s">
        <v>521</v>
      </c>
      <c r="C112" s="937"/>
      <c r="D112" s="937"/>
      <c r="E112" s="1067"/>
    </row>
    <row r="113" spans="1:5">
      <c r="A113" s="994"/>
      <c r="B113" s="1078"/>
      <c r="C113" s="1079"/>
      <c r="D113" s="1079"/>
      <c r="E113" s="1080"/>
    </row>
    <row r="114" spans="1:5">
      <c r="A114" s="994"/>
      <c r="B114" s="1078"/>
      <c r="C114" s="1079"/>
      <c r="D114" s="1079"/>
      <c r="E114" s="1081"/>
    </row>
    <row r="115" spans="1:5">
      <c r="A115" s="994"/>
      <c r="B115" s="1078"/>
      <c r="C115" s="1079"/>
      <c r="D115" s="1079"/>
      <c r="E115" s="1080"/>
    </row>
    <row r="116" spans="1:5">
      <c r="A116" s="994"/>
      <c r="B116" s="1078"/>
      <c r="C116" s="1079"/>
      <c r="D116" s="1079"/>
      <c r="E116" s="1081"/>
    </row>
    <row r="117" spans="1:5">
      <c r="A117" s="994"/>
      <c r="B117" s="1078"/>
      <c r="C117" s="1079"/>
      <c r="D117" s="1079"/>
      <c r="E117" s="1080"/>
    </row>
    <row r="118" spans="1:5">
      <c r="A118" s="994"/>
      <c r="B118" s="1078"/>
      <c r="C118" s="1079"/>
      <c r="D118" s="1079"/>
      <c r="E118" s="1080"/>
    </row>
    <row r="119" spans="1:5">
      <c r="A119" s="994"/>
      <c r="B119" s="1078"/>
      <c r="C119" s="1079"/>
      <c r="D119" s="1079"/>
      <c r="E119" s="1080"/>
    </row>
    <row r="120" spans="1:5">
      <c r="A120" s="994"/>
      <c r="B120" s="1078"/>
      <c r="C120" s="1079"/>
      <c r="D120" s="1079"/>
      <c r="E120" s="1080"/>
    </row>
    <row r="121" spans="1:5">
      <c r="A121" s="994"/>
      <c r="B121" s="1078"/>
      <c r="C121" s="1079"/>
      <c r="D121" s="1079"/>
      <c r="E121" s="1081"/>
    </row>
    <row r="122" spans="1:5">
      <c r="A122" s="994"/>
      <c r="B122" s="1078"/>
      <c r="C122" s="1079"/>
      <c r="D122" s="1079"/>
      <c r="E122" s="1080"/>
    </row>
    <row r="123" spans="1:5">
      <c r="A123" s="994"/>
      <c r="B123" s="1078"/>
      <c r="C123" s="1079"/>
      <c r="D123" s="1079"/>
      <c r="E123" s="1081"/>
    </row>
    <row r="124" spans="1:5">
      <c r="A124" s="994"/>
      <c r="B124" s="1078"/>
      <c r="C124" s="1079"/>
      <c r="D124" s="1079"/>
      <c r="E124" s="1080"/>
    </row>
    <row r="125" spans="1:5">
      <c r="A125" s="994"/>
      <c r="B125" s="1078"/>
      <c r="C125" s="1079"/>
      <c r="D125" s="1079"/>
      <c r="E125" s="1082"/>
    </row>
    <row r="126" spans="1:5">
      <c r="A126" s="994"/>
      <c r="B126" s="1078"/>
      <c r="C126" s="1079"/>
      <c r="D126" s="1079"/>
      <c r="E126" s="1081"/>
    </row>
    <row r="127" spans="1:5">
      <c r="A127" s="994"/>
      <c r="B127" s="1078"/>
      <c r="C127" s="1079"/>
      <c r="D127" s="1079"/>
      <c r="E127" s="1081"/>
    </row>
    <row r="128" spans="1:5">
      <c r="A128" s="994"/>
      <c r="B128" s="1078"/>
      <c r="C128" s="1079"/>
      <c r="D128" s="1079"/>
      <c r="E128" s="1080"/>
    </row>
    <row r="129" spans="1:5">
      <c r="A129" s="994"/>
      <c r="B129" s="1078"/>
      <c r="C129" s="1079"/>
      <c r="D129" s="1079"/>
      <c r="E129" s="1080"/>
    </row>
    <row r="130" spans="1:5">
      <c r="A130" s="994"/>
      <c r="B130" s="1078"/>
      <c r="C130" s="1079"/>
      <c r="D130" s="1079"/>
      <c r="E130" s="1081"/>
    </row>
    <row r="131" spans="1:5">
      <c r="A131" s="994"/>
      <c r="B131" s="1078"/>
      <c r="C131" s="1079"/>
      <c r="D131" s="1079"/>
      <c r="E131" s="1080"/>
    </row>
    <row r="132" spans="1:5">
      <c r="A132" s="994"/>
      <c r="B132" s="1078"/>
      <c r="C132" s="1079"/>
      <c r="D132" s="1079"/>
      <c r="E132" s="1080"/>
    </row>
    <row r="133" spans="1:5">
      <c r="A133" s="994"/>
      <c r="B133" s="1078"/>
      <c r="C133" s="1079"/>
      <c r="D133" s="1079"/>
      <c r="E133" s="1080"/>
    </row>
    <row r="134" spans="1:5">
      <c r="A134" s="994"/>
      <c r="B134" s="1078"/>
      <c r="C134" s="1079"/>
      <c r="D134" s="1079"/>
      <c r="E134" s="1080"/>
    </row>
    <row r="135" spans="1:5">
      <c r="A135" s="994"/>
      <c r="B135" s="1078"/>
      <c r="C135" s="1079"/>
      <c r="D135" s="1079"/>
      <c r="E135" s="1081"/>
    </row>
    <row r="136" spans="1:5">
      <c r="A136" s="994"/>
      <c r="B136" s="1078"/>
      <c r="C136" s="1079"/>
      <c r="D136" s="1079"/>
      <c r="E136" s="1081"/>
    </row>
    <row r="137" spans="1:5">
      <c r="A137" s="994"/>
      <c r="B137" s="1078"/>
      <c r="C137" s="1079"/>
      <c r="D137" s="1079"/>
      <c r="E137" s="1080"/>
    </row>
    <row r="138" spans="1:5">
      <c r="A138" s="994"/>
      <c r="B138" s="1078"/>
      <c r="C138" s="1079"/>
      <c r="D138" s="1079"/>
      <c r="E138" s="1080"/>
    </row>
    <row r="139" spans="1:5">
      <c r="A139" s="994"/>
      <c r="B139" s="1078"/>
      <c r="C139" s="1079"/>
      <c r="D139" s="1079"/>
      <c r="E139" s="1081"/>
    </row>
    <row r="140" spans="1:5">
      <c r="A140" s="994"/>
      <c r="B140" s="1078"/>
      <c r="C140" s="1079"/>
      <c r="D140" s="1079"/>
      <c r="E140" s="1080"/>
    </row>
    <row r="141" spans="1:5">
      <c r="A141" s="994"/>
      <c r="B141" s="1078"/>
      <c r="C141" s="1079"/>
      <c r="D141" s="1079"/>
      <c r="E141" s="1080"/>
    </row>
    <row r="142" spans="1:5">
      <c r="A142" s="994"/>
      <c r="B142" s="1078"/>
      <c r="C142" s="1079"/>
      <c r="D142" s="1079"/>
      <c r="E142" s="1081"/>
    </row>
    <row r="143" spans="1:5">
      <c r="A143" s="994"/>
      <c r="B143" s="1078"/>
      <c r="C143" s="1079"/>
      <c r="D143" s="1079"/>
      <c r="E143" s="1080"/>
    </row>
    <row r="144" spans="1:5">
      <c r="A144" s="994"/>
      <c r="B144" s="1078"/>
      <c r="C144" s="1079"/>
      <c r="D144" s="1079"/>
      <c r="E144" s="1080"/>
    </row>
    <row r="145" spans="1:5">
      <c r="A145" s="994"/>
      <c r="B145" s="1078"/>
      <c r="C145" s="1079"/>
      <c r="D145" s="1079"/>
      <c r="E145" s="1083"/>
    </row>
    <row r="146" spans="1:5">
      <c r="A146" s="994"/>
      <c r="B146" s="1078"/>
      <c r="C146" s="1079"/>
      <c r="D146" s="1079"/>
      <c r="E146" s="1084"/>
    </row>
    <row r="147" spans="1:5">
      <c r="A147" s="994"/>
      <c r="B147" s="1078"/>
      <c r="C147" s="1079"/>
      <c r="D147" s="1079"/>
      <c r="E147" s="1084"/>
    </row>
    <row r="148" spans="1:5">
      <c r="A148" s="994"/>
      <c r="B148" s="1078"/>
      <c r="C148" s="1079"/>
      <c r="D148" s="1079"/>
      <c r="E148" s="1084"/>
    </row>
    <row r="149" spans="1:5">
      <c r="A149" s="994"/>
      <c r="B149" s="1078"/>
      <c r="C149" s="1050"/>
      <c r="D149" s="1050"/>
      <c r="E149" s="1085"/>
    </row>
    <row r="150" spans="1:5">
      <c r="A150" s="994"/>
      <c r="B150" s="1078"/>
      <c r="C150" s="1050"/>
      <c r="D150" s="1050"/>
      <c r="E150" s="1085"/>
    </row>
    <row r="151" spans="1:5">
      <c r="A151" s="994"/>
      <c r="B151" s="1078"/>
      <c r="C151" s="1050"/>
      <c r="D151" s="1050"/>
      <c r="E151" s="1085"/>
    </row>
    <row r="152" spans="1:5">
      <c r="A152" s="994"/>
      <c r="B152" s="1078"/>
      <c r="C152" s="1050"/>
      <c r="D152" s="1050"/>
      <c r="E152" s="1085"/>
    </row>
    <row r="153" spans="1:5">
      <c r="A153" s="994"/>
      <c r="B153" s="1078"/>
      <c r="C153" s="1050"/>
      <c r="D153" s="1050"/>
      <c r="E153" s="1085"/>
    </row>
    <row r="154" spans="1:5">
      <c r="A154" s="994"/>
      <c r="B154" s="1078"/>
      <c r="C154" s="1050"/>
      <c r="D154" s="1050"/>
      <c r="E154" s="1085"/>
    </row>
    <row r="155" spans="1:5">
      <c r="A155" s="994"/>
      <c r="B155" s="1078"/>
      <c r="C155" s="1050"/>
      <c r="D155" s="1050"/>
      <c r="E155" s="1085"/>
    </row>
    <row r="156" spans="1:5">
      <c r="A156" s="994"/>
      <c r="B156" s="1078"/>
      <c r="C156" s="1050"/>
      <c r="D156" s="1050"/>
      <c r="E156" s="1085"/>
    </row>
    <row r="157" spans="1:5">
      <c r="A157" s="994"/>
      <c r="B157" s="1078"/>
      <c r="C157" s="1050"/>
      <c r="D157" s="1050"/>
      <c r="E157" s="1085"/>
    </row>
    <row r="158" spans="1:5">
      <c r="A158" s="994"/>
      <c r="B158" s="1078"/>
      <c r="C158" s="1050"/>
      <c r="D158" s="1050"/>
      <c r="E158" s="1085"/>
    </row>
    <row r="159" spans="1:5">
      <c r="A159" s="994"/>
      <c r="B159" s="1078"/>
      <c r="C159" s="1050"/>
      <c r="D159" s="1050"/>
      <c r="E159" s="1085"/>
    </row>
    <row r="160" spans="1:5">
      <c r="A160" s="994"/>
      <c r="B160" s="1078"/>
      <c r="C160" s="1050"/>
      <c r="D160" s="1050"/>
      <c r="E160" s="1085"/>
    </row>
    <row r="161" spans="1:5">
      <c r="A161" s="994"/>
      <c r="B161" s="1078"/>
      <c r="C161" s="1050"/>
      <c r="D161" s="1050"/>
      <c r="E161" s="1085"/>
    </row>
    <row r="162" spans="1:5">
      <c r="A162" s="994"/>
      <c r="B162" s="1078"/>
      <c r="C162" s="1050"/>
      <c r="D162" s="1050"/>
      <c r="E162" s="1085"/>
    </row>
    <row r="163" spans="1:5">
      <c r="A163" s="994"/>
      <c r="B163" s="1078"/>
      <c r="C163" s="1050"/>
      <c r="D163" s="1050"/>
      <c r="E163" s="1085"/>
    </row>
    <row r="164" spans="1:5">
      <c r="A164" s="994"/>
      <c r="B164" s="1078"/>
      <c r="C164" s="1050"/>
      <c r="D164" s="1050"/>
      <c r="E164" s="1085"/>
    </row>
    <row r="165" spans="1:5">
      <c r="A165" s="994"/>
      <c r="B165" s="1078"/>
      <c r="C165" s="1050"/>
      <c r="D165" s="1050"/>
      <c r="E165" s="1085"/>
    </row>
    <row r="166" spans="1:5">
      <c r="A166" s="994"/>
      <c r="B166" s="1078"/>
      <c r="C166" s="1050"/>
      <c r="D166" s="1050"/>
      <c r="E166" s="1085"/>
    </row>
    <row r="167" spans="1:5">
      <c r="A167" s="994"/>
      <c r="B167" s="1078"/>
      <c r="C167" s="1050"/>
      <c r="D167" s="1050"/>
      <c r="E167" s="1085"/>
    </row>
    <row r="168" spans="1:5">
      <c r="A168" s="994"/>
      <c r="B168" s="1078"/>
      <c r="C168" s="1050"/>
      <c r="D168" s="1050"/>
      <c r="E168" s="1085"/>
    </row>
    <row r="169" spans="1:5">
      <c r="A169" s="994"/>
      <c r="B169" s="1078"/>
      <c r="C169" s="1050"/>
      <c r="D169" s="1050"/>
      <c r="E169" s="1085"/>
    </row>
    <row r="170" spans="1:5">
      <c r="A170" s="994"/>
      <c r="B170" s="1078"/>
      <c r="C170" s="1050"/>
      <c r="D170" s="1050"/>
      <c r="E170" s="1085"/>
    </row>
    <row r="171" spans="1:5">
      <c r="A171" s="994"/>
      <c r="B171" s="1078"/>
      <c r="C171" s="1050"/>
      <c r="D171" s="1050"/>
      <c r="E171" s="1085"/>
    </row>
    <row r="172" spans="1:5">
      <c r="A172" s="994"/>
      <c r="B172" s="1078"/>
      <c r="C172" s="1050"/>
      <c r="D172" s="1050"/>
      <c r="E172" s="1085"/>
    </row>
    <row r="173" spans="1:5">
      <c r="A173" s="994"/>
      <c r="B173" s="1078"/>
      <c r="C173" s="1050"/>
      <c r="D173" s="1050"/>
      <c r="E173" s="1085"/>
    </row>
    <row r="174" spans="1:5">
      <c r="A174" s="994"/>
      <c r="B174" s="1078"/>
      <c r="C174" s="1050"/>
      <c r="D174" s="1050"/>
      <c r="E174" s="1085"/>
    </row>
    <row r="175" spans="1:5">
      <c r="A175" s="994"/>
      <c r="B175" s="1078"/>
      <c r="C175" s="1050"/>
      <c r="D175" s="1050"/>
      <c r="E175" s="1085"/>
    </row>
    <row r="176" spans="1:5">
      <c r="A176" s="994"/>
      <c r="B176" s="1078"/>
      <c r="C176" s="1050"/>
      <c r="D176" s="1050"/>
      <c r="E176" s="1085"/>
    </row>
    <row r="177" spans="1:5">
      <c r="A177" s="994"/>
      <c r="B177" s="1078"/>
      <c r="C177" s="1050"/>
      <c r="D177" s="1050"/>
      <c r="E177" s="1085"/>
    </row>
    <row r="178" spans="1:5">
      <c r="A178" s="994"/>
      <c r="B178" s="1078"/>
      <c r="C178" s="1050"/>
      <c r="D178" s="1050"/>
      <c r="E178" s="1085"/>
    </row>
    <row r="179" spans="1:5">
      <c r="A179" s="994"/>
      <c r="B179" s="1078"/>
      <c r="C179" s="1050"/>
      <c r="D179" s="1050"/>
      <c r="E179" s="1085"/>
    </row>
    <row r="180" spans="1:5">
      <c r="A180" s="994"/>
      <c r="B180" s="1078"/>
      <c r="C180" s="1050"/>
      <c r="D180" s="1050"/>
      <c r="E180" s="1085"/>
    </row>
    <row r="181" spans="1:5">
      <c r="A181" s="994"/>
      <c r="B181" s="1078"/>
      <c r="C181" s="1050"/>
      <c r="D181" s="1050"/>
      <c r="E181" s="1085"/>
    </row>
    <row r="182" spans="1:5">
      <c r="A182" s="994"/>
      <c r="B182" s="1078"/>
      <c r="C182" s="1050"/>
      <c r="D182" s="1050"/>
      <c r="E182" s="1085"/>
    </row>
    <row r="183" spans="1:5">
      <c r="A183" s="994"/>
      <c r="B183" s="1078"/>
      <c r="C183" s="1050"/>
      <c r="D183" s="1050"/>
      <c r="E183" s="1085"/>
    </row>
    <row r="184" spans="1:5">
      <c r="A184" s="994"/>
      <c r="B184" s="1078"/>
      <c r="C184" s="1050"/>
      <c r="D184" s="1050"/>
      <c r="E184" s="1085"/>
    </row>
    <row r="185" spans="1:5">
      <c r="A185" s="994"/>
      <c r="B185" s="1078"/>
      <c r="C185" s="1050"/>
      <c r="D185" s="1050"/>
      <c r="E185" s="1085"/>
    </row>
    <row r="186" spans="1:5">
      <c r="A186" s="994"/>
      <c r="B186" s="1078"/>
      <c r="C186" s="1050"/>
      <c r="D186" s="1050"/>
      <c r="E186" s="1085"/>
    </row>
    <row r="187" spans="1:5">
      <c r="A187" s="994"/>
      <c r="B187" s="1078"/>
      <c r="C187" s="1050"/>
      <c r="D187" s="1050"/>
      <c r="E187" s="1085"/>
    </row>
    <row r="188" spans="1:5">
      <c r="A188" s="994"/>
      <c r="B188" s="1078"/>
      <c r="C188" s="1050"/>
      <c r="D188" s="1050"/>
      <c r="E188" s="1085"/>
    </row>
    <row r="189" spans="1:5">
      <c r="A189" s="994"/>
      <c r="B189" s="1078"/>
      <c r="C189" s="1050"/>
      <c r="D189" s="1050"/>
      <c r="E189" s="1085"/>
    </row>
    <row r="190" spans="1:5">
      <c r="A190" s="994"/>
      <c r="B190" s="1078"/>
      <c r="C190" s="1050"/>
      <c r="D190" s="1050"/>
      <c r="E190" s="1085"/>
    </row>
    <row r="191" spans="1:5">
      <c r="A191" s="994"/>
      <c r="B191" s="1078"/>
      <c r="C191" s="1050"/>
      <c r="D191" s="1050"/>
      <c r="E191" s="1085"/>
    </row>
    <row r="192" spans="1:5">
      <c r="A192" s="994"/>
      <c r="B192" s="1078"/>
      <c r="C192" s="1050"/>
      <c r="D192" s="1050"/>
      <c r="E192" s="1085"/>
    </row>
    <row r="193" spans="1:5">
      <c r="A193" s="994"/>
      <c r="B193" s="1078"/>
      <c r="C193" s="1050"/>
      <c r="D193" s="1050"/>
      <c r="E193" s="1085"/>
    </row>
    <row r="194" spans="1:5">
      <c r="A194" s="994"/>
      <c r="B194" s="1078"/>
      <c r="C194" s="1050"/>
      <c r="D194" s="1050"/>
      <c r="E194" s="1085"/>
    </row>
    <row r="195" spans="1:5">
      <c r="A195" s="994"/>
      <c r="B195" s="1078"/>
      <c r="C195" s="1050"/>
      <c r="D195" s="1050"/>
      <c r="E195" s="1085"/>
    </row>
    <row r="196" spans="1:5">
      <c r="A196" s="994"/>
      <c r="B196" s="1078"/>
      <c r="C196" s="1050"/>
      <c r="D196" s="1050"/>
      <c r="E196" s="1085"/>
    </row>
    <row r="197" spans="1:5">
      <c r="A197" s="994"/>
      <c r="B197" s="1078"/>
      <c r="C197" s="1050"/>
      <c r="D197" s="1050"/>
      <c r="E197" s="1085"/>
    </row>
    <row r="198" spans="1:5">
      <c r="A198" s="994"/>
      <c r="B198" s="1078"/>
      <c r="C198" s="1050"/>
      <c r="D198" s="1050"/>
      <c r="E198" s="1085"/>
    </row>
    <row r="199" spans="1:5">
      <c r="A199" s="994"/>
      <c r="B199" s="1078"/>
      <c r="C199" s="1050"/>
      <c r="D199" s="1050"/>
      <c r="E199" s="1085"/>
    </row>
    <row r="200" spans="1:5">
      <c r="A200" s="994"/>
      <c r="B200" s="1078"/>
      <c r="C200" s="1050"/>
      <c r="D200" s="1050"/>
      <c r="E200" s="1085"/>
    </row>
    <row r="201" spans="1:5">
      <c r="A201" s="994"/>
      <c r="B201" s="1078"/>
      <c r="C201" s="1050"/>
      <c r="D201" s="1050"/>
      <c r="E201" s="1085"/>
    </row>
    <row r="202" spans="1:5">
      <c r="A202" s="994"/>
      <c r="B202" s="1078"/>
      <c r="C202" s="1050"/>
      <c r="D202" s="1050"/>
      <c r="E202" s="1085"/>
    </row>
    <row r="203" spans="1:5">
      <c r="A203" s="994"/>
      <c r="B203" s="1078"/>
      <c r="C203" s="1050"/>
      <c r="D203" s="1050"/>
      <c r="E203" s="1085"/>
    </row>
    <row r="204" spans="1:5">
      <c r="A204" s="994"/>
      <c r="B204" s="1078"/>
      <c r="C204" s="1050"/>
      <c r="D204" s="1050"/>
      <c r="E204" s="1085"/>
    </row>
    <row r="205" spans="1:5">
      <c r="A205" s="994"/>
      <c r="B205" s="1078"/>
      <c r="C205" s="1050"/>
      <c r="D205" s="1050"/>
      <c r="E205" s="1085"/>
    </row>
    <row r="206" spans="1:5">
      <c r="A206" s="994"/>
      <c r="B206" s="1078"/>
      <c r="C206" s="1050"/>
      <c r="D206" s="1050"/>
      <c r="E206" s="1085"/>
    </row>
    <row r="207" spans="1:5">
      <c r="A207" s="994"/>
      <c r="B207" s="1078"/>
      <c r="C207" s="1050"/>
      <c r="D207" s="1050"/>
      <c r="E207" s="1085"/>
    </row>
    <row r="208" spans="1:5">
      <c r="A208" s="994"/>
      <c r="B208" s="1078"/>
      <c r="C208" s="1050"/>
      <c r="D208" s="1050"/>
      <c r="E208" s="1085"/>
    </row>
    <row r="209" spans="1:5">
      <c r="A209" s="994"/>
      <c r="B209" s="1078"/>
      <c r="C209" s="1050"/>
      <c r="D209" s="1050"/>
      <c r="E209" s="1085"/>
    </row>
    <row r="210" spans="1:5">
      <c r="A210" s="994"/>
      <c r="B210" s="1078"/>
      <c r="C210" s="1050"/>
      <c r="D210" s="1050"/>
      <c r="E210" s="1085"/>
    </row>
    <row r="211" spans="1:5">
      <c r="A211" s="994"/>
      <c r="B211" s="1078"/>
      <c r="C211" s="1050"/>
      <c r="D211" s="1050"/>
      <c r="E211" s="1085"/>
    </row>
    <row r="212" spans="1:5">
      <c r="A212" s="994"/>
      <c r="B212" s="1078"/>
      <c r="C212" s="1050"/>
      <c r="D212" s="1050"/>
      <c r="E212" s="1085"/>
    </row>
    <row r="213" spans="1:5">
      <c r="A213" s="994"/>
      <c r="B213" s="1078"/>
      <c r="C213" s="1050"/>
      <c r="D213" s="1050"/>
      <c r="E213" s="1085"/>
    </row>
    <row r="214" spans="1:5">
      <c r="A214" s="994"/>
      <c r="B214" s="1078"/>
      <c r="C214" s="1050"/>
      <c r="D214" s="1050"/>
      <c r="E214" s="1085"/>
    </row>
    <row r="215" spans="1:5">
      <c r="A215" s="994"/>
      <c r="B215" s="1078"/>
      <c r="C215" s="1050"/>
      <c r="D215" s="1050"/>
      <c r="E215" s="1085"/>
    </row>
    <row r="216" spans="1:5">
      <c r="A216" s="994"/>
      <c r="B216" s="1078"/>
      <c r="C216" s="1050"/>
      <c r="D216" s="1050"/>
      <c r="E216" s="1085"/>
    </row>
    <row r="217" spans="1:5">
      <c r="A217" s="994"/>
      <c r="B217" s="1078"/>
      <c r="C217" s="1050"/>
      <c r="D217" s="1050"/>
      <c r="E217" s="1085"/>
    </row>
    <row r="218" spans="1:5">
      <c r="A218" s="994"/>
      <c r="B218" s="1078"/>
      <c r="C218" s="1050"/>
      <c r="D218" s="1050"/>
      <c r="E218" s="1085"/>
    </row>
    <row r="219" spans="1:5">
      <c r="A219" s="994"/>
      <c r="B219" s="1078"/>
      <c r="C219" s="1050"/>
      <c r="D219" s="1050"/>
      <c r="E219" s="1086"/>
    </row>
    <row r="220" spans="1:5">
      <c r="A220" s="994"/>
      <c r="B220" s="1078"/>
      <c r="C220" s="1050"/>
      <c r="D220" s="1050"/>
      <c r="E220" s="1086"/>
    </row>
    <row r="221" spans="1:5">
      <c r="A221" s="994"/>
      <c r="B221" s="1078"/>
      <c r="C221" s="1050"/>
      <c r="D221" s="1050"/>
      <c r="E221" s="1086"/>
    </row>
    <row r="222" spans="1:5">
      <c r="A222" s="994"/>
      <c r="B222" s="1078"/>
      <c r="C222" s="1050"/>
      <c r="D222" s="1050"/>
      <c r="E222" s="1086"/>
    </row>
    <row r="223" spans="1:5">
      <c r="A223" s="994"/>
      <c r="B223" s="1078"/>
      <c r="C223" s="1050"/>
      <c r="D223" s="1050"/>
      <c r="E223" s="1086"/>
    </row>
    <row r="224" spans="1:5">
      <c r="A224" s="994"/>
      <c r="B224" s="1078"/>
      <c r="C224" s="1050"/>
      <c r="D224" s="1050"/>
      <c r="E224" s="1086"/>
    </row>
    <row r="225" spans="1:5">
      <c r="A225" s="994"/>
      <c r="B225" s="1078"/>
      <c r="C225" s="1050"/>
      <c r="D225" s="1050"/>
      <c r="E225" s="1086"/>
    </row>
    <row r="226" spans="1:5">
      <c r="A226" s="994"/>
      <c r="B226" s="1078"/>
      <c r="C226" s="1050"/>
      <c r="D226" s="1050"/>
      <c r="E226" s="1086"/>
    </row>
    <row r="227" spans="1:5">
      <c r="A227" s="994"/>
      <c r="B227" s="1078"/>
      <c r="C227" s="1050"/>
      <c r="D227" s="1050"/>
      <c r="E227" s="1086"/>
    </row>
    <row r="228" spans="1:5">
      <c r="A228" s="994"/>
      <c r="B228" s="1078"/>
      <c r="C228" s="1050"/>
      <c r="D228" s="1050"/>
      <c r="E228" s="1086"/>
    </row>
    <row r="229" spans="1:5">
      <c r="A229" s="994"/>
      <c r="B229" s="1078"/>
      <c r="C229" s="1050"/>
      <c r="D229" s="1050"/>
      <c r="E229" s="1086"/>
    </row>
    <row r="230" spans="1:5">
      <c r="A230" s="994"/>
      <c r="B230" s="1078"/>
      <c r="C230" s="1050"/>
      <c r="D230" s="1050"/>
      <c r="E230" s="1086"/>
    </row>
    <row r="231" spans="1:5">
      <c r="A231" s="994"/>
      <c r="B231" s="1078"/>
      <c r="C231" s="1050"/>
      <c r="D231" s="1050"/>
      <c r="E231" s="1086"/>
    </row>
    <row r="232" spans="1:5">
      <c r="A232" s="994"/>
      <c r="B232" s="1078"/>
      <c r="C232" s="1050"/>
      <c r="D232" s="1050"/>
      <c r="E232" s="1086"/>
    </row>
    <row r="233" spans="1:5">
      <c r="A233" s="994"/>
      <c r="B233" s="1078"/>
      <c r="C233" s="1050"/>
      <c r="D233" s="1050"/>
      <c r="E233" s="1086"/>
    </row>
    <row r="234" spans="1:5">
      <c r="A234" s="994"/>
      <c r="B234" s="1078"/>
      <c r="C234" s="1050"/>
      <c r="D234" s="1050"/>
      <c r="E234" s="1086"/>
    </row>
    <row r="235" spans="1:5">
      <c r="A235" s="994"/>
      <c r="B235" s="1078"/>
      <c r="C235" s="1050"/>
      <c r="D235" s="1050"/>
      <c r="E235" s="1086"/>
    </row>
    <row r="236" spans="1:5">
      <c r="A236" s="994"/>
      <c r="B236" s="1078"/>
      <c r="C236" s="1050"/>
      <c r="D236" s="1050"/>
      <c r="E236" s="1086"/>
    </row>
    <row r="237" spans="1:5">
      <c r="A237" s="994"/>
      <c r="B237" s="1078"/>
      <c r="C237" s="1050"/>
      <c r="D237" s="1050"/>
      <c r="E237" s="1086"/>
    </row>
    <row r="238" spans="1:5">
      <c r="A238" s="994"/>
      <c r="B238" s="1078"/>
      <c r="C238" s="1050"/>
      <c r="D238" s="1050"/>
      <c r="E238" s="1086"/>
    </row>
    <row r="239" spans="1:5">
      <c r="A239" s="994"/>
      <c r="B239" s="1078"/>
      <c r="C239" s="1050"/>
      <c r="D239" s="1050"/>
      <c r="E239" s="1086"/>
    </row>
    <row r="240" spans="1:5">
      <c r="A240" s="994"/>
      <c r="B240" s="1078"/>
      <c r="C240" s="1050"/>
      <c r="D240" s="1050"/>
      <c r="E240" s="1086"/>
    </row>
    <row r="241" spans="1:5">
      <c r="A241" s="994"/>
      <c r="B241" s="1078"/>
      <c r="C241" s="1050"/>
      <c r="D241" s="1050"/>
      <c r="E241" s="1086"/>
    </row>
    <row r="242" spans="1:5">
      <c r="A242" s="994"/>
      <c r="B242" s="1078"/>
      <c r="C242" s="1050"/>
      <c r="D242" s="1050"/>
      <c r="E242" s="1086"/>
    </row>
    <row r="243" spans="1:5">
      <c r="A243" s="994"/>
      <c r="B243" s="1078"/>
      <c r="C243" s="1050"/>
      <c r="D243" s="1050"/>
      <c r="E243" s="1086"/>
    </row>
    <row r="244" spans="1:5">
      <c r="A244" s="994"/>
      <c r="B244" s="1078"/>
      <c r="C244" s="1050"/>
      <c r="D244" s="1050"/>
      <c r="E244" s="1086"/>
    </row>
    <row r="245" spans="1:5">
      <c r="A245" s="994"/>
      <c r="B245" s="1078"/>
      <c r="C245" s="1050"/>
      <c r="D245" s="1050"/>
      <c r="E245" s="1086"/>
    </row>
    <row r="246" spans="1:5">
      <c r="A246" s="994"/>
      <c r="B246" s="1078"/>
      <c r="C246" s="1050"/>
      <c r="D246" s="1050"/>
      <c r="E246" s="1086"/>
    </row>
    <row r="247" spans="1:5">
      <c r="A247" s="994"/>
      <c r="B247" s="1078"/>
      <c r="C247" s="1050"/>
      <c r="D247" s="1050"/>
      <c r="E247" s="1086"/>
    </row>
    <row r="248" spans="1:5">
      <c r="A248" s="994"/>
      <c r="B248" s="1078"/>
      <c r="C248" s="1050"/>
      <c r="D248" s="1050"/>
      <c r="E248" s="1086"/>
    </row>
    <row r="249" spans="1:5">
      <c r="A249" s="994"/>
      <c r="B249" s="1078"/>
      <c r="C249" s="1050"/>
      <c r="D249" s="1050"/>
      <c r="E249" s="1086"/>
    </row>
    <row r="250" spans="1:5">
      <c r="A250" s="994"/>
      <c r="B250" s="1078"/>
      <c r="C250" s="1050"/>
      <c r="D250" s="1050"/>
      <c r="E250" s="1086"/>
    </row>
    <row r="251" spans="1:5">
      <c r="A251" s="994"/>
      <c r="B251" s="1078"/>
      <c r="C251" s="1050"/>
      <c r="D251" s="1050"/>
      <c r="E251" s="1086"/>
    </row>
    <row r="252" spans="1:5">
      <c r="A252" s="994"/>
      <c r="B252" s="1078"/>
      <c r="C252" s="1050"/>
      <c r="D252" s="1050"/>
      <c r="E252" s="1086"/>
    </row>
    <row r="253" spans="1:5">
      <c r="A253" s="994"/>
      <c r="B253" s="1078"/>
      <c r="C253" s="1050"/>
      <c r="D253" s="1050"/>
      <c r="E253" s="1086"/>
    </row>
    <row r="254" spans="1:5">
      <c r="A254" s="994"/>
      <c r="B254" s="1078"/>
      <c r="C254" s="1050"/>
      <c r="D254" s="1050"/>
      <c r="E254" s="1086"/>
    </row>
    <row r="255" spans="1:5">
      <c r="A255" s="994"/>
      <c r="B255" s="1078"/>
      <c r="C255" s="1050"/>
      <c r="D255" s="1050"/>
      <c r="E255" s="1086"/>
    </row>
    <row r="256" spans="1:5">
      <c r="A256" s="994"/>
      <c r="B256" s="1078"/>
      <c r="C256" s="1050"/>
      <c r="D256" s="1050"/>
      <c r="E256" s="1086"/>
    </row>
    <row r="257" spans="1:5">
      <c r="A257" s="994"/>
      <c r="B257" s="1078"/>
      <c r="C257" s="1050"/>
      <c r="D257" s="1050"/>
      <c r="E257" s="1086"/>
    </row>
    <row r="258" spans="1:5">
      <c r="A258" s="994"/>
      <c r="B258" s="1078"/>
      <c r="C258" s="1050"/>
      <c r="D258" s="1050"/>
      <c r="E258" s="1086"/>
    </row>
    <row r="259" spans="1:5">
      <c r="A259" s="994"/>
      <c r="B259" s="1078"/>
      <c r="C259" s="1050"/>
      <c r="D259" s="1050"/>
      <c r="E259" s="1086"/>
    </row>
    <row r="260" spans="1:5">
      <c r="A260" s="994"/>
      <c r="B260" s="1078"/>
      <c r="C260" s="1050"/>
      <c r="D260" s="1050"/>
      <c r="E260" s="1086"/>
    </row>
    <row r="261" spans="1:5">
      <c r="A261" s="994"/>
      <c r="B261" s="1078"/>
      <c r="C261" s="1050"/>
      <c r="D261" s="1050"/>
      <c r="E261" s="1086"/>
    </row>
    <row r="262" spans="1:5">
      <c r="A262" s="994"/>
      <c r="B262" s="1078"/>
      <c r="C262" s="1050"/>
      <c r="D262" s="1050"/>
      <c r="E262" s="1086"/>
    </row>
    <row r="263" spans="1:5">
      <c r="A263" s="994"/>
      <c r="B263" s="1078"/>
      <c r="C263" s="1050"/>
      <c r="D263" s="1050"/>
      <c r="E263" s="1086"/>
    </row>
    <row r="264" spans="1:5">
      <c r="A264" s="994"/>
      <c r="B264" s="1078"/>
      <c r="C264" s="1050"/>
      <c r="D264" s="1050"/>
      <c r="E264" s="1086"/>
    </row>
    <row r="265" spans="1:5">
      <c r="A265" s="994"/>
      <c r="B265" s="1078"/>
      <c r="C265" s="1050"/>
      <c r="D265" s="1050"/>
      <c r="E265" s="1086"/>
    </row>
    <row r="266" spans="1:5">
      <c r="A266" s="994"/>
      <c r="B266" s="1078"/>
      <c r="C266" s="1050"/>
      <c r="D266" s="1050"/>
      <c r="E266" s="1086"/>
    </row>
    <row r="267" spans="1:5">
      <c r="A267" s="994"/>
      <c r="B267" s="1078"/>
      <c r="C267" s="1050"/>
      <c r="D267" s="1050"/>
      <c r="E267" s="1086"/>
    </row>
    <row r="268" spans="1:5">
      <c r="A268" s="994"/>
      <c r="B268" s="1078"/>
      <c r="C268" s="1050"/>
      <c r="D268" s="1050"/>
      <c r="E268" s="1086"/>
    </row>
    <row r="269" spans="1:5">
      <c r="A269" s="994"/>
      <c r="B269" s="1078"/>
      <c r="C269" s="1050"/>
      <c r="D269" s="1050"/>
      <c r="E269" s="1086"/>
    </row>
    <row r="270" spans="1:5">
      <c r="A270" s="994"/>
      <c r="B270" s="1078"/>
      <c r="C270" s="1050"/>
      <c r="D270" s="1050"/>
      <c r="E270" s="1086"/>
    </row>
    <row r="271" spans="1:5">
      <c r="A271" s="994"/>
      <c r="B271" s="1078"/>
      <c r="C271" s="1050"/>
      <c r="D271" s="1050"/>
      <c r="E271" s="1086"/>
    </row>
    <row r="272" spans="1:5">
      <c r="A272" s="994"/>
      <c r="B272" s="1078"/>
      <c r="C272" s="1050"/>
      <c r="D272" s="1050"/>
      <c r="E272" s="1086"/>
    </row>
    <row r="273" spans="1:5">
      <c r="A273" s="994"/>
      <c r="B273" s="1078"/>
      <c r="C273" s="1050"/>
      <c r="D273" s="1050"/>
      <c r="E273" s="1086"/>
    </row>
    <row r="274" spans="1:5">
      <c r="A274" s="994"/>
      <c r="B274" s="1078"/>
      <c r="C274" s="1050"/>
      <c r="D274" s="1050"/>
      <c r="E274" s="1086"/>
    </row>
    <row r="275" spans="1:5">
      <c r="A275" s="994"/>
      <c r="B275" s="1078"/>
      <c r="C275" s="1050"/>
      <c r="D275" s="1050"/>
      <c r="E275" s="1086"/>
    </row>
    <row r="276" spans="1:5">
      <c r="A276" s="994"/>
      <c r="B276" s="1078"/>
      <c r="C276" s="1050"/>
      <c r="D276" s="1050"/>
      <c r="E276" s="1086"/>
    </row>
    <row r="277" spans="1:5">
      <c r="A277" s="994"/>
      <c r="B277" s="1078"/>
      <c r="C277" s="1050"/>
      <c r="D277" s="1050"/>
      <c r="E277" s="1086"/>
    </row>
    <row r="278" spans="1:5">
      <c r="A278" s="994"/>
      <c r="B278" s="1078"/>
      <c r="C278" s="1050"/>
      <c r="D278" s="1050"/>
      <c r="E278" s="1086"/>
    </row>
    <row r="279" spans="1:5">
      <c r="A279" s="994"/>
      <c r="B279" s="1078"/>
      <c r="C279" s="1050"/>
      <c r="D279" s="1050"/>
      <c r="E279" s="1086"/>
    </row>
    <row r="280" spans="1:5">
      <c r="A280" s="994"/>
      <c r="B280" s="1078"/>
      <c r="C280" s="1050"/>
      <c r="D280" s="1050"/>
      <c r="E280" s="1086"/>
    </row>
    <row r="281" spans="1:5">
      <c r="A281" s="994"/>
      <c r="B281" s="1078"/>
      <c r="C281" s="1050"/>
      <c r="D281" s="1050"/>
      <c r="E281" s="1086"/>
    </row>
    <row r="282" spans="1:5">
      <c r="A282" s="994"/>
      <c r="B282" s="1078"/>
      <c r="C282" s="1050"/>
      <c r="D282" s="1050"/>
      <c r="E282" s="1086"/>
    </row>
    <row r="283" spans="1:5">
      <c r="A283" s="994"/>
      <c r="B283" s="1078"/>
      <c r="C283" s="1050"/>
      <c r="D283" s="1050"/>
      <c r="E283" s="1086"/>
    </row>
    <row r="284" spans="1:5">
      <c r="A284" s="994"/>
      <c r="B284" s="1078"/>
      <c r="C284" s="1050"/>
      <c r="D284" s="1050"/>
      <c r="E284" s="1086"/>
    </row>
    <row r="285" spans="1:5">
      <c r="A285" s="994"/>
      <c r="B285" s="1078"/>
      <c r="C285" s="1050"/>
      <c r="D285" s="1050"/>
      <c r="E285" s="1086"/>
    </row>
    <row r="286" spans="1:5">
      <c r="A286" s="994"/>
      <c r="B286" s="1078"/>
      <c r="C286" s="1050"/>
      <c r="D286" s="1050"/>
      <c r="E286" s="1086"/>
    </row>
    <row r="287" spans="1:5">
      <c r="A287" s="994"/>
      <c r="B287" s="1078"/>
      <c r="C287" s="1050"/>
      <c r="D287" s="1050"/>
      <c r="E287" s="1086"/>
    </row>
    <row r="288" spans="1:5">
      <c r="A288" s="994"/>
      <c r="B288" s="1078"/>
      <c r="C288" s="1050"/>
      <c r="D288" s="1050"/>
      <c r="E288" s="1086"/>
    </row>
    <row r="289" spans="1:5">
      <c r="A289" s="994"/>
      <c r="B289" s="1078"/>
      <c r="C289" s="1050"/>
      <c r="D289" s="1050"/>
      <c r="E289" s="1086"/>
    </row>
    <row r="290" spans="1:5">
      <c r="A290" s="994"/>
      <c r="B290" s="1078"/>
      <c r="C290" s="1050"/>
      <c r="D290" s="1050"/>
      <c r="E290" s="1086"/>
    </row>
    <row r="291" spans="1:5">
      <c r="A291" s="994"/>
      <c r="B291" s="1078"/>
      <c r="C291" s="1050"/>
      <c r="D291" s="1050"/>
      <c r="E291" s="1086"/>
    </row>
    <row r="292" spans="1:5">
      <c r="A292" s="994"/>
      <c r="B292" s="1078"/>
      <c r="C292" s="1050"/>
      <c r="D292" s="1050"/>
      <c r="E292" s="1086"/>
    </row>
    <row r="293" spans="1:5">
      <c r="A293" s="994"/>
      <c r="B293" s="1078"/>
      <c r="C293" s="1050"/>
      <c r="D293" s="1050"/>
      <c r="E293" s="1086"/>
    </row>
    <row r="294" spans="1:5">
      <c r="A294" s="994"/>
      <c r="B294" s="1078"/>
      <c r="C294" s="1050"/>
      <c r="D294" s="1050"/>
      <c r="E294" s="1086"/>
    </row>
    <row r="295" spans="1:5">
      <c r="A295" s="994"/>
      <c r="B295" s="1078"/>
      <c r="C295" s="1050"/>
      <c r="D295" s="1050"/>
      <c r="E295" s="1086"/>
    </row>
    <row r="296" spans="1:5">
      <c r="A296" s="994"/>
      <c r="B296" s="1078"/>
      <c r="C296" s="1050"/>
      <c r="D296" s="1050"/>
      <c r="E296" s="1086"/>
    </row>
    <row r="297" spans="1:5">
      <c r="A297" s="994"/>
      <c r="B297" s="1078"/>
      <c r="C297" s="1050"/>
      <c r="D297" s="1050"/>
      <c r="E297" s="1086"/>
    </row>
    <row r="298" spans="1:5">
      <c r="A298" s="994"/>
      <c r="B298" s="1078"/>
      <c r="C298" s="1050"/>
      <c r="D298" s="1050"/>
      <c r="E298" s="1086"/>
    </row>
    <row r="299" spans="1:5">
      <c r="A299" s="994"/>
      <c r="B299" s="1078"/>
      <c r="C299" s="1050"/>
      <c r="D299" s="1050"/>
      <c r="E299" s="1086"/>
    </row>
    <row r="300" spans="1:5">
      <c r="A300" s="994"/>
      <c r="B300" s="1078"/>
      <c r="C300" s="1050"/>
      <c r="D300" s="1050"/>
      <c r="E300" s="1086"/>
    </row>
    <row r="301" spans="1:5">
      <c r="A301" s="994"/>
      <c r="B301" s="1078"/>
      <c r="C301" s="1050"/>
      <c r="D301" s="1050"/>
      <c r="E301" s="1086"/>
    </row>
    <row r="302" spans="1:5">
      <c r="A302" s="994"/>
      <c r="B302" s="1078"/>
      <c r="C302" s="1050"/>
      <c r="D302" s="1050"/>
      <c r="E302" s="1086"/>
    </row>
    <row r="303" spans="1:5">
      <c r="A303" s="994"/>
      <c r="B303" s="1078"/>
      <c r="C303" s="1050"/>
      <c r="D303" s="1050"/>
      <c r="E303" s="1086"/>
    </row>
    <row r="304" spans="1:5">
      <c r="A304" s="994"/>
      <c r="B304" s="1078"/>
      <c r="C304" s="1050"/>
      <c r="D304" s="1050"/>
      <c r="E304" s="1086"/>
    </row>
    <row r="305" spans="1:5">
      <c r="A305" s="994"/>
      <c r="B305" s="1078"/>
      <c r="C305" s="1050"/>
      <c r="D305" s="1050"/>
      <c r="E305" s="1086"/>
    </row>
    <row r="306" spans="1:5">
      <c r="A306" s="994"/>
      <c r="B306" s="1078"/>
      <c r="C306" s="1050"/>
      <c r="D306" s="1050"/>
      <c r="E306" s="1086"/>
    </row>
    <row r="307" spans="1:5">
      <c r="A307" s="994"/>
      <c r="B307" s="1078"/>
      <c r="C307" s="1050"/>
      <c r="D307" s="1050"/>
      <c r="E307" s="1086"/>
    </row>
    <row r="308" spans="1:5">
      <c r="A308" s="994"/>
      <c r="B308" s="1078"/>
      <c r="C308" s="1050"/>
      <c r="D308" s="1050"/>
      <c r="E308" s="1086"/>
    </row>
    <row r="309" spans="1:5">
      <c r="A309" s="994"/>
      <c r="B309" s="1078"/>
      <c r="C309" s="1050"/>
      <c r="D309" s="1050"/>
      <c r="E309" s="1086"/>
    </row>
    <row r="310" spans="1:5">
      <c r="A310" s="994"/>
      <c r="B310" s="1078"/>
      <c r="C310" s="1050"/>
      <c r="D310" s="1050"/>
      <c r="E310" s="1086"/>
    </row>
    <row r="311" spans="1:5">
      <c r="A311" s="994"/>
      <c r="B311" s="1078"/>
      <c r="C311" s="1050"/>
      <c r="D311" s="1050"/>
      <c r="E311" s="1086"/>
    </row>
    <row r="312" spans="1:5">
      <c r="A312" s="994"/>
      <c r="B312" s="1078"/>
      <c r="C312" s="1050"/>
      <c r="D312" s="1050"/>
      <c r="E312" s="1086"/>
    </row>
    <row r="313" spans="1:5">
      <c r="A313" s="994"/>
      <c r="B313" s="1078"/>
      <c r="C313" s="1050"/>
      <c r="D313" s="1050"/>
      <c r="E313" s="1086"/>
    </row>
    <row r="314" spans="1:5">
      <c r="A314" s="994"/>
      <c r="B314" s="1078"/>
      <c r="C314" s="1050"/>
      <c r="D314" s="1050"/>
      <c r="E314" s="1086"/>
    </row>
    <row r="315" spans="1:5">
      <c r="A315" s="994"/>
      <c r="B315" s="1078"/>
      <c r="C315" s="1050"/>
      <c r="D315" s="1050"/>
      <c r="E315" s="1086"/>
    </row>
    <row r="316" spans="1:5">
      <c r="A316" s="994"/>
      <c r="B316" s="1078"/>
      <c r="C316" s="1050"/>
      <c r="D316" s="1050"/>
      <c r="E316" s="1086"/>
    </row>
    <row r="317" spans="1:5">
      <c r="A317" s="994"/>
      <c r="B317" s="1078"/>
      <c r="C317" s="1050"/>
      <c r="D317" s="1050"/>
      <c r="E317" s="1086"/>
    </row>
    <row r="318" spans="1:5">
      <c r="A318" s="994"/>
      <c r="B318" s="1078"/>
      <c r="C318" s="1050"/>
      <c r="D318" s="1050"/>
      <c r="E318" s="1086"/>
    </row>
    <row r="319" spans="1:5">
      <c r="A319" s="994"/>
      <c r="B319" s="1078"/>
      <c r="C319" s="1050"/>
      <c r="D319" s="1050"/>
      <c r="E319" s="1086"/>
    </row>
    <row r="320" spans="1:5">
      <c r="A320" s="994"/>
      <c r="B320" s="1078"/>
      <c r="C320" s="1050"/>
      <c r="D320" s="1050"/>
      <c r="E320" s="1086"/>
    </row>
    <row r="321" spans="1:5">
      <c r="A321" s="994"/>
      <c r="B321" s="1078"/>
      <c r="C321" s="1050"/>
      <c r="D321" s="1050"/>
      <c r="E321" s="1086"/>
    </row>
    <row r="322" spans="1:5">
      <c r="A322" s="994"/>
      <c r="B322" s="1078"/>
      <c r="C322" s="1050"/>
      <c r="D322" s="1050"/>
      <c r="E322" s="1086"/>
    </row>
    <row r="323" spans="1:5">
      <c r="A323" s="994"/>
      <c r="B323" s="1078"/>
      <c r="C323" s="1050"/>
      <c r="D323" s="1050"/>
      <c r="E323" s="1086"/>
    </row>
    <row r="324" spans="1:5">
      <c r="A324" s="994"/>
      <c r="B324" s="1078"/>
      <c r="C324" s="1050"/>
      <c r="D324" s="1050"/>
      <c r="E324" s="1086"/>
    </row>
    <row r="325" spans="1:5">
      <c r="A325" s="994"/>
      <c r="B325" s="1078"/>
      <c r="C325" s="1050"/>
      <c r="D325" s="1050"/>
      <c r="E325" s="1086"/>
    </row>
    <row r="326" spans="1:5">
      <c r="A326" s="994"/>
      <c r="B326" s="1078"/>
      <c r="C326" s="1050"/>
      <c r="D326" s="1050"/>
      <c r="E326" s="1086"/>
    </row>
    <row r="327" spans="1:5">
      <c r="A327" s="994"/>
      <c r="B327" s="1078"/>
      <c r="C327" s="1050"/>
      <c r="D327" s="1050"/>
      <c r="E327" s="1086"/>
    </row>
    <row r="328" spans="1:5">
      <c r="A328" s="994"/>
      <c r="B328" s="1078"/>
      <c r="C328" s="1050"/>
      <c r="D328" s="1050"/>
      <c r="E328" s="1086"/>
    </row>
    <row r="329" spans="1:5">
      <c r="A329" s="994"/>
      <c r="B329" s="1078"/>
      <c r="C329" s="1050"/>
      <c r="D329" s="1050"/>
      <c r="E329" s="1086"/>
    </row>
    <row r="330" spans="1:5">
      <c r="A330" s="994"/>
      <c r="B330" s="1078"/>
      <c r="C330" s="1050"/>
      <c r="D330" s="1050"/>
      <c r="E330" s="1086"/>
    </row>
    <row r="331" spans="1:5">
      <c r="A331" s="994"/>
      <c r="B331" s="1078"/>
      <c r="C331" s="1050"/>
      <c r="D331" s="1050"/>
      <c r="E331" s="1086"/>
    </row>
    <row r="332" spans="1:5">
      <c r="A332" s="994"/>
      <c r="B332" s="1078"/>
      <c r="C332" s="1050"/>
      <c r="D332" s="1050"/>
      <c r="E332" s="1086"/>
    </row>
    <row r="333" spans="1:5">
      <c r="A333" s="994"/>
      <c r="B333" s="1078"/>
      <c r="C333" s="1050"/>
      <c r="D333" s="1050"/>
      <c r="E333" s="1086"/>
    </row>
    <row r="334" spans="1:5">
      <c r="A334" s="994"/>
      <c r="B334" s="1078"/>
      <c r="C334" s="1050"/>
      <c r="D334" s="1050"/>
      <c r="E334" s="1086"/>
    </row>
    <row r="335" spans="1:5">
      <c r="A335" s="994"/>
      <c r="B335" s="1078"/>
      <c r="C335" s="1050"/>
      <c r="D335" s="1050"/>
      <c r="E335" s="1086"/>
    </row>
    <row r="336" spans="1:5">
      <c r="A336" s="994"/>
      <c r="B336" s="1078"/>
      <c r="C336" s="1050"/>
      <c r="D336" s="1050"/>
      <c r="E336" s="1086"/>
    </row>
    <row r="337" spans="1:5">
      <c r="A337" s="994"/>
      <c r="B337" s="1078"/>
      <c r="C337" s="1050"/>
      <c r="D337" s="1050"/>
      <c r="E337" s="1086"/>
    </row>
    <row r="338" spans="1:5">
      <c r="A338" s="994"/>
      <c r="B338" s="1078"/>
      <c r="C338" s="1050"/>
      <c r="D338" s="1050"/>
      <c r="E338" s="1086"/>
    </row>
    <row r="339" spans="1:5">
      <c r="A339" s="994"/>
      <c r="B339" s="1078"/>
      <c r="C339" s="1050"/>
      <c r="D339" s="1050"/>
      <c r="E339" s="1086"/>
    </row>
    <row r="340" spans="1:5">
      <c r="A340" s="994"/>
      <c r="B340" s="1078"/>
      <c r="C340" s="1050"/>
      <c r="D340" s="1050"/>
      <c r="E340" s="1086"/>
    </row>
    <row r="341" spans="1:5">
      <c r="A341" s="994"/>
      <c r="B341" s="1078"/>
      <c r="C341" s="1050"/>
      <c r="D341" s="1050"/>
      <c r="E341" s="1086"/>
    </row>
    <row r="342" spans="1:5">
      <c r="A342" s="994"/>
      <c r="B342" s="1078"/>
      <c r="C342" s="1050"/>
      <c r="D342" s="1050"/>
      <c r="E342" s="1086"/>
    </row>
    <row r="343" spans="1:5">
      <c r="A343" s="994"/>
      <c r="B343" s="1078"/>
      <c r="C343" s="1050"/>
      <c r="D343" s="1050"/>
      <c r="E343" s="1086"/>
    </row>
    <row r="344" spans="1:5">
      <c r="A344" s="994"/>
      <c r="B344" s="1078"/>
      <c r="C344" s="1050"/>
      <c r="D344" s="1050"/>
      <c r="E344" s="1086"/>
    </row>
    <row r="345" spans="1:5">
      <c r="A345" s="994"/>
      <c r="B345" s="1078"/>
      <c r="C345" s="1050"/>
      <c r="D345" s="1050"/>
      <c r="E345" s="1086"/>
    </row>
    <row r="346" spans="1:5">
      <c r="C346" s="1050"/>
      <c r="E346" s="1086"/>
    </row>
    <row r="347" spans="1:5">
      <c r="C347" s="1050"/>
      <c r="E347" s="1086"/>
    </row>
    <row r="348" spans="1:5">
      <c r="C348" s="1050"/>
      <c r="E348" s="1086"/>
    </row>
    <row r="349" spans="1:5">
      <c r="C349" s="1050"/>
      <c r="E349" s="1086"/>
    </row>
    <row r="350" spans="1:5">
      <c r="E350" s="1086"/>
    </row>
    <row r="351" spans="1:5">
      <c r="E351" s="1086"/>
    </row>
    <row r="352" spans="1:5">
      <c r="E352" s="1086"/>
    </row>
    <row r="353" spans="5:5">
      <c r="E353" s="1086"/>
    </row>
    <row r="354" spans="5:5">
      <c r="E354" s="1086"/>
    </row>
    <row r="355" spans="5:5">
      <c r="E355" s="1086"/>
    </row>
    <row r="356" spans="5:5">
      <c r="E356" s="1086"/>
    </row>
    <row r="357" spans="5:5">
      <c r="E357" s="1086"/>
    </row>
    <row r="358" spans="5:5">
      <c r="E358" s="1086"/>
    </row>
    <row r="359" spans="5:5">
      <c r="E359" s="1086"/>
    </row>
    <row r="360" spans="5:5">
      <c r="E360" s="1086"/>
    </row>
    <row r="361" spans="5:5">
      <c r="E361" s="1086"/>
    </row>
    <row r="362" spans="5:5">
      <c r="E362" s="1086"/>
    </row>
    <row r="363" spans="5:5">
      <c r="E363" s="1086"/>
    </row>
    <row r="364" spans="5:5">
      <c r="E364" s="1086"/>
    </row>
    <row r="365" spans="5:5">
      <c r="E365" s="1086"/>
    </row>
    <row r="366" spans="5:5">
      <c r="E366" s="1086"/>
    </row>
    <row r="367" spans="5:5">
      <c r="E367" s="1086"/>
    </row>
    <row r="368" spans="5:5">
      <c r="E368" s="1086"/>
    </row>
    <row r="369" spans="5:5">
      <c r="E369" s="1086"/>
    </row>
    <row r="370" spans="5:5">
      <c r="E370" s="1086"/>
    </row>
    <row r="371" spans="5:5">
      <c r="E371" s="1086"/>
    </row>
    <row r="372" spans="5:5">
      <c r="E372" s="1086"/>
    </row>
    <row r="373" spans="5:5">
      <c r="E373" s="1086"/>
    </row>
    <row r="374" spans="5:5">
      <c r="E374" s="1086"/>
    </row>
    <row r="375" spans="5:5">
      <c r="E375" s="1086"/>
    </row>
    <row r="376" spans="5:5">
      <c r="E376" s="1086"/>
    </row>
    <row r="377" spans="5:5">
      <c r="E377" s="1086"/>
    </row>
    <row r="378" spans="5:5">
      <c r="E378" s="1086"/>
    </row>
    <row r="379" spans="5:5">
      <c r="E379" s="1086"/>
    </row>
    <row r="380" spans="5:5">
      <c r="E380" s="1086"/>
    </row>
    <row r="381" spans="5:5">
      <c r="E381" s="1086"/>
    </row>
    <row r="382" spans="5:5">
      <c r="E382" s="1086"/>
    </row>
    <row r="383" spans="5:5">
      <c r="E383" s="1086"/>
    </row>
    <row r="384" spans="5:5">
      <c r="E384" s="1086"/>
    </row>
    <row r="385" spans="5:5">
      <c r="E385" s="1086"/>
    </row>
    <row r="386" spans="5:5">
      <c r="E386" s="1086"/>
    </row>
    <row r="387" spans="5:5">
      <c r="E387" s="1086"/>
    </row>
    <row r="388" spans="5:5">
      <c r="E388" s="1086"/>
    </row>
    <row r="389" spans="5:5">
      <c r="E389" s="1086"/>
    </row>
    <row r="390" spans="5:5">
      <c r="E390" s="1086"/>
    </row>
    <row r="391" spans="5:5">
      <c r="E391" s="1086"/>
    </row>
    <row r="392" spans="5:5">
      <c r="E392" s="1086"/>
    </row>
    <row r="393" spans="5:5">
      <c r="E393" s="1086"/>
    </row>
    <row r="394" spans="5:5">
      <c r="E394" s="1086"/>
    </row>
    <row r="395" spans="5:5">
      <c r="E395" s="1086"/>
    </row>
    <row r="396" spans="5:5">
      <c r="E396" s="1086"/>
    </row>
    <row r="397" spans="5:5">
      <c r="E397" s="1086"/>
    </row>
  </sheetData>
  <mergeCells count="1">
    <mergeCell ref="A3:D3"/>
  </mergeCells>
  <pageMargins bottom="0.3" footer="0.3" header="0.3" left="0.25" right="0.25" top="0.38"/>
  <pageSetup fitToHeight="0" orientation="portrait" paperSize="9" r:id="rId1" scale="69"/>
</worksheet>
</file>

<file path=xl/worksheets/sheet1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customWidth="true" style="85" width="10.85546875" collapsed="false"/>
    <col min="2" max="2" customWidth="true" style="89" width="63.7109375" collapsed="false"/>
    <col min="3" max="12" customWidth="true" style="85" width="15.42578125" collapsed="false"/>
    <col min="13" max="16384" style="85" width="9.140625" collapsed="false"/>
  </cols>
  <sheetData>
    <row r="1" spans="1:12">
      <c r="A1" s="2026" t="s">
        <v>90</v>
      </c>
      <c r="B1" s="2026" t="s">
        <v>102</v>
      </c>
      <c r="C1" s="2026" t="s">
        <v>102</v>
      </c>
      <c r="D1" s="2026" t="s">
        <v>102</v>
      </c>
      <c r="E1" s="2026" t="s">
        <v>102</v>
      </c>
      <c r="F1" s="2026" t="s">
        <v>102</v>
      </c>
      <c r="G1" s="2026" t="s">
        <v>102</v>
      </c>
      <c r="H1" s="2026" t="s">
        <v>102</v>
      </c>
      <c r="I1" s="2026" t="s">
        <v>102</v>
      </c>
      <c r="J1" s="2026" t="s">
        <v>102</v>
      </c>
      <c r="K1" s="2026" t="s">
        <v>102</v>
      </c>
      <c r="L1" s="2026" t="s">
        <v>102</v>
      </c>
    </row>
    <row ht="15" r="2" spans="1:12">
      <c r="A2" t="s">
        <v>102</v>
      </c>
      <c r="B2" t="s">
        <v>102</v>
      </c>
      <c r="C2" s="2048" t="s">
        <v>102</v>
      </c>
      <c r="D2" s="2048" t="s">
        <v>102</v>
      </c>
      <c r="E2" s="2048" t="s">
        <v>102</v>
      </c>
      <c r="F2" s="2048" t="s">
        <v>102</v>
      </c>
      <c r="G2" s="2048" t="s">
        <v>102</v>
      </c>
      <c r="H2" s="2048" t="s">
        <v>102</v>
      </c>
      <c r="I2" s="2048" t="s">
        <v>102</v>
      </c>
      <c r="J2" s="2048" t="s">
        <v>102</v>
      </c>
      <c r="K2" s="2048" t="s">
        <v>102</v>
      </c>
      <c r="L2" s="2048" t="s">
        <v>102</v>
      </c>
    </row>
    <row ht="15" r="3" spans="1:12">
      <c r="A3" t="s">
        <v>102</v>
      </c>
      <c r="B3" t="s">
        <v>102</v>
      </c>
      <c r="C3" s="2200" t="s">
        <v>102</v>
      </c>
      <c r="D3" s="2200" t="s">
        <v>102</v>
      </c>
      <c r="E3" s="2200" t="s">
        <v>102</v>
      </c>
      <c r="F3" s="2200" t="s">
        <v>102</v>
      </c>
      <c r="G3" s="2200" t="s">
        <v>102</v>
      </c>
      <c r="H3" s="2200" t="s">
        <v>102</v>
      </c>
      <c r="I3" s="2200" t="s">
        <v>102</v>
      </c>
      <c r="J3" s="2200" t="s">
        <v>102</v>
      </c>
      <c r="K3" s="2200" t="s">
        <v>102</v>
      </c>
      <c r="L3" s="2200" t="s">
        <v>102</v>
      </c>
    </row>
    <row customHeight="1" ht="25.5" r="4" spans="1:12">
      <c r="A4" s="2191" t="s">
        <v>64</v>
      </c>
      <c r="B4" s="2191" t="s">
        <v>78</v>
      </c>
      <c r="C4" s="2184" t="s">
        <v>49</v>
      </c>
      <c r="D4" s="2184" t="s">
        <v>102</v>
      </c>
      <c r="E4" s="2184" t="s">
        <v>97</v>
      </c>
      <c r="F4" s="2184" t="s">
        <v>102</v>
      </c>
      <c r="G4" s="2184" t="s">
        <v>98</v>
      </c>
      <c r="H4" s="2184" t="s">
        <v>102</v>
      </c>
      <c r="I4" s="2184" t="s">
        <v>99</v>
      </c>
      <c r="J4" s="2184" t="s">
        <v>102</v>
      </c>
      <c r="K4" s="2184" t="s">
        <v>100</v>
      </c>
      <c r="L4" s="2184" t="s">
        <v>102</v>
      </c>
    </row>
    <row customHeight="1" ht="23.25" r="5" spans="1:12">
      <c r="A5" s="2191" t="s">
        <v>102</v>
      </c>
      <c r="B5" s="2191" t="s">
        <v>102</v>
      </c>
      <c r="C5" s="106" t="s">
        <v>38</v>
      </c>
      <c r="D5" s="106" t="s">
        <v>39</v>
      </c>
      <c r="E5" s="106" t="s">
        <v>38</v>
      </c>
      <c r="F5" s="106" t="s">
        <v>39</v>
      </c>
      <c r="G5" s="106" t="s">
        <v>38</v>
      </c>
      <c r="H5" s="106" t="s">
        <v>39</v>
      </c>
      <c r="I5" s="106" t="s">
        <v>38</v>
      </c>
      <c r="J5" s="106" t="s">
        <v>39</v>
      </c>
      <c r="K5" s="106" t="s">
        <v>38</v>
      </c>
      <c r="L5" s="106" t="s">
        <v>39</v>
      </c>
    </row>
    <row r="6" spans="1:12">
      <c r="A6" s="199">
        <v>1</v>
      </c>
      <c r="B6" s="182" t="s">
        <v>3701</v>
      </c>
      <c r="C6" s="219">
        <v>0</v>
      </c>
      <c r="D6" s="219">
        <v>0</v>
      </c>
      <c r="E6" s="220">
        <v>7737199411</v>
      </c>
      <c r="F6" s="220">
        <v>7737199411</v>
      </c>
      <c r="G6" s="220" t="s">
        <v>102</v>
      </c>
      <c r="H6" s="220" t="s">
        <v>102</v>
      </c>
      <c r="I6" s="220" t="s">
        <v>102</v>
      </c>
      <c r="J6" s="220" t="s">
        <v>102</v>
      </c>
      <c r="K6" s="221">
        <v>0</v>
      </c>
      <c r="L6" s="221">
        <v>0</v>
      </c>
    </row>
    <row r="7" spans="1:12">
      <c r="A7" s="199">
        <v>12</v>
      </c>
      <c r="B7" s="182" t="s">
        <v>3702</v>
      </c>
      <c r="C7" s="172">
        <v>0</v>
      </c>
      <c r="D7" s="172">
        <v>0</v>
      </c>
      <c r="E7" s="172">
        <v>11774590</v>
      </c>
      <c r="F7" s="172">
        <v>11774590</v>
      </c>
      <c r="G7" s="172" t="s">
        <v>102</v>
      </c>
      <c r="H7" s="172" t="s">
        <v>102</v>
      </c>
      <c r="I7" s="172" t="s">
        <v>102</v>
      </c>
      <c r="J7" s="172" t="s">
        <v>102</v>
      </c>
      <c r="K7" s="172">
        <v>0</v>
      </c>
      <c r="L7" s="172">
        <v>0</v>
      </c>
    </row>
    <row r="8" spans="1:12">
      <c r="A8" s="199">
        <v>120</v>
      </c>
      <c r="B8" s="182" t="s">
        <v>3703</v>
      </c>
      <c r="C8" s="172">
        <v>0</v>
      </c>
      <c r="D8" s="172">
        <v>0</v>
      </c>
      <c r="E8" s="172">
        <v>11774590</v>
      </c>
      <c r="F8" s="172">
        <v>11774590</v>
      </c>
      <c r="G8" s="172" t="s">
        <v>102</v>
      </c>
      <c r="H8" s="172" t="s">
        <v>102</v>
      </c>
      <c r="I8" s="172" t="s">
        <v>102</v>
      </c>
      <c r="J8" s="172" t="s">
        <v>102</v>
      </c>
      <c r="K8" s="172">
        <v>0</v>
      </c>
      <c r="L8" s="172">
        <v>0</v>
      </c>
    </row>
    <row r="9" spans="1:12">
      <c r="A9" s="199">
        <v>120004</v>
      </c>
      <c r="B9" s="182" t="s">
        <v>3704</v>
      </c>
      <c r="C9" s="172">
        <v>0</v>
      </c>
      <c r="D9" s="172">
        <v>0</v>
      </c>
      <c r="E9" s="172">
        <v>11774590</v>
      </c>
      <c r="F9" s="172">
        <v>11774590</v>
      </c>
      <c r="G9" s="172" t="s">
        <v>102</v>
      </c>
      <c r="H9" s="172" t="s">
        <v>102</v>
      </c>
      <c r="I9" s="172" t="s">
        <v>102</v>
      </c>
      <c r="J9" s="172" t="s">
        <v>102</v>
      </c>
      <c r="K9" s="172">
        <v>0</v>
      </c>
      <c r="L9" s="172">
        <v>0</v>
      </c>
    </row>
    <row r="10" spans="1:12">
      <c r="A10" s="211">
        <v>1200042</v>
      </c>
      <c r="B10" s="110" t="s">
        <v>3683</v>
      </c>
      <c r="C10" s="222">
        <v>0</v>
      </c>
      <c r="D10" s="222">
        <v>0</v>
      </c>
      <c r="E10" s="222">
        <v>11774590</v>
      </c>
      <c r="F10" s="222">
        <v>11774590</v>
      </c>
      <c r="G10" s="222" t="s">
        <v>102</v>
      </c>
      <c r="H10" s="222" t="s">
        <v>102</v>
      </c>
      <c r="I10" s="222" t="s">
        <v>102</v>
      </c>
      <c r="J10" s="222" t="s">
        <v>102</v>
      </c>
      <c r="K10" s="222">
        <v>0</v>
      </c>
      <c r="L10" s="222">
        <v>0</v>
      </c>
    </row>
    <row r="11" spans="1:12">
      <c r="A11" s="211">
        <v>13</v>
      </c>
      <c r="B11" s="110" t="s">
        <v>3705</v>
      </c>
      <c r="C11" s="222">
        <v>0</v>
      </c>
      <c r="D11" s="222">
        <v>0</v>
      </c>
      <c r="E11" s="222">
        <v>7724834821</v>
      </c>
      <c r="F11" s="222">
        <v>7724834821</v>
      </c>
      <c r="G11" s="222" t="s">
        <v>102</v>
      </c>
      <c r="H11" s="222" t="s">
        <v>102</v>
      </c>
      <c r="I11" s="222" t="s">
        <v>102</v>
      </c>
      <c r="J11" s="222" t="s">
        <v>102</v>
      </c>
      <c r="K11" s="222">
        <v>0</v>
      </c>
      <c r="L11" s="222">
        <v>0</v>
      </c>
    </row>
    <row r="12" spans="1:12">
      <c r="A12" s="211">
        <v>1310</v>
      </c>
      <c r="B12" s="110" t="s">
        <v>3706</v>
      </c>
      <c r="C12" s="222">
        <v>0</v>
      </c>
      <c r="D12" s="222">
        <v>0</v>
      </c>
      <c r="E12" s="222">
        <v>210667000</v>
      </c>
      <c r="F12" s="222">
        <v>210667000</v>
      </c>
      <c r="G12" s="222" t="s">
        <v>102</v>
      </c>
      <c r="H12" s="222" t="s">
        <v>102</v>
      </c>
      <c r="I12" s="222" t="s">
        <v>102</v>
      </c>
      <c r="J12" s="222" t="s">
        <v>102</v>
      </c>
      <c r="K12" s="222">
        <v>0</v>
      </c>
      <c r="L12" s="222">
        <v>0</v>
      </c>
    </row>
    <row r="13" spans="1:12">
      <c r="A13" s="211">
        <v>131001</v>
      </c>
      <c r="B13" s="110" t="s">
        <v>3707</v>
      </c>
      <c r="C13" s="222">
        <v>0</v>
      </c>
      <c r="D13" s="222">
        <v>0</v>
      </c>
      <c r="E13" s="222">
        <v>210667000</v>
      </c>
      <c r="F13" s="222">
        <v>210667000</v>
      </c>
      <c r="G13" s="222" t="s">
        <v>102</v>
      </c>
      <c r="H13" s="222" t="s">
        <v>102</v>
      </c>
      <c r="I13" s="222" t="s">
        <v>102</v>
      </c>
      <c r="J13" s="222" t="s">
        <v>102</v>
      </c>
      <c r="K13" s="222">
        <v>0</v>
      </c>
      <c r="L13" s="222">
        <v>0</v>
      </c>
    </row>
    <row r="14" spans="1:12">
      <c r="A14" s="211">
        <v>1311</v>
      </c>
      <c r="B14" s="223" t="s">
        <v>3708</v>
      </c>
      <c r="C14" s="222">
        <v>0</v>
      </c>
      <c r="D14" s="222">
        <v>0</v>
      </c>
      <c r="E14" s="222">
        <v>7514167821</v>
      </c>
      <c r="F14" s="222">
        <v>7514167821</v>
      </c>
      <c r="G14" s="222" t="s">
        <v>102</v>
      </c>
      <c r="H14" s="222" t="s">
        <v>102</v>
      </c>
      <c r="I14" s="222" t="s">
        <v>102</v>
      </c>
      <c r="J14" s="222" t="s">
        <v>102</v>
      </c>
      <c r="K14" s="222">
        <v>0</v>
      </c>
      <c r="L14" s="222">
        <v>0</v>
      </c>
    </row>
    <row r="15" spans="1:12">
      <c r="A15" s="211">
        <v>131101</v>
      </c>
      <c r="B15" s="110" t="s">
        <v>3709</v>
      </c>
      <c r="C15" s="222">
        <v>0</v>
      </c>
      <c r="D15" s="222">
        <v>0</v>
      </c>
      <c r="E15" s="222">
        <v>83358902</v>
      </c>
      <c r="F15" s="222">
        <v>83358902</v>
      </c>
      <c r="G15" s="222" t="s">
        <v>102</v>
      </c>
      <c r="H15" s="222" t="s">
        <v>102</v>
      </c>
      <c r="I15" s="222" t="s">
        <v>102</v>
      </c>
      <c r="J15" s="222" t="s">
        <v>102</v>
      </c>
      <c r="K15" s="222">
        <v>0</v>
      </c>
      <c r="L15" s="222">
        <v>0</v>
      </c>
    </row>
    <row ht="25.5" r="16" spans="1:12">
      <c r="A16" s="211">
        <v>131104</v>
      </c>
      <c r="B16" s="110" t="s">
        <v>3710</v>
      </c>
      <c r="C16" s="222">
        <v>0</v>
      </c>
      <c r="D16" s="222">
        <v>0</v>
      </c>
      <c r="E16" s="222">
        <v>7430808919</v>
      </c>
      <c r="F16" s="222">
        <v>7430808919</v>
      </c>
      <c r="G16" s="222" t="s">
        <v>102</v>
      </c>
      <c r="H16" s="222" t="s">
        <v>102</v>
      </c>
      <c r="I16" s="222" t="s">
        <v>102</v>
      </c>
      <c r="J16" s="222" t="s">
        <v>102</v>
      </c>
      <c r="K16" s="222">
        <v>0</v>
      </c>
      <c r="L16" s="222">
        <v>0</v>
      </c>
    </row>
    <row r="17" spans="1:12">
      <c r="A17" s="211">
        <v>145</v>
      </c>
      <c r="B17" s="110" t="s">
        <v>3711</v>
      </c>
      <c r="C17" s="222">
        <v>0</v>
      </c>
      <c r="D17" s="222">
        <v>0</v>
      </c>
      <c r="E17" s="222">
        <v>590000</v>
      </c>
      <c r="F17" s="222">
        <v>590000</v>
      </c>
      <c r="G17" s="222" t="s">
        <v>102</v>
      </c>
      <c r="H17" s="222" t="s">
        <v>102</v>
      </c>
      <c r="I17" s="222" t="s">
        <v>102</v>
      </c>
      <c r="J17" s="222" t="s">
        <v>102</v>
      </c>
      <c r="K17" s="222">
        <v>0</v>
      </c>
      <c r="L17" s="222">
        <v>0</v>
      </c>
    </row>
    <row r="18" spans="1:12">
      <c r="A18" s="202">
        <v>145002</v>
      </c>
      <c r="B18" s="182" t="s">
        <v>3712</v>
      </c>
      <c r="C18" s="172">
        <v>0</v>
      </c>
      <c r="D18" s="172">
        <v>0</v>
      </c>
      <c r="E18" s="172">
        <v>590000</v>
      </c>
      <c r="F18" s="172">
        <v>590000</v>
      </c>
      <c r="G18" s="172" t="s">
        <v>102</v>
      </c>
      <c r="H18" s="172" t="s">
        <v>102</v>
      </c>
      <c r="I18" s="172" t="s">
        <v>102</v>
      </c>
      <c r="J18" s="172" t="s">
        <v>102</v>
      </c>
      <c r="K18" s="172">
        <v>0</v>
      </c>
      <c r="L18" s="172">
        <v>0</v>
      </c>
    </row>
    <row r="19" spans="1:12">
      <c r="A19" s="211">
        <v>14500202</v>
      </c>
      <c r="B19" s="110" t="s">
        <v>3713</v>
      </c>
      <c r="C19" s="222">
        <v>0</v>
      </c>
      <c r="D19" s="222">
        <v>0</v>
      </c>
      <c r="E19" s="222">
        <v>590000</v>
      </c>
      <c r="F19" s="222">
        <v>590000</v>
      </c>
      <c r="G19" s="222" t="s">
        <v>102</v>
      </c>
      <c r="H19" s="222" t="s">
        <v>102</v>
      </c>
      <c r="I19" s="222" t="s">
        <v>102</v>
      </c>
      <c r="J19" s="222" t="s">
        <v>102</v>
      </c>
      <c r="K19" s="222">
        <v>0</v>
      </c>
      <c r="L19" s="222">
        <v>0</v>
      </c>
    </row>
    <row r="20" spans="1:12">
      <c r="A20" s="202">
        <v>2</v>
      </c>
      <c r="B20" s="182" t="s">
        <v>3626</v>
      </c>
      <c r="C20" s="172">
        <v>0</v>
      </c>
      <c r="D20" s="172">
        <v>0</v>
      </c>
      <c r="E20" s="172">
        <v>8202069370.1000004</v>
      </c>
      <c r="F20" s="172">
        <v>8202069370.1000004</v>
      </c>
      <c r="G20" s="172" t="s">
        <v>102</v>
      </c>
      <c r="H20" s="172" t="s">
        <v>102</v>
      </c>
      <c r="I20" s="172" t="s">
        <v>102</v>
      </c>
      <c r="J20" s="172" t="s">
        <v>102</v>
      </c>
      <c r="K20" s="172">
        <v>0</v>
      </c>
      <c r="L20" s="172">
        <v>0</v>
      </c>
    </row>
    <row r="21" spans="1:12">
      <c r="A21" s="211">
        <v>21</v>
      </c>
      <c r="B21" s="110" t="s">
        <v>3627</v>
      </c>
      <c r="C21" s="222">
        <v>0</v>
      </c>
      <c r="D21" s="222">
        <v>0</v>
      </c>
      <c r="E21" s="222">
        <v>7855397508.8999996</v>
      </c>
      <c r="F21" s="222">
        <v>7855397508.8999996</v>
      </c>
      <c r="G21" s="222" t="s">
        <v>102</v>
      </c>
      <c r="H21" s="222" t="s">
        <v>102</v>
      </c>
      <c r="I21" s="222" t="s">
        <v>102</v>
      </c>
      <c r="J21" s="222" t="s">
        <v>102</v>
      </c>
      <c r="K21" s="222">
        <v>0</v>
      </c>
      <c r="L21" s="222">
        <v>0</v>
      </c>
    </row>
    <row r="22" spans="1:12">
      <c r="A22" s="202">
        <v>210</v>
      </c>
      <c r="B22" s="182" t="s">
        <v>3628</v>
      </c>
      <c r="C22" s="172">
        <v>0</v>
      </c>
      <c r="D22" s="172">
        <v>0</v>
      </c>
      <c r="E22" s="172">
        <v>7855397508.8999996</v>
      </c>
      <c r="F22" s="172">
        <v>7855397508.8999996</v>
      </c>
      <c r="G22" s="172" t="s">
        <v>102</v>
      </c>
      <c r="H22" s="172" t="s">
        <v>102</v>
      </c>
      <c r="I22" s="172" t="s">
        <v>102</v>
      </c>
      <c r="J22" s="172" t="s">
        <v>102</v>
      </c>
      <c r="K22" s="172">
        <v>0</v>
      </c>
      <c r="L22" s="172">
        <v>0</v>
      </c>
    </row>
    <row r="23" spans="1:12">
      <c r="A23" s="211">
        <v>2101</v>
      </c>
      <c r="B23" s="110" t="s">
        <v>3629</v>
      </c>
      <c r="C23" s="222">
        <v>0</v>
      </c>
      <c r="D23" s="222">
        <v>0</v>
      </c>
      <c r="E23" s="222">
        <v>301633808.95999998</v>
      </c>
      <c r="F23" s="222">
        <v>301633808.95999998</v>
      </c>
      <c r="G23" s="222" t="s">
        <v>102</v>
      </c>
      <c r="H23" s="222" t="s">
        <v>102</v>
      </c>
      <c r="I23" s="222" t="s">
        <v>102</v>
      </c>
      <c r="J23" s="222" t="s">
        <v>102</v>
      </c>
      <c r="K23" s="222">
        <v>0</v>
      </c>
      <c r="L23" s="222">
        <v>0</v>
      </c>
    </row>
    <row r="24" spans="1:12">
      <c r="A24" s="202">
        <v>210101</v>
      </c>
      <c r="B24" s="182" t="s">
        <v>623</v>
      </c>
      <c r="C24" s="172">
        <v>0</v>
      </c>
      <c r="D24" s="172">
        <v>0</v>
      </c>
      <c r="E24" s="172">
        <v>241988325.96000001</v>
      </c>
      <c r="F24" s="172">
        <v>241988325.96000001</v>
      </c>
      <c r="G24" s="172" t="s">
        <v>102</v>
      </c>
      <c r="H24" s="172" t="s">
        <v>102</v>
      </c>
      <c r="I24" s="172" t="s">
        <v>102</v>
      </c>
      <c r="J24" s="172" t="s">
        <v>102</v>
      </c>
      <c r="K24" s="172">
        <v>0</v>
      </c>
      <c r="L24" s="172">
        <v>0</v>
      </c>
    </row>
    <row r="25" spans="1:12">
      <c r="A25" s="211">
        <v>210102</v>
      </c>
      <c r="B25" s="110" t="s">
        <v>3630</v>
      </c>
      <c r="C25" s="222">
        <v>0</v>
      </c>
      <c r="D25" s="222">
        <v>0</v>
      </c>
      <c r="E25" s="222">
        <v>31953855</v>
      </c>
      <c r="F25" s="222">
        <v>31953855</v>
      </c>
      <c r="G25" s="222" t="s">
        <v>102</v>
      </c>
      <c r="H25" s="222" t="s">
        <v>102</v>
      </c>
      <c r="I25" s="222" t="s">
        <v>102</v>
      </c>
      <c r="J25" s="222" t="s">
        <v>102</v>
      </c>
      <c r="K25" s="222">
        <v>0</v>
      </c>
      <c r="L25" s="222">
        <v>0</v>
      </c>
    </row>
    <row r="26" spans="1:12">
      <c r="A26" s="202">
        <v>210103</v>
      </c>
      <c r="B26" s="182" t="s">
        <v>3631</v>
      </c>
      <c r="C26" s="172">
        <v>0</v>
      </c>
      <c r="D26" s="172">
        <v>0</v>
      </c>
      <c r="E26" s="172">
        <v>27691628</v>
      </c>
      <c r="F26" s="172">
        <v>27691628</v>
      </c>
      <c r="G26" s="172" t="s">
        <v>102</v>
      </c>
      <c r="H26" s="172" t="s">
        <v>102</v>
      </c>
      <c r="I26" s="172" t="s">
        <v>102</v>
      </c>
      <c r="J26" s="172" t="s">
        <v>102</v>
      </c>
      <c r="K26" s="172">
        <v>0</v>
      </c>
      <c r="L26" s="172">
        <v>0</v>
      </c>
    </row>
    <row r="27" spans="1:12">
      <c r="A27" s="211">
        <v>2102</v>
      </c>
      <c r="B27" s="110" t="s">
        <v>3632</v>
      </c>
      <c r="C27" s="222">
        <v>0</v>
      </c>
      <c r="D27" s="222">
        <v>0</v>
      </c>
      <c r="E27" s="222">
        <v>30522294.469999999</v>
      </c>
      <c r="F27" s="222">
        <v>30522294.469999999</v>
      </c>
      <c r="G27" s="222" t="s">
        <v>102</v>
      </c>
      <c r="H27" s="222" t="s">
        <v>102</v>
      </c>
      <c r="I27" s="222" t="s">
        <v>102</v>
      </c>
      <c r="J27" s="222" t="s">
        <v>102</v>
      </c>
      <c r="K27" s="222">
        <v>0</v>
      </c>
      <c r="L27" s="222">
        <v>0</v>
      </c>
    </row>
    <row r="28" spans="1:12">
      <c r="A28" s="211">
        <v>210201</v>
      </c>
      <c r="B28" s="110" t="s">
        <v>3633</v>
      </c>
      <c r="C28" s="222">
        <v>0</v>
      </c>
      <c r="D28" s="222">
        <v>0</v>
      </c>
      <c r="E28" s="222">
        <v>19502981.010000002</v>
      </c>
      <c r="F28" s="222">
        <v>19502981.010000002</v>
      </c>
      <c r="G28" s="222" t="s">
        <v>102</v>
      </c>
      <c r="H28" s="222" t="s">
        <v>102</v>
      </c>
      <c r="I28" s="222" t="s">
        <v>102</v>
      </c>
      <c r="J28" s="222" t="s">
        <v>102</v>
      </c>
      <c r="K28" s="222">
        <v>0</v>
      </c>
      <c r="L28" s="222">
        <v>0</v>
      </c>
    </row>
    <row r="29" spans="1:12">
      <c r="A29" s="211">
        <v>210202</v>
      </c>
      <c r="B29" s="110" t="s">
        <v>3634</v>
      </c>
      <c r="C29" s="222">
        <v>0</v>
      </c>
      <c r="D29" s="222">
        <v>0</v>
      </c>
      <c r="E29" s="222">
        <v>2715263.69</v>
      </c>
      <c r="F29" s="222">
        <v>2715263.69</v>
      </c>
      <c r="G29" s="222" t="s">
        <v>102</v>
      </c>
      <c r="H29" s="222" t="s">
        <v>102</v>
      </c>
      <c r="I29" s="222" t="s">
        <v>102</v>
      </c>
      <c r="J29" s="222" t="s">
        <v>102</v>
      </c>
      <c r="K29" s="222">
        <v>0</v>
      </c>
      <c r="L29" s="222">
        <v>0</v>
      </c>
    </row>
    <row r="30" spans="1:12">
      <c r="A30" s="211">
        <v>210203</v>
      </c>
      <c r="B30" s="110" t="s">
        <v>3635</v>
      </c>
      <c r="C30" s="222">
        <v>0</v>
      </c>
      <c r="D30" s="222">
        <v>0</v>
      </c>
      <c r="E30" s="222">
        <v>2215240.35</v>
      </c>
      <c r="F30" s="222">
        <v>2215240.35</v>
      </c>
      <c r="G30" s="222" t="s">
        <v>102</v>
      </c>
      <c r="H30" s="222" t="s">
        <v>102</v>
      </c>
      <c r="I30" s="222" t="s">
        <v>102</v>
      </c>
      <c r="J30" s="222" t="s">
        <v>102</v>
      </c>
      <c r="K30" s="222">
        <v>0</v>
      </c>
      <c r="L30" s="222">
        <v>0</v>
      </c>
    </row>
    <row r="31" spans="1:12">
      <c r="A31" s="211">
        <v>210204</v>
      </c>
      <c r="B31" s="110" t="s">
        <v>3636</v>
      </c>
      <c r="C31" s="222">
        <v>0</v>
      </c>
      <c r="D31" s="222">
        <v>0</v>
      </c>
      <c r="E31" s="222">
        <v>531366.57999999996</v>
      </c>
      <c r="F31" s="222">
        <v>531366.57999999996</v>
      </c>
      <c r="G31" s="222" t="s">
        <v>102</v>
      </c>
      <c r="H31" s="222" t="s">
        <v>102</v>
      </c>
      <c r="I31" s="222" t="s">
        <v>102</v>
      </c>
      <c r="J31" s="222" t="s">
        <v>102</v>
      </c>
      <c r="K31" s="222">
        <v>0</v>
      </c>
      <c r="L31" s="222">
        <v>0</v>
      </c>
    </row>
    <row r="32" spans="1:12">
      <c r="A32" s="202">
        <v>210205</v>
      </c>
      <c r="B32" s="182" t="s">
        <v>3637</v>
      </c>
      <c r="C32" s="172">
        <v>0</v>
      </c>
      <c r="D32" s="172">
        <v>0</v>
      </c>
      <c r="E32" s="172">
        <v>5557442.8399999999</v>
      </c>
      <c r="F32" s="172">
        <v>5557442.8399999999</v>
      </c>
      <c r="G32" s="172" t="s">
        <v>102</v>
      </c>
      <c r="H32" s="172" t="s">
        <v>102</v>
      </c>
      <c r="I32" s="172" t="s">
        <v>102</v>
      </c>
      <c r="J32" s="172" t="s">
        <v>102</v>
      </c>
      <c r="K32" s="172">
        <v>0</v>
      </c>
      <c r="L32" s="172">
        <v>0</v>
      </c>
    </row>
    <row r="33" spans="1:12">
      <c r="A33" s="211">
        <v>2103</v>
      </c>
      <c r="B33" s="110" t="s">
        <v>3638</v>
      </c>
      <c r="C33" s="222">
        <v>0</v>
      </c>
      <c r="D33" s="222">
        <v>0</v>
      </c>
      <c r="E33" s="222">
        <v>17859070</v>
      </c>
      <c r="F33" s="222">
        <v>17859070</v>
      </c>
      <c r="G33" s="222" t="s">
        <v>102</v>
      </c>
      <c r="H33" s="222" t="s">
        <v>102</v>
      </c>
      <c r="I33" s="222" t="s">
        <v>102</v>
      </c>
      <c r="J33" s="222" t="s">
        <v>102</v>
      </c>
      <c r="K33" s="222">
        <v>0</v>
      </c>
      <c r="L33" s="222">
        <v>0</v>
      </c>
    </row>
    <row r="34" spans="1:12">
      <c r="A34" s="211">
        <v>210301</v>
      </c>
      <c r="B34" s="110" t="s">
        <v>3639</v>
      </c>
      <c r="C34" s="222">
        <v>0</v>
      </c>
      <c r="D34" s="222">
        <v>0</v>
      </c>
      <c r="E34" s="222">
        <v>5452800</v>
      </c>
      <c r="F34" s="222">
        <v>5452800</v>
      </c>
      <c r="G34" s="222" t="s">
        <v>102</v>
      </c>
      <c r="H34" s="222" t="s">
        <v>102</v>
      </c>
      <c r="I34" s="222" t="s">
        <v>102</v>
      </c>
      <c r="J34" s="222" t="s">
        <v>102</v>
      </c>
      <c r="K34" s="222">
        <v>0</v>
      </c>
      <c r="L34" s="222">
        <v>0</v>
      </c>
    </row>
    <row r="35" spans="1:12">
      <c r="A35" s="211">
        <v>210302</v>
      </c>
      <c r="B35" s="110" t="s">
        <v>3640</v>
      </c>
      <c r="C35" s="222">
        <v>0</v>
      </c>
      <c r="D35" s="222">
        <v>0</v>
      </c>
      <c r="E35" s="222">
        <v>12406270</v>
      </c>
      <c r="F35" s="222">
        <v>12406270</v>
      </c>
      <c r="G35" s="222" t="s">
        <v>102</v>
      </c>
      <c r="H35" s="222" t="s">
        <v>102</v>
      </c>
      <c r="I35" s="222" t="s">
        <v>102</v>
      </c>
      <c r="J35" s="222" t="s">
        <v>102</v>
      </c>
      <c r="K35" s="222">
        <v>0</v>
      </c>
      <c r="L35" s="222">
        <v>0</v>
      </c>
    </row>
    <row r="36" spans="1:12">
      <c r="A36" s="211">
        <v>2104</v>
      </c>
      <c r="B36" s="110" t="s">
        <v>3641</v>
      </c>
      <c r="C36" s="222">
        <v>0</v>
      </c>
      <c r="D36" s="222">
        <v>0</v>
      </c>
      <c r="E36" s="222">
        <v>34189106.399999999</v>
      </c>
      <c r="F36" s="222">
        <v>34189106.399999999</v>
      </c>
      <c r="G36" s="222" t="s">
        <v>102</v>
      </c>
      <c r="H36" s="222" t="s">
        <v>102</v>
      </c>
      <c r="I36" s="222" t="s">
        <v>102</v>
      </c>
      <c r="J36" s="222" t="s">
        <v>102</v>
      </c>
      <c r="K36" s="222">
        <v>0</v>
      </c>
      <c r="L36" s="222">
        <v>0</v>
      </c>
    </row>
    <row r="37" spans="1:12">
      <c r="A37" s="211">
        <v>210401</v>
      </c>
      <c r="B37" s="110" t="s">
        <v>3642</v>
      </c>
      <c r="C37" s="222">
        <v>0</v>
      </c>
      <c r="D37" s="222">
        <v>0</v>
      </c>
      <c r="E37" s="222">
        <v>11226963.119999999</v>
      </c>
      <c r="F37" s="222">
        <v>11226963.119999999</v>
      </c>
      <c r="G37" s="222" t="s">
        <v>102</v>
      </c>
      <c r="H37" s="222" t="s">
        <v>102</v>
      </c>
      <c r="I37" s="222" t="s">
        <v>102</v>
      </c>
      <c r="J37" s="222" t="s">
        <v>102</v>
      </c>
      <c r="K37" s="222">
        <v>0</v>
      </c>
      <c r="L37" s="222">
        <v>0</v>
      </c>
    </row>
    <row r="38" spans="1:12">
      <c r="A38" s="159">
        <v>210402</v>
      </c>
      <c r="B38" s="182" t="s">
        <v>3643</v>
      </c>
      <c r="C38" s="172">
        <v>0</v>
      </c>
      <c r="D38" s="172">
        <v>0</v>
      </c>
      <c r="E38" s="172">
        <v>12196356</v>
      </c>
      <c r="F38" s="172">
        <v>12196356</v>
      </c>
      <c r="G38" s="172" t="s">
        <v>102</v>
      </c>
      <c r="H38" s="172" t="s">
        <v>102</v>
      </c>
      <c r="I38" s="172" t="s">
        <v>102</v>
      </c>
      <c r="J38" s="172" t="s">
        <v>102</v>
      </c>
      <c r="K38" s="172">
        <v>0</v>
      </c>
      <c r="L38" s="172">
        <v>0</v>
      </c>
    </row>
    <row r="39" spans="1:12">
      <c r="A39" s="211">
        <v>210403</v>
      </c>
      <c r="B39" s="110" t="s">
        <v>3644</v>
      </c>
      <c r="C39" s="222">
        <v>0</v>
      </c>
      <c r="D39" s="222">
        <v>0</v>
      </c>
      <c r="E39" s="222">
        <v>8473241.2799999993</v>
      </c>
      <c r="F39" s="222">
        <v>8473241.2799999993</v>
      </c>
      <c r="G39" s="222" t="s">
        <v>102</v>
      </c>
      <c r="H39" s="222" t="s">
        <v>102</v>
      </c>
      <c r="I39" s="222" t="s">
        <v>102</v>
      </c>
      <c r="J39" s="222" t="s">
        <v>102</v>
      </c>
      <c r="K39" s="222">
        <v>0</v>
      </c>
      <c r="L39" s="222">
        <v>0</v>
      </c>
    </row>
    <row r="40" spans="1:12">
      <c r="A40" s="211">
        <v>210404</v>
      </c>
      <c r="B40" s="110" t="s">
        <v>3672</v>
      </c>
      <c r="C40" s="222">
        <v>0</v>
      </c>
      <c r="D40" s="222">
        <v>0</v>
      </c>
      <c r="E40" s="222">
        <v>186890</v>
      </c>
      <c r="F40" s="222">
        <v>186890</v>
      </c>
      <c r="G40" s="222" t="s">
        <v>102</v>
      </c>
      <c r="H40" s="222" t="s">
        <v>102</v>
      </c>
      <c r="I40" s="222" t="s">
        <v>102</v>
      </c>
      <c r="J40" s="222" t="s">
        <v>102</v>
      </c>
      <c r="K40" s="222">
        <v>0</v>
      </c>
      <c r="L40" s="222">
        <v>0</v>
      </c>
    </row>
    <row r="41" spans="1:12">
      <c r="A41" s="211">
        <v>210406</v>
      </c>
      <c r="B41" s="110" t="s">
        <v>3645</v>
      </c>
      <c r="C41" s="222">
        <v>0</v>
      </c>
      <c r="D41" s="222">
        <v>0</v>
      </c>
      <c r="E41" s="222">
        <v>2105656</v>
      </c>
      <c r="F41" s="222">
        <v>2105656</v>
      </c>
      <c r="G41" s="222" t="s">
        <v>102</v>
      </c>
      <c r="H41" s="222" t="s">
        <v>102</v>
      </c>
      <c r="I41" s="222" t="s">
        <v>102</v>
      </c>
      <c r="J41" s="222" t="s">
        <v>102</v>
      </c>
      <c r="K41" s="222">
        <v>0</v>
      </c>
      <c r="L41" s="222">
        <v>0</v>
      </c>
    </row>
    <row r="42" spans="1:12">
      <c r="A42" s="202">
        <v>2105</v>
      </c>
      <c r="B42" s="182" t="s">
        <v>3646</v>
      </c>
      <c r="C42" s="172">
        <v>0</v>
      </c>
      <c r="D42" s="172">
        <v>0</v>
      </c>
      <c r="E42" s="172">
        <v>5277000</v>
      </c>
      <c r="F42" s="172">
        <v>5277000</v>
      </c>
      <c r="G42" s="172" t="s">
        <v>102</v>
      </c>
      <c r="H42" s="172" t="s">
        <v>102</v>
      </c>
      <c r="I42" s="172" t="s">
        <v>102</v>
      </c>
      <c r="J42" s="172" t="s">
        <v>102</v>
      </c>
      <c r="K42" s="172">
        <v>0</v>
      </c>
      <c r="L42" s="172">
        <v>0</v>
      </c>
    </row>
    <row r="43" spans="1:12">
      <c r="A43" s="211">
        <v>210503</v>
      </c>
      <c r="B43" s="110" t="s">
        <v>3647</v>
      </c>
      <c r="C43" s="222">
        <v>0</v>
      </c>
      <c r="D43" s="222">
        <v>0</v>
      </c>
      <c r="E43" s="222">
        <v>5277000</v>
      </c>
      <c r="F43" s="222">
        <v>5277000</v>
      </c>
      <c r="G43" s="222" t="s">
        <v>102</v>
      </c>
      <c r="H43" s="222" t="s">
        <v>102</v>
      </c>
      <c r="I43" s="222" t="s">
        <v>102</v>
      </c>
      <c r="J43" s="222" t="s">
        <v>102</v>
      </c>
      <c r="K43" s="222">
        <v>0</v>
      </c>
      <c r="L43" s="222">
        <v>0</v>
      </c>
    </row>
    <row r="44" spans="1:12">
      <c r="A44" s="211">
        <v>2106</v>
      </c>
      <c r="B44" s="110" t="s">
        <v>3648</v>
      </c>
      <c r="C44" s="222">
        <v>0</v>
      </c>
      <c r="D44" s="222">
        <v>0</v>
      </c>
      <c r="E44" s="222">
        <v>27038700</v>
      </c>
      <c r="F44" s="222">
        <v>27038700</v>
      </c>
      <c r="G44" s="222" t="s">
        <v>102</v>
      </c>
      <c r="H44" s="222" t="s">
        <v>102</v>
      </c>
      <c r="I44" s="222" t="s">
        <v>102</v>
      </c>
      <c r="J44" s="222" t="s">
        <v>102</v>
      </c>
      <c r="K44" s="222">
        <v>0</v>
      </c>
      <c r="L44" s="222">
        <v>0</v>
      </c>
    </row>
    <row r="45" spans="1:12">
      <c r="A45" s="211">
        <v>210601</v>
      </c>
      <c r="B45" s="110" t="s">
        <v>3714</v>
      </c>
      <c r="C45" s="222">
        <v>0</v>
      </c>
      <c r="D45" s="222">
        <v>0</v>
      </c>
      <c r="E45" s="222">
        <v>16413500</v>
      </c>
      <c r="F45" s="222">
        <v>16413500</v>
      </c>
      <c r="G45" s="222" t="s">
        <v>102</v>
      </c>
      <c r="H45" s="222" t="s">
        <v>102</v>
      </c>
      <c r="I45" s="222" t="s">
        <v>102</v>
      </c>
      <c r="J45" s="222" t="s">
        <v>102</v>
      </c>
      <c r="K45" s="222">
        <v>0</v>
      </c>
      <c r="L45" s="222">
        <v>0</v>
      </c>
    </row>
    <row r="46" spans="1:12">
      <c r="A46" s="211">
        <v>210603</v>
      </c>
      <c r="B46" s="110" t="s">
        <v>3649</v>
      </c>
      <c r="C46" s="222">
        <v>0</v>
      </c>
      <c r="D46" s="222">
        <v>0</v>
      </c>
      <c r="E46" s="222">
        <v>1878000</v>
      </c>
      <c r="F46" s="222">
        <v>1878000</v>
      </c>
      <c r="G46" s="222" t="s">
        <v>102</v>
      </c>
      <c r="H46" s="222" t="s">
        <v>102</v>
      </c>
      <c r="I46" s="222" t="s">
        <v>102</v>
      </c>
      <c r="J46" s="222" t="s">
        <v>102</v>
      </c>
      <c r="K46" s="222">
        <v>0</v>
      </c>
      <c r="L46" s="222">
        <v>0</v>
      </c>
    </row>
    <row r="47" spans="1:12">
      <c r="A47" s="211">
        <v>210604</v>
      </c>
      <c r="B47" s="110" t="s">
        <v>3677</v>
      </c>
      <c r="C47" s="222">
        <v>0</v>
      </c>
      <c r="D47" s="222">
        <v>0</v>
      </c>
      <c r="E47" s="222">
        <v>8747200</v>
      </c>
      <c r="F47" s="222">
        <v>8747200</v>
      </c>
      <c r="G47" s="222" t="s">
        <v>102</v>
      </c>
      <c r="H47" s="222" t="s">
        <v>102</v>
      </c>
      <c r="I47" s="222" t="s">
        <v>102</v>
      </c>
      <c r="J47" s="222" t="s">
        <v>102</v>
      </c>
      <c r="K47" s="222">
        <v>0</v>
      </c>
      <c r="L47" s="222">
        <v>0</v>
      </c>
    </row>
    <row r="48" spans="1:12">
      <c r="A48" s="211">
        <v>2107</v>
      </c>
      <c r="B48" s="110" t="s">
        <v>3650</v>
      </c>
      <c r="C48" s="222">
        <v>0</v>
      </c>
      <c r="D48" s="222">
        <v>0</v>
      </c>
      <c r="E48" s="222">
        <v>228790461</v>
      </c>
      <c r="F48" s="222">
        <v>228790461</v>
      </c>
      <c r="G48" s="222" t="s">
        <v>102</v>
      </c>
      <c r="H48" s="222" t="s">
        <v>102</v>
      </c>
      <c r="I48" s="222" t="s">
        <v>102</v>
      </c>
      <c r="J48" s="222" t="s">
        <v>102</v>
      </c>
      <c r="K48" s="222">
        <v>0</v>
      </c>
      <c r="L48" s="222">
        <v>0</v>
      </c>
    </row>
    <row r="49" spans="1:12">
      <c r="A49" s="211">
        <v>210701</v>
      </c>
      <c r="B49" s="110" t="s">
        <v>3678</v>
      </c>
      <c r="C49" s="222">
        <v>0</v>
      </c>
      <c r="D49" s="222">
        <v>0</v>
      </c>
      <c r="E49" s="222">
        <v>84695250</v>
      </c>
      <c r="F49" s="222">
        <v>84695250</v>
      </c>
      <c r="G49" s="222" t="s">
        <v>102</v>
      </c>
      <c r="H49" s="222" t="s">
        <v>102</v>
      </c>
      <c r="I49" s="222" t="s">
        <v>102</v>
      </c>
      <c r="J49" s="222" t="s">
        <v>102</v>
      </c>
      <c r="K49" s="222">
        <v>0</v>
      </c>
      <c r="L49" s="222">
        <v>0</v>
      </c>
    </row>
    <row r="50" spans="1:12">
      <c r="A50" s="211">
        <v>210702</v>
      </c>
      <c r="B50" s="110" t="s">
        <v>3651</v>
      </c>
      <c r="C50" s="222">
        <v>0</v>
      </c>
      <c r="D50" s="222">
        <v>0</v>
      </c>
      <c r="E50" s="222">
        <v>144095211</v>
      </c>
      <c r="F50" s="222">
        <v>144095211</v>
      </c>
      <c r="G50" s="222" t="s">
        <v>102</v>
      </c>
      <c r="H50" s="222" t="s">
        <v>102</v>
      </c>
      <c r="I50" s="222" t="s">
        <v>102</v>
      </c>
      <c r="J50" s="222" t="s">
        <v>102</v>
      </c>
      <c r="K50" s="222">
        <v>0</v>
      </c>
      <c r="L50" s="222">
        <v>0</v>
      </c>
    </row>
    <row r="51" spans="1:12">
      <c r="A51" s="202">
        <v>2108</v>
      </c>
      <c r="B51" s="182" t="s">
        <v>3652</v>
      </c>
      <c r="C51" s="172">
        <v>0</v>
      </c>
      <c r="D51" s="172">
        <v>0</v>
      </c>
      <c r="E51" s="172">
        <v>6931597724.3000002</v>
      </c>
      <c r="F51" s="172">
        <v>6931597724.3000002</v>
      </c>
      <c r="G51" s="172" t="s">
        <v>102</v>
      </c>
      <c r="H51" s="172" t="s">
        <v>102</v>
      </c>
      <c r="I51" s="172" t="s">
        <v>102</v>
      </c>
      <c r="J51" s="172" t="s">
        <v>102</v>
      </c>
      <c r="K51" s="172">
        <v>0</v>
      </c>
      <c r="L51" s="172">
        <v>0</v>
      </c>
    </row>
    <row r="52" spans="1:12">
      <c r="A52" s="211">
        <v>210801</v>
      </c>
      <c r="B52" s="110" t="s">
        <v>3680</v>
      </c>
      <c r="C52" s="222">
        <v>0</v>
      </c>
      <c r="D52" s="222">
        <v>0</v>
      </c>
      <c r="E52" s="222">
        <v>6928104054.3000002</v>
      </c>
      <c r="F52" s="222">
        <v>6928104054.3000002</v>
      </c>
      <c r="G52" s="222" t="s">
        <v>102</v>
      </c>
      <c r="H52" s="222" t="s">
        <v>102</v>
      </c>
      <c r="I52" s="222" t="s">
        <v>102</v>
      </c>
      <c r="J52" s="222" t="s">
        <v>102</v>
      </c>
      <c r="K52" s="222">
        <v>0</v>
      </c>
      <c r="L52" s="222">
        <v>0</v>
      </c>
    </row>
    <row r="53" spans="1:12">
      <c r="A53" s="202">
        <v>210803</v>
      </c>
      <c r="B53" s="182" t="s">
        <v>3654</v>
      </c>
      <c r="C53" s="172">
        <v>0</v>
      </c>
      <c r="D53" s="172">
        <v>0</v>
      </c>
      <c r="E53" s="172">
        <v>2701770</v>
      </c>
      <c r="F53" s="172">
        <v>2701770</v>
      </c>
      <c r="G53" s="172" t="s">
        <v>102</v>
      </c>
      <c r="H53" s="172" t="s">
        <v>102</v>
      </c>
      <c r="I53" s="172" t="s">
        <v>102</v>
      </c>
      <c r="J53" s="172" t="s">
        <v>102</v>
      </c>
      <c r="K53" s="172">
        <v>0</v>
      </c>
      <c r="L53" s="172">
        <v>0</v>
      </c>
    </row>
    <row r="54" spans="1:12">
      <c r="A54" s="211">
        <v>210804</v>
      </c>
      <c r="B54" s="110" t="s">
        <v>3655</v>
      </c>
      <c r="C54" s="222">
        <v>0</v>
      </c>
      <c r="D54" s="222">
        <v>0</v>
      </c>
      <c r="E54" s="222">
        <v>633500</v>
      </c>
      <c r="F54" s="222">
        <v>633500</v>
      </c>
      <c r="G54" s="222" t="s">
        <v>102</v>
      </c>
      <c r="H54" s="222" t="s">
        <v>102</v>
      </c>
      <c r="I54" s="222" t="s">
        <v>102</v>
      </c>
      <c r="J54" s="222" t="s">
        <v>102</v>
      </c>
      <c r="K54" s="222">
        <v>0</v>
      </c>
      <c r="L54" s="222">
        <v>0</v>
      </c>
    </row>
    <row r="55" spans="1:12">
      <c r="A55" s="211">
        <v>210805</v>
      </c>
      <c r="B55" s="110" t="s">
        <v>3656</v>
      </c>
      <c r="C55" s="222">
        <v>0</v>
      </c>
      <c r="D55" s="222">
        <v>0</v>
      </c>
      <c r="E55" s="222">
        <v>158400</v>
      </c>
      <c r="F55" s="222">
        <v>158400</v>
      </c>
      <c r="G55" s="222" t="s">
        <v>102</v>
      </c>
      <c r="H55" s="222" t="s">
        <v>102</v>
      </c>
      <c r="I55" s="222" t="s">
        <v>102</v>
      </c>
      <c r="J55" s="222" t="s">
        <v>102</v>
      </c>
      <c r="K55" s="222">
        <v>0</v>
      </c>
      <c r="L55" s="222">
        <v>0</v>
      </c>
    </row>
    <row r="56" spans="1:12">
      <c r="A56" s="202">
        <v>2109</v>
      </c>
      <c r="B56" s="182" t="s">
        <v>3657</v>
      </c>
      <c r="C56" s="172">
        <v>0</v>
      </c>
      <c r="D56" s="172">
        <v>0</v>
      </c>
      <c r="E56" s="172">
        <v>278489343.76999998</v>
      </c>
      <c r="F56" s="172">
        <v>278489343.76999998</v>
      </c>
      <c r="G56" s="172" t="s">
        <v>102</v>
      </c>
      <c r="H56" s="172" t="s">
        <v>102</v>
      </c>
      <c r="I56" s="172" t="s">
        <v>102</v>
      </c>
      <c r="J56" s="172" t="s">
        <v>102</v>
      </c>
      <c r="K56" s="172">
        <v>0</v>
      </c>
      <c r="L56" s="172">
        <v>0</v>
      </c>
    </row>
    <row r="57" spans="1:12">
      <c r="A57" s="202">
        <v>210901</v>
      </c>
      <c r="B57" s="182" t="s">
        <v>3657</v>
      </c>
      <c r="C57" s="172">
        <v>0</v>
      </c>
      <c r="D57" s="172">
        <v>0</v>
      </c>
      <c r="E57" s="172">
        <v>159841858.11000001</v>
      </c>
      <c r="F57" s="172">
        <v>159841858.11000001</v>
      </c>
      <c r="G57" s="172" t="s">
        <v>102</v>
      </c>
      <c r="H57" s="172" t="s">
        <v>102</v>
      </c>
      <c r="I57" s="172" t="s">
        <v>102</v>
      </c>
      <c r="J57" s="172" t="s">
        <v>102</v>
      </c>
      <c r="K57" s="172">
        <v>0</v>
      </c>
      <c r="L57" s="172">
        <v>0</v>
      </c>
    </row>
    <row r="58" spans="1:12">
      <c r="A58" s="211">
        <v>21090101</v>
      </c>
      <c r="B58" s="110" t="s">
        <v>3715</v>
      </c>
      <c r="C58" s="222">
        <v>0</v>
      </c>
      <c r="D58" s="222">
        <v>0</v>
      </c>
      <c r="E58" s="222">
        <v>630000</v>
      </c>
      <c r="F58" s="222">
        <v>630000</v>
      </c>
      <c r="G58" s="222" t="s">
        <v>102</v>
      </c>
      <c r="H58" s="222" t="s">
        <v>102</v>
      </c>
      <c r="I58" s="222" t="s">
        <v>102</v>
      </c>
      <c r="J58" s="222" t="s">
        <v>102</v>
      </c>
      <c r="K58" s="222">
        <v>0</v>
      </c>
      <c r="L58" s="222">
        <v>0</v>
      </c>
    </row>
    <row r="59" spans="1:12">
      <c r="A59" s="211">
        <v>21090102</v>
      </c>
      <c r="B59" s="110" t="s">
        <v>3657</v>
      </c>
      <c r="C59" s="222">
        <v>0</v>
      </c>
      <c r="D59" s="222">
        <v>0</v>
      </c>
      <c r="E59" s="222">
        <v>159211858.11000001</v>
      </c>
      <c r="F59" s="222">
        <v>159211858.11000001</v>
      </c>
      <c r="G59" s="222" t="s">
        <v>102</v>
      </c>
      <c r="H59" s="222" t="s">
        <v>102</v>
      </c>
      <c r="I59" s="222" t="s">
        <v>102</v>
      </c>
      <c r="J59" s="222" t="s">
        <v>102</v>
      </c>
      <c r="K59" s="222">
        <v>0</v>
      </c>
      <c r="L59" s="222">
        <v>0</v>
      </c>
    </row>
    <row r="60" spans="1:12">
      <c r="A60" s="211">
        <v>210902</v>
      </c>
      <c r="B60" s="110" t="s">
        <v>3681</v>
      </c>
      <c r="C60" s="222">
        <v>0</v>
      </c>
      <c r="D60" s="222">
        <v>0</v>
      </c>
      <c r="E60" s="222">
        <v>200000</v>
      </c>
      <c r="F60" s="222">
        <v>200000</v>
      </c>
      <c r="G60" s="222" t="s">
        <v>102</v>
      </c>
      <c r="H60" s="222" t="s">
        <v>102</v>
      </c>
      <c r="I60" s="222" t="s">
        <v>102</v>
      </c>
      <c r="J60" s="222" t="s">
        <v>102</v>
      </c>
      <c r="K60" s="222">
        <v>0</v>
      </c>
      <c r="L60" s="222">
        <v>0</v>
      </c>
    </row>
    <row r="61" spans="1:12">
      <c r="A61" s="211">
        <v>210903</v>
      </c>
      <c r="B61" s="110" t="s">
        <v>3716</v>
      </c>
      <c r="C61" s="222">
        <v>0</v>
      </c>
      <c r="D61" s="222">
        <v>0</v>
      </c>
      <c r="E61" s="222">
        <v>118447485.66</v>
      </c>
      <c r="F61" s="222">
        <v>118447485.66</v>
      </c>
      <c r="G61" s="222" t="s">
        <v>102</v>
      </c>
      <c r="H61" s="222" t="s">
        <v>102</v>
      </c>
      <c r="I61" s="222" t="s">
        <v>102</v>
      </c>
      <c r="J61" s="222" t="s">
        <v>102</v>
      </c>
      <c r="K61" s="222">
        <v>0</v>
      </c>
      <c r="L61" s="222">
        <v>0</v>
      </c>
    </row>
    <row r="62" spans="1:12">
      <c r="A62" s="211">
        <v>213</v>
      </c>
      <c r="B62" s="110" t="s">
        <v>3658</v>
      </c>
      <c r="C62" s="222">
        <v>0</v>
      </c>
      <c r="D62" s="222">
        <v>0</v>
      </c>
      <c r="E62" s="222">
        <v>345584301.69</v>
      </c>
      <c r="F62" s="222">
        <v>345584301.69</v>
      </c>
      <c r="G62" s="222" t="s">
        <v>102</v>
      </c>
      <c r="H62" s="222" t="s">
        <v>102</v>
      </c>
      <c r="I62" s="222" t="s">
        <v>102</v>
      </c>
      <c r="J62" s="222" t="s">
        <v>102</v>
      </c>
      <c r="K62" s="222">
        <v>0</v>
      </c>
      <c r="L62" s="222">
        <v>0</v>
      </c>
    </row>
    <row r="63" spans="1:12">
      <c r="A63" s="211">
        <v>2132</v>
      </c>
      <c r="B63" s="110" t="s">
        <v>3659</v>
      </c>
      <c r="C63" s="222">
        <v>0</v>
      </c>
      <c r="D63" s="222">
        <v>0</v>
      </c>
      <c r="E63" s="222">
        <v>3600000</v>
      </c>
      <c r="F63" s="222">
        <v>3600000</v>
      </c>
      <c r="G63" s="222" t="s">
        <v>102</v>
      </c>
      <c r="H63" s="222" t="s">
        <v>102</v>
      </c>
      <c r="I63" s="222" t="s">
        <v>102</v>
      </c>
      <c r="J63" s="222" t="s">
        <v>102</v>
      </c>
      <c r="K63" s="222">
        <v>0</v>
      </c>
      <c r="L63" s="222">
        <v>0</v>
      </c>
    </row>
    <row r="64" spans="1:12">
      <c r="A64" s="211">
        <v>213209</v>
      </c>
      <c r="B64" s="110" t="s">
        <v>3717</v>
      </c>
      <c r="C64" s="222">
        <v>0</v>
      </c>
      <c r="D64" s="222">
        <v>0</v>
      </c>
      <c r="E64" s="222">
        <v>3600000</v>
      </c>
      <c r="F64" s="222">
        <v>3600000</v>
      </c>
      <c r="G64" s="222" t="s">
        <v>102</v>
      </c>
      <c r="H64" s="222" t="s">
        <v>102</v>
      </c>
      <c r="I64" s="222" t="s">
        <v>102</v>
      </c>
      <c r="J64" s="222" t="s">
        <v>102</v>
      </c>
      <c r="K64" s="222">
        <v>0</v>
      </c>
      <c r="L64" s="222">
        <v>0</v>
      </c>
    </row>
    <row r="65" spans="1:12">
      <c r="A65" s="211">
        <v>2133</v>
      </c>
      <c r="B65" s="110" t="s">
        <v>3718</v>
      </c>
      <c r="C65" s="222">
        <v>0</v>
      </c>
      <c r="D65" s="222">
        <v>0</v>
      </c>
      <c r="E65" s="222">
        <v>341984301.69</v>
      </c>
      <c r="F65" s="222">
        <v>341984301.69</v>
      </c>
      <c r="G65" s="222" t="s">
        <v>102</v>
      </c>
      <c r="H65" s="222" t="s">
        <v>102</v>
      </c>
      <c r="I65" s="222" t="s">
        <v>102</v>
      </c>
      <c r="J65" s="222" t="s">
        <v>102</v>
      </c>
      <c r="K65" s="222">
        <v>0</v>
      </c>
      <c r="L65" s="222">
        <v>0</v>
      </c>
    </row>
    <row r="66" spans="1:12">
      <c r="A66" s="211">
        <v>213303</v>
      </c>
      <c r="B66" s="110" t="s">
        <v>3719</v>
      </c>
      <c r="C66" s="222">
        <v>0</v>
      </c>
      <c r="D66" s="222">
        <v>0</v>
      </c>
      <c r="E66" s="222">
        <v>341984301.69</v>
      </c>
      <c r="F66" s="222">
        <v>341984301.69</v>
      </c>
      <c r="G66" s="222" t="s">
        <v>102</v>
      </c>
      <c r="H66" s="222" t="s">
        <v>102</v>
      </c>
      <c r="I66" s="222" t="s">
        <v>102</v>
      </c>
      <c r="J66" s="222" t="s">
        <v>102</v>
      </c>
      <c r="K66" s="222">
        <v>0</v>
      </c>
      <c r="L66" s="222">
        <v>0</v>
      </c>
    </row>
    <row r="67" spans="1:12">
      <c r="A67" s="211">
        <v>22</v>
      </c>
      <c r="B67" s="110" t="s">
        <v>3720</v>
      </c>
      <c r="C67" s="222">
        <v>0</v>
      </c>
      <c r="D67" s="222">
        <v>0</v>
      </c>
      <c r="E67" s="222">
        <v>1087559.51</v>
      </c>
      <c r="F67" s="222">
        <v>1087559.51</v>
      </c>
      <c r="G67" s="222" t="s">
        <v>102</v>
      </c>
      <c r="H67" s="222" t="s">
        <v>102</v>
      </c>
      <c r="I67" s="222" t="s">
        <v>102</v>
      </c>
      <c r="J67" s="222" t="s">
        <v>102</v>
      </c>
      <c r="K67" s="222">
        <v>0</v>
      </c>
      <c r="L67" s="222">
        <v>0</v>
      </c>
    </row>
    <row r="68" spans="1:12">
      <c r="A68" s="211">
        <v>225</v>
      </c>
      <c r="B68" s="110" t="s">
        <v>3721</v>
      </c>
      <c r="C68" s="222">
        <v>0</v>
      </c>
      <c r="D68" s="222">
        <v>0</v>
      </c>
      <c r="E68" s="222">
        <v>1087559.51</v>
      </c>
      <c r="F68" s="222">
        <v>1087559.51</v>
      </c>
      <c r="G68" s="222" t="s">
        <v>102</v>
      </c>
      <c r="H68" s="222" t="s">
        <v>102</v>
      </c>
      <c r="I68" s="222" t="s">
        <v>102</v>
      </c>
      <c r="J68" s="222" t="s">
        <v>102</v>
      </c>
      <c r="K68" s="222">
        <v>0</v>
      </c>
      <c r="L68" s="222">
        <v>0</v>
      </c>
    </row>
    <row r="69" spans="1:12">
      <c r="A69" s="202">
        <v>225001</v>
      </c>
      <c r="B69" s="182" t="s">
        <v>3722</v>
      </c>
      <c r="C69" s="172">
        <v>0</v>
      </c>
      <c r="D69" s="172">
        <v>0</v>
      </c>
      <c r="E69" s="172">
        <v>1087559.51</v>
      </c>
      <c r="F69" s="172">
        <v>1087559.51</v>
      </c>
      <c r="G69" s="172" t="s">
        <v>102</v>
      </c>
      <c r="H69" s="172" t="s">
        <v>102</v>
      </c>
      <c r="I69" s="172" t="s">
        <v>102</v>
      </c>
      <c r="J69" s="172" t="s">
        <v>102</v>
      </c>
      <c r="K69" s="172">
        <v>0</v>
      </c>
      <c r="L69" s="172">
        <v>0</v>
      </c>
    </row>
    <row r="70" spans="1:12">
      <c r="A70" s="211">
        <v>3</v>
      </c>
      <c r="B70" s="110" t="s">
        <v>3723</v>
      </c>
      <c r="C70" s="222">
        <v>1527799489.7</v>
      </c>
      <c r="D70" s="222">
        <v>0</v>
      </c>
      <c r="E70" s="222">
        <v>16560265972.190001</v>
      </c>
      <c r="F70" s="222">
        <v>16364102419.280001</v>
      </c>
      <c r="G70" s="222" t="s">
        <v>102</v>
      </c>
      <c r="H70" s="222" t="s">
        <v>102</v>
      </c>
      <c r="I70" s="222" t="s">
        <v>102</v>
      </c>
      <c r="J70" s="222" t="s">
        <v>102</v>
      </c>
      <c r="K70" s="222">
        <v>1723963042.6099999</v>
      </c>
      <c r="L70" s="222">
        <v>0</v>
      </c>
    </row>
    <row r="71" spans="1:12">
      <c r="A71" s="211">
        <v>300001</v>
      </c>
      <c r="B71" s="110" t="s">
        <v>3724</v>
      </c>
      <c r="C71" s="222">
        <v>0</v>
      </c>
      <c r="D71" s="222">
        <v>0</v>
      </c>
      <c r="E71" s="222">
        <v>27272422</v>
      </c>
      <c r="F71" s="222">
        <v>27272422</v>
      </c>
      <c r="G71" s="222" t="s">
        <v>102</v>
      </c>
      <c r="H71" s="222" t="s">
        <v>102</v>
      </c>
      <c r="I71" s="222" t="s">
        <v>102</v>
      </c>
      <c r="J71" s="222" t="s">
        <v>102</v>
      </c>
      <c r="K71" s="222">
        <v>0</v>
      </c>
      <c r="L71" s="222">
        <v>0</v>
      </c>
    </row>
    <row r="72" spans="1:12">
      <c r="A72" s="202">
        <v>300002</v>
      </c>
      <c r="B72" s="182" t="s">
        <v>3725</v>
      </c>
      <c r="C72" s="172">
        <v>0</v>
      </c>
      <c r="D72" s="172">
        <v>0</v>
      </c>
      <c r="E72" s="172">
        <v>2831627</v>
      </c>
      <c r="F72" s="172">
        <v>2831627</v>
      </c>
      <c r="G72" s="172" t="s">
        <v>102</v>
      </c>
      <c r="H72" s="172" t="s">
        <v>102</v>
      </c>
      <c r="I72" s="172" t="s">
        <v>102</v>
      </c>
      <c r="J72" s="172" t="s">
        <v>102</v>
      </c>
      <c r="K72" s="172">
        <v>0</v>
      </c>
      <c r="L72" s="172">
        <v>0</v>
      </c>
    </row>
    <row r="73" spans="1:12">
      <c r="A73" s="211">
        <v>300004</v>
      </c>
      <c r="B73" s="110" t="s">
        <v>3726</v>
      </c>
      <c r="C73" s="222">
        <v>0</v>
      </c>
      <c r="D73" s="222">
        <v>0</v>
      </c>
      <c r="E73" s="222">
        <v>17330000</v>
      </c>
      <c r="F73" s="222">
        <v>17330000</v>
      </c>
      <c r="G73" s="222" t="s">
        <v>102</v>
      </c>
      <c r="H73" s="222" t="s">
        <v>102</v>
      </c>
      <c r="I73" s="222" t="s">
        <v>102</v>
      </c>
      <c r="J73" s="222" t="s">
        <v>102</v>
      </c>
      <c r="K73" s="222">
        <v>0</v>
      </c>
      <c r="L73" s="222">
        <v>0</v>
      </c>
    </row>
    <row r="74" spans="1:12">
      <c r="A74" s="211">
        <v>31</v>
      </c>
      <c r="B74" s="110" t="s">
        <v>2188</v>
      </c>
      <c r="C74" s="222">
        <v>0</v>
      </c>
      <c r="D74" s="222">
        <v>0</v>
      </c>
      <c r="E74" s="222">
        <v>7784633460</v>
      </c>
      <c r="F74" s="222">
        <v>7784633460</v>
      </c>
      <c r="G74" s="222" t="s">
        <v>102</v>
      </c>
      <c r="H74" s="222" t="s">
        <v>102</v>
      </c>
      <c r="I74" s="222" t="s">
        <v>102</v>
      </c>
      <c r="J74" s="222" t="s">
        <v>102</v>
      </c>
      <c r="K74" s="222">
        <v>0</v>
      </c>
      <c r="L74" s="222">
        <v>0</v>
      </c>
    </row>
    <row r="75" spans="1:12">
      <c r="A75" s="211">
        <v>312</v>
      </c>
      <c r="B75" s="110" t="s">
        <v>3727</v>
      </c>
      <c r="C75" s="222">
        <v>0</v>
      </c>
      <c r="D75" s="222">
        <v>0</v>
      </c>
      <c r="E75" s="222">
        <v>7784633460</v>
      </c>
      <c r="F75" s="222">
        <v>7784633460</v>
      </c>
      <c r="G75" s="222" t="s">
        <v>102</v>
      </c>
      <c r="H75" s="222" t="s">
        <v>102</v>
      </c>
      <c r="I75" s="222" t="s">
        <v>102</v>
      </c>
      <c r="J75" s="222" t="s">
        <v>102</v>
      </c>
      <c r="K75" s="222">
        <v>0</v>
      </c>
      <c r="L75" s="222">
        <v>0</v>
      </c>
    </row>
    <row r="76" spans="1:12">
      <c r="A76" s="211">
        <v>3121</v>
      </c>
      <c r="B76" s="110" t="s">
        <v>3728</v>
      </c>
      <c r="C76" s="222">
        <v>0</v>
      </c>
      <c r="D76" s="222">
        <v>0</v>
      </c>
      <c r="E76" s="222">
        <v>7784633460</v>
      </c>
      <c r="F76" s="222">
        <v>7784633460</v>
      </c>
      <c r="G76" s="222" t="s">
        <v>102</v>
      </c>
      <c r="H76" s="222" t="s">
        <v>102</v>
      </c>
      <c r="I76" s="222" t="s">
        <v>102</v>
      </c>
      <c r="J76" s="222" t="s">
        <v>102</v>
      </c>
      <c r="K76" s="222">
        <v>0</v>
      </c>
      <c r="L76" s="222">
        <v>0</v>
      </c>
    </row>
    <row r="77" spans="1:12">
      <c r="A77" s="202">
        <v>31211</v>
      </c>
      <c r="B77" s="182" t="s">
        <v>3729</v>
      </c>
      <c r="C77" s="172">
        <v>0</v>
      </c>
      <c r="D77" s="172">
        <v>0</v>
      </c>
      <c r="E77" s="172">
        <v>226399742</v>
      </c>
      <c r="F77" s="172">
        <v>226399742</v>
      </c>
      <c r="G77" s="172" t="s">
        <v>102</v>
      </c>
      <c r="H77" s="172" t="s">
        <v>102</v>
      </c>
      <c r="I77" s="172" t="s">
        <v>102</v>
      </c>
      <c r="J77" s="172" t="s">
        <v>102</v>
      </c>
      <c r="K77" s="172">
        <v>0</v>
      </c>
      <c r="L77" s="172">
        <v>0</v>
      </c>
    </row>
    <row r="78" spans="1:12">
      <c r="A78" s="211">
        <v>312113</v>
      </c>
      <c r="B78" s="110" t="s">
        <v>3730</v>
      </c>
      <c r="C78" s="222">
        <v>0</v>
      </c>
      <c r="D78" s="222">
        <v>0</v>
      </c>
      <c r="E78" s="222">
        <v>226399742</v>
      </c>
      <c r="F78" s="222">
        <v>226399742</v>
      </c>
      <c r="G78" s="222" t="s">
        <v>102</v>
      </c>
      <c r="H78" s="222" t="s">
        <v>102</v>
      </c>
      <c r="I78" s="222" t="s">
        <v>102</v>
      </c>
      <c r="J78" s="222" t="s">
        <v>102</v>
      </c>
      <c r="K78" s="222">
        <v>0</v>
      </c>
      <c r="L78" s="222">
        <v>0</v>
      </c>
    </row>
    <row r="79" spans="1:12">
      <c r="A79" s="211">
        <v>31215</v>
      </c>
      <c r="B79" s="110" t="s">
        <v>3731</v>
      </c>
      <c r="C79" s="222">
        <v>0</v>
      </c>
      <c r="D79" s="222">
        <v>0</v>
      </c>
      <c r="E79" s="222">
        <v>7558233718</v>
      </c>
      <c r="F79" s="222">
        <v>7558233718</v>
      </c>
      <c r="G79" s="222" t="s">
        <v>102</v>
      </c>
      <c r="H79" s="222" t="s">
        <v>102</v>
      </c>
      <c r="I79" s="222" t="s">
        <v>102</v>
      </c>
      <c r="J79" s="222" t="s">
        <v>102</v>
      </c>
      <c r="K79" s="222">
        <v>0</v>
      </c>
      <c r="L79" s="222">
        <v>0</v>
      </c>
    </row>
    <row r="80" spans="1:12">
      <c r="A80" s="211">
        <v>33</v>
      </c>
      <c r="B80" s="110" t="s">
        <v>2185</v>
      </c>
      <c r="C80" s="222">
        <v>360000</v>
      </c>
      <c r="D80" s="222">
        <v>0</v>
      </c>
      <c r="E80" s="222">
        <v>1295252812.73</v>
      </c>
      <c r="F80" s="222">
        <v>972369658.12</v>
      </c>
      <c r="G80" s="222" t="s">
        <v>102</v>
      </c>
      <c r="H80" s="222" t="s">
        <v>102</v>
      </c>
      <c r="I80" s="222" t="s">
        <v>102</v>
      </c>
      <c r="J80" s="222" t="s">
        <v>102</v>
      </c>
      <c r="K80" s="222">
        <v>323243154.61000001</v>
      </c>
      <c r="L80" s="222">
        <v>0</v>
      </c>
    </row>
    <row r="81" spans="1:12">
      <c r="A81" s="211">
        <v>335</v>
      </c>
      <c r="B81" s="110" t="s">
        <v>3732</v>
      </c>
      <c r="C81" s="222">
        <v>360000</v>
      </c>
      <c r="D81" s="222">
        <v>0</v>
      </c>
      <c r="E81" s="222">
        <v>1295252812.73</v>
      </c>
      <c r="F81" s="222">
        <v>972369658.12</v>
      </c>
      <c r="G81" s="222" t="s">
        <v>102</v>
      </c>
      <c r="H81" s="222" t="s">
        <v>102</v>
      </c>
      <c r="I81" s="222" t="s">
        <v>102</v>
      </c>
      <c r="J81" s="222" t="s">
        <v>102</v>
      </c>
      <c r="K81" s="222">
        <v>323243154.61000001</v>
      </c>
      <c r="L81" s="222">
        <v>0</v>
      </c>
    </row>
    <row r="82" spans="1:12">
      <c r="A82" s="202">
        <v>3351</v>
      </c>
      <c r="B82" s="182" t="s">
        <v>3733</v>
      </c>
      <c r="C82" s="172">
        <v>0</v>
      </c>
      <c r="D82" s="172">
        <v>0</v>
      </c>
      <c r="E82" s="172">
        <v>1295252812.73</v>
      </c>
      <c r="F82" s="172">
        <v>972009658.12</v>
      </c>
      <c r="G82" s="172" t="s">
        <v>102</v>
      </c>
      <c r="H82" s="172" t="s">
        <v>102</v>
      </c>
      <c r="I82" s="172" t="s">
        <v>102</v>
      </c>
      <c r="J82" s="172" t="s">
        <v>102</v>
      </c>
      <c r="K82" s="172">
        <v>323243154.61000001</v>
      </c>
      <c r="L82" s="172">
        <v>0</v>
      </c>
    </row>
    <row r="83" spans="1:12">
      <c r="A83" s="202">
        <v>335101</v>
      </c>
      <c r="B83" s="182" t="s">
        <v>560</v>
      </c>
      <c r="C83" s="172">
        <v>0</v>
      </c>
      <c r="D83" s="172">
        <v>0</v>
      </c>
      <c r="E83" s="172">
        <v>2352800</v>
      </c>
      <c r="F83" s="172">
        <v>2352800</v>
      </c>
      <c r="G83" s="172" t="s">
        <v>102</v>
      </c>
      <c r="H83" s="172" t="s">
        <v>102</v>
      </c>
      <c r="I83" s="172" t="s">
        <v>102</v>
      </c>
      <c r="J83" s="172" t="s">
        <v>102</v>
      </c>
      <c r="K83" s="172">
        <v>0</v>
      </c>
      <c r="L83" s="172">
        <v>0</v>
      </c>
    </row>
    <row r="84" spans="1:12">
      <c r="A84" s="211">
        <v>335102</v>
      </c>
      <c r="B84" s="110" t="s">
        <v>561</v>
      </c>
      <c r="C84" s="222">
        <v>0</v>
      </c>
      <c r="D84" s="222">
        <v>0</v>
      </c>
      <c r="E84" s="222">
        <v>6339830</v>
      </c>
      <c r="F84" s="222">
        <v>6339830</v>
      </c>
      <c r="G84" s="222" t="s">
        <v>102</v>
      </c>
      <c r="H84" s="222" t="s">
        <v>102</v>
      </c>
      <c r="I84" s="222" t="s">
        <v>102</v>
      </c>
      <c r="J84" s="222" t="s">
        <v>102</v>
      </c>
      <c r="K84" s="222">
        <v>0</v>
      </c>
      <c r="L84" s="222">
        <v>0</v>
      </c>
    </row>
    <row r="85" spans="1:12">
      <c r="A85" s="211">
        <v>335103</v>
      </c>
      <c r="B85" s="110" t="s">
        <v>562</v>
      </c>
      <c r="C85" s="222">
        <v>0</v>
      </c>
      <c r="D85" s="222">
        <v>0</v>
      </c>
      <c r="E85" s="222">
        <v>3384296.12</v>
      </c>
      <c r="F85" s="222">
        <v>3384296.12</v>
      </c>
      <c r="G85" s="222" t="s">
        <v>102</v>
      </c>
      <c r="H85" s="222" t="s">
        <v>102</v>
      </c>
      <c r="I85" s="222" t="s">
        <v>102</v>
      </c>
      <c r="J85" s="222" t="s">
        <v>102</v>
      </c>
      <c r="K85" s="222">
        <v>0</v>
      </c>
      <c r="L85" s="222">
        <v>0</v>
      </c>
    </row>
    <row r="86" spans="1:12">
      <c r="A86" s="211">
        <v>335105</v>
      </c>
      <c r="B86" s="110" t="s">
        <v>3734</v>
      </c>
      <c r="C86" s="222">
        <v>0</v>
      </c>
      <c r="D86" s="222">
        <v>0</v>
      </c>
      <c r="E86" s="222">
        <v>77869476</v>
      </c>
      <c r="F86" s="222">
        <v>77869476</v>
      </c>
      <c r="G86" s="222" t="s">
        <v>102</v>
      </c>
      <c r="H86" s="222" t="s">
        <v>102</v>
      </c>
      <c r="I86" s="222" t="s">
        <v>102</v>
      </c>
      <c r="J86" s="222" t="s">
        <v>102</v>
      </c>
      <c r="K86" s="222">
        <v>0</v>
      </c>
      <c r="L86" s="222">
        <v>0</v>
      </c>
    </row>
    <row r="87" spans="1:12">
      <c r="A87" s="203">
        <v>335106</v>
      </c>
      <c r="B87" s="187" t="s">
        <v>565</v>
      </c>
      <c r="C87" s="172">
        <v>0</v>
      </c>
      <c r="D87" s="172">
        <v>0</v>
      </c>
      <c r="E87" s="172">
        <v>155845250</v>
      </c>
      <c r="F87" s="172">
        <v>155845250</v>
      </c>
      <c r="G87" s="172" t="s">
        <v>102</v>
      </c>
      <c r="H87" s="172" t="s">
        <v>102</v>
      </c>
      <c r="I87" s="172" t="s">
        <v>102</v>
      </c>
      <c r="J87" s="172" t="s">
        <v>102</v>
      </c>
      <c r="K87" s="172">
        <v>0</v>
      </c>
      <c r="L87" s="172">
        <v>0</v>
      </c>
    </row>
    <row r="88" spans="1:12">
      <c r="A88" s="211">
        <v>335113</v>
      </c>
      <c r="B88" s="110" t="s">
        <v>572</v>
      </c>
      <c r="C88" s="222">
        <v>0</v>
      </c>
      <c r="D88" s="222">
        <v>0</v>
      </c>
      <c r="E88" s="222">
        <v>1049461160.61</v>
      </c>
      <c r="F88" s="222">
        <v>726218006</v>
      </c>
      <c r="G88" s="222" t="s">
        <v>102</v>
      </c>
      <c r="H88" s="222" t="s">
        <v>102</v>
      </c>
      <c r="I88" s="222" t="s">
        <v>102</v>
      </c>
      <c r="J88" s="222" t="s">
        <v>102</v>
      </c>
      <c r="K88" s="222">
        <v>323243154.61000001</v>
      </c>
      <c r="L88" s="222">
        <v>0</v>
      </c>
    </row>
    <row r="89" spans="1:12">
      <c r="A89" s="211">
        <v>3352</v>
      </c>
      <c r="B89" s="110" t="s">
        <v>2418</v>
      </c>
      <c r="C89" s="222">
        <v>360000</v>
      </c>
      <c r="D89" s="222">
        <v>0</v>
      </c>
      <c r="E89" s="222">
        <v>0</v>
      </c>
      <c r="F89" s="222">
        <v>360000</v>
      </c>
      <c r="G89" s="222" t="s">
        <v>102</v>
      </c>
      <c r="H89" s="222" t="s">
        <v>102</v>
      </c>
      <c r="I89" s="222" t="s">
        <v>102</v>
      </c>
      <c r="J89" s="222" t="s">
        <v>102</v>
      </c>
      <c r="K89" s="222">
        <v>0</v>
      </c>
      <c r="L89" s="222">
        <v>0</v>
      </c>
    </row>
    <row r="90" spans="1:12">
      <c r="A90" s="109">
        <v>34</v>
      </c>
      <c r="B90" s="223" t="s">
        <v>3735</v>
      </c>
      <c r="C90" s="222">
        <v>0</v>
      </c>
      <c r="D90" s="222">
        <v>0</v>
      </c>
      <c r="E90" s="222">
        <v>6058769495</v>
      </c>
      <c r="F90" s="222">
        <v>6058769495</v>
      </c>
      <c r="G90" s="222" t="s">
        <v>102</v>
      </c>
      <c r="H90" s="222" t="s">
        <v>102</v>
      </c>
      <c r="I90" s="222" t="s">
        <v>102</v>
      </c>
      <c r="J90" s="222" t="s">
        <v>102</v>
      </c>
      <c r="K90" s="222">
        <v>0</v>
      </c>
      <c r="L90" s="222">
        <v>0</v>
      </c>
    </row>
    <row r="91" spans="1:12">
      <c r="A91" s="211">
        <v>34600</v>
      </c>
      <c r="B91" s="110" t="s">
        <v>3736</v>
      </c>
      <c r="C91" s="222">
        <v>0</v>
      </c>
      <c r="D91" s="222">
        <v>0</v>
      </c>
      <c r="E91" s="222">
        <v>6009519495</v>
      </c>
      <c r="F91" s="222">
        <v>6009519495</v>
      </c>
      <c r="G91" s="222" t="s">
        <v>102</v>
      </c>
      <c r="H91" s="222" t="s">
        <v>102</v>
      </c>
      <c r="I91" s="222" t="s">
        <v>102</v>
      </c>
      <c r="J91" s="222" t="s">
        <v>102</v>
      </c>
      <c r="K91" s="222">
        <v>0</v>
      </c>
      <c r="L91" s="222">
        <v>0</v>
      </c>
    </row>
    <row r="92" spans="1:12">
      <c r="A92" s="161">
        <v>3471</v>
      </c>
      <c r="B92" s="110" t="s">
        <v>3737</v>
      </c>
      <c r="C92" s="222">
        <v>0</v>
      </c>
      <c r="D92" s="222">
        <v>0</v>
      </c>
      <c r="E92" s="222">
        <v>49250000</v>
      </c>
      <c r="F92" s="222">
        <v>49250000</v>
      </c>
      <c r="G92" s="222" t="s">
        <v>102</v>
      </c>
      <c r="H92" s="222" t="s">
        <v>102</v>
      </c>
      <c r="I92" s="222" t="s">
        <v>102</v>
      </c>
      <c r="J92" s="222" t="s">
        <v>102</v>
      </c>
      <c r="K92" s="222">
        <v>0</v>
      </c>
      <c r="L92" s="222">
        <v>0</v>
      </c>
    </row>
    <row r="93" spans="1:12">
      <c r="A93" s="211">
        <v>34713</v>
      </c>
      <c r="B93" s="110" t="s">
        <v>3738</v>
      </c>
      <c r="C93" s="222">
        <v>0</v>
      </c>
      <c r="D93" s="222">
        <v>0</v>
      </c>
      <c r="E93" s="222">
        <v>49250000</v>
      </c>
      <c r="F93" s="222">
        <v>49250000</v>
      </c>
      <c r="G93" s="222" t="s">
        <v>102</v>
      </c>
      <c r="H93" s="222" t="s">
        <v>102</v>
      </c>
      <c r="I93" s="222" t="s">
        <v>102</v>
      </c>
      <c r="J93" s="222" t="s">
        <v>102</v>
      </c>
      <c r="K93" s="222">
        <v>0</v>
      </c>
      <c r="L93" s="222">
        <v>0</v>
      </c>
    </row>
    <row r="94" spans="1:12">
      <c r="A94" s="211">
        <v>35</v>
      </c>
      <c r="B94" s="110" t="s">
        <v>2186</v>
      </c>
      <c r="C94" s="222">
        <v>725789634.71000004</v>
      </c>
      <c r="D94" s="222">
        <v>0</v>
      </c>
      <c r="E94" s="222">
        <v>779605547</v>
      </c>
      <c r="F94" s="222">
        <v>827750203.52999997</v>
      </c>
      <c r="G94" s="222" t="s">
        <v>102</v>
      </c>
      <c r="H94" s="222" t="s">
        <v>102</v>
      </c>
      <c r="I94" s="222" t="s">
        <v>102</v>
      </c>
      <c r="J94" s="222" t="s">
        <v>102</v>
      </c>
      <c r="K94" s="222">
        <v>677644978.17999995</v>
      </c>
      <c r="L94" s="222">
        <v>0</v>
      </c>
    </row>
    <row r="95" spans="1:12">
      <c r="A95" s="211">
        <v>351</v>
      </c>
      <c r="B95" s="110" t="s">
        <v>3739</v>
      </c>
      <c r="C95" s="222">
        <v>42546313.100000001</v>
      </c>
      <c r="D95" s="222">
        <v>0</v>
      </c>
      <c r="E95" s="222">
        <v>612450000</v>
      </c>
      <c r="F95" s="222">
        <v>640070112.29999995</v>
      </c>
      <c r="G95" s="222" t="s">
        <v>102</v>
      </c>
      <c r="H95" s="222" t="s">
        <v>102</v>
      </c>
      <c r="I95" s="222" t="s">
        <v>102</v>
      </c>
      <c r="J95" s="222" t="s">
        <v>102</v>
      </c>
      <c r="K95" s="222">
        <v>14926200.800000001</v>
      </c>
      <c r="L95" s="222">
        <v>0</v>
      </c>
    </row>
    <row r="96" spans="1:12">
      <c r="A96" s="211">
        <v>35110</v>
      </c>
      <c r="B96" s="110" t="s">
        <v>2410</v>
      </c>
      <c r="C96" s="222">
        <v>42546313.100000001</v>
      </c>
      <c r="D96" s="222">
        <v>0</v>
      </c>
      <c r="E96" s="222">
        <v>612450000</v>
      </c>
      <c r="F96" s="222">
        <v>640070112.29999995</v>
      </c>
      <c r="G96" s="222" t="s">
        <v>102</v>
      </c>
      <c r="H96" s="222" t="s">
        <v>102</v>
      </c>
      <c r="I96" s="222" t="s">
        <v>102</v>
      </c>
      <c r="J96" s="222" t="s">
        <v>102</v>
      </c>
      <c r="K96" s="222">
        <v>14926200.800000001</v>
      </c>
      <c r="L96" s="222">
        <v>0</v>
      </c>
    </row>
    <row r="97" spans="1:12">
      <c r="A97" s="211">
        <v>35300</v>
      </c>
      <c r="B97" s="110" t="s">
        <v>556</v>
      </c>
      <c r="C97" s="222">
        <v>26063798.800000001</v>
      </c>
      <c r="D97" s="222">
        <v>0</v>
      </c>
      <c r="E97" s="222">
        <v>13483600</v>
      </c>
      <c r="F97" s="222">
        <v>24270480</v>
      </c>
      <c r="G97" s="222" t="s">
        <v>102</v>
      </c>
      <c r="H97" s="222" t="s">
        <v>102</v>
      </c>
      <c r="I97" s="222" t="s">
        <v>102</v>
      </c>
      <c r="J97" s="222" t="s">
        <v>102</v>
      </c>
      <c r="K97" s="222">
        <v>15276918.800000001</v>
      </c>
      <c r="L97" s="222">
        <v>0</v>
      </c>
    </row>
    <row r="98" spans="1:12">
      <c r="A98" s="107">
        <v>354</v>
      </c>
      <c r="B98" s="102" t="s">
        <v>3740</v>
      </c>
      <c r="C98" s="222">
        <v>657179522.80999994</v>
      </c>
      <c r="D98" s="222">
        <v>0</v>
      </c>
      <c r="E98" s="222">
        <v>153671947</v>
      </c>
      <c r="F98" s="222">
        <v>163409611.22999999</v>
      </c>
      <c r="G98" s="222" t="s">
        <v>102</v>
      </c>
      <c r="H98" s="222" t="s">
        <v>102</v>
      </c>
      <c r="I98" s="222" t="s">
        <v>102</v>
      </c>
      <c r="J98" s="222" t="s">
        <v>102</v>
      </c>
      <c r="K98" s="222">
        <v>647441858.58000004</v>
      </c>
      <c r="L98" s="222">
        <v>0</v>
      </c>
    </row>
    <row r="99" spans="1:12">
      <c r="A99" s="108">
        <v>35410</v>
      </c>
      <c r="B99" s="102" t="s">
        <v>557</v>
      </c>
      <c r="C99" s="222">
        <v>1520663.12</v>
      </c>
      <c r="D99" s="222">
        <v>0</v>
      </c>
      <c r="E99" s="222">
        <v>12360300</v>
      </c>
      <c r="F99" s="222">
        <v>11226963.119999999</v>
      </c>
      <c r="G99" s="222" t="s">
        <v>102</v>
      </c>
      <c r="H99" s="222" t="s">
        <v>102</v>
      </c>
      <c r="I99" s="222" t="s">
        <v>102</v>
      </c>
      <c r="J99" s="222" t="s">
        <v>102</v>
      </c>
      <c r="K99" s="222">
        <v>2654000</v>
      </c>
      <c r="L99" s="222">
        <v>0</v>
      </c>
    </row>
    <row r="100" spans="1:12">
      <c r="A100" s="108">
        <v>35430</v>
      </c>
      <c r="B100" s="102" t="s">
        <v>71</v>
      </c>
      <c r="C100" s="222">
        <v>0</v>
      </c>
      <c r="D100" s="222">
        <v>0</v>
      </c>
      <c r="E100" s="222">
        <v>5685500</v>
      </c>
      <c r="F100" s="222">
        <v>5685500</v>
      </c>
      <c r="G100" s="222" t="s">
        <v>102</v>
      </c>
      <c r="H100" s="222" t="s">
        <v>102</v>
      </c>
      <c r="I100" s="222" t="s">
        <v>102</v>
      </c>
      <c r="J100" s="222" t="s">
        <v>102</v>
      </c>
      <c r="K100" s="222">
        <v>0</v>
      </c>
      <c r="L100" s="222">
        <v>0</v>
      </c>
    </row>
    <row r="101" spans="1:12">
      <c r="A101" s="202">
        <v>35440</v>
      </c>
      <c r="B101" s="182" t="s">
        <v>72</v>
      </c>
      <c r="C101" s="172">
        <v>1439526</v>
      </c>
      <c r="D101" s="172">
        <v>0</v>
      </c>
      <c r="E101" s="172">
        <v>78859041</v>
      </c>
      <c r="F101" s="172">
        <v>80298567</v>
      </c>
      <c r="G101" s="172" t="s">
        <v>102</v>
      </c>
      <c r="H101" s="172" t="s">
        <v>102</v>
      </c>
      <c r="I101" s="172" t="s">
        <v>102</v>
      </c>
      <c r="J101" s="172" t="s">
        <v>102</v>
      </c>
      <c r="K101" s="172">
        <v>0</v>
      </c>
      <c r="L101" s="172">
        <v>0</v>
      </c>
    </row>
    <row r="102" spans="1:12">
      <c r="A102" s="211">
        <v>35470</v>
      </c>
      <c r="B102" s="110" t="s">
        <v>75</v>
      </c>
      <c r="C102" s="222">
        <v>654219333.69000006</v>
      </c>
      <c r="D102" s="222">
        <v>0</v>
      </c>
      <c r="E102" s="222">
        <v>56767106</v>
      </c>
      <c r="F102" s="222">
        <v>66198581.109999999</v>
      </c>
      <c r="G102" s="222" t="s">
        <v>102</v>
      </c>
      <c r="H102" s="222" t="s">
        <v>102</v>
      </c>
      <c r="I102" s="222" t="s">
        <v>102</v>
      </c>
      <c r="J102" s="222" t="s">
        <v>102</v>
      </c>
      <c r="K102" s="222">
        <v>644787858.58000004</v>
      </c>
      <c r="L102" s="222">
        <v>0</v>
      </c>
    </row>
    <row r="103" spans="1:12">
      <c r="A103" s="211">
        <v>3547003</v>
      </c>
      <c r="B103" s="110" t="s">
        <v>75</v>
      </c>
      <c r="C103" s="222">
        <v>654219333.69000006</v>
      </c>
      <c r="D103" s="222">
        <v>0</v>
      </c>
      <c r="E103" s="222">
        <v>56767106</v>
      </c>
      <c r="F103" s="222">
        <v>66198581.109999999</v>
      </c>
      <c r="G103" s="222" t="s">
        <v>102</v>
      </c>
      <c r="H103" s="222" t="s">
        <v>102</v>
      </c>
      <c r="I103" s="222" t="s">
        <v>102</v>
      </c>
      <c r="J103" s="222" t="s">
        <v>102</v>
      </c>
      <c r="K103" s="222">
        <v>644787858.58000004</v>
      </c>
      <c r="L103" s="222">
        <v>0</v>
      </c>
    </row>
    <row r="104" spans="1:12">
      <c r="A104" s="202">
        <v>39</v>
      </c>
      <c r="B104" s="182" t="s">
        <v>2187</v>
      </c>
      <c r="C104" s="172">
        <v>801649854.99000001</v>
      </c>
      <c r="D104" s="172">
        <v>0</v>
      </c>
      <c r="E104" s="172">
        <v>594570608.46000004</v>
      </c>
      <c r="F104" s="172">
        <v>673145553.63</v>
      </c>
      <c r="G104" s="172" t="s">
        <v>102</v>
      </c>
      <c r="H104" s="172" t="s">
        <v>102</v>
      </c>
      <c r="I104" s="172" t="s">
        <v>102</v>
      </c>
      <c r="J104" s="172" t="s">
        <v>102</v>
      </c>
      <c r="K104" s="172">
        <v>723074909.82000005</v>
      </c>
      <c r="L104" s="172">
        <v>0</v>
      </c>
    </row>
    <row r="105" spans="1:12">
      <c r="A105" s="211">
        <v>392</v>
      </c>
      <c r="B105" s="110" t="s">
        <v>3741</v>
      </c>
      <c r="C105" s="222">
        <v>801649854.99000001</v>
      </c>
      <c r="D105" s="222">
        <v>0</v>
      </c>
      <c r="E105" s="222">
        <v>594570608.46000004</v>
      </c>
      <c r="F105" s="222">
        <v>673145553.63</v>
      </c>
      <c r="G105" s="222" t="s">
        <v>102</v>
      </c>
      <c r="H105" s="222" t="s">
        <v>102</v>
      </c>
      <c r="I105" s="222" t="s">
        <v>102</v>
      </c>
      <c r="J105" s="222" t="s">
        <v>102</v>
      </c>
      <c r="K105" s="222">
        <v>723074909.82000005</v>
      </c>
      <c r="L105" s="222">
        <v>0</v>
      </c>
    </row>
    <row r="106" spans="1:12">
      <c r="A106" s="211">
        <v>39201</v>
      </c>
      <c r="B106" s="110" t="s">
        <v>3742</v>
      </c>
      <c r="C106" s="222">
        <v>257733446.40000001</v>
      </c>
      <c r="D106" s="222">
        <v>0</v>
      </c>
      <c r="E106" s="222">
        <v>0</v>
      </c>
      <c r="F106" s="222">
        <v>0</v>
      </c>
      <c r="G106" s="222" t="s">
        <v>102</v>
      </c>
      <c r="H106" s="222" t="s">
        <v>102</v>
      </c>
      <c r="I106" s="222" t="s">
        <v>102</v>
      </c>
      <c r="J106" s="222" t="s">
        <v>102</v>
      </c>
      <c r="K106" s="222">
        <v>257733446.40000001</v>
      </c>
      <c r="L106" s="222">
        <v>0</v>
      </c>
    </row>
    <row r="107" spans="1:12">
      <c r="A107" s="202">
        <v>39202</v>
      </c>
      <c r="B107" s="182" t="s">
        <v>3743</v>
      </c>
      <c r="C107" s="172">
        <v>-154466171.59</v>
      </c>
      <c r="D107" s="172">
        <v>0</v>
      </c>
      <c r="E107" s="172">
        <v>0</v>
      </c>
      <c r="F107" s="172">
        <v>2786303.16</v>
      </c>
      <c r="G107" s="172" t="s">
        <v>102</v>
      </c>
      <c r="H107" s="172" t="s">
        <v>102</v>
      </c>
      <c r="I107" s="172" t="s">
        <v>102</v>
      </c>
      <c r="J107" s="172" t="s">
        <v>102</v>
      </c>
      <c r="K107" s="172">
        <v>-157252474.75</v>
      </c>
      <c r="L107" s="172">
        <v>0</v>
      </c>
    </row>
    <row r="108" spans="1:12">
      <c r="A108" s="211">
        <v>39203</v>
      </c>
      <c r="B108" s="110" t="s">
        <v>3744</v>
      </c>
      <c r="C108" s="222">
        <v>497205481.38</v>
      </c>
      <c r="D108" s="222">
        <v>0</v>
      </c>
      <c r="E108" s="222">
        <v>0</v>
      </c>
      <c r="F108" s="222">
        <v>0</v>
      </c>
      <c r="G108" s="222" t="s">
        <v>102</v>
      </c>
      <c r="H108" s="222" t="s">
        <v>102</v>
      </c>
      <c r="I108" s="222" t="s">
        <v>102</v>
      </c>
      <c r="J108" s="222" t="s">
        <v>102</v>
      </c>
      <c r="K108" s="222">
        <v>497205481.38</v>
      </c>
      <c r="L108" s="222">
        <v>0</v>
      </c>
    </row>
    <row r="109" spans="1:12">
      <c r="A109" s="211">
        <v>39204</v>
      </c>
      <c r="B109" s="110" t="s">
        <v>3745</v>
      </c>
      <c r="C109" s="222">
        <v>-242552663.56999999</v>
      </c>
      <c r="D109" s="222">
        <v>0</v>
      </c>
      <c r="E109" s="222">
        <v>0</v>
      </c>
      <c r="F109" s="222">
        <v>57289780.32</v>
      </c>
      <c r="G109" s="222" t="s">
        <v>102</v>
      </c>
      <c r="H109" s="222" t="s">
        <v>102</v>
      </c>
      <c r="I109" s="222" t="s">
        <v>102</v>
      </c>
      <c r="J109" s="222" t="s">
        <v>102</v>
      </c>
      <c r="K109" s="222">
        <v>-299842443.88999999</v>
      </c>
      <c r="L109" s="222">
        <v>0</v>
      </c>
    </row>
    <row r="110" spans="1:12">
      <c r="A110" s="211">
        <v>39205</v>
      </c>
      <c r="B110" s="110" t="s">
        <v>3746</v>
      </c>
      <c r="C110" s="222">
        <v>1116375693.1300001</v>
      </c>
      <c r="D110" s="222">
        <v>0</v>
      </c>
      <c r="E110" s="222">
        <v>30960100</v>
      </c>
      <c r="F110" s="222">
        <v>504416576.31999999</v>
      </c>
      <c r="G110" s="222" t="s">
        <v>102</v>
      </c>
      <c r="H110" s="222" t="s">
        <v>102</v>
      </c>
      <c r="I110" s="222" t="s">
        <v>102</v>
      </c>
      <c r="J110" s="222" t="s">
        <v>102</v>
      </c>
      <c r="K110" s="222">
        <v>642919216.80999994</v>
      </c>
      <c r="L110" s="222">
        <v>0</v>
      </c>
    </row>
    <row r="111" spans="1:12">
      <c r="A111" s="211">
        <v>39206</v>
      </c>
      <c r="B111" s="110" t="s">
        <v>3747</v>
      </c>
      <c r="C111" s="222">
        <v>-691190701.60000002</v>
      </c>
      <c r="D111" s="222">
        <v>0</v>
      </c>
      <c r="E111" s="222">
        <v>503683419.83999997</v>
      </c>
      <c r="F111" s="222">
        <v>53339010.810000002</v>
      </c>
      <c r="G111" s="222" t="s">
        <v>102</v>
      </c>
      <c r="H111" s="222" t="s">
        <v>102</v>
      </c>
      <c r="I111" s="222" t="s">
        <v>102</v>
      </c>
      <c r="J111" s="222" t="s">
        <v>102</v>
      </c>
      <c r="K111" s="222">
        <v>-240846292.56999999</v>
      </c>
      <c r="L111" s="222">
        <v>0</v>
      </c>
    </row>
    <row r="112" spans="1:12">
      <c r="A112" s="135">
        <v>39207</v>
      </c>
      <c r="B112" s="134" t="s">
        <v>3748</v>
      </c>
      <c r="C112" s="172">
        <v>72263594.180000007</v>
      </c>
      <c r="D112" s="172">
        <v>0</v>
      </c>
      <c r="E112" s="172">
        <v>10000000</v>
      </c>
      <c r="F112" s="172">
        <v>41405264.850000001</v>
      </c>
      <c r="G112" s="172" t="s">
        <v>102</v>
      </c>
      <c r="H112" s="172" t="s">
        <v>102</v>
      </c>
      <c r="I112" s="172" t="s">
        <v>102</v>
      </c>
      <c r="J112" s="172" t="s">
        <v>102</v>
      </c>
      <c r="K112" s="172">
        <v>40858329.329999998</v>
      </c>
      <c r="L112" s="172">
        <v>0</v>
      </c>
    </row>
    <row r="113" spans="1:12">
      <c r="A113" s="107">
        <v>39208</v>
      </c>
      <c r="B113" s="102" t="s">
        <v>3749</v>
      </c>
      <c r="C113" s="222">
        <v>-54393823.340000004</v>
      </c>
      <c r="D113" s="222">
        <v>0</v>
      </c>
      <c r="E113" s="222">
        <v>41050861.82</v>
      </c>
      <c r="F113" s="222">
        <v>4357391.37</v>
      </c>
      <c r="G113" s="222" t="s">
        <v>102</v>
      </c>
      <c r="H113" s="222" t="s">
        <v>102</v>
      </c>
      <c r="I113" s="222" t="s">
        <v>102</v>
      </c>
      <c r="J113" s="222" t="s">
        <v>102</v>
      </c>
      <c r="K113" s="222">
        <v>-17700352.890000001</v>
      </c>
      <c r="L113" s="222">
        <v>0</v>
      </c>
    </row>
    <row r="114" spans="1:12">
      <c r="A114" s="107">
        <v>39214</v>
      </c>
      <c r="B114" s="102" t="s">
        <v>546</v>
      </c>
      <c r="C114" s="222">
        <v>32813449.800000001</v>
      </c>
      <c r="D114" s="222">
        <v>0</v>
      </c>
      <c r="E114" s="222">
        <v>0</v>
      </c>
      <c r="F114" s="222">
        <v>8876226.8000000007</v>
      </c>
      <c r="G114" s="222" t="s">
        <v>102</v>
      </c>
      <c r="H114" s="222" t="s">
        <v>102</v>
      </c>
      <c r="I114" s="222" t="s">
        <v>102</v>
      </c>
      <c r="J114" s="222" t="s">
        <v>102</v>
      </c>
      <c r="K114" s="222">
        <v>23937223</v>
      </c>
      <c r="L114" s="222">
        <v>0</v>
      </c>
    </row>
    <row r="115" spans="1:12">
      <c r="A115" s="107">
        <v>39215</v>
      </c>
      <c r="B115" s="102" t="s">
        <v>3750</v>
      </c>
      <c r="C115" s="222">
        <v>-32138449.800000001</v>
      </c>
      <c r="D115" s="222">
        <v>0</v>
      </c>
      <c r="E115" s="222">
        <v>8876226.8000000007</v>
      </c>
      <c r="F115" s="222">
        <v>675000</v>
      </c>
      <c r="G115" s="222" t="s">
        <v>102</v>
      </c>
      <c r="H115" s="222" t="s">
        <v>102</v>
      </c>
      <c r="I115" s="222" t="s">
        <v>102</v>
      </c>
      <c r="J115" s="222" t="s">
        <v>102</v>
      </c>
      <c r="K115" s="222">
        <v>-23937223</v>
      </c>
      <c r="L115" s="222">
        <v>0</v>
      </c>
    </row>
    <row r="116" spans="1:12">
      <c r="A116" s="202">
        <v>39301</v>
      </c>
      <c r="B116" s="182" t="s">
        <v>3751</v>
      </c>
      <c r="C116" s="172">
        <v>600000</v>
      </c>
      <c r="D116" s="172">
        <v>0</v>
      </c>
      <c r="E116" s="172">
        <v>0</v>
      </c>
      <c r="F116" s="172">
        <v>0</v>
      </c>
      <c r="G116" s="172" t="s">
        <v>102</v>
      </c>
      <c r="H116" s="172" t="s">
        <v>102</v>
      </c>
      <c r="I116" s="172" t="s">
        <v>102</v>
      </c>
      <c r="J116" s="172" t="s">
        <v>102</v>
      </c>
      <c r="K116" s="172">
        <v>600000</v>
      </c>
      <c r="L116" s="172">
        <v>0</v>
      </c>
    </row>
    <row r="117" spans="1:12">
      <c r="A117" s="202">
        <v>39302</v>
      </c>
      <c r="B117" s="182" t="s">
        <v>3752</v>
      </c>
      <c r="C117" s="172">
        <v>-600000</v>
      </c>
      <c r="D117" s="172">
        <v>0</v>
      </c>
      <c r="E117" s="172">
        <v>0</v>
      </c>
      <c r="F117" s="172">
        <v>0</v>
      </c>
      <c r="G117" s="172" t="s">
        <v>102</v>
      </c>
      <c r="H117" s="172" t="s">
        <v>102</v>
      </c>
      <c r="I117" s="172" t="s">
        <v>102</v>
      </c>
      <c r="J117" s="172" t="s">
        <v>102</v>
      </c>
      <c r="K117" s="172">
        <v>-600000</v>
      </c>
      <c r="L117" s="172">
        <v>0</v>
      </c>
    </row>
    <row r="118" spans="1:12">
      <c r="A118" s="211">
        <v>4</v>
      </c>
      <c r="B118" s="110" t="s">
        <v>243</v>
      </c>
      <c r="C118" s="222">
        <v>0</v>
      </c>
      <c r="D118" s="222">
        <v>58815</v>
      </c>
      <c r="E118" s="222">
        <v>263474023.41999999</v>
      </c>
      <c r="F118" s="222">
        <v>586604164.42999995</v>
      </c>
      <c r="G118" s="222" t="s">
        <v>102</v>
      </c>
      <c r="H118" s="222" t="s">
        <v>102</v>
      </c>
      <c r="I118" s="222" t="s">
        <v>102</v>
      </c>
      <c r="J118" s="222" t="s">
        <v>102</v>
      </c>
      <c r="K118" s="222">
        <v>0</v>
      </c>
      <c r="L118" s="222">
        <v>323188956</v>
      </c>
    </row>
    <row r="119" spans="1:12">
      <c r="A119" s="211">
        <v>41</v>
      </c>
      <c r="B119" s="110" t="s">
        <v>2745</v>
      </c>
      <c r="C119" s="222">
        <v>0</v>
      </c>
      <c r="D119" s="222">
        <v>58815</v>
      </c>
      <c r="E119" s="222">
        <v>263474023.41999999</v>
      </c>
      <c r="F119" s="222">
        <v>586604164.42999995</v>
      </c>
      <c r="G119" s="222" t="s">
        <v>102</v>
      </c>
      <c r="H119" s="222" t="s">
        <v>102</v>
      </c>
      <c r="I119" s="222" t="s">
        <v>102</v>
      </c>
      <c r="J119" s="222" t="s">
        <v>102</v>
      </c>
      <c r="K119" s="222">
        <v>0</v>
      </c>
      <c r="L119" s="222">
        <v>323188956</v>
      </c>
    </row>
    <row r="120" spans="1:12">
      <c r="A120" s="211">
        <v>413</v>
      </c>
      <c r="B120" s="110" t="s">
        <v>1917</v>
      </c>
      <c r="C120" s="222">
        <v>0</v>
      </c>
      <c r="D120" s="222">
        <v>58815</v>
      </c>
      <c r="E120" s="222">
        <v>263474023.41999999</v>
      </c>
      <c r="F120" s="222">
        <v>586604164.42999995</v>
      </c>
      <c r="G120" s="222" t="s">
        <v>102</v>
      </c>
      <c r="H120" s="222" t="s">
        <v>102</v>
      </c>
      <c r="I120" s="222" t="s">
        <v>102</v>
      </c>
      <c r="J120" s="222" t="s">
        <v>102</v>
      </c>
      <c r="K120" s="222">
        <v>0</v>
      </c>
      <c r="L120" s="222">
        <v>323188956</v>
      </c>
    </row>
    <row r="121" spans="1:12">
      <c r="A121" s="211">
        <v>4131</v>
      </c>
      <c r="B121" s="110" t="s">
        <v>3753</v>
      </c>
      <c r="C121" s="222">
        <v>0</v>
      </c>
      <c r="D121" s="222">
        <v>58815</v>
      </c>
      <c r="E121" s="222">
        <v>248695858.41999999</v>
      </c>
      <c r="F121" s="222">
        <v>248637043.43000001</v>
      </c>
      <c r="G121" s="222" t="s">
        <v>102</v>
      </c>
      <c r="H121" s="222" t="s">
        <v>102</v>
      </c>
      <c r="I121" s="222" t="s">
        <v>102</v>
      </c>
      <c r="J121" s="222" t="s">
        <v>102</v>
      </c>
      <c r="K121" s="222">
        <v>0</v>
      </c>
      <c r="L121" s="222">
        <v>0</v>
      </c>
    </row>
    <row r="122" spans="1:12">
      <c r="A122" s="211">
        <v>413101</v>
      </c>
      <c r="B122" s="110" t="s">
        <v>573</v>
      </c>
      <c r="C122" s="222">
        <v>0</v>
      </c>
      <c r="D122" s="222">
        <v>0</v>
      </c>
      <c r="E122" s="222">
        <v>172087780.96000001</v>
      </c>
      <c r="F122" s="222">
        <v>172087780.96000001</v>
      </c>
      <c r="G122" s="222" t="s">
        <v>102</v>
      </c>
      <c r="H122" s="222" t="s">
        <v>102</v>
      </c>
      <c r="I122" s="222" t="s">
        <v>102</v>
      </c>
      <c r="J122" s="222" t="s">
        <v>102</v>
      </c>
      <c r="K122" s="222">
        <v>0</v>
      </c>
      <c r="L122" s="222">
        <v>0</v>
      </c>
    </row>
    <row r="123" spans="1:12">
      <c r="A123" s="211">
        <v>413102</v>
      </c>
      <c r="B123" s="110" t="s">
        <v>574</v>
      </c>
      <c r="C123" s="222">
        <v>0</v>
      </c>
      <c r="D123" s="222">
        <v>58815</v>
      </c>
      <c r="E123" s="222">
        <v>55128099.460000001</v>
      </c>
      <c r="F123" s="222">
        <v>55069284.469999999</v>
      </c>
      <c r="G123" s="222" t="s">
        <v>102</v>
      </c>
      <c r="H123" s="222" t="s">
        <v>102</v>
      </c>
      <c r="I123" s="222" t="s">
        <v>102</v>
      </c>
      <c r="J123" s="222" t="s">
        <v>102</v>
      </c>
      <c r="K123" s="222">
        <v>0</v>
      </c>
      <c r="L123" s="222">
        <v>0</v>
      </c>
    </row>
    <row r="124" spans="1:12">
      <c r="A124" s="211">
        <v>413103</v>
      </c>
      <c r="B124" s="110" t="s">
        <v>575</v>
      </c>
      <c r="C124" s="222">
        <v>0</v>
      </c>
      <c r="D124" s="222">
        <v>0</v>
      </c>
      <c r="E124" s="222">
        <v>21479978</v>
      </c>
      <c r="F124" s="222">
        <v>21479978</v>
      </c>
      <c r="G124" s="222" t="s">
        <v>102</v>
      </c>
      <c r="H124" s="222" t="s">
        <v>102</v>
      </c>
      <c r="I124" s="222" t="s">
        <v>102</v>
      </c>
      <c r="J124" s="222" t="s">
        <v>102</v>
      </c>
      <c r="K124" s="222">
        <v>0</v>
      </c>
      <c r="L124" s="222">
        <v>0</v>
      </c>
    </row>
    <row r="125" spans="1:12">
      <c r="A125" s="211">
        <v>4132</v>
      </c>
      <c r="B125" s="110" t="s">
        <v>3754</v>
      </c>
      <c r="C125" s="222">
        <v>0</v>
      </c>
      <c r="D125" s="222">
        <v>0</v>
      </c>
      <c r="E125" s="222">
        <v>1294565</v>
      </c>
      <c r="F125" s="222">
        <v>1294565</v>
      </c>
      <c r="G125" s="222" t="s">
        <v>102</v>
      </c>
      <c r="H125" s="222" t="s">
        <v>102</v>
      </c>
      <c r="I125" s="222" t="s">
        <v>102</v>
      </c>
      <c r="J125" s="222" t="s">
        <v>102</v>
      </c>
      <c r="K125" s="222">
        <v>0</v>
      </c>
      <c r="L125" s="222">
        <v>0</v>
      </c>
    </row>
    <row r="126" spans="1:12">
      <c r="A126" s="211">
        <v>413205</v>
      </c>
      <c r="B126" s="110" t="s">
        <v>581</v>
      </c>
      <c r="C126" s="222">
        <v>0</v>
      </c>
      <c r="D126" s="222">
        <v>0</v>
      </c>
      <c r="E126" s="222">
        <v>1294565</v>
      </c>
      <c r="F126" s="222">
        <v>1294565</v>
      </c>
      <c r="G126" s="222" t="s">
        <v>102</v>
      </c>
      <c r="H126" s="222" t="s">
        <v>102</v>
      </c>
      <c r="I126" s="222" t="s">
        <v>102</v>
      </c>
      <c r="J126" s="222" t="s">
        <v>102</v>
      </c>
      <c r="K126" s="222">
        <v>0</v>
      </c>
      <c r="L126" s="222">
        <v>0</v>
      </c>
    </row>
    <row r="127" spans="1:12">
      <c r="A127" s="202">
        <v>41350</v>
      </c>
      <c r="B127" s="182" t="s">
        <v>3755</v>
      </c>
      <c r="C127" s="172">
        <v>0</v>
      </c>
      <c r="D127" s="172">
        <v>0</v>
      </c>
      <c r="E127" s="172">
        <v>13483600</v>
      </c>
      <c r="F127" s="172">
        <v>13483600</v>
      </c>
      <c r="G127" s="172" t="s">
        <v>102</v>
      </c>
      <c r="H127" s="172" t="s">
        <v>102</v>
      </c>
      <c r="I127" s="172" t="s">
        <v>102</v>
      </c>
      <c r="J127" s="172" t="s">
        <v>102</v>
      </c>
      <c r="K127" s="172">
        <v>0</v>
      </c>
      <c r="L127" s="172">
        <v>0</v>
      </c>
    </row>
    <row r="128" spans="1:12">
      <c r="A128" s="211">
        <v>413501</v>
      </c>
      <c r="B128" s="110" t="s">
        <v>3756</v>
      </c>
      <c r="C128" s="222">
        <v>0</v>
      </c>
      <c r="D128" s="222">
        <v>0</v>
      </c>
      <c r="E128" s="222">
        <v>13483600</v>
      </c>
      <c r="F128" s="222">
        <v>13483600</v>
      </c>
      <c r="G128" s="222" t="s">
        <v>102</v>
      </c>
      <c r="H128" s="222" t="s">
        <v>102</v>
      </c>
      <c r="I128" s="222" t="s">
        <v>102</v>
      </c>
      <c r="J128" s="222" t="s">
        <v>102</v>
      </c>
      <c r="K128" s="222">
        <v>0</v>
      </c>
      <c r="L128" s="222">
        <v>0</v>
      </c>
    </row>
    <row r="129" spans="1:12">
      <c r="A129" s="211">
        <v>4136</v>
      </c>
      <c r="B129" s="110" t="s">
        <v>3757</v>
      </c>
      <c r="C129" s="222">
        <v>0</v>
      </c>
      <c r="D129" s="222">
        <v>0</v>
      </c>
      <c r="E129" s="222">
        <v>0</v>
      </c>
      <c r="F129" s="222">
        <v>323188956</v>
      </c>
      <c r="G129" s="222" t="s">
        <v>102</v>
      </c>
      <c r="H129" s="222" t="s">
        <v>102</v>
      </c>
      <c r="I129" s="222" t="s">
        <v>102</v>
      </c>
      <c r="J129" s="222" t="s">
        <v>102</v>
      </c>
      <c r="K129" s="222">
        <v>0</v>
      </c>
      <c r="L129" s="222">
        <v>323188956</v>
      </c>
    </row>
    <row r="130" spans="1:12">
      <c r="A130" s="211">
        <v>41361</v>
      </c>
      <c r="B130" s="110" t="s">
        <v>3758</v>
      </c>
      <c r="C130" s="222">
        <v>0</v>
      </c>
      <c r="D130" s="222">
        <v>0</v>
      </c>
      <c r="E130" s="222">
        <v>0</v>
      </c>
      <c r="F130" s="222">
        <v>323188956</v>
      </c>
      <c r="G130" s="222" t="s">
        <v>102</v>
      </c>
      <c r="H130" s="222" t="s">
        <v>102</v>
      </c>
      <c r="I130" s="222" t="s">
        <v>102</v>
      </c>
      <c r="J130" s="222" t="s">
        <v>102</v>
      </c>
      <c r="K130" s="222">
        <v>0</v>
      </c>
      <c r="L130" s="222">
        <v>323188956</v>
      </c>
    </row>
    <row r="131" spans="1:12">
      <c r="A131" s="211">
        <v>5</v>
      </c>
      <c r="B131" s="110" t="s">
        <v>2193</v>
      </c>
      <c r="C131" s="222">
        <v>0</v>
      </c>
      <c r="D131" s="222">
        <v>1527740674.7</v>
      </c>
      <c r="E131" s="222">
        <v>126966588.09999999</v>
      </c>
      <c r="F131" s="222">
        <v>0</v>
      </c>
      <c r="G131" s="222" t="s">
        <v>102</v>
      </c>
      <c r="H131" s="222" t="s">
        <v>102</v>
      </c>
      <c r="I131" s="222" t="s">
        <v>102</v>
      </c>
      <c r="J131" s="222" t="s">
        <v>102</v>
      </c>
      <c r="K131" s="222">
        <v>0</v>
      </c>
      <c r="L131" s="222">
        <v>1400774086.6099999</v>
      </c>
    </row>
    <row r="132" spans="1:12">
      <c r="A132" s="211">
        <v>51</v>
      </c>
      <c r="B132" s="110" t="s">
        <v>2763</v>
      </c>
      <c r="C132" s="222">
        <v>0</v>
      </c>
      <c r="D132" s="222">
        <v>1527740674.7</v>
      </c>
      <c r="E132" s="222">
        <v>126966588.09999999</v>
      </c>
      <c r="F132" s="222">
        <v>0</v>
      </c>
      <c r="G132" s="222" t="s">
        <v>102</v>
      </c>
      <c r="H132" s="222" t="s">
        <v>102</v>
      </c>
      <c r="I132" s="222" t="s">
        <v>102</v>
      </c>
      <c r="J132" s="222" t="s">
        <v>102</v>
      </c>
      <c r="K132" s="222">
        <v>0</v>
      </c>
      <c r="L132" s="222">
        <v>1400774086.6099999</v>
      </c>
    </row>
    <row r="133" spans="1:12">
      <c r="A133" s="211">
        <v>511</v>
      </c>
      <c r="B133" s="110" t="s">
        <v>484</v>
      </c>
      <c r="C133" s="222">
        <v>0</v>
      </c>
      <c r="D133" s="222">
        <v>536870268.13999999</v>
      </c>
      <c r="E133" s="222">
        <v>0</v>
      </c>
      <c r="F133" s="222">
        <v>0</v>
      </c>
      <c r="G133" s="222" t="s">
        <v>102</v>
      </c>
      <c r="H133" s="222" t="s">
        <v>102</v>
      </c>
      <c r="I133" s="222" t="s">
        <v>102</v>
      </c>
      <c r="J133" s="222" t="s">
        <v>102</v>
      </c>
      <c r="K133" s="222">
        <v>0</v>
      </c>
      <c r="L133" s="222">
        <v>536870268.13999999</v>
      </c>
    </row>
    <row r="134" spans="1:12">
      <c r="A134" s="202">
        <v>51101</v>
      </c>
      <c r="B134" s="182" t="s">
        <v>3759</v>
      </c>
      <c r="C134" s="172">
        <v>0</v>
      </c>
      <c r="D134" s="172">
        <v>536870268.13999999</v>
      </c>
      <c r="E134" s="172">
        <v>0</v>
      </c>
      <c r="F134" s="172">
        <v>0</v>
      </c>
      <c r="G134" s="172" t="s">
        <v>102</v>
      </c>
      <c r="H134" s="172" t="s">
        <v>102</v>
      </c>
      <c r="I134" s="172" t="s">
        <v>102</v>
      </c>
      <c r="J134" s="172" t="s">
        <v>102</v>
      </c>
      <c r="K134" s="172">
        <v>0</v>
      </c>
      <c r="L134" s="172">
        <v>536870268.13999999</v>
      </c>
    </row>
    <row r="135" spans="1:12">
      <c r="A135" s="211">
        <v>512</v>
      </c>
      <c r="B135" s="110" t="s">
        <v>2767</v>
      </c>
      <c r="C135" s="222">
        <v>0</v>
      </c>
      <c r="D135" s="222">
        <v>990870406.55999994</v>
      </c>
      <c r="E135" s="222">
        <v>126966588.09999999</v>
      </c>
      <c r="F135" s="222">
        <v>0</v>
      </c>
      <c r="G135" s="222" t="s">
        <v>102</v>
      </c>
      <c r="H135" s="222" t="s">
        <v>102</v>
      </c>
      <c r="I135" s="222" t="s">
        <v>102</v>
      </c>
      <c r="J135" s="222" t="s">
        <v>102</v>
      </c>
      <c r="K135" s="222">
        <v>0</v>
      </c>
      <c r="L135" s="222">
        <v>863903818.47000003</v>
      </c>
    </row>
    <row r="136" spans="1:12">
      <c r="A136" s="211">
        <v>51210</v>
      </c>
      <c r="B136" s="110" t="s">
        <v>3760</v>
      </c>
      <c r="C136" s="222">
        <v>0</v>
      </c>
      <c r="D136" s="222">
        <v>990870406.55999994</v>
      </c>
      <c r="E136" s="222">
        <v>0</v>
      </c>
      <c r="F136" s="222">
        <v>0</v>
      </c>
      <c r="G136" s="222" t="s">
        <v>102</v>
      </c>
      <c r="H136" s="222" t="s">
        <v>102</v>
      </c>
      <c r="I136" s="222" t="s">
        <v>102</v>
      </c>
      <c r="J136" s="222" t="s">
        <v>102</v>
      </c>
      <c r="K136" s="222">
        <v>0</v>
      </c>
      <c r="L136" s="222">
        <v>990870406.55999994</v>
      </c>
    </row>
    <row r="137" spans="1:12">
      <c r="A137" s="211">
        <v>51220</v>
      </c>
      <c r="B137" s="110" t="s">
        <v>103</v>
      </c>
      <c r="C137" s="222">
        <v>0</v>
      </c>
      <c r="D137" s="222">
        <v>0</v>
      </c>
      <c r="E137" s="222">
        <v>126966588.09999999</v>
      </c>
      <c r="F137" s="222">
        <v>0</v>
      </c>
      <c r="G137" s="222" t="s">
        <v>102</v>
      </c>
      <c r="H137" s="222" t="s">
        <v>102</v>
      </c>
      <c r="I137" s="222" t="s">
        <v>102</v>
      </c>
      <c r="J137" s="222" t="s">
        <v>102</v>
      </c>
      <c r="K137" s="222">
        <v>0</v>
      </c>
      <c r="L137" s="222">
        <v>-126966588.09999999</v>
      </c>
    </row>
    <row r="138" spans="1:12">
      <c r="A138" s="211">
        <v>132005</v>
      </c>
      <c r="B138" s="110" t="s">
        <v>909</v>
      </c>
      <c r="C138" s="222" t="s">
        <v>102</v>
      </c>
      <c r="D138" s="222" t="s">
        <v>102</v>
      </c>
      <c r="E138" s="222" t="s">
        <v>102</v>
      </c>
      <c r="F138" s="222" t="s">
        <v>102</v>
      </c>
      <c r="G138" s="222" t="s">
        <v>102</v>
      </c>
      <c r="H138" s="222" t="s">
        <v>102</v>
      </c>
      <c r="I138" s="222" t="s">
        <v>102</v>
      </c>
      <c r="J138" s="222" t="s">
        <v>102</v>
      </c>
      <c r="K138" s="222" t="s">
        <v>102</v>
      </c>
      <c r="L138" s="222" t="s">
        <v>102</v>
      </c>
    </row>
    <row ht="25.5" r="139" spans="1:12">
      <c r="A139" s="211">
        <v>132006</v>
      </c>
      <c r="B139" s="110" t="s">
        <v>910</v>
      </c>
      <c r="C139" s="222" t="s">
        <v>102</v>
      </c>
      <c r="D139" s="222" t="s">
        <v>102</v>
      </c>
      <c r="E139" s="222" t="s">
        <v>102</v>
      </c>
      <c r="F139" s="222" t="s">
        <v>102</v>
      </c>
      <c r="G139" s="222" t="s">
        <v>102</v>
      </c>
      <c r="H139" s="222" t="s">
        <v>102</v>
      </c>
      <c r="I139" s="222" t="s">
        <v>102</v>
      </c>
      <c r="J139" s="222" t="s">
        <v>102</v>
      </c>
      <c r="K139" s="222" t="s">
        <v>102</v>
      </c>
      <c r="L139" s="222" t="s">
        <v>102</v>
      </c>
    </row>
    <row r="140" spans="1:12">
      <c r="A140" s="211">
        <v>132007</v>
      </c>
      <c r="B140" s="110" t="s">
        <v>911</v>
      </c>
      <c r="C140" s="222" t="s">
        <v>102</v>
      </c>
      <c r="D140" s="222" t="s">
        <v>102</v>
      </c>
      <c r="E140" s="222" t="s">
        <v>102</v>
      </c>
      <c r="F140" s="222" t="s">
        <v>102</v>
      </c>
      <c r="G140" s="222" t="s">
        <v>102</v>
      </c>
      <c r="H140" s="222" t="s">
        <v>102</v>
      </c>
      <c r="I140" s="222" t="s">
        <v>102</v>
      </c>
      <c r="J140" s="222" t="s">
        <v>102</v>
      </c>
      <c r="K140" s="222" t="s">
        <v>102</v>
      </c>
      <c r="L140" s="222" t="s">
        <v>102</v>
      </c>
    </row>
    <row r="141" spans="1:12">
      <c r="A141" s="211">
        <v>1330</v>
      </c>
      <c r="B141" s="110" t="s">
        <v>912</v>
      </c>
      <c r="C141" s="222" t="s">
        <v>102</v>
      </c>
      <c r="D141" s="222" t="s">
        <v>102</v>
      </c>
      <c r="E141" s="222" t="s">
        <v>102</v>
      </c>
      <c r="F141" s="222" t="s">
        <v>102</v>
      </c>
      <c r="G141" s="222" t="s">
        <v>102</v>
      </c>
      <c r="H141" s="222" t="s">
        <v>102</v>
      </c>
      <c r="I141" s="222" t="s">
        <v>102</v>
      </c>
      <c r="J141" s="222" t="s">
        <v>102</v>
      </c>
      <c r="K141" s="222" t="s">
        <v>102</v>
      </c>
      <c r="L141" s="222" t="s">
        <v>102</v>
      </c>
    </row>
    <row r="142" spans="1:12">
      <c r="A142" s="202">
        <v>133001</v>
      </c>
      <c r="B142" s="182" t="s">
        <v>889</v>
      </c>
      <c r="C142" s="172" t="s">
        <v>102</v>
      </c>
      <c r="D142" s="172" t="s">
        <v>102</v>
      </c>
      <c r="E142" s="172" t="s">
        <v>102</v>
      </c>
      <c r="F142" s="172" t="s">
        <v>102</v>
      </c>
      <c r="G142" s="172" t="s">
        <v>102</v>
      </c>
      <c r="H142" s="172" t="s">
        <v>102</v>
      </c>
      <c r="I142" s="172" t="s">
        <v>102</v>
      </c>
      <c r="J142" s="172" t="s">
        <v>102</v>
      </c>
      <c r="K142" s="172" t="s">
        <v>102</v>
      </c>
      <c r="L142" s="172" t="s">
        <v>102</v>
      </c>
    </row>
    <row r="143" spans="1:12">
      <c r="A143" s="211">
        <v>133002</v>
      </c>
      <c r="B143" s="110" t="s">
        <v>891</v>
      </c>
      <c r="C143" s="222" t="s">
        <v>102</v>
      </c>
      <c r="D143" s="222" t="s">
        <v>102</v>
      </c>
      <c r="E143" s="222" t="s">
        <v>102</v>
      </c>
      <c r="F143" s="222" t="s">
        <v>102</v>
      </c>
      <c r="G143" s="222" t="s">
        <v>102</v>
      </c>
      <c r="H143" s="222" t="s">
        <v>102</v>
      </c>
      <c r="I143" s="222" t="s">
        <v>102</v>
      </c>
      <c r="J143" s="222" t="s">
        <v>102</v>
      </c>
      <c r="K143" s="222" t="s">
        <v>102</v>
      </c>
      <c r="L143" s="222" t="s">
        <v>102</v>
      </c>
    </row>
    <row r="144" spans="1:12">
      <c r="A144" s="211">
        <v>133003</v>
      </c>
      <c r="B144" s="110" t="s">
        <v>913</v>
      </c>
      <c r="C144" s="222" t="s">
        <v>102</v>
      </c>
      <c r="D144" s="222" t="s">
        <v>102</v>
      </c>
      <c r="E144" s="222" t="s">
        <v>102</v>
      </c>
      <c r="F144" s="222" t="s">
        <v>102</v>
      </c>
      <c r="G144" s="222" t="s">
        <v>102</v>
      </c>
      <c r="H144" s="222" t="s">
        <v>102</v>
      </c>
      <c r="I144" s="222" t="s">
        <v>102</v>
      </c>
      <c r="J144" s="222" t="s">
        <v>102</v>
      </c>
      <c r="K144" s="222" t="s">
        <v>102</v>
      </c>
      <c r="L144" s="222" t="s">
        <v>102</v>
      </c>
    </row>
    <row r="145" spans="1:12">
      <c r="A145" s="211">
        <v>133004</v>
      </c>
      <c r="B145" s="110" t="s">
        <v>914</v>
      </c>
      <c r="C145" s="222" t="s">
        <v>102</v>
      </c>
      <c r="D145" s="222" t="s">
        <v>102</v>
      </c>
      <c r="E145" s="222" t="s">
        <v>102</v>
      </c>
      <c r="F145" s="222" t="s">
        <v>102</v>
      </c>
      <c r="G145" s="222" t="s">
        <v>102</v>
      </c>
      <c r="H145" s="222" t="s">
        <v>102</v>
      </c>
      <c r="I145" s="222" t="s">
        <v>102</v>
      </c>
      <c r="J145" s="222" t="s">
        <v>102</v>
      </c>
      <c r="K145" s="222" t="s">
        <v>102</v>
      </c>
      <c r="L145" s="222" t="s">
        <v>102</v>
      </c>
    </row>
    <row r="146" spans="1:12">
      <c r="A146" s="211">
        <v>133005</v>
      </c>
      <c r="B146" s="110" t="s">
        <v>915</v>
      </c>
      <c r="C146" s="222" t="s">
        <v>102</v>
      </c>
      <c r="D146" s="222" t="s">
        <v>102</v>
      </c>
      <c r="E146" s="222" t="s">
        <v>102</v>
      </c>
      <c r="F146" s="222" t="s">
        <v>102</v>
      </c>
      <c r="G146" s="222" t="s">
        <v>102</v>
      </c>
      <c r="H146" s="222" t="s">
        <v>102</v>
      </c>
      <c r="I146" s="222" t="s">
        <v>102</v>
      </c>
      <c r="J146" s="222" t="s">
        <v>102</v>
      </c>
      <c r="K146" s="222" t="s">
        <v>102</v>
      </c>
      <c r="L146" s="222" t="s">
        <v>102</v>
      </c>
    </row>
    <row r="147" spans="1:12">
      <c r="A147" s="211">
        <v>1340</v>
      </c>
      <c r="B147" s="110" t="s">
        <v>916</v>
      </c>
      <c r="C147" s="222" t="s">
        <v>102</v>
      </c>
      <c r="D147" s="222" t="s">
        <v>102</v>
      </c>
      <c r="E147" s="222" t="s">
        <v>102</v>
      </c>
      <c r="F147" s="222" t="s">
        <v>102</v>
      </c>
      <c r="G147" s="222" t="s">
        <v>102</v>
      </c>
      <c r="H147" s="222" t="s">
        <v>102</v>
      </c>
      <c r="I147" s="222" t="s">
        <v>102</v>
      </c>
      <c r="J147" s="222" t="s">
        <v>102</v>
      </c>
      <c r="K147" s="222" t="s">
        <v>102</v>
      </c>
      <c r="L147" s="222" t="s">
        <v>102</v>
      </c>
    </row>
    <row r="148" spans="1:12">
      <c r="A148" s="202">
        <v>134001</v>
      </c>
      <c r="B148" s="182" t="s">
        <v>917</v>
      </c>
      <c r="C148" s="172" t="s">
        <v>102</v>
      </c>
      <c r="D148" s="172" t="s">
        <v>102</v>
      </c>
      <c r="E148" s="172" t="s">
        <v>102</v>
      </c>
      <c r="F148" s="172" t="s">
        <v>102</v>
      </c>
      <c r="G148" s="172" t="s">
        <v>102</v>
      </c>
      <c r="H148" s="172" t="s">
        <v>102</v>
      </c>
      <c r="I148" s="172" t="s">
        <v>102</v>
      </c>
      <c r="J148" s="172" t="s">
        <v>102</v>
      </c>
      <c r="K148" s="172" t="s">
        <v>102</v>
      </c>
      <c r="L148" s="172" t="s">
        <v>102</v>
      </c>
    </row>
    <row r="149" spans="1:12">
      <c r="A149" s="211">
        <v>134002</v>
      </c>
      <c r="B149" s="110" t="s">
        <v>918</v>
      </c>
      <c r="C149" s="222" t="s">
        <v>102</v>
      </c>
      <c r="D149" s="222" t="s">
        <v>102</v>
      </c>
      <c r="E149" s="222" t="s">
        <v>102</v>
      </c>
      <c r="F149" s="222" t="s">
        <v>102</v>
      </c>
      <c r="G149" s="222" t="s">
        <v>102</v>
      </c>
      <c r="H149" s="222" t="s">
        <v>102</v>
      </c>
      <c r="I149" s="222" t="s">
        <v>102</v>
      </c>
      <c r="J149" s="222" t="s">
        <v>102</v>
      </c>
      <c r="K149" s="222" t="s">
        <v>102</v>
      </c>
      <c r="L149" s="222" t="s">
        <v>102</v>
      </c>
    </row>
    <row r="150" spans="1:12">
      <c r="A150" s="211">
        <v>134003</v>
      </c>
      <c r="B150" s="110" t="s">
        <v>919</v>
      </c>
      <c r="C150" s="222" t="s">
        <v>102</v>
      </c>
      <c r="D150" s="222" t="s">
        <v>102</v>
      </c>
      <c r="E150" s="222" t="s">
        <v>102</v>
      </c>
      <c r="F150" s="222" t="s">
        <v>102</v>
      </c>
      <c r="G150" s="222" t="s">
        <v>102</v>
      </c>
      <c r="H150" s="222" t="s">
        <v>102</v>
      </c>
      <c r="I150" s="222" t="s">
        <v>102</v>
      </c>
      <c r="J150" s="222" t="s">
        <v>102</v>
      </c>
      <c r="K150" s="222" t="s">
        <v>102</v>
      </c>
      <c r="L150" s="222" t="s">
        <v>102</v>
      </c>
    </row>
    <row r="151" spans="1:12">
      <c r="A151" s="211">
        <v>14</v>
      </c>
      <c r="B151" s="110" t="s">
        <v>625</v>
      </c>
      <c r="C151" s="222" t="s">
        <v>102</v>
      </c>
      <c r="D151" s="222" t="s">
        <v>102</v>
      </c>
      <c r="E151" s="222" t="s">
        <v>102</v>
      </c>
      <c r="F151" s="222" t="s">
        <v>102</v>
      </c>
      <c r="G151" s="222" t="s">
        <v>102</v>
      </c>
      <c r="H151" s="222" t="s">
        <v>102</v>
      </c>
      <c r="I151" s="222" t="s">
        <v>102</v>
      </c>
      <c r="J151" s="222" t="s">
        <v>102</v>
      </c>
      <c r="K151" s="222" t="s">
        <v>102</v>
      </c>
      <c r="L151" s="222" t="s">
        <v>102</v>
      </c>
    </row>
    <row r="152" spans="1:12">
      <c r="A152" s="224">
        <v>140001</v>
      </c>
      <c r="B152" s="180" t="s">
        <v>1175</v>
      </c>
      <c r="C152" s="172" t="s">
        <v>102</v>
      </c>
      <c r="D152" s="172" t="s">
        <v>102</v>
      </c>
      <c r="E152" s="172" t="s">
        <v>102</v>
      </c>
      <c r="F152" s="172" t="s">
        <v>102</v>
      </c>
      <c r="G152" s="172" t="s">
        <v>102</v>
      </c>
      <c r="H152" s="172" t="s">
        <v>102</v>
      </c>
      <c r="I152" s="172" t="s">
        <v>102</v>
      </c>
      <c r="J152" s="172" t="s">
        <v>102</v>
      </c>
      <c r="K152" s="172" t="s">
        <v>102</v>
      </c>
      <c r="L152" s="172" t="s">
        <v>102</v>
      </c>
    </row>
    <row r="153" spans="1:12">
      <c r="A153" s="108">
        <v>140002</v>
      </c>
      <c r="B153" s="102" t="s">
        <v>1176</v>
      </c>
      <c r="C153" s="222" t="s">
        <v>102</v>
      </c>
      <c r="D153" s="222" t="s">
        <v>102</v>
      </c>
      <c r="E153" s="222" t="s">
        <v>102</v>
      </c>
      <c r="F153" s="222" t="s">
        <v>102</v>
      </c>
      <c r="G153" s="222" t="s">
        <v>102</v>
      </c>
      <c r="H153" s="222" t="s">
        <v>102</v>
      </c>
      <c r="I153" s="222" t="s">
        <v>102</v>
      </c>
      <c r="J153" s="222" t="s">
        <v>102</v>
      </c>
      <c r="K153" s="222" t="s">
        <v>102</v>
      </c>
      <c r="L153" s="222" t="s">
        <v>102</v>
      </c>
    </row>
    <row r="154" spans="1:12">
      <c r="A154" s="108">
        <v>140003</v>
      </c>
      <c r="B154" s="102" t="s">
        <v>1177</v>
      </c>
      <c r="C154" s="222" t="s">
        <v>102</v>
      </c>
      <c r="D154" s="222" t="s">
        <v>102</v>
      </c>
      <c r="E154" s="222" t="s">
        <v>102</v>
      </c>
      <c r="F154" s="222" t="s">
        <v>102</v>
      </c>
      <c r="G154" s="222" t="s">
        <v>102</v>
      </c>
      <c r="H154" s="222" t="s">
        <v>102</v>
      </c>
      <c r="I154" s="222" t="s">
        <v>102</v>
      </c>
      <c r="J154" s="222" t="s">
        <v>102</v>
      </c>
      <c r="K154" s="222" t="s">
        <v>102</v>
      </c>
      <c r="L154" s="222" t="s">
        <v>102</v>
      </c>
    </row>
    <row r="155" spans="1:12">
      <c r="A155" s="108">
        <v>140004</v>
      </c>
      <c r="B155" s="102" t="s">
        <v>1178</v>
      </c>
      <c r="C155" s="222" t="s">
        <v>102</v>
      </c>
      <c r="D155" s="222" t="s">
        <v>102</v>
      </c>
      <c r="E155" s="222" t="s">
        <v>102</v>
      </c>
      <c r="F155" s="222" t="s">
        <v>102</v>
      </c>
      <c r="G155" s="222" t="s">
        <v>102</v>
      </c>
      <c r="H155" s="222" t="s">
        <v>102</v>
      </c>
      <c r="I155" s="222" t="s">
        <v>102</v>
      </c>
      <c r="J155" s="222" t="s">
        <v>102</v>
      </c>
      <c r="K155" s="222" t="s">
        <v>102</v>
      </c>
      <c r="L155" s="222" t="s">
        <v>102</v>
      </c>
    </row>
    <row r="156" spans="1:12">
      <c r="A156" s="108">
        <v>140005</v>
      </c>
      <c r="B156" s="102" t="s">
        <v>1179</v>
      </c>
      <c r="C156" s="222" t="s">
        <v>102</v>
      </c>
      <c r="D156" s="222" t="s">
        <v>102</v>
      </c>
      <c r="E156" s="222" t="s">
        <v>102</v>
      </c>
      <c r="F156" s="222" t="s">
        <v>102</v>
      </c>
      <c r="G156" s="222" t="s">
        <v>102</v>
      </c>
      <c r="H156" s="222" t="s">
        <v>102</v>
      </c>
      <c r="I156" s="222" t="s">
        <v>102</v>
      </c>
      <c r="J156" s="222" t="s">
        <v>102</v>
      </c>
      <c r="K156" s="222" t="s">
        <v>102</v>
      </c>
      <c r="L156" s="222" t="s">
        <v>102</v>
      </c>
    </row>
    <row r="157" spans="1:12">
      <c r="A157" s="108">
        <v>140006</v>
      </c>
      <c r="B157" s="102" t="s">
        <v>1180</v>
      </c>
      <c r="C157" s="222" t="s">
        <v>102</v>
      </c>
      <c r="D157" s="222" t="s">
        <v>102</v>
      </c>
      <c r="E157" s="222" t="s">
        <v>102</v>
      </c>
      <c r="F157" s="222" t="s">
        <v>102</v>
      </c>
      <c r="G157" s="222" t="s">
        <v>102</v>
      </c>
      <c r="H157" s="222" t="s">
        <v>102</v>
      </c>
      <c r="I157" s="222" t="s">
        <v>102</v>
      </c>
      <c r="J157" s="222" t="s">
        <v>102</v>
      </c>
      <c r="K157" s="222" t="s">
        <v>102</v>
      </c>
      <c r="L157" s="222" t="s">
        <v>102</v>
      </c>
    </row>
    <row r="158" spans="1:12">
      <c r="A158" s="108">
        <v>140007</v>
      </c>
      <c r="B158" s="102" t="s">
        <v>1181</v>
      </c>
      <c r="C158" s="222" t="s">
        <v>102</v>
      </c>
      <c r="D158" s="222" t="s">
        <v>102</v>
      </c>
      <c r="E158" s="222" t="s">
        <v>102</v>
      </c>
      <c r="F158" s="222" t="s">
        <v>102</v>
      </c>
      <c r="G158" s="222" t="s">
        <v>102</v>
      </c>
      <c r="H158" s="222" t="s">
        <v>102</v>
      </c>
      <c r="I158" s="222" t="s">
        <v>102</v>
      </c>
      <c r="J158" s="222" t="s">
        <v>102</v>
      </c>
      <c r="K158" s="222" t="s">
        <v>102</v>
      </c>
      <c r="L158" s="222" t="s">
        <v>102</v>
      </c>
    </row>
    <row r="159" spans="1:12">
      <c r="A159" s="107">
        <v>140008</v>
      </c>
      <c r="B159" s="102" t="s">
        <v>1182</v>
      </c>
      <c r="C159" s="222" t="s">
        <v>102</v>
      </c>
      <c r="D159" s="222" t="s">
        <v>102</v>
      </c>
      <c r="E159" s="222" t="s">
        <v>102</v>
      </c>
      <c r="F159" s="222" t="s">
        <v>102</v>
      </c>
      <c r="G159" s="222" t="s">
        <v>102</v>
      </c>
      <c r="H159" s="222" t="s">
        <v>102</v>
      </c>
      <c r="I159" s="222" t="s">
        <v>102</v>
      </c>
      <c r="J159" s="222" t="s">
        <v>102</v>
      </c>
      <c r="K159" s="222" t="s">
        <v>102</v>
      </c>
      <c r="L159" s="222" t="s">
        <v>102</v>
      </c>
    </row>
    <row r="160" spans="1:12">
      <c r="A160" s="107">
        <v>141001</v>
      </c>
      <c r="B160" s="102" t="s">
        <v>1183</v>
      </c>
      <c r="C160" s="222" t="s">
        <v>102</v>
      </c>
      <c r="D160" s="222" t="s">
        <v>102</v>
      </c>
      <c r="E160" s="222" t="s">
        <v>102</v>
      </c>
      <c r="F160" s="222" t="s">
        <v>102</v>
      </c>
      <c r="G160" s="222" t="s">
        <v>102</v>
      </c>
      <c r="H160" s="222" t="s">
        <v>102</v>
      </c>
      <c r="I160" s="222" t="s">
        <v>102</v>
      </c>
      <c r="J160" s="222" t="s">
        <v>102</v>
      </c>
      <c r="K160" s="222" t="s">
        <v>102</v>
      </c>
      <c r="L160" s="222" t="s">
        <v>102</v>
      </c>
    </row>
    <row r="161" spans="1:12">
      <c r="A161" s="107">
        <v>145</v>
      </c>
      <c r="B161" s="102" t="s">
        <v>445</v>
      </c>
      <c r="C161" s="222" t="s">
        <v>102</v>
      </c>
      <c r="D161" s="222" t="s">
        <v>102</v>
      </c>
      <c r="E161" s="222" t="s">
        <v>102</v>
      </c>
      <c r="F161" s="222" t="s">
        <v>102</v>
      </c>
      <c r="G161" s="222" t="s">
        <v>102</v>
      </c>
      <c r="H161" s="222" t="s">
        <v>102</v>
      </c>
      <c r="I161" s="222" t="s">
        <v>102</v>
      </c>
      <c r="J161" s="222" t="s">
        <v>102</v>
      </c>
      <c r="K161" s="222" t="s">
        <v>102</v>
      </c>
      <c r="L161" s="222" t="s">
        <v>102</v>
      </c>
    </row>
    <row r="162" spans="1:12">
      <c r="A162" s="199">
        <v>145001</v>
      </c>
      <c r="B162" s="182" t="s">
        <v>1023</v>
      </c>
      <c r="C162" s="172" t="s">
        <v>102</v>
      </c>
      <c r="D162" s="172" t="s">
        <v>102</v>
      </c>
      <c r="E162" s="172" t="s">
        <v>102</v>
      </c>
      <c r="F162" s="172" t="s">
        <v>102</v>
      </c>
      <c r="G162" s="172" t="s">
        <v>102</v>
      </c>
      <c r="H162" s="172" t="s">
        <v>102</v>
      </c>
      <c r="I162" s="172" t="s">
        <v>102</v>
      </c>
      <c r="J162" s="172" t="s">
        <v>102</v>
      </c>
      <c r="K162" s="172" t="s">
        <v>102</v>
      </c>
      <c r="L162" s="172" t="s">
        <v>102</v>
      </c>
    </row>
    <row r="163" spans="1:12">
      <c r="A163" s="211">
        <v>145002</v>
      </c>
      <c r="B163" s="110" t="s">
        <v>1024</v>
      </c>
      <c r="C163" s="222" t="s">
        <v>102</v>
      </c>
      <c r="D163" s="222" t="s">
        <v>102</v>
      </c>
      <c r="E163" s="222" t="s">
        <v>102</v>
      </c>
      <c r="F163" s="222" t="s">
        <v>102</v>
      </c>
      <c r="G163" s="222" t="s">
        <v>102</v>
      </c>
      <c r="H163" s="222" t="s">
        <v>102</v>
      </c>
      <c r="I163" s="222" t="s">
        <v>102</v>
      </c>
      <c r="J163" s="222" t="s">
        <v>102</v>
      </c>
      <c r="K163" s="222" t="s">
        <v>102</v>
      </c>
      <c r="L163" s="222" t="s">
        <v>102</v>
      </c>
    </row>
    <row r="164" spans="1:12">
      <c r="A164" s="211">
        <v>145003</v>
      </c>
      <c r="B164" s="110" t="s">
        <v>1025</v>
      </c>
      <c r="C164" s="222" t="s">
        <v>102</v>
      </c>
      <c r="D164" s="222" t="s">
        <v>102</v>
      </c>
      <c r="E164" s="222" t="s">
        <v>102</v>
      </c>
      <c r="F164" s="222" t="s">
        <v>102</v>
      </c>
      <c r="G164" s="222" t="s">
        <v>102</v>
      </c>
      <c r="H164" s="222" t="s">
        <v>102</v>
      </c>
      <c r="I164" s="222" t="s">
        <v>102</v>
      </c>
      <c r="J164" s="222" t="s">
        <v>102</v>
      </c>
      <c r="K164" s="222" t="s">
        <v>102</v>
      </c>
      <c r="L164" s="222" t="s">
        <v>102</v>
      </c>
    </row>
    <row r="165" spans="1:12">
      <c r="A165" s="211">
        <v>145004</v>
      </c>
      <c r="B165" s="110" t="s">
        <v>1064</v>
      </c>
      <c r="C165" s="222" t="s">
        <v>102</v>
      </c>
      <c r="D165" s="222" t="s">
        <v>102</v>
      </c>
      <c r="E165" s="222" t="s">
        <v>102</v>
      </c>
      <c r="F165" s="222" t="s">
        <v>102</v>
      </c>
      <c r="G165" s="222" t="s">
        <v>102</v>
      </c>
      <c r="H165" s="222" t="s">
        <v>102</v>
      </c>
      <c r="I165" s="222" t="s">
        <v>102</v>
      </c>
      <c r="J165" s="222" t="s">
        <v>102</v>
      </c>
      <c r="K165" s="222" t="s">
        <v>102</v>
      </c>
      <c r="L165" s="222" t="s">
        <v>102</v>
      </c>
    </row>
    <row r="166" spans="1:12">
      <c r="A166" s="107">
        <v>145005</v>
      </c>
      <c r="B166" s="102" t="s">
        <v>1065</v>
      </c>
      <c r="C166" s="222" t="s">
        <v>102</v>
      </c>
      <c r="D166" s="222" t="s">
        <v>102</v>
      </c>
      <c r="E166" s="222" t="s">
        <v>102</v>
      </c>
      <c r="F166" s="222" t="s">
        <v>102</v>
      </c>
      <c r="G166" s="222" t="s">
        <v>102</v>
      </c>
      <c r="H166" s="222" t="s">
        <v>102</v>
      </c>
      <c r="I166" s="222" t="s">
        <v>102</v>
      </c>
      <c r="J166" s="222" t="s">
        <v>102</v>
      </c>
      <c r="K166" s="222" t="s">
        <v>102</v>
      </c>
      <c r="L166" s="222" t="s">
        <v>102</v>
      </c>
    </row>
    <row r="167" spans="1:12">
      <c r="A167" s="108">
        <v>145006</v>
      </c>
      <c r="B167" s="102" t="s">
        <v>1066</v>
      </c>
      <c r="C167" s="222" t="s">
        <v>102</v>
      </c>
      <c r="D167" s="222" t="s">
        <v>102</v>
      </c>
      <c r="E167" s="222" t="s">
        <v>102</v>
      </c>
      <c r="F167" s="222" t="s">
        <v>102</v>
      </c>
      <c r="G167" s="222" t="s">
        <v>102</v>
      </c>
      <c r="H167" s="222" t="s">
        <v>102</v>
      </c>
      <c r="I167" s="222" t="s">
        <v>102</v>
      </c>
      <c r="J167" s="222" t="s">
        <v>102</v>
      </c>
      <c r="K167" s="222" t="s">
        <v>102</v>
      </c>
      <c r="L167" s="222" t="s">
        <v>102</v>
      </c>
    </row>
    <row r="168" spans="1:12">
      <c r="A168" s="108">
        <v>145007</v>
      </c>
      <c r="B168" s="102" t="s">
        <v>1067</v>
      </c>
      <c r="C168" s="222" t="s">
        <v>102</v>
      </c>
      <c r="D168" s="222" t="s">
        <v>102</v>
      </c>
      <c r="E168" s="222" t="s">
        <v>102</v>
      </c>
      <c r="F168" s="222" t="s">
        <v>102</v>
      </c>
      <c r="G168" s="222" t="s">
        <v>102</v>
      </c>
      <c r="H168" s="222" t="s">
        <v>102</v>
      </c>
      <c r="I168" s="222" t="s">
        <v>102</v>
      </c>
      <c r="J168" s="222" t="s">
        <v>102</v>
      </c>
      <c r="K168" s="222" t="s">
        <v>102</v>
      </c>
      <c r="L168" s="222" t="s">
        <v>102</v>
      </c>
    </row>
    <row r="169" spans="1:12">
      <c r="A169" s="107">
        <v>145008</v>
      </c>
      <c r="B169" s="102" t="s">
        <v>1068</v>
      </c>
      <c r="C169" s="222" t="s">
        <v>102</v>
      </c>
      <c r="D169" s="222" t="s">
        <v>102</v>
      </c>
      <c r="E169" s="222" t="s">
        <v>102</v>
      </c>
      <c r="F169" s="222" t="s">
        <v>102</v>
      </c>
      <c r="G169" s="222" t="s">
        <v>102</v>
      </c>
      <c r="H169" s="222" t="s">
        <v>102</v>
      </c>
      <c r="I169" s="222" t="s">
        <v>102</v>
      </c>
      <c r="J169" s="222" t="s">
        <v>102</v>
      </c>
      <c r="K169" s="222" t="s">
        <v>102</v>
      </c>
      <c r="L169" s="222" t="s">
        <v>102</v>
      </c>
    </row>
    <row r="170" spans="1:12">
      <c r="A170" s="108">
        <v>145009</v>
      </c>
      <c r="B170" s="102" t="s">
        <v>1069</v>
      </c>
      <c r="C170" s="222" t="s">
        <v>102</v>
      </c>
      <c r="D170" s="222" t="s">
        <v>102</v>
      </c>
      <c r="E170" s="222" t="s">
        <v>102</v>
      </c>
      <c r="F170" s="222" t="s">
        <v>102</v>
      </c>
      <c r="G170" s="222" t="s">
        <v>102</v>
      </c>
      <c r="H170" s="222" t="s">
        <v>102</v>
      </c>
      <c r="I170" s="222" t="s">
        <v>102</v>
      </c>
      <c r="J170" s="222" t="s">
        <v>102</v>
      </c>
      <c r="K170" s="222" t="s">
        <v>102</v>
      </c>
      <c r="L170" s="222" t="s">
        <v>102</v>
      </c>
    </row>
    <row r="171" spans="1:12">
      <c r="A171" s="108">
        <v>2</v>
      </c>
      <c r="B171" s="102" t="s">
        <v>328</v>
      </c>
      <c r="C171" s="222" t="s">
        <v>102</v>
      </c>
      <c r="D171" s="222" t="s">
        <v>102</v>
      </c>
      <c r="E171" s="222" t="s">
        <v>102</v>
      </c>
      <c r="F171" s="222" t="s">
        <v>102</v>
      </c>
      <c r="G171" s="222" t="s">
        <v>102</v>
      </c>
      <c r="H171" s="222" t="s">
        <v>102</v>
      </c>
      <c r="I171" s="222" t="s">
        <v>102</v>
      </c>
      <c r="J171" s="222" t="s">
        <v>102</v>
      </c>
      <c r="K171" s="222" t="s">
        <v>102</v>
      </c>
      <c r="L171" s="222" t="s">
        <v>102</v>
      </c>
    </row>
    <row r="172" spans="1:12">
      <c r="A172" s="199">
        <v>21</v>
      </c>
      <c r="B172" s="182" t="s">
        <v>920</v>
      </c>
      <c r="C172" s="172" t="s">
        <v>102</v>
      </c>
      <c r="D172" s="172" t="s">
        <v>102</v>
      </c>
      <c r="E172" s="172" t="s">
        <v>102</v>
      </c>
      <c r="F172" s="172" t="s">
        <v>102</v>
      </c>
      <c r="G172" s="172" t="s">
        <v>102</v>
      </c>
      <c r="H172" s="172" t="s">
        <v>102</v>
      </c>
      <c r="I172" s="172" t="s">
        <v>102</v>
      </c>
      <c r="J172" s="172" t="s">
        <v>102</v>
      </c>
      <c r="K172" s="172" t="s">
        <v>102</v>
      </c>
      <c r="L172" s="172" t="s">
        <v>102</v>
      </c>
    </row>
    <row r="173" spans="1:12">
      <c r="A173" s="202">
        <v>210</v>
      </c>
      <c r="B173" s="182" t="s">
        <v>921</v>
      </c>
      <c r="C173" s="172" t="s">
        <v>102</v>
      </c>
      <c r="D173" s="172" t="s">
        <v>102</v>
      </c>
      <c r="E173" s="172" t="s">
        <v>102</v>
      </c>
      <c r="F173" s="172" t="s">
        <v>102</v>
      </c>
      <c r="G173" s="172" t="s">
        <v>102</v>
      </c>
      <c r="H173" s="172" t="s">
        <v>102</v>
      </c>
      <c r="I173" s="172" t="s">
        <v>102</v>
      </c>
      <c r="J173" s="172" t="s">
        <v>102</v>
      </c>
      <c r="K173" s="172" t="s">
        <v>102</v>
      </c>
      <c r="L173" s="172" t="s">
        <v>102</v>
      </c>
    </row>
    <row r="174" spans="1:12">
      <c r="A174" s="202">
        <v>2101</v>
      </c>
      <c r="B174" s="182" t="s">
        <v>922</v>
      </c>
      <c r="C174" s="172" t="s">
        <v>102</v>
      </c>
      <c r="D174" s="172" t="s">
        <v>102</v>
      </c>
      <c r="E174" s="172" t="s">
        <v>102</v>
      </c>
      <c r="F174" s="172" t="s">
        <v>102</v>
      </c>
      <c r="G174" s="172" t="s">
        <v>102</v>
      </c>
      <c r="H174" s="172" t="s">
        <v>102</v>
      </c>
      <c r="I174" s="172" t="s">
        <v>102</v>
      </c>
      <c r="J174" s="172" t="s">
        <v>102</v>
      </c>
      <c r="K174" s="172" t="s">
        <v>102</v>
      </c>
      <c r="L174" s="172" t="s">
        <v>102</v>
      </c>
    </row>
    <row r="175" spans="1:12">
      <c r="A175" s="202">
        <v>210101</v>
      </c>
      <c r="B175" s="182" t="s">
        <v>923</v>
      </c>
      <c r="C175" s="172" t="s">
        <v>102</v>
      </c>
      <c r="D175" s="172" t="s">
        <v>102</v>
      </c>
      <c r="E175" s="172" t="s">
        <v>102</v>
      </c>
      <c r="F175" s="172" t="s">
        <v>102</v>
      </c>
      <c r="G175" s="172" t="s">
        <v>102</v>
      </c>
      <c r="H175" s="172" t="s">
        <v>102</v>
      </c>
      <c r="I175" s="172" t="s">
        <v>102</v>
      </c>
      <c r="J175" s="172" t="s">
        <v>102</v>
      </c>
      <c r="K175" s="172" t="s">
        <v>102</v>
      </c>
      <c r="L175" s="172" t="s">
        <v>102</v>
      </c>
    </row>
    <row r="176" spans="1:12">
      <c r="A176" s="211">
        <v>210102</v>
      </c>
      <c r="B176" s="110" t="s">
        <v>924</v>
      </c>
      <c r="C176" s="222" t="s">
        <v>102</v>
      </c>
      <c r="D176" s="222" t="s">
        <v>102</v>
      </c>
      <c r="E176" s="222" t="s">
        <v>102</v>
      </c>
      <c r="F176" s="222" t="s">
        <v>102</v>
      </c>
      <c r="G176" s="222" t="s">
        <v>102</v>
      </c>
      <c r="H176" s="222" t="s">
        <v>102</v>
      </c>
      <c r="I176" s="222" t="s">
        <v>102</v>
      </c>
      <c r="J176" s="222" t="s">
        <v>102</v>
      </c>
      <c r="K176" s="222" t="s">
        <v>102</v>
      </c>
      <c r="L176" s="222" t="s">
        <v>102</v>
      </c>
    </row>
    <row r="177" spans="1:12">
      <c r="A177" s="211">
        <v>210103</v>
      </c>
      <c r="B177" s="110" t="s">
        <v>925</v>
      </c>
      <c r="C177" s="222" t="s">
        <v>102</v>
      </c>
      <c r="D177" s="222" t="s">
        <v>102</v>
      </c>
      <c r="E177" s="222" t="s">
        <v>102</v>
      </c>
      <c r="F177" s="222" t="s">
        <v>102</v>
      </c>
      <c r="G177" s="222" t="s">
        <v>102</v>
      </c>
      <c r="H177" s="222" t="s">
        <v>102</v>
      </c>
      <c r="I177" s="222" t="s">
        <v>102</v>
      </c>
      <c r="J177" s="222" t="s">
        <v>102</v>
      </c>
      <c r="K177" s="222" t="s">
        <v>102</v>
      </c>
      <c r="L177" s="222" t="s">
        <v>102</v>
      </c>
    </row>
    <row r="178" spans="1:12">
      <c r="A178" s="211">
        <v>210104</v>
      </c>
      <c r="B178" s="110" t="s">
        <v>926</v>
      </c>
      <c r="C178" s="222" t="s">
        <v>102</v>
      </c>
      <c r="D178" s="222" t="s">
        <v>102</v>
      </c>
      <c r="E178" s="222" t="s">
        <v>102</v>
      </c>
      <c r="F178" s="222" t="s">
        <v>102</v>
      </c>
      <c r="G178" s="222" t="s">
        <v>102</v>
      </c>
      <c r="H178" s="222" t="s">
        <v>102</v>
      </c>
      <c r="I178" s="222" t="s">
        <v>102</v>
      </c>
      <c r="J178" s="222" t="s">
        <v>102</v>
      </c>
      <c r="K178" s="222" t="s">
        <v>102</v>
      </c>
      <c r="L178" s="222" t="s">
        <v>102</v>
      </c>
    </row>
    <row r="179" spans="1:12">
      <c r="A179" s="211">
        <v>210105</v>
      </c>
      <c r="B179" s="110" t="s">
        <v>927</v>
      </c>
      <c r="C179" s="222" t="s">
        <v>102</v>
      </c>
      <c r="D179" s="222" t="s">
        <v>102</v>
      </c>
      <c r="E179" s="222" t="s">
        <v>102</v>
      </c>
      <c r="F179" s="222" t="s">
        <v>102</v>
      </c>
      <c r="G179" s="222" t="s">
        <v>102</v>
      </c>
      <c r="H179" s="222" t="s">
        <v>102</v>
      </c>
      <c r="I179" s="222" t="s">
        <v>102</v>
      </c>
      <c r="J179" s="222" t="s">
        <v>102</v>
      </c>
      <c r="K179" s="222" t="s">
        <v>102</v>
      </c>
      <c r="L179" s="222" t="s">
        <v>102</v>
      </c>
    </row>
    <row r="180" spans="1:12">
      <c r="A180" s="211">
        <v>210106</v>
      </c>
      <c r="B180" s="110" t="s">
        <v>1055</v>
      </c>
      <c r="C180" s="222" t="s">
        <v>102</v>
      </c>
      <c r="D180" s="222" t="s">
        <v>102</v>
      </c>
      <c r="E180" s="222" t="s">
        <v>102</v>
      </c>
      <c r="F180" s="222" t="s">
        <v>102</v>
      </c>
      <c r="G180" s="222" t="s">
        <v>102</v>
      </c>
      <c r="H180" s="222" t="s">
        <v>102</v>
      </c>
      <c r="I180" s="222" t="s">
        <v>102</v>
      </c>
      <c r="J180" s="222" t="s">
        <v>102</v>
      </c>
      <c r="K180" s="222" t="s">
        <v>102</v>
      </c>
      <c r="L180" s="222" t="s">
        <v>102</v>
      </c>
    </row>
    <row r="181" spans="1:12">
      <c r="A181" s="211">
        <v>2102</v>
      </c>
      <c r="B181" s="110" t="s">
        <v>928</v>
      </c>
      <c r="C181" s="222" t="s">
        <v>102</v>
      </c>
      <c r="D181" s="222" t="s">
        <v>102</v>
      </c>
      <c r="E181" s="222" t="s">
        <v>102</v>
      </c>
      <c r="F181" s="222" t="s">
        <v>102</v>
      </c>
      <c r="G181" s="222" t="s">
        <v>102</v>
      </c>
      <c r="H181" s="222" t="s">
        <v>102</v>
      </c>
      <c r="I181" s="222" t="s">
        <v>102</v>
      </c>
      <c r="J181" s="222" t="s">
        <v>102</v>
      </c>
      <c r="K181" s="222" t="s">
        <v>102</v>
      </c>
      <c r="L181" s="222" t="s">
        <v>102</v>
      </c>
    </row>
    <row r="182" spans="1:12">
      <c r="A182" s="202">
        <v>210201</v>
      </c>
      <c r="B182" s="182" t="s">
        <v>931</v>
      </c>
      <c r="C182" s="172" t="s">
        <v>102</v>
      </c>
      <c r="D182" s="172" t="s">
        <v>102</v>
      </c>
      <c r="E182" s="172" t="s">
        <v>102</v>
      </c>
      <c r="F182" s="172" t="s">
        <v>102</v>
      </c>
      <c r="G182" s="172" t="s">
        <v>102</v>
      </c>
      <c r="H182" s="172" t="s">
        <v>102</v>
      </c>
      <c r="I182" s="172" t="s">
        <v>102</v>
      </c>
      <c r="J182" s="172" t="s">
        <v>102</v>
      </c>
      <c r="K182" s="172" t="s">
        <v>102</v>
      </c>
      <c r="L182" s="172" t="s">
        <v>102</v>
      </c>
    </row>
    <row r="183" spans="1:12">
      <c r="A183" s="211">
        <v>210202</v>
      </c>
      <c r="B183" s="110" t="s">
        <v>932</v>
      </c>
      <c r="C183" s="222" t="s">
        <v>102</v>
      </c>
      <c r="D183" s="222" t="s">
        <v>102</v>
      </c>
      <c r="E183" s="222" t="s">
        <v>102</v>
      </c>
      <c r="F183" s="222" t="s">
        <v>102</v>
      </c>
      <c r="G183" s="222" t="s">
        <v>102</v>
      </c>
      <c r="H183" s="222" t="s">
        <v>102</v>
      </c>
      <c r="I183" s="222" t="s">
        <v>102</v>
      </c>
      <c r="J183" s="222" t="s">
        <v>102</v>
      </c>
      <c r="K183" s="222" t="s">
        <v>102</v>
      </c>
      <c r="L183" s="222" t="s">
        <v>102</v>
      </c>
    </row>
    <row r="184" spans="1:12">
      <c r="A184" s="211">
        <v>210203</v>
      </c>
      <c r="B184" s="110" t="s">
        <v>933</v>
      </c>
      <c r="C184" s="222" t="s">
        <v>102</v>
      </c>
      <c r="D184" s="222" t="s">
        <v>102</v>
      </c>
      <c r="E184" s="222" t="s">
        <v>102</v>
      </c>
      <c r="F184" s="222" t="s">
        <v>102</v>
      </c>
      <c r="G184" s="222" t="s">
        <v>102</v>
      </c>
      <c r="H184" s="222" t="s">
        <v>102</v>
      </c>
      <c r="I184" s="222" t="s">
        <v>102</v>
      </c>
      <c r="J184" s="222" t="s">
        <v>102</v>
      </c>
      <c r="K184" s="222" t="s">
        <v>102</v>
      </c>
      <c r="L184" s="222" t="s">
        <v>102</v>
      </c>
    </row>
    <row r="185" spans="1:12">
      <c r="A185" s="211">
        <v>210204</v>
      </c>
      <c r="B185" s="110" t="s">
        <v>934</v>
      </c>
      <c r="C185" s="222" t="s">
        <v>102</v>
      </c>
      <c r="D185" s="222" t="s">
        <v>102</v>
      </c>
      <c r="E185" s="222" t="s">
        <v>102</v>
      </c>
      <c r="F185" s="222" t="s">
        <v>102</v>
      </c>
      <c r="G185" s="222" t="s">
        <v>102</v>
      </c>
      <c r="H185" s="222" t="s">
        <v>102</v>
      </c>
      <c r="I185" s="222" t="s">
        <v>102</v>
      </c>
      <c r="J185" s="222" t="s">
        <v>102</v>
      </c>
      <c r="K185" s="222" t="s">
        <v>102</v>
      </c>
      <c r="L185" s="222" t="s">
        <v>102</v>
      </c>
    </row>
    <row r="186" spans="1:12">
      <c r="A186" s="211">
        <v>210205</v>
      </c>
      <c r="B186" s="110" t="s">
        <v>935</v>
      </c>
      <c r="C186" s="222" t="s">
        <v>102</v>
      </c>
      <c r="D186" s="222" t="s">
        <v>102</v>
      </c>
      <c r="E186" s="222" t="s">
        <v>102</v>
      </c>
      <c r="F186" s="222" t="s">
        <v>102</v>
      </c>
      <c r="G186" s="222" t="s">
        <v>102</v>
      </c>
      <c r="H186" s="222" t="s">
        <v>102</v>
      </c>
      <c r="I186" s="222" t="s">
        <v>102</v>
      </c>
      <c r="J186" s="222" t="s">
        <v>102</v>
      </c>
      <c r="K186" s="222" t="s">
        <v>102</v>
      </c>
      <c r="L186" s="222" t="s">
        <v>102</v>
      </c>
    </row>
    <row r="187" spans="1:12">
      <c r="A187" s="211">
        <v>210206</v>
      </c>
      <c r="B187" s="110" t="s">
        <v>1056</v>
      </c>
      <c r="C187" s="222" t="s">
        <v>102</v>
      </c>
      <c r="D187" s="222" t="s">
        <v>102</v>
      </c>
      <c r="E187" s="222" t="s">
        <v>102</v>
      </c>
      <c r="F187" s="222" t="s">
        <v>102</v>
      </c>
      <c r="G187" s="222" t="s">
        <v>102</v>
      </c>
      <c r="H187" s="222" t="s">
        <v>102</v>
      </c>
      <c r="I187" s="222" t="s">
        <v>102</v>
      </c>
      <c r="J187" s="222" t="s">
        <v>102</v>
      </c>
      <c r="K187" s="222" t="s">
        <v>102</v>
      </c>
      <c r="L187" s="222" t="s">
        <v>102</v>
      </c>
    </row>
    <row r="188" spans="1:12">
      <c r="A188" s="108">
        <v>2103</v>
      </c>
      <c r="B188" s="102" t="s">
        <v>929</v>
      </c>
      <c r="C188" s="222" t="s">
        <v>102</v>
      </c>
      <c r="D188" s="222" t="s">
        <v>102</v>
      </c>
      <c r="E188" s="222" t="s">
        <v>102</v>
      </c>
      <c r="F188" s="222" t="s">
        <v>102</v>
      </c>
      <c r="G188" s="222" t="s">
        <v>102</v>
      </c>
      <c r="H188" s="222" t="s">
        <v>102</v>
      </c>
      <c r="I188" s="222" t="s">
        <v>102</v>
      </c>
      <c r="J188" s="222" t="s">
        <v>102</v>
      </c>
      <c r="K188" s="222" t="s">
        <v>102</v>
      </c>
      <c r="L188" s="222" t="s">
        <v>102</v>
      </c>
    </row>
    <row r="189" spans="1:12">
      <c r="A189" s="202">
        <v>210301</v>
      </c>
      <c r="B189" s="182" t="s">
        <v>939</v>
      </c>
      <c r="C189" s="172" t="s">
        <v>102</v>
      </c>
      <c r="D189" s="172" t="s">
        <v>102</v>
      </c>
      <c r="E189" s="172" t="s">
        <v>102</v>
      </c>
      <c r="F189" s="172" t="s">
        <v>102</v>
      </c>
      <c r="G189" s="172" t="s">
        <v>102</v>
      </c>
      <c r="H189" s="172" t="s">
        <v>102</v>
      </c>
      <c r="I189" s="172" t="s">
        <v>102</v>
      </c>
      <c r="J189" s="172" t="s">
        <v>102</v>
      </c>
      <c r="K189" s="172" t="s">
        <v>102</v>
      </c>
      <c r="L189" s="172" t="s">
        <v>102</v>
      </c>
    </row>
    <row r="190" spans="1:12">
      <c r="A190" s="211">
        <v>210302</v>
      </c>
      <c r="B190" s="110" t="s">
        <v>938</v>
      </c>
      <c r="C190" s="222" t="s">
        <v>102</v>
      </c>
      <c r="D190" s="222" t="s">
        <v>102</v>
      </c>
      <c r="E190" s="222" t="s">
        <v>102</v>
      </c>
      <c r="F190" s="222" t="s">
        <v>102</v>
      </c>
      <c r="G190" s="222" t="s">
        <v>102</v>
      </c>
      <c r="H190" s="222" t="s">
        <v>102</v>
      </c>
      <c r="I190" s="222" t="s">
        <v>102</v>
      </c>
      <c r="J190" s="222" t="s">
        <v>102</v>
      </c>
      <c r="K190" s="222" t="s">
        <v>102</v>
      </c>
      <c r="L190" s="222" t="s">
        <v>102</v>
      </c>
    </row>
    <row r="191" spans="1:12">
      <c r="A191" s="211">
        <v>210303</v>
      </c>
      <c r="B191" s="110" t="s">
        <v>936</v>
      </c>
      <c r="C191" s="222" t="s">
        <v>102</v>
      </c>
      <c r="D191" s="222" t="s">
        <v>102</v>
      </c>
      <c r="E191" s="222" t="s">
        <v>102</v>
      </c>
      <c r="F191" s="222" t="s">
        <v>102</v>
      </c>
      <c r="G191" s="222" t="s">
        <v>102</v>
      </c>
      <c r="H191" s="222" t="s">
        <v>102</v>
      </c>
      <c r="I191" s="222" t="s">
        <v>102</v>
      </c>
      <c r="J191" s="222" t="s">
        <v>102</v>
      </c>
      <c r="K191" s="222" t="s">
        <v>102</v>
      </c>
      <c r="L191" s="222" t="s">
        <v>102</v>
      </c>
    </row>
    <row r="192" spans="1:12">
      <c r="A192" s="211">
        <v>210304</v>
      </c>
      <c r="B192" s="110" t="s">
        <v>937</v>
      </c>
      <c r="C192" s="222" t="s">
        <v>102</v>
      </c>
      <c r="D192" s="222" t="s">
        <v>102</v>
      </c>
      <c r="E192" s="222" t="s">
        <v>102</v>
      </c>
      <c r="F192" s="222" t="s">
        <v>102</v>
      </c>
      <c r="G192" s="222" t="s">
        <v>102</v>
      </c>
      <c r="H192" s="222" t="s">
        <v>102</v>
      </c>
      <c r="I192" s="222" t="s">
        <v>102</v>
      </c>
      <c r="J192" s="222" t="s">
        <v>102</v>
      </c>
      <c r="K192" s="222" t="s">
        <v>102</v>
      </c>
      <c r="L192" s="222" t="s">
        <v>102</v>
      </c>
    </row>
    <row r="193" spans="1:12">
      <c r="A193" s="211">
        <v>210305</v>
      </c>
      <c r="B193" s="110" t="s">
        <v>1057</v>
      </c>
      <c r="C193" s="222" t="s">
        <v>102</v>
      </c>
      <c r="D193" s="222" t="s">
        <v>102</v>
      </c>
      <c r="E193" s="222" t="s">
        <v>102</v>
      </c>
      <c r="F193" s="222" t="s">
        <v>102</v>
      </c>
      <c r="G193" s="222" t="s">
        <v>102</v>
      </c>
      <c r="H193" s="222" t="s">
        <v>102</v>
      </c>
      <c r="I193" s="222" t="s">
        <v>102</v>
      </c>
      <c r="J193" s="222" t="s">
        <v>102</v>
      </c>
      <c r="K193" s="222" t="s">
        <v>102</v>
      </c>
      <c r="L193" s="222" t="s">
        <v>102</v>
      </c>
    </row>
    <row r="194" spans="1:12">
      <c r="A194" s="211">
        <v>2104</v>
      </c>
      <c r="B194" s="110" t="s">
        <v>930</v>
      </c>
      <c r="C194" s="222" t="s">
        <v>102</v>
      </c>
      <c r="D194" s="222" t="s">
        <v>102</v>
      </c>
      <c r="E194" s="222" t="s">
        <v>102</v>
      </c>
      <c r="F194" s="222" t="s">
        <v>102</v>
      </c>
      <c r="G194" s="222" t="s">
        <v>102</v>
      </c>
      <c r="H194" s="222" t="s">
        <v>102</v>
      </c>
      <c r="I194" s="222" t="s">
        <v>102</v>
      </c>
      <c r="J194" s="222" t="s">
        <v>102</v>
      </c>
      <c r="K194" s="222" t="s">
        <v>102</v>
      </c>
      <c r="L194" s="222" t="s">
        <v>102</v>
      </c>
    </row>
    <row r="195" spans="1:12">
      <c r="A195" s="202">
        <v>210401</v>
      </c>
      <c r="B195" s="182" t="s">
        <v>940</v>
      </c>
      <c r="C195" s="172" t="s">
        <v>102</v>
      </c>
      <c r="D195" s="172" t="s">
        <v>102</v>
      </c>
      <c r="E195" s="172" t="s">
        <v>102</v>
      </c>
      <c r="F195" s="172" t="s">
        <v>102</v>
      </c>
      <c r="G195" s="172" t="s">
        <v>102</v>
      </c>
      <c r="H195" s="172" t="s">
        <v>102</v>
      </c>
      <c r="I195" s="172" t="s">
        <v>102</v>
      </c>
      <c r="J195" s="172" t="s">
        <v>102</v>
      </c>
      <c r="K195" s="172" t="s">
        <v>102</v>
      </c>
      <c r="L195" s="172" t="s">
        <v>102</v>
      </c>
    </row>
    <row r="196" spans="1:12">
      <c r="A196" s="211">
        <v>210402</v>
      </c>
      <c r="B196" s="110" t="s">
        <v>941</v>
      </c>
      <c r="C196" s="222" t="s">
        <v>102</v>
      </c>
      <c r="D196" s="222" t="s">
        <v>102</v>
      </c>
      <c r="E196" s="222" t="s">
        <v>102</v>
      </c>
      <c r="F196" s="222" t="s">
        <v>102</v>
      </c>
      <c r="G196" s="222" t="s">
        <v>102</v>
      </c>
      <c r="H196" s="222" t="s">
        <v>102</v>
      </c>
      <c r="I196" s="222" t="s">
        <v>102</v>
      </c>
      <c r="J196" s="222" t="s">
        <v>102</v>
      </c>
      <c r="K196" s="222" t="s">
        <v>102</v>
      </c>
      <c r="L196" s="222" t="s">
        <v>102</v>
      </c>
    </row>
    <row r="197" spans="1:12">
      <c r="A197" s="211">
        <v>210403</v>
      </c>
      <c r="B197" s="110" t="s">
        <v>942</v>
      </c>
      <c r="C197" s="222" t="s">
        <v>102</v>
      </c>
      <c r="D197" s="222" t="s">
        <v>102</v>
      </c>
      <c r="E197" s="222" t="s">
        <v>102</v>
      </c>
      <c r="F197" s="222" t="s">
        <v>102</v>
      </c>
      <c r="G197" s="222" t="s">
        <v>102</v>
      </c>
      <c r="H197" s="222" t="s">
        <v>102</v>
      </c>
      <c r="I197" s="222" t="s">
        <v>102</v>
      </c>
      <c r="J197" s="222" t="s">
        <v>102</v>
      </c>
      <c r="K197" s="222" t="s">
        <v>102</v>
      </c>
      <c r="L197" s="222" t="s">
        <v>102</v>
      </c>
    </row>
    <row r="198" spans="1:12">
      <c r="A198" s="211">
        <v>210404</v>
      </c>
      <c r="B198" s="110" t="s">
        <v>943</v>
      </c>
      <c r="C198" s="222" t="s">
        <v>102</v>
      </c>
      <c r="D198" s="222" t="s">
        <v>102</v>
      </c>
      <c r="E198" s="222" t="s">
        <v>102</v>
      </c>
      <c r="F198" s="222" t="s">
        <v>102</v>
      </c>
      <c r="G198" s="222" t="s">
        <v>102</v>
      </c>
      <c r="H198" s="222" t="s">
        <v>102</v>
      </c>
      <c r="I198" s="222" t="s">
        <v>102</v>
      </c>
      <c r="J198" s="222" t="s">
        <v>102</v>
      </c>
      <c r="K198" s="222" t="s">
        <v>102</v>
      </c>
      <c r="L198" s="222" t="s">
        <v>102</v>
      </c>
    </row>
    <row r="199" spans="1:12">
      <c r="A199" s="211">
        <v>210405</v>
      </c>
      <c r="B199" s="110" t="s">
        <v>947</v>
      </c>
      <c r="C199" s="222" t="s">
        <v>102</v>
      </c>
      <c r="D199" s="222" t="s">
        <v>102</v>
      </c>
      <c r="E199" s="222" t="s">
        <v>102</v>
      </c>
      <c r="F199" s="222" t="s">
        <v>102</v>
      </c>
      <c r="G199" s="222" t="s">
        <v>102</v>
      </c>
      <c r="H199" s="222" t="s">
        <v>102</v>
      </c>
      <c r="I199" s="222" t="s">
        <v>102</v>
      </c>
      <c r="J199" s="222" t="s">
        <v>102</v>
      </c>
      <c r="K199" s="222" t="s">
        <v>102</v>
      </c>
      <c r="L199" s="222" t="s">
        <v>102</v>
      </c>
    </row>
    <row r="200" spans="1:12">
      <c r="A200" s="211">
        <v>210406</v>
      </c>
      <c r="B200" s="110" t="s">
        <v>944</v>
      </c>
      <c r="C200" s="222" t="s">
        <v>102</v>
      </c>
      <c r="D200" s="222" t="s">
        <v>102</v>
      </c>
      <c r="E200" s="222" t="s">
        <v>102</v>
      </c>
      <c r="F200" s="222" t="s">
        <v>102</v>
      </c>
      <c r="G200" s="222" t="s">
        <v>102</v>
      </c>
      <c r="H200" s="222" t="s">
        <v>102</v>
      </c>
      <c r="I200" s="222" t="s">
        <v>102</v>
      </c>
      <c r="J200" s="222" t="s">
        <v>102</v>
      </c>
      <c r="K200" s="222" t="s">
        <v>102</v>
      </c>
      <c r="L200" s="222" t="s">
        <v>102</v>
      </c>
    </row>
    <row r="201" spans="1:12">
      <c r="A201" s="211">
        <v>210407</v>
      </c>
      <c r="B201" s="110" t="s">
        <v>945</v>
      </c>
      <c r="C201" s="222" t="s">
        <v>102</v>
      </c>
      <c r="D201" s="222" t="s">
        <v>102</v>
      </c>
      <c r="E201" s="222" t="s">
        <v>102</v>
      </c>
      <c r="F201" s="222" t="s">
        <v>102</v>
      </c>
      <c r="G201" s="222" t="s">
        <v>102</v>
      </c>
      <c r="H201" s="222" t="s">
        <v>102</v>
      </c>
      <c r="I201" s="222" t="s">
        <v>102</v>
      </c>
      <c r="J201" s="222" t="s">
        <v>102</v>
      </c>
      <c r="K201" s="222" t="s">
        <v>102</v>
      </c>
      <c r="L201" s="222" t="s">
        <v>102</v>
      </c>
    </row>
    <row r="202" spans="1:12">
      <c r="A202" s="211">
        <v>210408</v>
      </c>
      <c r="B202" s="110" t="s">
        <v>946</v>
      </c>
      <c r="C202" s="222" t="s">
        <v>102</v>
      </c>
      <c r="D202" s="222" t="s">
        <v>102</v>
      </c>
      <c r="E202" s="222" t="s">
        <v>102</v>
      </c>
      <c r="F202" s="222" t="s">
        <v>102</v>
      </c>
      <c r="G202" s="222" t="s">
        <v>102</v>
      </c>
      <c r="H202" s="222" t="s">
        <v>102</v>
      </c>
      <c r="I202" s="222" t="s">
        <v>102</v>
      </c>
      <c r="J202" s="222" t="s">
        <v>102</v>
      </c>
      <c r="K202" s="222" t="s">
        <v>102</v>
      </c>
      <c r="L202" s="222" t="s">
        <v>102</v>
      </c>
    </row>
    <row ht="25.5" r="203" spans="1:12">
      <c r="A203" s="211">
        <v>210409</v>
      </c>
      <c r="B203" s="110" t="s">
        <v>1058</v>
      </c>
      <c r="C203" s="222" t="s">
        <v>102</v>
      </c>
      <c r="D203" s="222" t="s">
        <v>102</v>
      </c>
      <c r="E203" s="222" t="s">
        <v>102</v>
      </c>
      <c r="F203" s="222" t="s">
        <v>102</v>
      </c>
      <c r="G203" s="222" t="s">
        <v>102</v>
      </c>
      <c r="H203" s="222" t="s">
        <v>102</v>
      </c>
      <c r="I203" s="222" t="s">
        <v>102</v>
      </c>
      <c r="J203" s="222" t="s">
        <v>102</v>
      </c>
      <c r="K203" s="222" t="s">
        <v>102</v>
      </c>
      <c r="L203" s="222" t="s">
        <v>102</v>
      </c>
    </row>
    <row r="204" spans="1:12">
      <c r="A204" s="109">
        <v>210410</v>
      </c>
      <c r="B204" s="110" t="s">
        <v>1059</v>
      </c>
      <c r="C204" s="222" t="s">
        <v>102</v>
      </c>
      <c r="D204" s="222" t="s">
        <v>102</v>
      </c>
      <c r="E204" s="222" t="s">
        <v>102</v>
      </c>
      <c r="F204" s="222" t="s">
        <v>102</v>
      </c>
      <c r="G204" s="222" t="s">
        <v>102</v>
      </c>
      <c r="H204" s="222" t="s">
        <v>102</v>
      </c>
      <c r="I204" s="222" t="s">
        <v>102</v>
      </c>
      <c r="J204" s="222" t="s">
        <v>102</v>
      </c>
      <c r="K204" s="222" t="s">
        <v>102</v>
      </c>
      <c r="L204" s="222" t="s">
        <v>102</v>
      </c>
    </row>
    <row r="205" spans="1:12">
      <c r="A205" s="109">
        <v>2105</v>
      </c>
      <c r="B205" s="110" t="s">
        <v>948</v>
      </c>
      <c r="C205" s="222" t="s">
        <v>102</v>
      </c>
      <c r="D205" s="222" t="s">
        <v>102</v>
      </c>
      <c r="E205" s="222" t="s">
        <v>102</v>
      </c>
      <c r="F205" s="222" t="s">
        <v>102</v>
      </c>
      <c r="G205" s="222" t="s">
        <v>102</v>
      </c>
      <c r="H205" s="222" t="s">
        <v>102</v>
      </c>
      <c r="I205" s="222" t="s">
        <v>102</v>
      </c>
      <c r="J205" s="222" t="s">
        <v>102</v>
      </c>
      <c r="K205" s="222" t="s">
        <v>102</v>
      </c>
      <c r="L205" s="222" t="s">
        <v>102</v>
      </c>
    </row>
    <row r="206" spans="1:12">
      <c r="A206" s="202">
        <v>210501</v>
      </c>
      <c r="B206" s="182" t="s">
        <v>949</v>
      </c>
      <c r="C206" s="172" t="s">
        <v>102</v>
      </c>
      <c r="D206" s="172" t="s">
        <v>102</v>
      </c>
      <c r="E206" s="172" t="s">
        <v>102</v>
      </c>
      <c r="F206" s="172" t="s">
        <v>102</v>
      </c>
      <c r="G206" s="172" t="s">
        <v>102</v>
      </c>
      <c r="H206" s="172" t="s">
        <v>102</v>
      </c>
      <c r="I206" s="172" t="s">
        <v>102</v>
      </c>
      <c r="J206" s="172" t="s">
        <v>102</v>
      </c>
      <c r="K206" s="172" t="s">
        <v>102</v>
      </c>
      <c r="L206" s="172" t="s">
        <v>102</v>
      </c>
    </row>
    <row r="207" spans="1:12">
      <c r="A207" s="211">
        <v>210502</v>
      </c>
      <c r="B207" s="110" t="s">
        <v>950</v>
      </c>
      <c r="C207" s="222" t="s">
        <v>102</v>
      </c>
      <c r="D207" s="222" t="s">
        <v>102</v>
      </c>
      <c r="E207" s="222" t="s">
        <v>102</v>
      </c>
      <c r="F207" s="222" t="s">
        <v>102</v>
      </c>
      <c r="G207" s="222" t="s">
        <v>102</v>
      </c>
      <c r="H207" s="222" t="s">
        <v>102</v>
      </c>
      <c r="I207" s="222" t="s">
        <v>102</v>
      </c>
      <c r="J207" s="222" t="s">
        <v>102</v>
      </c>
      <c r="K207" s="222" t="s">
        <v>102</v>
      </c>
      <c r="L207" s="222" t="s">
        <v>102</v>
      </c>
    </row>
    <row r="208" spans="1:12">
      <c r="A208" s="211">
        <v>210503</v>
      </c>
      <c r="B208" s="110" t="s">
        <v>951</v>
      </c>
      <c r="C208" s="222" t="s">
        <v>102</v>
      </c>
      <c r="D208" s="222" t="s">
        <v>102</v>
      </c>
      <c r="E208" s="222" t="s">
        <v>102</v>
      </c>
      <c r="F208" s="222" t="s">
        <v>102</v>
      </c>
      <c r="G208" s="222" t="s">
        <v>102</v>
      </c>
      <c r="H208" s="222" t="s">
        <v>102</v>
      </c>
      <c r="I208" s="222" t="s">
        <v>102</v>
      </c>
      <c r="J208" s="222" t="s">
        <v>102</v>
      </c>
      <c r="K208" s="222" t="s">
        <v>102</v>
      </c>
      <c r="L208" s="222" t="s">
        <v>102</v>
      </c>
    </row>
    <row r="209" spans="1:12">
      <c r="A209" s="211">
        <v>2106</v>
      </c>
      <c r="B209" s="110" t="s">
        <v>952</v>
      </c>
      <c r="C209" s="222" t="s">
        <v>102</v>
      </c>
      <c r="D209" s="222" t="s">
        <v>102</v>
      </c>
      <c r="E209" s="222" t="s">
        <v>102</v>
      </c>
      <c r="F209" s="222" t="s">
        <v>102</v>
      </c>
      <c r="G209" s="222" t="s">
        <v>102</v>
      </c>
      <c r="H209" s="222" t="s">
        <v>102</v>
      </c>
      <c r="I209" s="222" t="s">
        <v>102</v>
      </c>
      <c r="J209" s="222" t="s">
        <v>102</v>
      </c>
      <c r="K209" s="222" t="s">
        <v>102</v>
      </c>
      <c r="L209" s="222" t="s">
        <v>102</v>
      </c>
    </row>
    <row r="210" spans="1:12">
      <c r="A210" s="202">
        <v>210601</v>
      </c>
      <c r="B210" s="182" t="s">
        <v>953</v>
      </c>
      <c r="C210" s="172" t="s">
        <v>102</v>
      </c>
      <c r="D210" s="172" t="s">
        <v>102</v>
      </c>
      <c r="E210" s="172" t="s">
        <v>102</v>
      </c>
      <c r="F210" s="172" t="s">
        <v>102</v>
      </c>
      <c r="G210" s="172" t="s">
        <v>102</v>
      </c>
      <c r="H210" s="172" t="s">
        <v>102</v>
      </c>
      <c r="I210" s="172" t="s">
        <v>102</v>
      </c>
      <c r="J210" s="172" t="s">
        <v>102</v>
      </c>
      <c r="K210" s="172" t="s">
        <v>102</v>
      </c>
      <c r="L210" s="172" t="s">
        <v>102</v>
      </c>
    </row>
    <row r="211" spans="1:12">
      <c r="A211" s="211">
        <v>210602</v>
      </c>
      <c r="B211" s="110" t="s">
        <v>954</v>
      </c>
      <c r="C211" s="222" t="s">
        <v>102</v>
      </c>
      <c r="D211" s="222" t="s">
        <v>102</v>
      </c>
      <c r="E211" s="222" t="s">
        <v>102</v>
      </c>
      <c r="F211" s="222" t="s">
        <v>102</v>
      </c>
      <c r="G211" s="222" t="s">
        <v>102</v>
      </c>
      <c r="H211" s="222" t="s">
        <v>102</v>
      </c>
      <c r="I211" s="222" t="s">
        <v>102</v>
      </c>
      <c r="J211" s="222" t="s">
        <v>102</v>
      </c>
      <c r="K211" s="222" t="s">
        <v>102</v>
      </c>
      <c r="L211" s="222" t="s">
        <v>102</v>
      </c>
    </row>
    <row r="212" spans="1:12">
      <c r="A212" s="211">
        <v>210603</v>
      </c>
      <c r="B212" s="110" t="s">
        <v>955</v>
      </c>
      <c r="C212" s="222" t="s">
        <v>102</v>
      </c>
      <c r="D212" s="222" t="s">
        <v>102</v>
      </c>
      <c r="E212" s="222" t="s">
        <v>102</v>
      </c>
      <c r="F212" s="222" t="s">
        <v>102</v>
      </c>
      <c r="G212" s="222" t="s">
        <v>102</v>
      </c>
      <c r="H212" s="222" t="s">
        <v>102</v>
      </c>
      <c r="I212" s="222" t="s">
        <v>102</v>
      </c>
      <c r="J212" s="222" t="s">
        <v>102</v>
      </c>
      <c r="K212" s="222" t="s">
        <v>102</v>
      </c>
      <c r="L212" s="222" t="s">
        <v>102</v>
      </c>
    </row>
    <row r="213" spans="1:12">
      <c r="A213" s="211">
        <v>210604</v>
      </c>
      <c r="B213" s="110" t="s">
        <v>956</v>
      </c>
      <c r="C213" s="222" t="s">
        <v>102</v>
      </c>
      <c r="D213" s="222" t="s">
        <v>102</v>
      </c>
      <c r="E213" s="222" t="s">
        <v>102</v>
      </c>
      <c r="F213" s="222" t="s">
        <v>102</v>
      </c>
      <c r="G213" s="222" t="s">
        <v>102</v>
      </c>
      <c r="H213" s="222" t="s">
        <v>102</v>
      </c>
      <c r="I213" s="222" t="s">
        <v>102</v>
      </c>
      <c r="J213" s="222" t="s">
        <v>102</v>
      </c>
      <c r="K213" s="222" t="s">
        <v>102</v>
      </c>
      <c r="L213" s="222" t="s">
        <v>102</v>
      </c>
    </row>
    <row r="214" spans="1:12">
      <c r="A214" s="211">
        <v>2107</v>
      </c>
      <c r="B214" s="110" t="s">
        <v>957</v>
      </c>
      <c r="C214" s="222" t="s">
        <v>102</v>
      </c>
      <c r="D214" s="222" t="s">
        <v>102</v>
      </c>
      <c r="E214" s="222" t="s">
        <v>102</v>
      </c>
      <c r="F214" s="222" t="s">
        <v>102</v>
      </c>
      <c r="G214" s="222" t="s">
        <v>102</v>
      </c>
      <c r="H214" s="222" t="s">
        <v>102</v>
      </c>
      <c r="I214" s="222" t="s">
        <v>102</v>
      </c>
      <c r="J214" s="222" t="s">
        <v>102</v>
      </c>
      <c r="K214" s="222" t="s">
        <v>102</v>
      </c>
      <c r="L214" s="222" t="s">
        <v>102</v>
      </c>
    </row>
    <row r="215" spans="1:12">
      <c r="A215" s="199">
        <v>210701</v>
      </c>
      <c r="B215" s="182" t="s">
        <v>958</v>
      </c>
      <c r="C215" s="172" t="s">
        <v>102</v>
      </c>
      <c r="D215" s="172" t="s">
        <v>102</v>
      </c>
      <c r="E215" s="172" t="s">
        <v>102</v>
      </c>
      <c r="F215" s="172" t="s">
        <v>102</v>
      </c>
      <c r="G215" s="172" t="s">
        <v>102</v>
      </c>
      <c r="H215" s="172" t="s">
        <v>102</v>
      </c>
      <c r="I215" s="172" t="s">
        <v>102</v>
      </c>
      <c r="J215" s="172" t="s">
        <v>102</v>
      </c>
      <c r="K215" s="172" t="s">
        <v>102</v>
      </c>
      <c r="L215" s="172" t="s">
        <v>102</v>
      </c>
    </row>
    <row r="216" spans="1:12">
      <c r="A216" s="211">
        <v>210702</v>
      </c>
      <c r="B216" s="110" t="s">
        <v>959</v>
      </c>
      <c r="C216" s="222" t="s">
        <v>102</v>
      </c>
      <c r="D216" s="222" t="s">
        <v>102</v>
      </c>
      <c r="E216" s="222" t="s">
        <v>102</v>
      </c>
      <c r="F216" s="222" t="s">
        <v>102</v>
      </c>
      <c r="G216" s="222" t="s">
        <v>102</v>
      </c>
      <c r="H216" s="222" t="s">
        <v>102</v>
      </c>
      <c r="I216" s="222" t="s">
        <v>102</v>
      </c>
      <c r="J216" s="222" t="s">
        <v>102</v>
      </c>
      <c r="K216" s="222" t="s">
        <v>102</v>
      </c>
      <c r="L216" s="222" t="s">
        <v>102</v>
      </c>
    </row>
    <row r="217" spans="1:12">
      <c r="A217" s="211">
        <v>210703</v>
      </c>
      <c r="B217" s="110" t="s">
        <v>960</v>
      </c>
      <c r="C217" s="222" t="s">
        <v>102</v>
      </c>
      <c r="D217" s="222" t="s">
        <v>102</v>
      </c>
      <c r="E217" s="222" t="s">
        <v>102</v>
      </c>
      <c r="F217" s="222" t="s">
        <v>102</v>
      </c>
      <c r="G217" s="222" t="s">
        <v>102</v>
      </c>
      <c r="H217" s="222" t="s">
        <v>102</v>
      </c>
      <c r="I217" s="222" t="s">
        <v>102</v>
      </c>
      <c r="J217" s="222" t="s">
        <v>102</v>
      </c>
      <c r="K217" s="222" t="s">
        <v>102</v>
      </c>
      <c r="L217" s="222" t="s">
        <v>102</v>
      </c>
    </row>
    <row r="218" spans="1:12">
      <c r="A218" s="211">
        <v>2108</v>
      </c>
      <c r="B218" s="110" t="s">
        <v>961</v>
      </c>
      <c r="C218" s="222" t="s">
        <v>102</v>
      </c>
      <c r="D218" s="222" t="s">
        <v>102</v>
      </c>
      <c r="E218" s="222" t="s">
        <v>102</v>
      </c>
      <c r="F218" s="222" t="s">
        <v>102</v>
      </c>
      <c r="G218" s="222" t="s">
        <v>102</v>
      </c>
      <c r="H218" s="222" t="s">
        <v>102</v>
      </c>
      <c r="I218" s="222" t="s">
        <v>102</v>
      </c>
      <c r="J218" s="222" t="s">
        <v>102</v>
      </c>
      <c r="K218" s="222" t="s">
        <v>102</v>
      </c>
      <c r="L218" s="222" t="s">
        <v>102</v>
      </c>
    </row>
    <row ht="25.5" r="219" spans="1:12">
      <c r="A219" s="202">
        <v>210801</v>
      </c>
      <c r="B219" s="182" t="s">
        <v>962</v>
      </c>
      <c r="C219" s="172" t="s">
        <v>102</v>
      </c>
      <c r="D219" s="172" t="s">
        <v>102</v>
      </c>
      <c r="E219" s="172" t="s">
        <v>102</v>
      </c>
      <c r="F219" s="172" t="s">
        <v>102</v>
      </c>
      <c r="G219" s="172" t="s">
        <v>102</v>
      </c>
      <c r="H219" s="172" t="s">
        <v>102</v>
      </c>
      <c r="I219" s="172" t="s">
        <v>102</v>
      </c>
      <c r="J219" s="172" t="s">
        <v>102</v>
      </c>
      <c r="K219" s="172" t="s">
        <v>102</v>
      </c>
      <c r="L219" s="172" t="s">
        <v>102</v>
      </c>
    </row>
    <row r="220" spans="1:12">
      <c r="A220" s="211">
        <v>210802</v>
      </c>
      <c r="B220" s="110" t="s">
        <v>963</v>
      </c>
      <c r="C220" s="222" t="s">
        <v>102</v>
      </c>
      <c r="D220" s="222" t="s">
        <v>102</v>
      </c>
      <c r="E220" s="222" t="s">
        <v>102</v>
      </c>
      <c r="F220" s="222" t="s">
        <v>102</v>
      </c>
      <c r="G220" s="222" t="s">
        <v>102</v>
      </c>
      <c r="H220" s="222" t="s">
        <v>102</v>
      </c>
      <c r="I220" s="222" t="s">
        <v>102</v>
      </c>
      <c r="J220" s="222" t="s">
        <v>102</v>
      </c>
      <c r="K220" s="222" t="s">
        <v>102</v>
      </c>
      <c r="L220" s="222" t="s">
        <v>102</v>
      </c>
    </row>
    <row r="221" spans="1:12">
      <c r="A221" s="211">
        <v>210803</v>
      </c>
      <c r="B221" s="110" t="s">
        <v>964</v>
      </c>
      <c r="C221" s="222" t="s">
        <v>102</v>
      </c>
      <c r="D221" s="222" t="s">
        <v>102</v>
      </c>
      <c r="E221" s="222" t="s">
        <v>102</v>
      </c>
      <c r="F221" s="222" t="s">
        <v>102</v>
      </c>
      <c r="G221" s="222" t="s">
        <v>102</v>
      </c>
      <c r="H221" s="222" t="s">
        <v>102</v>
      </c>
      <c r="I221" s="222" t="s">
        <v>102</v>
      </c>
      <c r="J221" s="222" t="s">
        <v>102</v>
      </c>
      <c r="K221" s="222" t="s">
        <v>102</v>
      </c>
      <c r="L221" s="222" t="s">
        <v>102</v>
      </c>
    </row>
    <row r="222" spans="1:12">
      <c r="A222" s="211">
        <v>210804</v>
      </c>
      <c r="B222" s="110" t="s">
        <v>965</v>
      </c>
      <c r="C222" s="222" t="s">
        <v>102</v>
      </c>
      <c r="D222" s="222" t="s">
        <v>102</v>
      </c>
      <c r="E222" s="222" t="s">
        <v>102</v>
      </c>
      <c r="F222" s="222" t="s">
        <v>102</v>
      </c>
      <c r="G222" s="222" t="s">
        <v>102</v>
      </c>
      <c r="H222" s="222" t="s">
        <v>102</v>
      </c>
      <c r="I222" s="222" t="s">
        <v>102</v>
      </c>
      <c r="J222" s="222" t="s">
        <v>102</v>
      </c>
      <c r="K222" s="222" t="s">
        <v>102</v>
      </c>
      <c r="L222" s="222" t="s">
        <v>102</v>
      </c>
    </row>
    <row r="223" spans="1:12">
      <c r="A223" s="211">
        <v>210805</v>
      </c>
      <c r="B223" s="110" t="s">
        <v>966</v>
      </c>
      <c r="C223" s="222" t="s">
        <v>102</v>
      </c>
      <c r="D223" s="222" t="s">
        <v>102</v>
      </c>
      <c r="E223" s="222" t="s">
        <v>102</v>
      </c>
      <c r="F223" s="222" t="s">
        <v>102</v>
      </c>
      <c r="G223" s="222" t="s">
        <v>102</v>
      </c>
      <c r="H223" s="222" t="s">
        <v>102</v>
      </c>
      <c r="I223" s="222" t="s">
        <v>102</v>
      </c>
      <c r="J223" s="222" t="s">
        <v>102</v>
      </c>
      <c r="K223" s="222" t="s">
        <v>102</v>
      </c>
      <c r="L223" s="222" t="s">
        <v>102</v>
      </c>
    </row>
    <row r="224" spans="1:12">
      <c r="A224" s="211">
        <v>210806</v>
      </c>
      <c r="B224" s="110" t="s">
        <v>967</v>
      </c>
      <c r="C224" s="222" t="s">
        <v>102</v>
      </c>
      <c r="D224" s="222" t="s">
        <v>102</v>
      </c>
      <c r="E224" s="222" t="s">
        <v>102</v>
      </c>
      <c r="F224" s="222" t="s">
        <v>102</v>
      </c>
      <c r="G224" s="222" t="s">
        <v>102</v>
      </c>
      <c r="H224" s="222" t="s">
        <v>102</v>
      </c>
      <c r="I224" s="222" t="s">
        <v>102</v>
      </c>
      <c r="J224" s="222" t="s">
        <v>102</v>
      </c>
      <c r="K224" s="222" t="s">
        <v>102</v>
      </c>
      <c r="L224" s="222" t="s">
        <v>102</v>
      </c>
    </row>
    <row r="225" spans="1:12">
      <c r="A225" s="211">
        <v>210807</v>
      </c>
      <c r="B225" s="110" t="s">
        <v>296</v>
      </c>
      <c r="C225" s="222" t="s">
        <v>102</v>
      </c>
      <c r="D225" s="222" t="s">
        <v>102</v>
      </c>
      <c r="E225" s="222" t="s">
        <v>102</v>
      </c>
      <c r="F225" s="222" t="s">
        <v>102</v>
      </c>
      <c r="G225" s="222" t="s">
        <v>102</v>
      </c>
      <c r="H225" s="222" t="s">
        <v>102</v>
      </c>
      <c r="I225" s="222" t="s">
        <v>102</v>
      </c>
      <c r="J225" s="222" t="s">
        <v>102</v>
      </c>
      <c r="K225" s="222" t="s">
        <v>102</v>
      </c>
      <c r="L225" s="222" t="s">
        <v>102</v>
      </c>
    </row>
    <row r="226" spans="1:12">
      <c r="A226" s="211">
        <v>210808</v>
      </c>
      <c r="B226" s="110" t="s">
        <v>968</v>
      </c>
      <c r="C226" s="222" t="s">
        <v>102</v>
      </c>
      <c r="D226" s="222" t="s">
        <v>102</v>
      </c>
      <c r="E226" s="222" t="s">
        <v>102</v>
      </c>
      <c r="F226" s="222" t="s">
        <v>102</v>
      </c>
      <c r="G226" s="222" t="s">
        <v>102</v>
      </c>
      <c r="H226" s="222" t="s">
        <v>102</v>
      </c>
      <c r="I226" s="222" t="s">
        <v>102</v>
      </c>
      <c r="J226" s="222" t="s">
        <v>102</v>
      </c>
      <c r="K226" s="222" t="s">
        <v>102</v>
      </c>
      <c r="L226" s="222" t="s">
        <v>102</v>
      </c>
    </row>
    <row r="227" spans="1:12">
      <c r="A227" s="211">
        <v>210809</v>
      </c>
      <c r="B227" s="110" t="s">
        <v>969</v>
      </c>
      <c r="C227" s="222" t="s">
        <v>102</v>
      </c>
      <c r="D227" s="222" t="s">
        <v>102</v>
      </c>
      <c r="E227" s="222" t="s">
        <v>102</v>
      </c>
      <c r="F227" s="222" t="s">
        <v>102</v>
      </c>
      <c r="G227" s="222" t="s">
        <v>102</v>
      </c>
      <c r="H227" s="222" t="s">
        <v>102</v>
      </c>
      <c r="I227" s="222" t="s">
        <v>102</v>
      </c>
      <c r="J227" s="222" t="s">
        <v>102</v>
      </c>
      <c r="K227" s="222" t="s">
        <v>102</v>
      </c>
      <c r="L227" s="222" t="s">
        <v>102</v>
      </c>
    </row>
    <row r="228" spans="1:12">
      <c r="A228" s="211">
        <v>210810</v>
      </c>
      <c r="B228" s="110" t="s">
        <v>970</v>
      </c>
      <c r="C228" s="222" t="s">
        <v>102</v>
      </c>
      <c r="D228" s="222" t="s">
        <v>102</v>
      </c>
      <c r="E228" s="222" t="s">
        <v>102</v>
      </c>
      <c r="F228" s="222" t="s">
        <v>102</v>
      </c>
      <c r="G228" s="222" t="s">
        <v>102</v>
      </c>
      <c r="H228" s="222" t="s">
        <v>102</v>
      </c>
      <c r="I228" s="222" t="s">
        <v>102</v>
      </c>
      <c r="J228" s="222" t="s">
        <v>102</v>
      </c>
      <c r="K228" s="222" t="s">
        <v>102</v>
      </c>
      <c r="L228" s="222" t="s">
        <v>102</v>
      </c>
    </row>
    <row r="229" spans="1:12">
      <c r="A229" s="211">
        <v>210811</v>
      </c>
      <c r="B229" s="110" t="s">
        <v>971</v>
      </c>
      <c r="C229" s="222" t="s">
        <v>102</v>
      </c>
      <c r="D229" s="222" t="s">
        <v>102</v>
      </c>
      <c r="E229" s="222" t="s">
        <v>102</v>
      </c>
      <c r="F229" s="222" t="s">
        <v>102</v>
      </c>
      <c r="G229" s="222" t="s">
        <v>102</v>
      </c>
      <c r="H229" s="222" t="s">
        <v>102</v>
      </c>
      <c r="I229" s="222" t="s">
        <v>102</v>
      </c>
      <c r="J229" s="222" t="s">
        <v>102</v>
      </c>
      <c r="K229" s="222" t="s">
        <v>102</v>
      </c>
      <c r="L229" s="222" t="s">
        <v>102</v>
      </c>
    </row>
    <row r="230" spans="1:12">
      <c r="A230" s="211">
        <v>210812</v>
      </c>
      <c r="B230" s="110" t="s">
        <v>972</v>
      </c>
      <c r="C230" s="222" t="s">
        <v>102</v>
      </c>
      <c r="D230" s="222" t="s">
        <v>102</v>
      </c>
      <c r="E230" s="222" t="s">
        <v>102</v>
      </c>
      <c r="F230" s="222" t="s">
        <v>102</v>
      </c>
      <c r="G230" s="222" t="s">
        <v>102</v>
      </c>
      <c r="H230" s="222" t="s">
        <v>102</v>
      </c>
      <c r="I230" s="222" t="s">
        <v>102</v>
      </c>
      <c r="J230" s="222" t="s">
        <v>102</v>
      </c>
      <c r="K230" s="222" t="s">
        <v>102</v>
      </c>
      <c r="L230" s="222" t="s">
        <v>102</v>
      </c>
    </row>
    <row r="231" spans="1:12">
      <c r="A231" s="211">
        <v>210813</v>
      </c>
      <c r="B231" s="110" t="s">
        <v>973</v>
      </c>
      <c r="C231" s="222" t="s">
        <v>102</v>
      </c>
      <c r="D231" s="222" t="s">
        <v>102</v>
      </c>
      <c r="E231" s="222" t="s">
        <v>102</v>
      </c>
      <c r="F231" s="222" t="s">
        <v>102</v>
      </c>
      <c r="G231" s="222" t="s">
        <v>102</v>
      </c>
      <c r="H231" s="222" t="s">
        <v>102</v>
      </c>
      <c r="I231" s="222" t="s">
        <v>102</v>
      </c>
      <c r="J231" s="222" t="s">
        <v>102</v>
      </c>
      <c r="K231" s="222" t="s">
        <v>102</v>
      </c>
      <c r="L231" s="222" t="s">
        <v>102</v>
      </c>
    </row>
    <row r="232" spans="1:12">
      <c r="A232" s="211">
        <v>210814</v>
      </c>
      <c r="B232" s="110" t="s">
        <v>974</v>
      </c>
      <c r="C232" s="222" t="s">
        <v>102</v>
      </c>
      <c r="D232" s="222" t="s">
        <v>102</v>
      </c>
      <c r="E232" s="222" t="s">
        <v>102</v>
      </c>
      <c r="F232" s="222" t="s">
        <v>102</v>
      </c>
      <c r="G232" s="222" t="s">
        <v>102</v>
      </c>
      <c r="H232" s="222" t="s">
        <v>102</v>
      </c>
      <c r="I232" s="222" t="s">
        <v>102</v>
      </c>
      <c r="J232" s="222" t="s">
        <v>102</v>
      </c>
      <c r="K232" s="222" t="s">
        <v>102</v>
      </c>
      <c r="L232" s="222" t="s">
        <v>102</v>
      </c>
    </row>
    <row r="233" spans="1:12">
      <c r="A233" s="211">
        <v>210815</v>
      </c>
      <c r="B233" s="110" t="s">
        <v>1060</v>
      </c>
      <c r="C233" s="222" t="s">
        <v>102</v>
      </c>
      <c r="D233" s="222" t="s">
        <v>102</v>
      </c>
      <c r="E233" s="222" t="s">
        <v>102</v>
      </c>
      <c r="F233" s="222" t="s">
        <v>102</v>
      </c>
      <c r="G233" s="222" t="s">
        <v>102</v>
      </c>
      <c r="H233" s="222" t="s">
        <v>102</v>
      </c>
      <c r="I233" s="222" t="s">
        <v>102</v>
      </c>
      <c r="J233" s="222" t="s">
        <v>102</v>
      </c>
      <c r="K233" s="222" t="s">
        <v>102</v>
      </c>
      <c r="L233" s="222" t="s">
        <v>102</v>
      </c>
    </row>
    <row r="234" spans="1:12">
      <c r="A234" s="109">
        <v>210816</v>
      </c>
      <c r="B234" s="110" t="s">
        <v>1061</v>
      </c>
      <c r="C234" s="222" t="s">
        <v>102</v>
      </c>
      <c r="D234" s="222" t="s">
        <v>102</v>
      </c>
      <c r="E234" s="222" t="s">
        <v>102</v>
      </c>
      <c r="F234" s="222" t="s">
        <v>102</v>
      </c>
      <c r="G234" s="222" t="s">
        <v>102</v>
      </c>
      <c r="H234" s="222" t="s">
        <v>102</v>
      </c>
      <c r="I234" s="222" t="s">
        <v>102</v>
      </c>
      <c r="J234" s="222" t="s">
        <v>102</v>
      </c>
      <c r="K234" s="222" t="s">
        <v>102</v>
      </c>
      <c r="L234" s="222" t="s">
        <v>102</v>
      </c>
    </row>
    <row r="235" spans="1:12">
      <c r="A235" s="109">
        <v>210817</v>
      </c>
      <c r="B235" s="110" t="s">
        <v>1062</v>
      </c>
      <c r="C235" s="222" t="s">
        <v>102</v>
      </c>
      <c r="D235" s="222" t="s">
        <v>102</v>
      </c>
      <c r="E235" s="222" t="s">
        <v>102</v>
      </c>
      <c r="F235" s="222" t="s">
        <v>102</v>
      </c>
      <c r="G235" s="222" t="s">
        <v>102</v>
      </c>
      <c r="H235" s="222" t="s">
        <v>102</v>
      </c>
      <c r="I235" s="222" t="s">
        <v>102</v>
      </c>
      <c r="J235" s="222" t="s">
        <v>102</v>
      </c>
      <c r="K235" s="222" t="s">
        <v>102</v>
      </c>
      <c r="L235" s="222" t="s">
        <v>102</v>
      </c>
    </row>
    <row r="236" spans="1:12">
      <c r="A236" s="109">
        <v>210818</v>
      </c>
      <c r="B236" s="110" t="s">
        <v>1063</v>
      </c>
      <c r="C236" s="222" t="s">
        <v>102</v>
      </c>
      <c r="D236" s="222" t="s">
        <v>102</v>
      </c>
      <c r="E236" s="222" t="s">
        <v>102</v>
      </c>
      <c r="F236" s="222" t="s">
        <v>102</v>
      </c>
      <c r="G236" s="222" t="s">
        <v>102</v>
      </c>
      <c r="H236" s="222" t="s">
        <v>102</v>
      </c>
      <c r="I236" s="222" t="s">
        <v>102</v>
      </c>
      <c r="J236" s="222" t="s">
        <v>102</v>
      </c>
      <c r="K236" s="222" t="s">
        <v>102</v>
      </c>
      <c r="L236" s="222" t="s">
        <v>102</v>
      </c>
    </row>
    <row r="237" spans="1:12">
      <c r="A237" s="109">
        <v>2109</v>
      </c>
      <c r="B237" s="110" t="s">
        <v>975</v>
      </c>
      <c r="C237" s="222" t="s">
        <v>102</v>
      </c>
      <c r="D237" s="222" t="s">
        <v>102</v>
      </c>
      <c r="E237" s="222" t="s">
        <v>102</v>
      </c>
      <c r="F237" s="222" t="s">
        <v>102</v>
      </c>
      <c r="G237" s="222" t="s">
        <v>102</v>
      </c>
      <c r="H237" s="222" t="s">
        <v>102</v>
      </c>
      <c r="I237" s="222" t="s">
        <v>102</v>
      </c>
      <c r="J237" s="222" t="s">
        <v>102</v>
      </c>
      <c r="K237" s="222" t="s">
        <v>102</v>
      </c>
      <c r="L237" s="222" t="s">
        <v>102</v>
      </c>
    </row>
    <row r="238" spans="1:12">
      <c r="A238" s="202">
        <v>210901</v>
      </c>
      <c r="B238" s="182" t="s">
        <v>378</v>
      </c>
      <c r="C238" s="172" t="s">
        <v>102</v>
      </c>
      <c r="D238" s="172" t="s">
        <v>102</v>
      </c>
      <c r="E238" s="172" t="s">
        <v>102</v>
      </c>
      <c r="F238" s="172" t="s">
        <v>102</v>
      </c>
      <c r="G238" s="172" t="s">
        <v>102</v>
      </c>
      <c r="H238" s="172" t="s">
        <v>102</v>
      </c>
      <c r="I238" s="172" t="s">
        <v>102</v>
      </c>
      <c r="J238" s="172" t="s">
        <v>102</v>
      </c>
      <c r="K238" s="172" t="s">
        <v>102</v>
      </c>
      <c r="L238" s="172" t="s">
        <v>102</v>
      </c>
    </row>
    <row r="239" spans="1:12">
      <c r="A239" s="211">
        <v>210902</v>
      </c>
      <c r="B239" s="110" t="s">
        <v>976</v>
      </c>
      <c r="C239" s="222" t="s">
        <v>102</v>
      </c>
      <c r="D239" s="222" t="s">
        <v>102</v>
      </c>
      <c r="E239" s="222" t="s">
        <v>102</v>
      </c>
      <c r="F239" s="222" t="s">
        <v>102</v>
      </c>
      <c r="G239" s="222" t="s">
        <v>102</v>
      </c>
      <c r="H239" s="222" t="s">
        <v>102</v>
      </c>
      <c r="I239" s="222" t="s">
        <v>102</v>
      </c>
      <c r="J239" s="222" t="s">
        <v>102</v>
      </c>
      <c r="K239" s="222" t="s">
        <v>102</v>
      </c>
      <c r="L239" s="222" t="s">
        <v>102</v>
      </c>
    </row>
    <row r="240" spans="1:12">
      <c r="A240" s="211">
        <v>210903</v>
      </c>
      <c r="B240" s="110" t="s">
        <v>977</v>
      </c>
      <c r="C240" s="222" t="s">
        <v>102</v>
      </c>
      <c r="D240" s="222" t="s">
        <v>102</v>
      </c>
      <c r="E240" s="222" t="s">
        <v>102</v>
      </c>
      <c r="F240" s="222" t="s">
        <v>102</v>
      </c>
      <c r="G240" s="222" t="s">
        <v>102</v>
      </c>
      <c r="H240" s="222" t="s">
        <v>102</v>
      </c>
      <c r="I240" s="222" t="s">
        <v>102</v>
      </c>
      <c r="J240" s="222" t="s">
        <v>102</v>
      </c>
      <c r="K240" s="222" t="s">
        <v>102</v>
      </c>
      <c r="L240" s="222" t="s">
        <v>102</v>
      </c>
    </row>
    <row r="241" spans="1:12">
      <c r="A241" s="211">
        <v>210904</v>
      </c>
      <c r="B241" s="110" t="s">
        <v>978</v>
      </c>
      <c r="C241" s="222" t="s">
        <v>102</v>
      </c>
      <c r="D241" s="222" t="s">
        <v>102</v>
      </c>
      <c r="E241" s="222" t="s">
        <v>102</v>
      </c>
      <c r="F241" s="222" t="s">
        <v>102</v>
      </c>
      <c r="G241" s="222" t="s">
        <v>102</v>
      </c>
      <c r="H241" s="222" t="s">
        <v>102</v>
      </c>
      <c r="I241" s="222" t="s">
        <v>102</v>
      </c>
      <c r="J241" s="222" t="s">
        <v>102</v>
      </c>
      <c r="K241" s="222" t="s">
        <v>102</v>
      </c>
      <c r="L241" s="222" t="s">
        <v>102</v>
      </c>
    </row>
    <row r="242" spans="1:12">
      <c r="A242" s="161">
        <v>211</v>
      </c>
      <c r="B242" s="223" t="s">
        <v>979</v>
      </c>
      <c r="C242" s="222" t="s">
        <v>102</v>
      </c>
      <c r="D242" s="222" t="s">
        <v>102</v>
      </c>
      <c r="E242" s="222" t="s">
        <v>102</v>
      </c>
      <c r="F242" s="222" t="s">
        <v>102</v>
      </c>
      <c r="G242" s="222" t="s">
        <v>102</v>
      </c>
      <c r="H242" s="222" t="s">
        <v>102</v>
      </c>
      <c r="I242" s="222" t="s">
        <v>102</v>
      </c>
      <c r="J242" s="222" t="s">
        <v>102</v>
      </c>
      <c r="K242" s="222" t="s">
        <v>102</v>
      </c>
      <c r="L242" s="222" t="s">
        <v>102</v>
      </c>
    </row>
    <row r="243" spans="1:12">
      <c r="A243" s="202">
        <v>2111</v>
      </c>
      <c r="B243" s="182" t="s">
        <v>980</v>
      </c>
      <c r="C243" s="172" t="s">
        <v>102</v>
      </c>
      <c r="D243" s="172" t="s">
        <v>102</v>
      </c>
      <c r="E243" s="172" t="s">
        <v>102</v>
      </c>
      <c r="F243" s="172" t="s">
        <v>102</v>
      </c>
      <c r="G243" s="172" t="s">
        <v>102</v>
      </c>
      <c r="H243" s="172" t="s">
        <v>102</v>
      </c>
      <c r="I243" s="172" t="s">
        <v>102</v>
      </c>
      <c r="J243" s="172" t="s">
        <v>102</v>
      </c>
      <c r="K243" s="172" t="s">
        <v>102</v>
      </c>
      <c r="L243" s="172" t="s">
        <v>102</v>
      </c>
    </row>
    <row r="244" spans="1:12">
      <c r="A244" s="202">
        <v>211101</v>
      </c>
      <c r="B244" s="182" t="s">
        <v>981</v>
      </c>
      <c r="C244" s="172" t="s">
        <v>102</v>
      </c>
      <c r="D244" s="172" t="s">
        <v>102</v>
      </c>
      <c r="E244" s="172" t="s">
        <v>102</v>
      </c>
      <c r="F244" s="172" t="s">
        <v>102</v>
      </c>
      <c r="G244" s="172" t="s">
        <v>102</v>
      </c>
      <c r="H244" s="172" t="s">
        <v>102</v>
      </c>
      <c r="I244" s="172" t="s">
        <v>102</v>
      </c>
      <c r="J244" s="172" t="s">
        <v>102</v>
      </c>
      <c r="K244" s="172" t="s">
        <v>102</v>
      </c>
      <c r="L244" s="172" t="s">
        <v>102</v>
      </c>
    </row>
    <row r="245" spans="1:12">
      <c r="A245" s="211">
        <v>2112</v>
      </c>
      <c r="B245" s="110" t="s">
        <v>982</v>
      </c>
      <c r="C245" s="222" t="s">
        <v>102</v>
      </c>
      <c r="D245" s="222" t="s">
        <v>102</v>
      </c>
      <c r="E245" s="222" t="s">
        <v>102</v>
      </c>
      <c r="F245" s="222" t="s">
        <v>102</v>
      </c>
      <c r="G245" s="222" t="s">
        <v>102</v>
      </c>
      <c r="H245" s="222" t="s">
        <v>102</v>
      </c>
      <c r="I245" s="222" t="s">
        <v>102</v>
      </c>
      <c r="J245" s="222" t="s">
        <v>102</v>
      </c>
      <c r="K245" s="222" t="s">
        <v>102</v>
      </c>
      <c r="L245" s="222" t="s">
        <v>102</v>
      </c>
    </row>
    <row r="246" spans="1:12">
      <c r="A246" s="202">
        <v>211201</v>
      </c>
      <c r="B246" s="182" t="s">
        <v>983</v>
      </c>
      <c r="C246" s="172" t="s">
        <v>102</v>
      </c>
      <c r="D246" s="172" t="s">
        <v>102</v>
      </c>
      <c r="E246" s="172" t="s">
        <v>102</v>
      </c>
      <c r="F246" s="172" t="s">
        <v>102</v>
      </c>
      <c r="G246" s="172" t="s">
        <v>102</v>
      </c>
      <c r="H246" s="172" t="s">
        <v>102</v>
      </c>
      <c r="I246" s="172" t="s">
        <v>102</v>
      </c>
      <c r="J246" s="172" t="s">
        <v>102</v>
      </c>
      <c r="K246" s="172" t="s">
        <v>102</v>
      </c>
      <c r="L246" s="172" t="s">
        <v>102</v>
      </c>
    </row>
    <row r="247" spans="1:12">
      <c r="A247" s="211">
        <v>212</v>
      </c>
      <c r="B247" s="110" t="s">
        <v>984</v>
      </c>
      <c r="C247" s="222" t="s">
        <v>102</v>
      </c>
      <c r="D247" s="222" t="s">
        <v>102</v>
      </c>
      <c r="E247" s="222" t="s">
        <v>102</v>
      </c>
      <c r="F247" s="222" t="s">
        <v>102</v>
      </c>
      <c r="G247" s="222" t="s">
        <v>102</v>
      </c>
      <c r="H247" s="222" t="s">
        <v>102</v>
      </c>
      <c r="I247" s="222" t="s">
        <v>102</v>
      </c>
      <c r="J247" s="222" t="s">
        <v>102</v>
      </c>
      <c r="K247" s="222" t="s">
        <v>102</v>
      </c>
      <c r="L247" s="222" t="s">
        <v>102</v>
      </c>
    </row>
    <row r="248" spans="1:12">
      <c r="A248" s="202">
        <v>2121</v>
      </c>
      <c r="B248" s="182" t="s">
        <v>985</v>
      </c>
      <c r="C248" s="172" t="s">
        <v>102</v>
      </c>
      <c r="D248" s="172" t="s">
        <v>102</v>
      </c>
      <c r="E248" s="172" t="s">
        <v>102</v>
      </c>
      <c r="F248" s="172" t="s">
        <v>102</v>
      </c>
      <c r="G248" s="172" t="s">
        <v>102</v>
      </c>
      <c r="H248" s="172" t="s">
        <v>102</v>
      </c>
      <c r="I248" s="172" t="s">
        <v>102</v>
      </c>
      <c r="J248" s="172" t="s">
        <v>102</v>
      </c>
      <c r="K248" s="172" t="s">
        <v>102</v>
      </c>
      <c r="L248" s="172" t="s">
        <v>102</v>
      </c>
    </row>
    <row r="249" spans="1:12">
      <c r="A249" s="202">
        <v>212101</v>
      </c>
      <c r="B249" s="182" t="s">
        <v>395</v>
      </c>
      <c r="C249" s="172" t="s">
        <v>102</v>
      </c>
      <c r="D249" s="172" t="s">
        <v>102</v>
      </c>
      <c r="E249" s="172" t="s">
        <v>102</v>
      </c>
      <c r="F249" s="172" t="s">
        <v>102</v>
      </c>
      <c r="G249" s="172" t="s">
        <v>102</v>
      </c>
      <c r="H249" s="172" t="s">
        <v>102</v>
      </c>
      <c r="I249" s="172" t="s">
        <v>102</v>
      </c>
      <c r="J249" s="172" t="s">
        <v>102</v>
      </c>
      <c r="K249" s="172" t="s">
        <v>102</v>
      </c>
      <c r="L249" s="172" t="s">
        <v>102</v>
      </c>
    </row>
    <row r="250" spans="1:12">
      <c r="A250" s="211">
        <v>2122</v>
      </c>
      <c r="B250" s="110" t="s">
        <v>986</v>
      </c>
      <c r="C250" s="222" t="s">
        <v>102</v>
      </c>
      <c r="D250" s="222" t="s">
        <v>102</v>
      </c>
      <c r="E250" s="222" t="s">
        <v>102</v>
      </c>
      <c r="F250" s="222" t="s">
        <v>102</v>
      </c>
      <c r="G250" s="222" t="s">
        <v>102</v>
      </c>
      <c r="H250" s="222" t="s">
        <v>102</v>
      </c>
      <c r="I250" s="222" t="s">
        <v>102</v>
      </c>
      <c r="J250" s="222" t="s">
        <v>102</v>
      </c>
      <c r="K250" s="222" t="s">
        <v>102</v>
      </c>
      <c r="L250" s="222" t="s">
        <v>102</v>
      </c>
    </row>
    <row r="251" spans="1:12">
      <c r="A251" s="202">
        <v>212201</v>
      </c>
      <c r="B251" s="182" t="s">
        <v>399</v>
      </c>
      <c r="C251" s="172" t="s">
        <v>102</v>
      </c>
      <c r="D251" s="172" t="s">
        <v>102</v>
      </c>
      <c r="E251" s="172" t="s">
        <v>102</v>
      </c>
      <c r="F251" s="172" t="s">
        <v>102</v>
      </c>
      <c r="G251" s="172" t="s">
        <v>102</v>
      </c>
      <c r="H251" s="172" t="s">
        <v>102</v>
      </c>
      <c r="I251" s="172" t="s">
        <v>102</v>
      </c>
      <c r="J251" s="172" t="s">
        <v>102</v>
      </c>
      <c r="K251" s="172" t="s">
        <v>102</v>
      </c>
      <c r="L251" s="172" t="s">
        <v>102</v>
      </c>
    </row>
    <row r="252" spans="1:12">
      <c r="A252" s="211">
        <v>213</v>
      </c>
      <c r="B252" s="110" t="s">
        <v>987</v>
      </c>
      <c r="C252" s="222" t="s">
        <v>102</v>
      </c>
      <c r="D252" s="222" t="s">
        <v>102</v>
      </c>
      <c r="E252" s="222" t="s">
        <v>102</v>
      </c>
      <c r="F252" s="222" t="s">
        <v>102</v>
      </c>
      <c r="G252" s="222" t="s">
        <v>102</v>
      </c>
      <c r="H252" s="222" t="s">
        <v>102</v>
      </c>
      <c r="I252" s="222" t="s">
        <v>102</v>
      </c>
      <c r="J252" s="222" t="s">
        <v>102</v>
      </c>
      <c r="K252" s="222" t="s">
        <v>102</v>
      </c>
      <c r="L252" s="222" t="s">
        <v>102</v>
      </c>
    </row>
    <row r="253" spans="1:12">
      <c r="A253" s="202">
        <v>2131</v>
      </c>
      <c r="B253" s="182" t="s">
        <v>988</v>
      </c>
      <c r="C253" s="172" t="s">
        <v>102</v>
      </c>
      <c r="D253" s="172" t="s">
        <v>102</v>
      </c>
      <c r="E253" s="172" t="s">
        <v>102</v>
      </c>
      <c r="F253" s="172" t="s">
        <v>102</v>
      </c>
      <c r="G253" s="172" t="s">
        <v>102</v>
      </c>
      <c r="H253" s="172" t="s">
        <v>102</v>
      </c>
      <c r="I253" s="172" t="s">
        <v>102</v>
      </c>
      <c r="J253" s="172" t="s">
        <v>102</v>
      </c>
      <c r="K253" s="172" t="s">
        <v>102</v>
      </c>
      <c r="L253" s="172" t="s">
        <v>102</v>
      </c>
    </row>
    <row r="254" spans="1:12">
      <c r="A254" s="202">
        <v>213101</v>
      </c>
      <c r="B254" s="182" t="s">
        <v>990</v>
      </c>
      <c r="C254" s="172" t="s">
        <v>102</v>
      </c>
      <c r="D254" s="172" t="s">
        <v>102</v>
      </c>
      <c r="E254" s="172" t="s">
        <v>102</v>
      </c>
      <c r="F254" s="172" t="s">
        <v>102</v>
      </c>
      <c r="G254" s="172" t="s">
        <v>102</v>
      </c>
      <c r="H254" s="172" t="s">
        <v>102</v>
      </c>
      <c r="I254" s="172" t="s">
        <v>102</v>
      </c>
      <c r="J254" s="172" t="s">
        <v>102</v>
      </c>
      <c r="K254" s="172" t="s">
        <v>102</v>
      </c>
      <c r="L254" s="172" t="s">
        <v>102</v>
      </c>
    </row>
    <row r="255" spans="1:12">
      <c r="A255" s="211">
        <v>213102</v>
      </c>
      <c r="B255" s="110" t="s">
        <v>991</v>
      </c>
      <c r="C255" s="222" t="s">
        <v>102</v>
      </c>
      <c r="D255" s="222" t="s">
        <v>102</v>
      </c>
      <c r="E255" s="222" t="s">
        <v>102</v>
      </c>
      <c r="F255" s="222" t="s">
        <v>102</v>
      </c>
      <c r="G255" s="222" t="s">
        <v>102</v>
      </c>
      <c r="H255" s="222" t="s">
        <v>102</v>
      </c>
      <c r="I255" s="222" t="s">
        <v>102</v>
      </c>
      <c r="J255" s="222" t="s">
        <v>102</v>
      </c>
      <c r="K255" s="222" t="s">
        <v>102</v>
      </c>
      <c r="L255" s="222" t="s">
        <v>102</v>
      </c>
    </row>
    <row r="256" spans="1:12">
      <c r="A256" s="211">
        <v>2132</v>
      </c>
      <c r="B256" s="110" t="s">
        <v>989</v>
      </c>
      <c r="C256" s="222" t="s">
        <v>102</v>
      </c>
      <c r="D256" s="222" t="s">
        <v>102</v>
      </c>
      <c r="E256" s="222" t="s">
        <v>102</v>
      </c>
      <c r="F256" s="222" t="s">
        <v>102</v>
      </c>
      <c r="G256" s="222" t="s">
        <v>102</v>
      </c>
      <c r="H256" s="222" t="s">
        <v>102</v>
      </c>
      <c r="I256" s="222" t="s">
        <v>102</v>
      </c>
      <c r="J256" s="222" t="s">
        <v>102</v>
      </c>
      <c r="K256" s="222" t="s">
        <v>102</v>
      </c>
      <c r="L256" s="222" t="s">
        <v>102</v>
      </c>
    </row>
    <row r="257" spans="1:12">
      <c r="A257" s="202">
        <v>213202</v>
      </c>
      <c r="B257" s="182" t="s">
        <v>992</v>
      </c>
      <c r="C257" s="172" t="s">
        <v>102</v>
      </c>
      <c r="D257" s="172" t="s">
        <v>102</v>
      </c>
      <c r="E257" s="172" t="s">
        <v>102</v>
      </c>
      <c r="F257" s="172" t="s">
        <v>102</v>
      </c>
      <c r="G257" s="172" t="s">
        <v>102</v>
      </c>
      <c r="H257" s="172" t="s">
        <v>102</v>
      </c>
      <c r="I257" s="172" t="s">
        <v>102</v>
      </c>
      <c r="J257" s="172" t="s">
        <v>102</v>
      </c>
      <c r="K257" s="172" t="s">
        <v>102</v>
      </c>
      <c r="L257" s="172" t="s">
        <v>102</v>
      </c>
    </row>
    <row r="258" spans="1:12">
      <c r="A258" s="211">
        <v>213203</v>
      </c>
      <c r="B258" s="110" t="s">
        <v>993</v>
      </c>
      <c r="C258" s="222" t="s">
        <v>102</v>
      </c>
      <c r="D258" s="222" t="s">
        <v>102</v>
      </c>
      <c r="E258" s="222" t="s">
        <v>102</v>
      </c>
      <c r="F258" s="222" t="s">
        <v>102</v>
      </c>
      <c r="G258" s="222" t="s">
        <v>102</v>
      </c>
      <c r="H258" s="222" t="s">
        <v>102</v>
      </c>
      <c r="I258" s="222" t="s">
        <v>102</v>
      </c>
      <c r="J258" s="222" t="s">
        <v>102</v>
      </c>
      <c r="K258" s="222" t="s">
        <v>102</v>
      </c>
      <c r="L258" s="222" t="s">
        <v>102</v>
      </c>
    </row>
    <row r="259" spans="1:12">
      <c r="A259" s="211">
        <v>213204</v>
      </c>
      <c r="B259" s="110" t="s">
        <v>994</v>
      </c>
      <c r="C259" s="222" t="s">
        <v>102</v>
      </c>
      <c r="D259" s="222" t="s">
        <v>102</v>
      </c>
      <c r="E259" s="222" t="s">
        <v>102</v>
      </c>
      <c r="F259" s="222" t="s">
        <v>102</v>
      </c>
      <c r="G259" s="222" t="s">
        <v>102</v>
      </c>
      <c r="H259" s="222" t="s">
        <v>102</v>
      </c>
      <c r="I259" s="222" t="s">
        <v>102</v>
      </c>
      <c r="J259" s="222" t="s">
        <v>102</v>
      </c>
      <c r="K259" s="222" t="s">
        <v>102</v>
      </c>
      <c r="L259" s="222" t="s">
        <v>102</v>
      </c>
    </row>
    <row r="260" spans="1:12">
      <c r="A260" s="211">
        <v>213205</v>
      </c>
      <c r="B260" s="110" t="s">
        <v>995</v>
      </c>
      <c r="C260" s="222" t="s">
        <v>102</v>
      </c>
      <c r="D260" s="222" t="s">
        <v>102</v>
      </c>
      <c r="E260" s="222" t="s">
        <v>102</v>
      </c>
      <c r="F260" s="222" t="s">
        <v>102</v>
      </c>
      <c r="G260" s="222" t="s">
        <v>102</v>
      </c>
      <c r="H260" s="222" t="s">
        <v>102</v>
      </c>
      <c r="I260" s="222" t="s">
        <v>102</v>
      </c>
      <c r="J260" s="222" t="s">
        <v>102</v>
      </c>
      <c r="K260" s="222" t="s">
        <v>102</v>
      </c>
      <c r="L260" s="222" t="s">
        <v>102</v>
      </c>
    </row>
    <row r="261" spans="1:12">
      <c r="A261" s="211">
        <v>213206</v>
      </c>
      <c r="B261" s="110" t="s">
        <v>996</v>
      </c>
      <c r="C261" s="222" t="s">
        <v>102</v>
      </c>
      <c r="D261" s="222" t="s">
        <v>102</v>
      </c>
      <c r="E261" s="222" t="s">
        <v>102</v>
      </c>
      <c r="F261" s="222" t="s">
        <v>102</v>
      </c>
      <c r="G261" s="222" t="s">
        <v>102</v>
      </c>
      <c r="H261" s="222" t="s">
        <v>102</v>
      </c>
      <c r="I261" s="222" t="s">
        <v>102</v>
      </c>
      <c r="J261" s="222" t="s">
        <v>102</v>
      </c>
      <c r="K261" s="222" t="s">
        <v>102</v>
      </c>
      <c r="L261" s="222" t="s">
        <v>102</v>
      </c>
    </row>
    <row r="262" spans="1:12">
      <c r="A262" s="211">
        <v>213207</v>
      </c>
      <c r="B262" s="110" t="s">
        <v>997</v>
      </c>
      <c r="C262" s="222" t="s">
        <v>102</v>
      </c>
      <c r="D262" s="222" t="s">
        <v>102</v>
      </c>
      <c r="E262" s="222" t="s">
        <v>102</v>
      </c>
      <c r="F262" s="222" t="s">
        <v>102</v>
      </c>
      <c r="G262" s="222" t="s">
        <v>102</v>
      </c>
      <c r="H262" s="222" t="s">
        <v>102</v>
      </c>
      <c r="I262" s="222" t="s">
        <v>102</v>
      </c>
      <c r="J262" s="222" t="s">
        <v>102</v>
      </c>
      <c r="K262" s="222" t="s">
        <v>102</v>
      </c>
      <c r="L262" s="222" t="s">
        <v>102</v>
      </c>
    </row>
    <row ht="25.5" r="263" spans="1:12">
      <c r="A263" s="211">
        <v>213208</v>
      </c>
      <c r="B263" s="110" t="s">
        <v>998</v>
      </c>
      <c r="C263" s="222" t="s">
        <v>102</v>
      </c>
      <c r="D263" s="222" t="s">
        <v>102</v>
      </c>
      <c r="E263" s="222" t="s">
        <v>102</v>
      </c>
      <c r="F263" s="222" t="s">
        <v>102</v>
      </c>
      <c r="G263" s="222" t="s">
        <v>102</v>
      </c>
      <c r="H263" s="222" t="s">
        <v>102</v>
      </c>
      <c r="I263" s="222" t="s">
        <v>102</v>
      </c>
      <c r="J263" s="222" t="s">
        <v>102</v>
      </c>
      <c r="K263" s="222" t="s">
        <v>102</v>
      </c>
      <c r="L263" s="222" t="s">
        <v>102</v>
      </c>
    </row>
    <row r="264" spans="1:12">
      <c r="A264" s="211">
        <v>213209</v>
      </c>
      <c r="B264" s="110" t="s">
        <v>999</v>
      </c>
      <c r="C264" s="222" t="s">
        <v>102</v>
      </c>
      <c r="D264" s="222" t="s">
        <v>102</v>
      </c>
      <c r="E264" s="222" t="s">
        <v>102</v>
      </c>
      <c r="F264" s="222" t="s">
        <v>102</v>
      </c>
      <c r="G264" s="222" t="s">
        <v>102</v>
      </c>
      <c r="H264" s="222" t="s">
        <v>102</v>
      </c>
      <c r="I264" s="222" t="s">
        <v>102</v>
      </c>
      <c r="J264" s="222" t="s">
        <v>102</v>
      </c>
      <c r="K264" s="222" t="s">
        <v>102</v>
      </c>
      <c r="L264" s="222" t="s">
        <v>102</v>
      </c>
    </row>
    <row r="265" spans="1:12">
      <c r="A265" s="211">
        <v>2133</v>
      </c>
      <c r="B265" s="110" t="s">
        <v>1000</v>
      </c>
      <c r="C265" s="222" t="s">
        <v>102</v>
      </c>
      <c r="D265" s="222" t="s">
        <v>102</v>
      </c>
      <c r="E265" s="222" t="s">
        <v>102</v>
      </c>
      <c r="F265" s="222" t="s">
        <v>102</v>
      </c>
      <c r="G265" s="222" t="s">
        <v>102</v>
      </c>
      <c r="H265" s="222" t="s">
        <v>102</v>
      </c>
      <c r="I265" s="222" t="s">
        <v>102</v>
      </c>
      <c r="J265" s="222" t="s">
        <v>102</v>
      </c>
      <c r="K265" s="222" t="s">
        <v>102</v>
      </c>
      <c r="L265" s="222" t="s">
        <v>102</v>
      </c>
    </row>
    <row r="266" spans="1:12">
      <c r="A266" s="202">
        <v>213301</v>
      </c>
      <c r="B266" s="182" t="s">
        <v>1003</v>
      </c>
      <c r="C266" s="172" t="s">
        <v>102</v>
      </c>
      <c r="D266" s="172" t="s">
        <v>102</v>
      </c>
      <c r="E266" s="172" t="s">
        <v>102</v>
      </c>
      <c r="F266" s="172" t="s">
        <v>102</v>
      </c>
      <c r="G266" s="172" t="s">
        <v>102</v>
      </c>
      <c r="H266" s="172" t="s">
        <v>102</v>
      </c>
      <c r="I266" s="172" t="s">
        <v>102</v>
      </c>
      <c r="J266" s="172" t="s">
        <v>102</v>
      </c>
      <c r="K266" s="172" t="s">
        <v>102</v>
      </c>
      <c r="L266" s="172" t="s">
        <v>102</v>
      </c>
    </row>
    <row r="267" spans="1:12">
      <c r="A267" s="211">
        <v>213302</v>
      </c>
      <c r="B267" s="110" t="s">
        <v>1002</v>
      </c>
      <c r="C267" s="222" t="s">
        <v>102</v>
      </c>
      <c r="D267" s="222" t="s">
        <v>102</v>
      </c>
      <c r="E267" s="222" t="s">
        <v>102</v>
      </c>
      <c r="F267" s="222" t="s">
        <v>102</v>
      </c>
      <c r="G267" s="222" t="s">
        <v>102</v>
      </c>
      <c r="H267" s="222" t="s">
        <v>102</v>
      </c>
      <c r="I267" s="222" t="s">
        <v>102</v>
      </c>
      <c r="J267" s="222" t="s">
        <v>102</v>
      </c>
      <c r="K267" s="222" t="s">
        <v>102</v>
      </c>
      <c r="L267" s="222" t="s">
        <v>102</v>
      </c>
    </row>
    <row r="268" spans="1:12">
      <c r="A268" s="211">
        <v>213303</v>
      </c>
      <c r="B268" s="110" t="s">
        <v>1004</v>
      </c>
      <c r="C268" s="222" t="s">
        <v>102</v>
      </c>
      <c r="D268" s="222" t="s">
        <v>102</v>
      </c>
      <c r="E268" s="222" t="s">
        <v>102</v>
      </c>
      <c r="F268" s="222" t="s">
        <v>102</v>
      </c>
      <c r="G268" s="222" t="s">
        <v>102</v>
      </c>
      <c r="H268" s="222" t="s">
        <v>102</v>
      </c>
      <c r="I268" s="222" t="s">
        <v>102</v>
      </c>
      <c r="J268" s="222" t="s">
        <v>102</v>
      </c>
      <c r="K268" s="222" t="s">
        <v>102</v>
      </c>
      <c r="L268" s="222" t="s">
        <v>102</v>
      </c>
    </row>
    <row r="269" spans="1:12">
      <c r="A269" s="211">
        <v>213304</v>
      </c>
      <c r="B269" s="110" t="s">
        <v>1005</v>
      </c>
      <c r="C269" s="222" t="s">
        <v>102</v>
      </c>
      <c r="D269" s="222" t="s">
        <v>102</v>
      </c>
      <c r="E269" s="222" t="s">
        <v>102</v>
      </c>
      <c r="F269" s="222" t="s">
        <v>102</v>
      </c>
      <c r="G269" s="222" t="s">
        <v>102</v>
      </c>
      <c r="H269" s="222" t="s">
        <v>102</v>
      </c>
      <c r="I269" s="222" t="s">
        <v>102</v>
      </c>
      <c r="J269" s="222" t="s">
        <v>102</v>
      </c>
      <c r="K269" s="222" t="s">
        <v>102</v>
      </c>
      <c r="L269" s="222" t="s">
        <v>102</v>
      </c>
    </row>
    <row ht="25.5" r="270" spans="1:12">
      <c r="A270" s="211">
        <v>2134</v>
      </c>
      <c r="B270" s="110" t="s">
        <v>1006</v>
      </c>
      <c r="C270" s="222" t="s">
        <v>102</v>
      </c>
      <c r="D270" s="222" t="s">
        <v>102</v>
      </c>
      <c r="E270" s="222" t="s">
        <v>102</v>
      </c>
      <c r="F270" s="222" t="s">
        <v>102</v>
      </c>
      <c r="G270" s="222" t="s">
        <v>102</v>
      </c>
      <c r="H270" s="222" t="s">
        <v>102</v>
      </c>
      <c r="I270" s="222" t="s">
        <v>102</v>
      </c>
      <c r="J270" s="222" t="s">
        <v>102</v>
      </c>
      <c r="K270" s="222" t="s">
        <v>102</v>
      </c>
      <c r="L270" s="222" t="s">
        <v>102</v>
      </c>
    </row>
    <row r="271" spans="1:12">
      <c r="A271" s="202">
        <v>213401</v>
      </c>
      <c r="B271" s="182" t="s">
        <v>1007</v>
      </c>
      <c r="C271" s="172" t="s">
        <v>102</v>
      </c>
      <c r="D271" s="172" t="s">
        <v>102</v>
      </c>
      <c r="E271" s="172" t="s">
        <v>102</v>
      </c>
      <c r="F271" s="172" t="s">
        <v>102</v>
      </c>
      <c r="G271" s="172" t="s">
        <v>102</v>
      </c>
      <c r="H271" s="172" t="s">
        <v>102</v>
      </c>
      <c r="I271" s="172" t="s">
        <v>102</v>
      </c>
      <c r="J271" s="172" t="s">
        <v>102</v>
      </c>
      <c r="K271" s="172" t="s">
        <v>102</v>
      </c>
      <c r="L271" s="172" t="s">
        <v>102</v>
      </c>
    </row>
    <row r="272" spans="1:12">
      <c r="A272" s="211">
        <v>213402</v>
      </c>
      <c r="B272" s="110" t="s">
        <v>1008</v>
      </c>
      <c r="C272" s="222" t="s">
        <v>102</v>
      </c>
      <c r="D272" s="222" t="s">
        <v>102</v>
      </c>
      <c r="E272" s="222" t="s">
        <v>102</v>
      </c>
      <c r="F272" s="222" t="s">
        <v>102</v>
      </c>
      <c r="G272" s="222" t="s">
        <v>102</v>
      </c>
      <c r="H272" s="222" t="s">
        <v>102</v>
      </c>
      <c r="I272" s="222" t="s">
        <v>102</v>
      </c>
      <c r="J272" s="222" t="s">
        <v>102</v>
      </c>
      <c r="K272" s="222" t="s">
        <v>102</v>
      </c>
      <c r="L272" s="222" t="s">
        <v>102</v>
      </c>
    </row>
    <row r="273" spans="1:12">
      <c r="A273" s="211">
        <v>213403</v>
      </c>
      <c r="B273" s="110" t="s">
        <v>1004</v>
      </c>
      <c r="C273" s="222" t="s">
        <v>102</v>
      </c>
      <c r="D273" s="222" t="s">
        <v>102</v>
      </c>
      <c r="E273" s="222" t="s">
        <v>102</v>
      </c>
      <c r="F273" s="222" t="s">
        <v>102</v>
      </c>
      <c r="G273" s="222" t="s">
        <v>102</v>
      </c>
      <c r="H273" s="222" t="s">
        <v>102</v>
      </c>
      <c r="I273" s="222" t="s">
        <v>102</v>
      </c>
      <c r="J273" s="222" t="s">
        <v>102</v>
      </c>
      <c r="K273" s="222" t="s">
        <v>102</v>
      </c>
      <c r="L273" s="222" t="s">
        <v>102</v>
      </c>
    </row>
    <row r="274" spans="1:12">
      <c r="A274" s="211">
        <v>213404</v>
      </c>
      <c r="B274" s="110" t="s">
        <v>1005</v>
      </c>
      <c r="C274" s="222" t="s">
        <v>102</v>
      </c>
      <c r="D274" s="222" t="s">
        <v>102</v>
      </c>
      <c r="E274" s="222" t="s">
        <v>102</v>
      </c>
      <c r="F274" s="222" t="s">
        <v>102</v>
      </c>
      <c r="G274" s="222" t="s">
        <v>102</v>
      </c>
      <c r="H274" s="222" t="s">
        <v>102</v>
      </c>
      <c r="I274" s="222" t="s">
        <v>102</v>
      </c>
      <c r="J274" s="222" t="s">
        <v>102</v>
      </c>
      <c r="K274" s="222" t="s">
        <v>102</v>
      </c>
      <c r="L274" s="222" t="s">
        <v>102</v>
      </c>
    </row>
    <row r="275" spans="1:12">
      <c r="A275" s="211">
        <v>2135</v>
      </c>
      <c r="B275" s="110" t="s">
        <v>1009</v>
      </c>
      <c r="C275" s="222" t="s">
        <v>102</v>
      </c>
      <c r="D275" s="222" t="s">
        <v>102</v>
      </c>
      <c r="E275" s="222" t="s">
        <v>102</v>
      </c>
      <c r="F275" s="222" t="s">
        <v>102</v>
      </c>
      <c r="G275" s="222" t="s">
        <v>102</v>
      </c>
      <c r="H275" s="222" t="s">
        <v>102</v>
      </c>
      <c r="I275" s="222" t="s">
        <v>102</v>
      </c>
      <c r="J275" s="222" t="s">
        <v>102</v>
      </c>
      <c r="K275" s="222" t="s">
        <v>102</v>
      </c>
      <c r="L275" s="222" t="s">
        <v>102</v>
      </c>
    </row>
    <row r="276" spans="1:12">
      <c r="A276" s="202">
        <v>213501</v>
      </c>
      <c r="B276" s="182" t="s">
        <v>1001</v>
      </c>
      <c r="C276" s="172" t="s">
        <v>102</v>
      </c>
      <c r="D276" s="172" t="s">
        <v>102</v>
      </c>
      <c r="E276" s="172" t="s">
        <v>102</v>
      </c>
      <c r="F276" s="172" t="s">
        <v>102</v>
      </c>
      <c r="G276" s="172" t="s">
        <v>102</v>
      </c>
      <c r="H276" s="172" t="s">
        <v>102</v>
      </c>
      <c r="I276" s="172" t="s">
        <v>102</v>
      </c>
      <c r="J276" s="172" t="s">
        <v>102</v>
      </c>
      <c r="K276" s="172" t="s">
        <v>102</v>
      </c>
      <c r="L276" s="172" t="s">
        <v>102</v>
      </c>
    </row>
    <row r="277" spans="1:12">
      <c r="A277" s="211">
        <v>213502</v>
      </c>
      <c r="B277" s="110" t="s">
        <v>1010</v>
      </c>
      <c r="C277" s="222" t="s">
        <v>102</v>
      </c>
      <c r="D277" s="222" t="s">
        <v>102</v>
      </c>
      <c r="E277" s="222" t="s">
        <v>102</v>
      </c>
      <c r="F277" s="222" t="s">
        <v>102</v>
      </c>
      <c r="G277" s="222" t="s">
        <v>102</v>
      </c>
      <c r="H277" s="222" t="s">
        <v>102</v>
      </c>
      <c r="I277" s="222" t="s">
        <v>102</v>
      </c>
      <c r="J277" s="222" t="s">
        <v>102</v>
      </c>
      <c r="K277" s="222" t="s">
        <v>102</v>
      </c>
      <c r="L277" s="222" t="s">
        <v>102</v>
      </c>
    </row>
    <row r="278" spans="1:12">
      <c r="A278" s="211">
        <v>213503</v>
      </c>
      <c r="B278" s="110" t="s">
        <v>1011</v>
      </c>
      <c r="C278" s="222" t="s">
        <v>102</v>
      </c>
      <c r="D278" s="222" t="s">
        <v>102</v>
      </c>
      <c r="E278" s="222" t="s">
        <v>102</v>
      </c>
      <c r="F278" s="222" t="s">
        <v>102</v>
      </c>
      <c r="G278" s="222" t="s">
        <v>102</v>
      </c>
      <c r="H278" s="222" t="s">
        <v>102</v>
      </c>
      <c r="I278" s="222" t="s">
        <v>102</v>
      </c>
      <c r="J278" s="222" t="s">
        <v>102</v>
      </c>
      <c r="K278" s="222" t="s">
        <v>102</v>
      </c>
      <c r="L278" s="222" t="s">
        <v>102</v>
      </c>
    </row>
    <row r="279" spans="1:12">
      <c r="A279" s="211">
        <v>213504</v>
      </c>
      <c r="B279" s="110" t="s">
        <v>1012</v>
      </c>
      <c r="C279" s="222" t="s">
        <v>102</v>
      </c>
      <c r="D279" s="222" t="s">
        <v>102</v>
      </c>
      <c r="E279" s="222" t="s">
        <v>102</v>
      </c>
      <c r="F279" s="222" t="s">
        <v>102</v>
      </c>
      <c r="G279" s="222" t="s">
        <v>102</v>
      </c>
      <c r="H279" s="222" t="s">
        <v>102</v>
      </c>
      <c r="I279" s="222" t="s">
        <v>102</v>
      </c>
      <c r="J279" s="222" t="s">
        <v>102</v>
      </c>
      <c r="K279" s="222" t="s">
        <v>102</v>
      </c>
      <c r="L279" s="222" t="s">
        <v>102</v>
      </c>
    </row>
    <row r="280" spans="1:12">
      <c r="A280" s="211">
        <v>213505</v>
      </c>
      <c r="B280" s="110" t="s">
        <v>1013</v>
      </c>
      <c r="C280" s="222" t="s">
        <v>102</v>
      </c>
      <c r="D280" s="222" t="s">
        <v>102</v>
      </c>
      <c r="E280" s="222" t="s">
        <v>102</v>
      </c>
      <c r="F280" s="222" t="s">
        <v>102</v>
      </c>
      <c r="G280" s="222" t="s">
        <v>102</v>
      </c>
      <c r="H280" s="222" t="s">
        <v>102</v>
      </c>
      <c r="I280" s="222" t="s">
        <v>102</v>
      </c>
      <c r="J280" s="222" t="s">
        <v>102</v>
      </c>
      <c r="K280" s="222" t="s">
        <v>102</v>
      </c>
      <c r="L280" s="222" t="s">
        <v>102</v>
      </c>
    </row>
    <row r="281" spans="1:12">
      <c r="A281" s="211">
        <v>22</v>
      </c>
      <c r="B281" s="110" t="s">
        <v>1014</v>
      </c>
      <c r="C281" s="222" t="s">
        <v>102</v>
      </c>
      <c r="D281" s="222" t="s">
        <v>102</v>
      </c>
      <c r="E281" s="222" t="s">
        <v>102</v>
      </c>
      <c r="F281" s="222" t="s">
        <v>102</v>
      </c>
      <c r="G281" s="222" t="s">
        <v>102</v>
      </c>
      <c r="H281" s="222" t="s">
        <v>102</v>
      </c>
      <c r="I281" s="222" t="s">
        <v>102</v>
      </c>
      <c r="J281" s="222" t="s">
        <v>102</v>
      </c>
      <c r="K281" s="222" t="s">
        <v>102</v>
      </c>
      <c r="L281" s="222" t="s">
        <v>102</v>
      </c>
    </row>
    <row r="282" spans="1:12">
      <c r="A282" s="202">
        <v>2200</v>
      </c>
      <c r="B282" s="182" t="s">
        <v>1015</v>
      </c>
      <c r="C282" s="172" t="s">
        <v>102</v>
      </c>
      <c r="D282" s="172" t="s">
        <v>102</v>
      </c>
      <c r="E282" s="172" t="s">
        <v>102</v>
      </c>
      <c r="F282" s="172" t="s">
        <v>102</v>
      </c>
      <c r="G282" s="172" t="s">
        <v>102</v>
      </c>
      <c r="H282" s="172" t="s">
        <v>102</v>
      </c>
      <c r="I282" s="172" t="s">
        <v>102</v>
      </c>
      <c r="J282" s="172" t="s">
        <v>102</v>
      </c>
      <c r="K282" s="172" t="s">
        <v>102</v>
      </c>
      <c r="L282" s="172" t="s">
        <v>102</v>
      </c>
    </row>
    <row r="283" spans="1:12">
      <c r="A283" s="202">
        <v>220001</v>
      </c>
      <c r="B283" s="182" t="s">
        <v>1016</v>
      </c>
      <c r="C283" s="172" t="s">
        <v>102</v>
      </c>
      <c r="D283" s="172" t="s">
        <v>102</v>
      </c>
      <c r="E283" s="172" t="s">
        <v>102</v>
      </c>
      <c r="F283" s="172" t="s">
        <v>102</v>
      </c>
      <c r="G283" s="172" t="s">
        <v>102</v>
      </c>
      <c r="H283" s="172" t="s">
        <v>102</v>
      </c>
      <c r="I283" s="172" t="s">
        <v>102</v>
      </c>
      <c r="J283" s="172" t="s">
        <v>102</v>
      </c>
      <c r="K283" s="172" t="s">
        <v>102</v>
      </c>
      <c r="L283" s="172" t="s">
        <v>102</v>
      </c>
    </row>
    <row r="284" spans="1:12">
      <c r="A284" s="211">
        <v>221001</v>
      </c>
      <c r="B284" s="110" t="s">
        <v>1017</v>
      </c>
      <c r="C284" s="222" t="s">
        <v>102</v>
      </c>
      <c r="D284" s="222" t="s">
        <v>102</v>
      </c>
      <c r="E284" s="222" t="s">
        <v>102</v>
      </c>
      <c r="F284" s="222" t="s">
        <v>102</v>
      </c>
      <c r="G284" s="222" t="s">
        <v>102</v>
      </c>
      <c r="H284" s="222" t="s">
        <v>102</v>
      </c>
      <c r="I284" s="222" t="s">
        <v>102</v>
      </c>
      <c r="J284" s="222" t="s">
        <v>102</v>
      </c>
      <c r="K284" s="222" t="s">
        <v>102</v>
      </c>
      <c r="L284" s="222" t="s">
        <v>102</v>
      </c>
    </row>
    <row r="285" spans="1:12">
      <c r="A285" s="211">
        <v>222001</v>
      </c>
      <c r="B285" s="110" t="s">
        <v>1018</v>
      </c>
      <c r="C285" s="222" t="s">
        <v>102</v>
      </c>
      <c r="D285" s="222" t="s">
        <v>102</v>
      </c>
      <c r="E285" s="222" t="s">
        <v>102</v>
      </c>
      <c r="F285" s="222" t="s">
        <v>102</v>
      </c>
      <c r="G285" s="222" t="s">
        <v>102</v>
      </c>
      <c r="H285" s="222" t="s">
        <v>102</v>
      </c>
      <c r="I285" s="222" t="s">
        <v>102</v>
      </c>
      <c r="J285" s="222" t="s">
        <v>102</v>
      </c>
      <c r="K285" s="222" t="s">
        <v>102</v>
      </c>
      <c r="L285" s="222" t="s">
        <v>102</v>
      </c>
    </row>
    <row r="286" spans="1:12">
      <c r="A286" s="211">
        <v>223001</v>
      </c>
      <c r="B286" s="110" t="s">
        <v>1019</v>
      </c>
      <c r="C286" s="222" t="s">
        <v>102</v>
      </c>
      <c r="D286" s="222" t="s">
        <v>102</v>
      </c>
      <c r="E286" s="222" t="s">
        <v>102</v>
      </c>
      <c r="F286" s="222" t="s">
        <v>102</v>
      </c>
      <c r="G286" s="222" t="s">
        <v>102</v>
      </c>
      <c r="H286" s="222" t="s">
        <v>102</v>
      </c>
      <c r="I286" s="222" t="s">
        <v>102</v>
      </c>
      <c r="J286" s="222" t="s">
        <v>102</v>
      </c>
      <c r="K286" s="222" t="s">
        <v>102</v>
      </c>
      <c r="L286" s="222" t="s">
        <v>102</v>
      </c>
    </row>
    <row r="287" spans="1:12">
      <c r="A287" s="211">
        <v>224001</v>
      </c>
      <c r="B287" s="110" t="s">
        <v>1020</v>
      </c>
      <c r="C287" s="222" t="s">
        <v>102</v>
      </c>
      <c r="D287" s="222" t="s">
        <v>102</v>
      </c>
      <c r="E287" s="222" t="s">
        <v>102</v>
      </c>
      <c r="F287" s="222" t="s">
        <v>102</v>
      </c>
      <c r="G287" s="222" t="s">
        <v>102</v>
      </c>
      <c r="H287" s="222" t="s">
        <v>102</v>
      </c>
      <c r="I287" s="222" t="s">
        <v>102</v>
      </c>
      <c r="J287" s="222" t="s">
        <v>102</v>
      </c>
      <c r="K287" s="222" t="s">
        <v>102</v>
      </c>
      <c r="L287" s="222" t="s">
        <v>102</v>
      </c>
    </row>
    <row r="288" spans="1:12">
      <c r="A288" s="211">
        <v>225</v>
      </c>
      <c r="B288" s="110" t="s">
        <v>447</v>
      </c>
      <c r="C288" s="222" t="s">
        <v>102</v>
      </c>
      <c r="D288" s="222" t="s">
        <v>102</v>
      </c>
      <c r="E288" s="222" t="s">
        <v>102</v>
      </c>
      <c r="F288" s="222" t="s">
        <v>102</v>
      </c>
      <c r="G288" s="222" t="s">
        <v>102</v>
      </c>
      <c r="H288" s="222" t="s">
        <v>102</v>
      </c>
      <c r="I288" s="222" t="s">
        <v>102</v>
      </c>
      <c r="J288" s="222" t="s">
        <v>102</v>
      </c>
      <c r="K288" s="222" t="s">
        <v>102</v>
      </c>
      <c r="L288" s="222" t="s">
        <v>102</v>
      </c>
    </row>
    <row r="289" spans="1:12">
      <c r="A289" s="199">
        <v>225001</v>
      </c>
      <c r="B289" s="182" t="s">
        <v>1026</v>
      </c>
      <c r="C289" s="172" t="s">
        <v>102</v>
      </c>
      <c r="D289" s="172" t="s">
        <v>102</v>
      </c>
      <c r="E289" s="172" t="s">
        <v>102</v>
      </c>
      <c r="F289" s="172" t="s">
        <v>102</v>
      </c>
      <c r="G289" s="172" t="s">
        <v>102</v>
      </c>
      <c r="H289" s="172" t="s">
        <v>102</v>
      </c>
      <c r="I289" s="172" t="s">
        <v>102</v>
      </c>
      <c r="J289" s="172" t="s">
        <v>102</v>
      </c>
      <c r="K289" s="172" t="s">
        <v>102</v>
      </c>
      <c r="L289" s="172" t="s">
        <v>102</v>
      </c>
    </row>
    <row r="290" spans="1:12">
      <c r="A290" s="211">
        <v>225002</v>
      </c>
      <c r="B290" s="110" t="s">
        <v>1027</v>
      </c>
      <c r="C290" s="222" t="s">
        <v>102</v>
      </c>
      <c r="D290" s="222" t="s">
        <v>102</v>
      </c>
      <c r="E290" s="222" t="s">
        <v>102</v>
      </c>
      <c r="F290" s="222" t="s">
        <v>102</v>
      </c>
      <c r="G290" s="222" t="s">
        <v>102</v>
      </c>
      <c r="H290" s="222" t="s">
        <v>102</v>
      </c>
      <c r="I290" s="222" t="s">
        <v>102</v>
      </c>
      <c r="J290" s="222" t="s">
        <v>102</v>
      </c>
      <c r="K290" s="222" t="s">
        <v>102</v>
      </c>
      <c r="L290" s="222" t="s">
        <v>102</v>
      </c>
    </row>
    <row r="291" spans="1:12">
      <c r="A291" s="211">
        <v>225003</v>
      </c>
      <c r="B291" s="110" t="s">
        <v>1028</v>
      </c>
      <c r="C291" s="222" t="s">
        <v>102</v>
      </c>
      <c r="D291" s="222" t="s">
        <v>102</v>
      </c>
      <c r="E291" s="222" t="s">
        <v>102</v>
      </c>
      <c r="F291" s="222" t="s">
        <v>102</v>
      </c>
      <c r="G291" s="222" t="s">
        <v>102</v>
      </c>
      <c r="H291" s="222" t="s">
        <v>102</v>
      </c>
      <c r="I291" s="222" t="s">
        <v>102</v>
      </c>
      <c r="J291" s="222" t="s">
        <v>102</v>
      </c>
      <c r="K291" s="222" t="s">
        <v>102</v>
      </c>
      <c r="L291" s="222" t="s">
        <v>102</v>
      </c>
    </row>
    <row r="292" spans="1:12">
      <c r="A292" s="211">
        <v>225004</v>
      </c>
      <c r="B292" s="110" t="s">
        <v>1029</v>
      </c>
      <c r="C292" s="222" t="s">
        <v>102</v>
      </c>
      <c r="D292" s="222" t="s">
        <v>102</v>
      </c>
      <c r="E292" s="222" t="s">
        <v>102</v>
      </c>
      <c r="F292" s="222" t="s">
        <v>102</v>
      </c>
      <c r="G292" s="222" t="s">
        <v>102</v>
      </c>
      <c r="H292" s="222" t="s">
        <v>102</v>
      </c>
      <c r="I292" s="222" t="s">
        <v>102</v>
      </c>
      <c r="J292" s="222" t="s">
        <v>102</v>
      </c>
      <c r="K292" s="222" t="s">
        <v>102</v>
      </c>
      <c r="L292" s="222" t="s">
        <v>102</v>
      </c>
    </row>
    <row r="293" spans="1:12">
      <c r="A293" s="211">
        <v>225005</v>
      </c>
      <c r="B293" s="110" t="s">
        <v>1030</v>
      </c>
      <c r="C293" s="222" t="s">
        <v>102</v>
      </c>
      <c r="D293" s="222" t="s">
        <v>102</v>
      </c>
      <c r="E293" s="222" t="s">
        <v>102</v>
      </c>
      <c r="F293" s="222" t="s">
        <v>102</v>
      </c>
      <c r="G293" s="222" t="s">
        <v>102</v>
      </c>
      <c r="H293" s="222" t="s">
        <v>102</v>
      </c>
      <c r="I293" s="222" t="s">
        <v>102</v>
      </c>
      <c r="J293" s="222" t="s">
        <v>102</v>
      </c>
      <c r="K293" s="222" t="s">
        <v>102</v>
      </c>
      <c r="L293" s="222" t="s">
        <v>102</v>
      </c>
    </row>
    <row r="294" spans="1:12">
      <c r="A294" s="211">
        <v>225006</v>
      </c>
      <c r="B294" s="110" t="s">
        <v>1031</v>
      </c>
      <c r="C294" s="222" t="s">
        <v>102</v>
      </c>
      <c r="D294" s="222" t="s">
        <v>102</v>
      </c>
      <c r="E294" s="222" t="s">
        <v>102</v>
      </c>
      <c r="F294" s="222" t="s">
        <v>102</v>
      </c>
      <c r="G294" s="222" t="s">
        <v>102</v>
      </c>
      <c r="H294" s="222" t="s">
        <v>102</v>
      </c>
      <c r="I294" s="222" t="s">
        <v>102</v>
      </c>
      <c r="J294" s="222" t="s">
        <v>102</v>
      </c>
      <c r="K294" s="222" t="s">
        <v>102</v>
      </c>
      <c r="L294" s="222" t="s">
        <v>102</v>
      </c>
    </row>
    <row r="295" spans="1:12">
      <c r="A295" s="211">
        <v>225007</v>
      </c>
      <c r="B295" s="110" t="s">
        <v>1032</v>
      </c>
      <c r="C295" s="222" t="s">
        <v>102</v>
      </c>
      <c r="D295" s="222" t="s">
        <v>102</v>
      </c>
      <c r="E295" s="222" t="s">
        <v>102</v>
      </c>
      <c r="F295" s="222" t="s">
        <v>102</v>
      </c>
      <c r="G295" s="222" t="s">
        <v>102</v>
      </c>
      <c r="H295" s="222" t="s">
        <v>102</v>
      </c>
      <c r="I295" s="222" t="s">
        <v>102</v>
      </c>
      <c r="J295" s="222" t="s">
        <v>102</v>
      </c>
      <c r="K295" s="222" t="s">
        <v>102</v>
      </c>
      <c r="L295" s="222" t="s">
        <v>102</v>
      </c>
    </row>
    <row r="296" spans="1:12">
      <c r="A296" s="211">
        <v>225008</v>
      </c>
      <c r="B296" s="110" t="s">
        <v>1033</v>
      </c>
      <c r="C296" s="222" t="s">
        <v>102</v>
      </c>
      <c r="D296" s="222" t="s">
        <v>102</v>
      </c>
      <c r="E296" s="222" t="s">
        <v>102</v>
      </c>
      <c r="F296" s="222" t="s">
        <v>102</v>
      </c>
      <c r="G296" s="222" t="s">
        <v>102</v>
      </c>
      <c r="H296" s="222" t="s">
        <v>102</v>
      </c>
      <c r="I296" s="222" t="s">
        <v>102</v>
      </c>
      <c r="J296" s="222" t="s">
        <v>102</v>
      </c>
      <c r="K296" s="222" t="s">
        <v>102</v>
      </c>
      <c r="L296" s="222" t="s">
        <v>102</v>
      </c>
    </row>
    <row r="297" spans="1:12">
      <c r="A297" s="211">
        <v>225009</v>
      </c>
      <c r="B297" s="110" t="s">
        <v>1034</v>
      </c>
      <c r="C297" s="222" t="s">
        <v>102</v>
      </c>
      <c r="D297" s="222" t="s">
        <v>102</v>
      </c>
      <c r="E297" s="222" t="s">
        <v>102</v>
      </c>
      <c r="F297" s="222" t="s">
        <v>102</v>
      </c>
      <c r="G297" s="222" t="s">
        <v>102</v>
      </c>
      <c r="H297" s="222" t="s">
        <v>102</v>
      </c>
      <c r="I297" s="222" t="s">
        <v>102</v>
      </c>
      <c r="J297" s="222" t="s">
        <v>102</v>
      </c>
      <c r="K297" s="222" t="s">
        <v>102</v>
      </c>
      <c r="L297" s="222" t="s">
        <v>102</v>
      </c>
    </row>
    <row r="298" spans="1:12">
      <c r="A298" s="211">
        <v>225101</v>
      </c>
      <c r="B298" s="110" t="s">
        <v>1077</v>
      </c>
      <c r="C298" s="222" t="s">
        <v>102</v>
      </c>
      <c r="D298" s="222" t="s">
        <v>102</v>
      </c>
      <c r="E298" s="222" t="s">
        <v>102</v>
      </c>
      <c r="F298" s="222" t="s">
        <v>102</v>
      </c>
      <c r="G298" s="222" t="s">
        <v>102</v>
      </c>
      <c r="H298" s="222" t="s">
        <v>102</v>
      </c>
      <c r="I298" s="222" t="s">
        <v>102</v>
      </c>
      <c r="J298" s="222" t="s">
        <v>102</v>
      </c>
      <c r="K298" s="222" t="s">
        <v>102</v>
      </c>
      <c r="L298" s="222" t="s">
        <v>102</v>
      </c>
    </row>
    <row r="299" spans="1:12">
      <c r="A299" s="107">
        <v>225102</v>
      </c>
      <c r="B299" s="102" t="s">
        <v>1078</v>
      </c>
      <c r="C299" s="222" t="s">
        <v>102</v>
      </c>
      <c r="D299" s="222" t="s">
        <v>102</v>
      </c>
      <c r="E299" s="222" t="s">
        <v>102</v>
      </c>
      <c r="F299" s="222" t="s">
        <v>102</v>
      </c>
      <c r="G299" s="222" t="s">
        <v>102</v>
      </c>
      <c r="H299" s="222" t="s">
        <v>102</v>
      </c>
      <c r="I299" s="222" t="s">
        <v>102</v>
      </c>
      <c r="J299" s="222" t="s">
        <v>102</v>
      </c>
      <c r="K299" s="222" t="s">
        <v>102</v>
      </c>
      <c r="L299" s="222" t="s">
        <v>102</v>
      </c>
    </row>
    <row r="300" spans="1:12">
      <c r="A300" s="107">
        <v>225103</v>
      </c>
      <c r="B300" s="102" t="s">
        <v>1079</v>
      </c>
      <c r="C300" s="222" t="s">
        <v>102</v>
      </c>
      <c r="D300" s="222" t="s">
        <v>102</v>
      </c>
      <c r="E300" s="222" t="s">
        <v>102</v>
      </c>
      <c r="F300" s="222" t="s">
        <v>102</v>
      </c>
      <c r="G300" s="222" t="s">
        <v>102</v>
      </c>
      <c r="H300" s="222" t="s">
        <v>102</v>
      </c>
      <c r="I300" s="222" t="s">
        <v>102</v>
      </c>
      <c r="J300" s="222" t="s">
        <v>102</v>
      </c>
      <c r="K300" s="222" t="s">
        <v>102</v>
      </c>
      <c r="L300" s="222" t="s">
        <v>102</v>
      </c>
    </row>
    <row r="301" spans="1:12">
      <c r="A301" s="107">
        <v>225104</v>
      </c>
      <c r="B301" s="102" t="s">
        <v>1080</v>
      </c>
      <c r="C301" s="222" t="s">
        <v>102</v>
      </c>
      <c r="D301" s="222" t="s">
        <v>102</v>
      </c>
      <c r="E301" s="222" t="s">
        <v>102</v>
      </c>
      <c r="F301" s="222" t="s">
        <v>102</v>
      </c>
      <c r="G301" s="222" t="s">
        <v>102</v>
      </c>
      <c r="H301" s="222" t="s">
        <v>102</v>
      </c>
      <c r="I301" s="222" t="s">
        <v>102</v>
      </c>
      <c r="J301" s="222" t="s">
        <v>102</v>
      </c>
      <c r="K301" s="222" t="s">
        <v>102</v>
      </c>
      <c r="L301" s="222" t="s">
        <v>102</v>
      </c>
    </row>
    <row r="302" spans="1:12">
      <c r="A302" s="107">
        <v>225105</v>
      </c>
      <c r="B302" s="102" t="s">
        <v>1081</v>
      </c>
      <c r="C302" s="222" t="s">
        <v>102</v>
      </c>
      <c r="D302" s="222" t="s">
        <v>102</v>
      </c>
      <c r="E302" s="222" t="s">
        <v>102</v>
      </c>
      <c r="F302" s="222" t="s">
        <v>102</v>
      </c>
      <c r="G302" s="222" t="s">
        <v>102</v>
      </c>
      <c r="H302" s="222" t="s">
        <v>102</v>
      </c>
      <c r="I302" s="222" t="s">
        <v>102</v>
      </c>
      <c r="J302" s="222" t="s">
        <v>102</v>
      </c>
      <c r="K302" s="222" t="s">
        <v>102</v>
      </c>
      <c r="L302" s="222" t="s">
        <v>102</v>
      </c>
    </row>
    <row r="303" spans="1:12">
      <c r="A303" s="107">
        <v>225106</v>
      </c>
      <c r="B303" s="102" t="s">
        <v>1194</v>
      </c>
      <c r="C303" s="222" t="s">
        <v>102</v>
      </c>
      <c r="D303" s="222" t="s">
        <v>102</v>
      </c>
      <c r="E303" s="222" t="s">
        <v>102</v>
      </c>
      <c r="F303" s="222" t="s">
        <v>102</v>
      </c>
      <c r="G303" s="222" t="s">
        <v>102</v>
      </c>
      <c r="H303" s="222" t="s">
        <v>102</v>
      </c>
      <c r="I303" s="222" t="s">
        <v>102</v>
      </c>
      <c r="J303" s="222" t="s">
        <v>102</v>
      </c>
      <c r="K303" s="222" t="s">
        <v>102</v>
      </c>
      <c r="L303" s="222" t="s">
        <v>102</v>
      </c>
    </row>
    <row r="304" spans="1:12">
      <c r="A304" s="107">
        <v>2260</v>
      </c>
      <c r="B304" s="102" t="s">
        <v>1021</v>
      </c>
      <c r="C304" s="222" t="s">
        <v>102</v>
      </c>
      <c r="D304" s="222" t="s">
        <v>102</v>
      </c>
      <c r="E304" s="222" t="s">
        <v>102</v>
      </c>
      <c r="F304" s="222" t="s">
        <v>102</v>
      </c>
      <c r="G304" s="222" t="s">
        <v>102</v>
      </c>
      <c r="H304" s="222" t="s">
        <v>102</v>
      </c>
      <c r="I304" s="222" t="s">
        <v>102</v>
      </c>
      <c r="J304" s="222" t="s">
        <v>102</v>
      </c>
      <c r="K304" s="222" t="s">
        <v>102</v>
      </c>
      <c r="L304" s="222" t="s">
        <v>102</v>
      </c>
    </row>
    <row r="305" spans="1:12">
      <c r="A305" s="202">
        <v>226001</v>
      </c>
      <c r="B305" s="182" t="s">
        <v>1022</v>
      </c>
      <c r="C305" s="172" t="s">
        <v>102</v>
      </c>
      <c r="D305" s="172" t="s">
        <v>102</v>
      </c>
      <c r="E305" s="172" t="s">
        <v>102</v>
      </c>
      <c r="F305" s="172" t="s">
        <v>102</v>
      </c>
      <c r="G305" s="172" t="s">
        <v>102</v>
      </c>
      <c r="H305" s="172" t="s">
        <v>102</v>
      </c>
      <c r="I305" s="172" t="s">
        <v>102</v>
      </c>
      <c r="J305" s="172" t="s">
        <v>102</v>
      </c>
      <c r="K305" s="172" t="s">
        <v>102</v>
      </c>
      <c r="L305" s="172" t="s">
        <v>102</v>
      </c>
    </row>
    <row r="306" spans="1:12">
      <c r="A306" s="161">
        <v>23</v>
      </c>
      <c r="B306" s="223" t="s">
        <v>466</v>
      </c>
      <c r="C306" s="222" t="s">
        <v>102</v>
      </c>
      <c r="D306" s="222" t="s">
        <v>102</v>
      </c>
      <c r="E306" s="222" t="s">
        <v>102</v>
      </c>
      <c r="F306" s="222" t="s">
        <v>102</v>
      </c>
      <c r="G306" s="222" t="s">
        <v>102</v>
      </c>
      <c r="H306" s="222" t="s">
        <v>102</v>
      </c>
      <c r="I306" s="222" t="s">
        <v>102</v>
      </c>
      <c r="J306" s="222" t="s">
        <v>102</v>
      </c>
      <c r="K306" s="222" t="s">
        <v>102</v>
      </c>
      <c r="L306" s="222" t="s">
        <v>102</v>
      </c>
    </row>
    <row r="307" spans="1:12">
      <c r="A307" s="133">
        <v>230001</v>
      </c>
      <c r="B307" s="134" t="s">
        <v>468</v>
      </c>
      <c r="C307" s="172" t="s">
        <v>102</v>
      </c>
      <c r="D307" s="172" t="s">
        <v>102</v>
      </c>
      <c r="E307" s="172" t="s">
        <v>102</v>
      </c>
      <c r="F307" s="172" t="s">
        <v>102</v>
      </c>
      <c r="G307" s="172" t="s">
        <v>102</v>
      </c>
      <c r="H307" s="172" t="s">
        <v>102</v>
      </c>
      <c r="I307" s="172" t="s">
        <v>102</v>
      </c>
      <c r="J307" s="172" t="s">
        <v>102</v>
      </c>
      <c r="K307" s="172" t="s">
        <v>102</v>
      </c>
      <c r="L307" s="172" t="s">
        <v>102</v>
      </c>
    </row>
    <row r="308" spans="1:12">
      <c r="A308" s="108">
        <v>231001</v>
      </c>
      <c r="B308" s="102" t="s">
        <v>470</v>
      </c>
      <c r="C308" s="222" t="s">
        <v>102</v>
      </c>
      <c r="D308" s="222" t="s">
        <v>102</v>
      </c>
      <c r="E308" s="222" t="s">
        <v>102</v>
      </c>
      <c r="F308" s="222" t="s">
        <v>102</v>
      </c>
      <c r="G308" s="222" t="s">
        <v>102</v>
      </c>
      <c r="H308" s="222" t="s">
        <v>102</v>
      </c>
      <c r="I308" s="222" t="s">
        <v>102</v>
      </c>
      <c r="J308" s="222" t="s">
        <v>102</v>
      </c>
      <c r="K308" s="222" t="s">
        <v>102</v>
      </c>
      <c r="L308" s="222" t="s">
        <v>102</v>
      </c>
    </row>
    <row r="309" spans="1:12">
      <c r="A309" s="108">
        <v>232001</v>
      </c>
      <c r="B309" s="102" t="s">
        <v>472</v>
      </c>
      <c r="C309" s="222" t="s">
        <v>102</v>
      </c>
      <c r="D309" s="222" t="s">
        <v>102</v>
      </c>
      <c r="E309" s="222" t="s">
        <v>102</v>
      </c>
      <c r="F309" s="222" t="s">
        <v>102</v>
      </c>
      <c r="G309" s="222" t="s">
        <v>102</v>
      </c>
      <c r="H309" s="222" t="s">
        <v>102</v>
      </c>
      <c r="I309" s="222" t="s">
        <v>102</v>
      </c>
      <c r="J309" s="222" t="s">
        <v>102</v>
      </c>
      <c r="K309" s="222" t="s">
        <v>102</v>
      </c>
      <c r="L309" s="222" t="s">
        <v>102</v>
      </c>
    </row>
    <row r="310" spans="1:12">
      <c r="A310" s="108">
        <v>24</v>
      </c>
      <c r="B310" s="102" t="s">
        <v>473</v>
      </c>
      <c r="C310" s="222" t="s">
        <v>102</v>
      </c>
      <c r="D310" s="222" t="s">
        <v>102</v>
      </c>
      <c r="E310" s="222" t="s">
        <v>102</v>
      </c>
      <c r="F310" s="222" t="s">
        <v>102</v>
      </c>
      <c r="G310" s="222" t="s">
        <v>102</v>
      </c>
      <c r="H310" s="222" t="s">
        <v>102</v>
      </c>
      <c r="I310" s="222" t="s">
        <v>102</v>
      </c>
      <c r="J310" s="222" t="s">
        <v>102</v>
      </c>
      <c r="K310" s="222" t="s">
        <v>102</v>
      </c>
      <c r="L310" s="222" t="s">
        <v>102</v>
      </c>
    </row>
    <row r="311" spans="1:12">
      <c r="A311" s="133">
        <v>240001</v>
      </c>
      <c r="B311" s="134" t="s">
        <v>474</v>
      </c>
      <c r="C311" s="172" t="s">
        <v>102</v>
      </c>
      <c r="D311" s="172" t="s">
        <v>102</v>
      </c>
      <c r="E311" s="172" t="s">
        <v>102</v>
      </c>
      <c r="F311" s="172" t="s">
        <v>102</v>
      </c>
      <c r="G311" s="172" t="s">
        <v>102</v>
      </c>
      <c r="H311" s="172" t="s">
        <v>102</v>
      </c>
      <c r="I311" s="172" t="s">
        <v>102</v>
      </c>
      <c r="J311" s="172" t="s">
        <v>102</v>
      </c>
      <c r="K311" s="172" t="s">
        <v>102</v>
      </c>
      <c r="L311" s="172" t="s">
        <v>102</v>
      </c>
    </row>
    <row r="312" spans="1:12">
      <c r="A312" s="108">
        <v>241001</v>
      </c>
      <c r="B312" s="102" t="s">
        <v>475</v>
      </c>
      <c r="C312" s="222" t="s">
        <v>102</v>
      </c>
      <c r="D312" s="222" t="s">
        <v>102</v>
      </c>
      <c r="E312" s="222" t="s">
        <v>102</v>
      </c>
      <c r="F312" s="222" t="s">
        <v>102</v>
      </c>
      <c r="G312" s="222" t="s">
        <v>102</v>
      </c>
      <c r="H312" s="222" t="s">
        <v>102</v>
      </c>
      <c r="I312" s="222" t="s">
        <v>102</v>
      </c>
      <c r="J312" s="222" t="s">
        <v>102</v>
      </c>
      <c r="K312" s="222" t="s">
        <v>102</v>
      </c>
      <c r="L312" s="222" t="s">
        <v>102</v>
      </c>
    </row>
    <row r="313" spans="1:12">
      <c r="A313" s="108">
        <v>242001</v>
      </c>
      <c r="B313" s="102" t="s">
        <v>476</v>
      </c>
      <c r="C313" s="222" t="s">
        <v>102</v>
      </c>
      <c r="D313" s="222" t="s">
        <v>102</v>
      </c>
      <c r="E313" s="222" t="s">
        <v>102</v>
      </c>
      <c r="F313" s="222" t="s">
        <v>102</v>
      </c>
      <c r="G313" s="222" t="s">
        <v>102</v>
      </c>
      <c r="H313" s="222" t="s">
        <v>102</v>
      </c>
      <c r="I313" s="222" t="s">
        <v>102</v>
      </c>
      <c r="J313" s="222" t="s">
        <v>102</v>
      </c>
      <c r="K313" s="222" t="s">
        <v>102</v>
      </c>
      <c r="L313" s="222" t="s">
        <v>102</v>
      </c>
    </row>
    <row r="314" spans="1:12">
      <c r="A314" s="108">
        <v>25</v>
      </c>
      <c r="B314" s="102" t="s">
        <v>644</v>
      </c>
      <c r="C314" s="222" t="s">
        <v>102</v>
      </c>
      <c r="D314" s="222" t="s">
        <v>102</v>
      </c>
      <c r="E314" s="222" t="s">
        <v>102</v>
      </c>
      <c r="F314" s="222" t="s">
        <v>102</v>
      </c>
      <c r="G314" s="222" t="s">
        <v>102</v>
      </c>
      <c r="H314" s="222" t="s">
        <v>102</v>
      </c>
      <c r="I314" s="222" t="s">
        <v>102</v>
      </c>
      <c r="J314" s="222" t="s">
        <v>102</v>
      </c>
      <c r="K314" s="222" t="s">
        <v>102</v>
      </c>
      <c r="L314" s="222" t="s">
        <v>102</v>
      </c>
    </row>
    <row r="315" spans="1:12">
      <c r="A315" s="224">
        <v>250001</v>
      </c>
      <c r="B315" s="180" t="s">
        <v>477</v>
      </c>
      <c r="C315" s="172" t="s">
        <v>102</v>
      </c>
      <c r="D315" s="172" t="s">
        <v>102</v>
      </c>
      <c r="E315" s="172" t="s">
        <v>102</v>
      </c>
      <c r="F315" s="172" t="s">
        <v>102</v>
      </c>
      <c r="G315" s="172" t="s">
        <v>102</v>
      </c>
      <c r="H315" s="172" t="s">
        <v>102</v>
      </c>
      <c r="I315" s="172" t="s">
        <v>102</v>
      </c>
      <c r="J315" s="172" t="s">
        <v>102</v>
      </c>
      <c r="K315" s="172" t="s">
        <v>102</v>
      </c>
      <c r="L315" s="172" t="s">
        <v>102</v>
      </c>
    </row>
    <row r="316" spans="1:12">
      <c r="A316" s="108">
        <v>250002</v>
      </c>
      <c r="B316" s="102" t="s">
        <v>645</v>
      </c>
      <c r="C316" s="222" t="s">
        <v>102</v>
      </c>
      <c r="D316" s="222" t="s">
        <v>102</v>
      </c>
      <c r="E316" s="222" t="s">
        <v>102</v>
      </c>
      <c r="F316" s="222" t="s">
        <v>102</v>
      </c>
      <c r="G316" s="222" t="s">
        <v>102</v>
      </c>
      <c r="H316" s="222" t="s">
        <v>102</v>
      </c>
      <c r="I316" s="222" t="s">
        <v>102</v>
      </c>
      <c r="J316" s="222" t="s">
        <v>102</v>
      </c>
      <c r="K316" s="222" t="s">
        <v>102</v>
      </c>
      <c r="L316" s="222" t="s">
        <v>102</v>
      </c>
    </row>
    <row r="317" spans="1:12">
      <c r="A317" s="108">
        <v>250003</v>
      </c>
      <c r="B317" s="102" t="s">
        <v>646</v>
      </c>
      <c r="C317" s="222" t="s">
        <v>102</v>
      </c>
      <c r="D317" s="222" t="s">
        <v>102</v>
      </c>
      <c r="E317" s="222" t="s">
        <v>102</v>
      </c>
      <c r="F317" s="222" t="s">
        <v>102</v>
      </c>
      <c r="G317" s="222" t="s">
        <v>102</v>
      </c>
      <c r="H317" s="222" t="s">
        <v>102</v>
      </c>
      <c r="I317" s="222" t="s">
        <v>102</v>
      </c>
      <c r="J317" s="222" t="s">
        <v>102</v>
      </c>
      <c r="K317" s="222" t="s">
        <v>102</v>
      </c>
      <c r="L317" s="222" t="s">
        <v>102</v>
      </c>
    </row>
    <row r="318" spans="1:12">
      <c r="A318" s="108">
        <v>250004</v>
      </c>
      <c r="B318" s="102" t="s">
        <v>647</v>
      </c>
      <c r="C318" s="222" t="s">
        <v>102</v>
      </c>
      <c r="D318" s="222" t="s">
        <v>102</v>
      </c>
      <c r="E318" s="222" t="s">
        <v>102</v>
      </c>
      <c r="F318" s="222" t="s">
        <v>102</v>
      </c>
      <c r="G318" s="222" t="s">
        <v>102</v>
      </c>
      <c r="H318" s="222" t="s">
        <v>102</v>
      </c>
      <c r="I318" s="222" t="s">
        <v>102</v>
      </c>
      <c r="J318" s="222" t="s">
        <v>102</v>
      </c>
      <c r="K318" s="222" t="s">
        <v>102</v>
      </c>
      <c r="L318" s="222" t="s">
        <v>102</v>
      </c>
    </row>
    <row r="319" spans="1:12">
      <c r="A319" s="108">
        <v>250005</v>
      </c>
      <c r="B319" s="102" t="s">
        <v>648</v>
      </c>
      <c r="C319" s="222" t="s">
        <v>102</v>
      </c>
      <c r="D319" s="222" t="s">
        <v>102</v>
      </c>
      <c r="E319" s="222" t="s">
        <v>102</v>
      </c>
      <c r="F319" s="222" t="s">
        <v>102</v>
      </c>
      <c r="G319" s="222" t="s">
        <v>102</v>
      </c>
      <c r="H319" s="222" t="s">
        <v>102</v>
      </c>
      <c r="I319" s="222" t="s">
        <v>102</v>
      </c>
      <c r="J319" s="222" t="s">
        <v>102</v>
      </c>
      <c r="K319" s="222" t="s">
        <v>102</v>
      </c>
      <c r="L319" s="222" t="s">
        <v>102</v>
      </c>
    </row>
    <row r="320" spans="1:12">
      <c r="A320" s="108">
        <v>1</v>
      </c>
      <c r="B320" s="102" t="s">
        <v>121</v>
      </c>
      <c r="C320" s="222" t="s">
        <v>102</v>
      </c>
      <c r="D320" s="222" t="s">
        <v>102</v>
      </c>
      <c r="E320" s="222" t="s">
        <v>102</v>
      </c>
      <c r="F320" s="222" t="s">
        <v>102</v>
      </c>
      <c r="G320" s="222" t="s">
        <v>102</v>
      </c>
      <c r="H320" s="222" t="s">
        <v>102</v>
      </c>
      <c r="I320" s="222" t="s">
        <v>102</v>
      </c>
      <c r="J320" s="222" t="s">
        <v>102</v>
      </c>
      <c r="K320" s="222" t="s">
        <v>102</v>
      </c>
      <c r="L320" s="222" t="s">
        <v>102</v>
      </c>
    </row>
    <row r="321" spans="1:12">
      <c r="A321" s="181">
        <v>31</v>
      </c>
      <c r="B321" s="182" t="s">
        <v>123</v>
      </c>
      <c r="C321" s="172" t="s">
        <v>102</v>
      </c>
      <c r="D321" s="172" t="s">
        <v>102</v>
      </c>
      <c r="E321" s="172" t="s">
        <v>102</v>
      </c>
      <c r="F321" s="172" t="s">
        <v>102</v>
      </c>
      <c r="G321" s="172" t="s">
        <v>102</v>
      </c>
      <c r="H321" s="172" t="s">
        <v>102</v>
      </c>
      <c r="I321" s="172" t="s">
        <v>102</v>
      </c>
      <c r="J321" s="172" t="s">
        <v>102</v>
      </c>
      <c r="K321" s="172" t="s">
        <v>102</v>
      </c>
      <c r="L321" s="172" t="s">
        <v>102</v>
      </c>
    </row>
    <row r="322" spans="1:12">
      <c r="A322" s="199">
        <v>311</v>
      </c>
      <c r="B322" s="182" t="s">
        <v>124</v>
      </c>
      <c r="C322" s="172" t="s">
        <v>102</v>
      </c>
      <c r="D322" s="172" t="s">
        <v>102</v>
      </c>
      <c r="E322" s="172" t="s">
        <v>102</v>
      </c>
      <c r="F322" s="172" t="s">
        <v>102</v>
      </c>
      <c r="G322" s="172" t="s">
        <v>102</v>
      </c>
      <c r="H322" s="172" t="s">
        <v>102</v>
      </c>
      <c r="I322" s="172" t="s">
        <v>102</v>
      </c>
      <c r="J322" s="172" t="s">
        <v>102</v>
      </c>
      <c r="K322" s="172" t="s">
        <v>102</v>
      </c>
      <c r="L322" s="172" t="s">
        <v>102</v>
      </c>
    </row>
    <row r="323" spans="1:12">
      <c r="A323" s="202">
        <v>31110</v>
      </c>
      <c r="B323" s="182" t="s">
        <v>125</v>
      </c>
      <c r="C323" s="172" t="s">
        <v>102</v>
      </c>
      <c r="D323" s="172" t="s">
        <v>102</v>
      </c>
      <c r="E323" s="172" t="s">
        <v>102</v>
      </c>
      <c r="F323" s="172" t="s">
        <v>102</v>
      </c>
      <c r="G323" s="172" t="s">
        <v>102</v>
      </c>
      <c r="H323" s="172" t="s">
        <v>102</v>
      </c>
      <c r="I323" s="172" t="s">
        <v>102</v>
      </c>
      <c r="J323" s="172" t="s">
        <v>102</v>
      </c>
      <c r="K323" s="172" t="s">
        <v>102</v>
      </c>
      <c r="L323" s="172" t="s">
        <v>102</v>
      </c>
    </row>
    <row r="324" spans="1:12">
      <c r="A324" s="211">
        <v>31120</v>
      </c>
      <c r="B324" s="110" t="s">
        <v>126</v>
      </c>
      <c r="C324" s="222" t="s">
        <v>102</v>
      </c>
      <c r="D324" s="222" t="s">
        <v>102</v>
      </c>
      <c r="E324" s="222" t="s">
        <v>102</v>
      </c>
      <c r="F324" s="222" t="s">
        <v>102</v>
      </c>
      <c r="G324" s="222" t="s">
        <v>102</v>
      </c>
      <c r="H324" s="222" t="s">
        <v>102</v>
      </c>
      <c r="I324" s="222" t="s">
        <v>102</v>
      </c>
      <c r="J324" s="222" t="s">
        <v>102</v>
      </c>
      <c r="K324" s="222" t="s">
        <v>102</v>
      </c>
      <c r="L324" s="222" t="s">
        <v>102</v>
      </c>
    </row>
    <row r="325" spans="1:12">
      <c r="A325" s="211">
        <v>31130</v>
      </c>
      <c r="B325" s="110" t="s">
        <v>127</v>
      </c>
      <c r="C325" s="222" t="s">
        <v>102</v>
      </c>
      <c r="D325" s="222" t="s">
        <v>102</v>
      </c>
      <c r="E325" s="222" t="s">
        <v>102</v>
      </c>
      <c r="F325" s="222" t="s">
        <v>102</v>
      </c>
      <c r="G325" s="222" t="s">
        <v>102</v>
      </c>
      <c r="H325" s="222" t="s">
        <v>102</v>
      </c>
      <c r="I325" s="222" t="s">
        <v>102</v>
      </c>
      <c r="J325" s="222" t="s">
        <v>102</v>
      </c>
      <c r="K325" s="222" t="s">
        <v>102</v>
      </c>
      <c r="L325" s="222" t="s">
        <v>102</v>
      </c>
    </row>
    <row r="326" spans="1:12">
      <c r="A326" s="211">
        <v>31140</v>
      </c>
      <c r="B326" s="110" t="s">
        <v>656</v>
      </c>
      <c r="C326" s="222" t="s">
        <v>102</v>
      </c>
      <c r="D326" s="222" t="s">
        <v>102</v>
      </c>
      <c r="E326" s="222" t="s">
        <v>102</v>
      </c>
      <c r="F326" s="222" t="s">
        <v>102</v>
      </c>
      <c r="G326" s="222" t="s">
        <v>102</v>
      </c>
      <c r="H326" s="222" t="s">
        <v>102</v>
      </c>
      <c r="I326" s="222" t="s">
        <v>102</v>
      </c>
      <c r="J326" s="222" t="s">
        <v>102</v>
      </c>
      <c r="K326" s="222" t="s">
        <v>102</v>
      </c>
      <c r="L326" s="222" t="s">
        <v>102</v>
      </c>
    </row>
    <row r="327" spans="1:12">
      <c r="A327" s="107">
        <v>312</v>
      </c>
      <c r="B327" s="102" t="s">
        <v>128</v>
      </c>
      <c r="C327" s="222" t="s">
        <v>102</v>
      </c>
      <c r="D327" s="222" t="s">
        <v>102</v>
      </c>
      <c r="E327" s="222" t="s">
        <v>102</v>
      </c>
      <c r="F327" s="222" t="s">
        <v>102</v>
      </c>
      <c r="G327" s="222" t="s">
        <v>102</v>
      </c>
      <c r="H327" s="222" t="s">
        <v>102</v>
      </c>
      <c r="I327" s="222" t="s">
        <v>102</v>
      </c>
      <c r="J327" s="222" t="s">
        <v>102</v>
      </c>
      <c r="K327" s="222" t="s">
        <v>102</v>
      </c>
      <c r="L327" s="222" t="s">
        <v>102</v>
      </c>
    </row>
    <row r="328" spans="1:12">
      <c r="A328" s="202">
        <v>3121</v>
      </c>
      <c r="B328" s="182" t="s">
        <v>129</v>
      </c>
      <c r="C328" s="172" t="s">
        <v>102</v>
      </c>
      <c r="D328" s="172" t="s">
        <v>102</v>
      </c>
      <c r="E328" s="172" t="s">
        <v>102</v>
      </c>
      <c r="F328" s="172" t="s">
        <v>102</v>
      </c>
      <c r="G328" s="172" t="s">
        <v>102</v>
      </c>
      <c r="H328" s="172" t="s">
        <v>102</v>
      </c>
      <c r="I328" s="172" t="s">
        <v>102</v>
      </c>
      <c r="J328" s="172" t="s">
        <v>102</v>
      </c>
      <c r="K328" s="172" t="s">
        <v>102</v>
      </c>
      <c r="L328" s="172" t="s">
        <v>102</v>
      </c>
    </row>
    <row r="329" spans="1:12">
      <c r="A329" s="202">
        <v>31211</v>
      </c>
      <c r="B329" s="182" t="s">
        <v>130</v>
      </c>
      <c r="C329" s="172" t="s">
        <v>102</v>
      </c>
      <c r="D329" s="172" t="s">
        <v>102</v>
      </c>
      <c r="E329" s="172" t="s">
        <v>102</v>
      </c>
      <c r="F329" s="172" t="s">
        <v>102</v>
      </c>
      <c r="G329" s="172" t="s">
        <v>102</v>
      </c>
      <c r="H329" s="172" t="s">
        <v>102</v>
      </c>
      <c r="I329" s="172" t="s">
        <v>102</v>
      </c>
      <c r="J329" s="172" t="s">
        <v>102</v>
      </c>
      <c r="K329" s="172" t="s">
        <v>102</v>
      </c>
      <c r="L329" s="172" t="s">
        <v>102</v>
      </c>
    </row>
    <row r="330" spans="1:12">
      <c r="A330" s="211">
        <v>31212</v>
      </c>
      <c r="B330" s="110" t="s">
        <v>131</v>
      </c>
      <c r="C330" s="222" t="s">
        <v>102</v>
      </c>
      <c r="D330" s="222" t="s">
        <v>102</v>
      </c>
      <c r="E330" s="222" t="s">
        <v>102</v>
      </c>
      <c r="F330" s="222" t="s">
        <v>102</v>
      </c>
      <c r="G330" s="222" t="s">
        <v>102</v>
      </c>
      <c r="H330" s="222" t="s">
        <v>102</v>
      </c>
      <c r="I330" s="222" t="s">
        <v>102</v>
      </c>
      <c r="J330" s="222" t="s">
        <v>102</v>
      </c>
      <c r="K330" s="222" t="s">
        <v>102</v>
      </c>
      <c r="L330" s="222" t="s">
        <v>102</v>
      </c>
    </row>
    <row r="331" spans="1:12">
      <c r="A331" s="211">
        <v>31213</v>
      </c>
      <c r="B331" s="110" t="s">
        <v>132</v>
      </c>
      <c r="C331" s="222" t="s">
        <v>102</v>
      </c>
      <c r="D331" s="222" t="s">
        <v>102</v>
      </c>
      <c r="E331" s="222" t="s">
        <v>102</v>
      </c>
      <c r="F331" s="222" t="s">
        <v>102</v>
      </c>
      <c r="G331" s="222" t="s">
        <v>102</v>
      </c>
      <c r="H331" s="222" t="s">
        <v>102</v>
      </c>
      <c r="I331" s="222" t="s">
        <v>102</v>
      </c>
      <c r="J331" s="222" t="s">
        <v>102</v>
      </c>
      <c r="K331" s="222" t="s">
        <v>102</v>
      </c>
      <c r="L331" s="222" t="s">
        <v>102</v>
      </c>
    </row>
    <row r="332" spans="1:12">
      <c r="A332" s="211">
        <v>31214</v>
      </c>
      <c r="B332" s="110" t="s">
        <v>133</v>
      </c>
      <c r="C332" s="222" t="s">
        <v>102</v>
      </c>
      <c r="D332" s="222" t="s">
        <v>102</v>
      </c>
      <c r="E332" s="222" t="s">
        <v>102</v>
      </c>
      <c r="F332" s="222" t="s">
        <v>102</v>
      </c>
      <c r="G332" s="222" t="s">
        <v>102</v>
      </c>
      <c r="H332" s="222" t="s">
        <v>102</v>
      </c>
      <c r="I332" s="222" t="s">
        <v>102</v>
      </c>
      <c r="J332" s="222" t="s">
        <v>102</v>
      </c>
      <c r="K332" s="222" t="s">
        <v>102</v>
      </c>
      <c r="L332" s="222" t="s">
        <v>102</v>
      </c>
    </row>
    <row r="333" spans="1:12">
      <c r="A333" s="211">
        <v>31215</v>
      </c>
      <c r="B333" s="110" t="s">
        <v>134</v>
      </c>
      <c r="C333" s="222" t="s">
        <v>102</v>
      </c>
      <c r="D333" s="222" t="s">
        <v>102</v>
      </c>
      <c r="E333" s="222" t="s">
        <v>102</v>
      </c>
      <c r="F333" s="222" t="s">
        <v>102</v>
      </c>
      <c r="G333" s="222" t="s">
        <v>102</v>
      </c>
      <c r="H333" s="222" t="s">
        <v>102</v>
      </c>
      <c r="I333" s="222" t="s">
        <v>102</v>
      </c>
      <c r="J333" s="222" t="s">
        <v>102</v>
      </c>
      <c r="K333" s="222" t="s">
        <v>102</v>
      </c>
      <c r="L333" s="222" t="s">
        <v>102</v>
      </c>
    </row>
    <row r="334" spans="1:12">
      <c r="A334" s="211">
        <v>31216</v>
      </c>
      <c r="B334" s="110" t="s">
        <v>655</v>
      </c>
      <c r="C334" s="222" t="s">
        <v>102</v>
      </c>
      <c r="D334" s="222" t="s">
        <v>102</v>
      </c>
      <c r="E334" s="222" t="s">
        <v>102</v>
      </c>
      <c r="F334" s="222" t="s">
        <v>102</v>
      </c>
      <c r="G334" s="222" t="s">
        <v>102</v>
      </c>
      <c r="H334" s="222" t="s">
        <v>102</v>
      </c>
      <c r="I334" s="222" t="s">
        <v>102</v>
      </c>
      <c r="J334" s="222" t="s">
        <v>102</v>
      </c>
      <c r="K334" s="222" t="s">
        <v>102</v>
      </c>
      <c r="L334" s="222" t="s">
        <v>102</v>
      </c>
    </row>
    <row r="335" spans="1:12">
      <c r="A335" s="107">
        <v>3122</v>
      </c>
      <c r="B335" s="102" t="s">
        <v>135</v>
      </c>
      <c r="C335" s="222" t="s">
        <v>102</v>
      </c>
      <c r="D335" s="222" t="s">
        <v>102</v>
      </c>
      <c r="E335" s="222" t="s">
        <v>102</v>
      </c>
      <c r="F335" s="222" t="s">
        <v>102</v>
      </c>
      <c r="G335" s="222" t="s">
        <v>102</v>
      </c>
      <c r="H335" s="222" t="s">
        <v>102</v>
      </c>
      <c r="I335" s="222" t="s">
        <v>102</v>
      </c>
      <c r="J335" s="222" t="s">
        <v>102</v>
      </c>
      <c r="K335" s="222" t="s">
        <v>102</v>
      </c>
      <c r="L335" s="222" t="s">
        <v>102</v>
      </c>
    </row>
    <row r="336" spans="1:12">
      <c r="A336" s="202">
        <v>31221</v>
      </c>
      <c r="B336" s="182" t="s">
        <v>130</v>
      </c>
      <c r="C336" s="172" t="s">
        <v>102</v>
      </c>
      <c r="D336" s="172" t="s">
        <v>102</v>
      </c>
      <c r="E336" s="172" t="s">
        <v>102</v>
      </c>
      <c r="F336" s="172" t="s">
        <v>102</v>
      </c>
      <c r="G336" s="172" t="s">
        <v>102</v>
      </c>
      <c r="H336" s="172" t="s">
        <v>102</v>
      </c>
      <c r="I336" s="172" t="s">
        <v>102</v>
      </c>
      <c r="J336" s="172" t="s">
        <v>102</v>
      </c>
      <c r="K336" s="172" t="s">
        <v>102</v>
      </c>
      <c r="L336" s="172" t="s">
        <v>102</v>
      </c>
    </row>
    <row r="337" spans="1:12">
      <c r="A337" s="211">
        <v>31222</v>
      </c>
      <c r="B337" s="110" t="s">
        <v>136</v>
      </c>
      <c r="C337" s="222" t="s">
        <v>102</v>
      </c>
      <c r="D337" s="222" t="s">
        <v>102</v>
      </c>
      <c r="E337" s="222" t="s">
        <v>102</v>
      </c>
      <c r="F337" s="222" t="s">
        <v>102</v>
      </c>
      <c r="G337" s="222" t="s">
        <v>102</v>
      </c>
      <c r="H337" s="222" t="s">
        <v>102</v>
      </c>
      <c r="I337" s="222" t="s">
        <v>102</v>
      </c>
      <c r="J337" s="222" t="s">
        <v>102</v>
      </c>
      <c r="K337" s="222" t="s">
        <v>102</v>
      </c>
      <c r="L337" s="222" t="s">
        <v>102</v>
      </c>
    </row>
    <row r="338" spans="1:12">
      <c r="A338" s="211">
        <v>31223</v>
      </c>
      <c r="B338" s="110" t="s">
        <v>132</v>
      </c>
      <c r="C338" s="222" t="s">
        <v>102</v>
      </c>
      <c r="D338" s="222" t="s">
        <v>102</v>
      </c>
      <c r="E338" s="222" t="s">
        <v>102</v>
      </c>
      <c r="F338" s="222" t="s">
        <v>102</v>
      </c>
      <c r="G338" s="222" t="s">
        <v>102</v>
      </c>
      <c r="H338" s="222" t="s">
        <v>102</v>
      </c>
      <c r="I338" s="222" t="s">
        <v>102</v>
      </c>
      <c r="J338" s="222" t="s">
        <v>102</v>
      </c>
      <c r="K338" s="222" t="s">
        <v>102</v>
      </c>
      <c r="L338" s="222" t="s">
        <v>102</v>
      </c>
    </row>
    <row r="339" spans="1:12">
      <c r="A339" s="211">
        <v>31224</v>
      </c>
      <c r="B339" s="110" t="s">
        <v>133</v>
      </c>
      <c r="C339" s="222" t="s">
        <v>102</v>
      </c>
      <c r="D339" s="222" t="s">
        <v>102</v>
      </c>
      <c r="E339" s="222" t="s">
        <v>102</v>
      </c>
      <c r="F339" s="222" t="s">
        <v>102</v>
      </c>
      <c r="G339" s="222" t="s">
        <v>102</v>
      </c>
      <c r="H339" s="222" t="s">
        <v>102</v>
      </c>
      <c r="I339" s="222" t="s">
        <v>102</v>
      </c>
      <c r="J339" s="222" t="s">
        <v>102</v>
      </c>
      <c r="K339" s="222" t="s">
        <v>102</v>
      </c>
      <c r="L339" s="222" t="s">
        <v>102</v>
      </c>
    </row>
    <row r="340" spans="1:12">
      <c r="A340" s="211">
        <v>31400</v>
      </c>
      <c r="B340" s="110" t="s">
        <v>137</v>
      </c>
      <c r="C340" s="222" t="s">
        <v>102</v>
      </c>
      <c r="D340" s="222" t="s">
        <v>102</v>
      </c>
      <c r="E340" s="222" t="s">
        <v>102</v>
      </c>
      <c r="F340" s="222" t="s">
        <v>102</v>
      </c>
      <c r="G340" s="222" t="s">
        <v>102</v>
      </c>
      <c r="H340" s="222" t="s">
        <v>102</v>
      </c>
      <c r="I340" s="222" t="s">
        <v>102</v>
      </c>
      <c r="J340" s="222" t="s">
        <v>102</v>
      </c>
      <c r="K340" s="222" t="s">
        <v>102</v>
      </c>
      <c r="L340" s="222" t="s">
        <v>102</v>
      </c>
    </row>
    <row r="341" spans="1:12">
      <c r="A341" s="211">
        <v>31500</v>
      </c>
      <c r="B341" s="110" t="s">
        <v>138</v>
      </c>
      <c r="C341" s="222" t="s">
        <v>102</v>
      </c>
      <c r="D341" s="222" t="s">
        <v>102</v>
      </c>
      <c r="E341" s="222" t="s">
        <v>102</v>
      </c>
      <c r="F341" s="222" t="s">
        <v>102</v>
      </c>
      <c r="G341" s="222" t="s">
        <v>102</v>
      </c>
      <c r="H341" s="222" t="s">
        <v>102</v>
      </c>
      <c r="I341" s="222" t="s">
        <v>102</v>
      </c>
      <c r="J341" s="222" t="s">
        <v>102</v>
      </c>
      <c r="K341" s="222" t="s">
        <v>102</v>
      </c>
      <c r="L341" s="222" t="s">
        <v>102</v>
      </c>
    </row>
    <row r="342" spans="1:12">
      <c r="A342" s="211">
        <v>32</v>
      </c>
      <c r="B342" s="110" t="s">
        <v>140</v>
      </c>
      <c r="C342" s="222" t="s">
        <v>102</v>
      </c>
      <c r="D342" s="222" t="s">
        <v>102</v>
      </c>
      <c r="E342" s="222" t="s">
        <v>102</v>
      </c>
      <c r="F342" s="222" t="s">
        <v>102</v>
      </c>
      <c r="G342" s="222" t="s">
        <v>102</v>
      </c>
      <c r="H342" s="222" t="s">
        <v>102</v>
      </c>
      <c r="I342" s="222" t="s">
        <v>102</v>
      </c>
      <c r="J342" s="222" t="s">
        <v>102</v>
      </c>
      <c r="K342" s="222" t="s">
        <v>102</v>
      </c>
      <c r="L342" s="222" t="s">
        <v>102</v>
      </c>
    </row>
    <row r="343" spans="1:12">
      <c r="A343" s="199">
        <v>321</v>
      </c>
      <c r="B343" s="182" t="s">
        <v>141</v>
      </c>
      <c r="C343" s="172" t="s">
        <v>102</v>
      </c>
      <c r="D343" s="172" t="s">
        <v>102</v>
      </c>
      <c r="E343" s="172" t="s">
        <v>102</v>
      </c>
      <c r="F343" s="172" t="s">
        <v>102</v>
      </c>
      <c r="G343" s="172" t="s">
        <v>102</v>
      </c>
      <c r="H343" s="172" t="s">
        <v>102</v>
      </c>
      <c r="I343" s="172" t="s">
        <v>102</v>
      </c>
      <c r="J343" s="172" t="s">
        <v>102</v>
      </c>
      <c r="K343" s="172" t="s">
        <v>102</v>
      </c>
      <c r="L343" s="172" t="s">
        <v>102</v>
      </c>
    </row>
    <row r="344" spans="1:12">
      <c r="A344" s="202">
        <v>32110</v>
      </c>
      <c r="B344" s="182" t="s">
        <v>125</v>
      </c>
      <c r="C344" s="172" t="s">
        <v>102</v>
      </c>
      <c r="D344" s="172" t="s">
        <v>102</v>
      </c>
      <c r="E344" s="172" t="s">
        <v>102</v>
      </c>
      <c r="F344" s="172" t="s">
        <v>102</v>
      </c>
      <c r="G344" s="172" t="s">
        <v>102</v>
      </c>
      <c r="H344" s="172" t="s">
        <v>102</v>
      </c>
      <c r="I344" s="172" t="s">
        <v>102</v>
      </c>
      <c r="J344" s="172" t="s">
        <v>102</v>
      </c>
      <c r="K344" s="172" t="s">
        <v>102</v>
      </c>
      <c r="L344" s="172" t="s">
        <v>102</v>
      </c>
    </row>
    <row r="345" spans="1:12">
      <c r="A345" s="211">
        <v>32120</v>
      </c>
      <c r="B345" s="110" t="s">
        <v>126</v>
      </c>
      <c r="C345" s="222" t="s">
        <v>102</v>
      </c>
      <c r="D345" s="222" t="s">
        <v>102</v>
      </c>
      <c r="E345" s="222" t="s">
        <v>102</v>
      </c>
      <c r="F345" s="222" t="s">
        <v>102</v>
      </c>
      <c r="G345" s="222" t="s">
        <v>102</v>
      </c>
      <c r="H345" s="222" t="s">
        <v>102</v>
      </c>
      <c r="I345" s="222" t="s">
        <v>102</v>
      </c>
      <c r="J345" s="222" t="s">
        <v>102</v>
      </c>
      <c r="K345" s="222" t="s">
        <v>102</v>
      </c>
      <c r="L345" s="222" t="s">
        <v>102</v>
      </c>
    </row>
    <row r="346" spans="1:12">
      <c r="A346" s="211">
        <v>33</v>
      </c>
      <c r="B346" s="110" t="s">
        <v>143</v>
      </c>
      <c r="C346" s="222" t="s">
        <v>102</v>
      </c>
      <c r="D346" s="222" t="s">
        <v>102</v>
      </c>
      <c r="E346" s="222" t="s">
        <v>102</v>
      </c>
      <c r="F346" s="222" t="s">
        <v>102</v>
      </c>
      <c r="G346" s="222" t="s">
        <v>102</v>
      </c>
      <c r="H346" s="222" t="s">
        <v>102</v>
      </c>
      <c r="I346" s="222" t="s">
        <v>102</v>
      </c>
      <c r="J346" s="222" t="s">
        <v>102</v>
      </c>
      <c r="K346" s="222" t="s">
        <v>102</v>
      </c>
      <c r="L346" s="222" t="s">
        <v>102</v>
      </c>
    </row>
    <row r="347" spans="1:12">
      <c r="A347" s="199">
        <v>33100</v>
      </c>
      <c r="B347" s="182" t="s">
        <v>144</v>
      </c>
      <c r="C347" s="172" t="s">
        <v>102</v>
      </c>
      <c r="D347" s="172" t="s">
        <v>102</v>
      </c>
      <c r="E347" s="172" t="s">
        <v>102</v>
      </c>
      <c r="F347" s="172" t="s">
        <v>102</v>
      </c>
      <c r="G347" s="172" t="s">
        <v>102</v>
      </c>
      <c r="H347" s="172" t="s">
        <v>102</v>
      </c>
      <c r="I347" s="172" t="s">
        <v>102</v>
      </c>
      <c r="J347" s="172" t="s">
        <v>102</v>
      </c>
      <c r="K347" s="172" t="s">
        <v>102</v>
      </c>
      <c r="L347" s="172" t="s">
        <v>102</v>
      </c>
    </row>
    <row r="348" spans="1:12">
      <c r="A348" s="211">
        <v>33200</v>
      </c>
      <c r="B348" s="110" t="s">
        <v>145</v>
      </c>
      <c r="C348" s="222" t="s">
        <v>102</v>
      </c>
      <c r="D348" s="222" t="s">
        <v>102</v>
      </c>
      <c r="E348" s="222" t="s">
        <v>102</v>
      </c>
      <c r="F348" s="222" t="s">
        <v>102</v>
      </c>
      <c r="G348" s="222" t="s">
        <v>102</v>
      </c>
      <c r="H348" s="222" t="s">
        <v>102</v>
      </c>
      <c r="I348" s="222" t="s">
        <v>102</v>
      </c>
      <c r="J348" s="222" t="s">
        <v>102</v>
      </c>
      <c r="K348" s="222" t="s">
        <v>102</v>
      </c>
      <c r="L348" s="222" t="s">
        <v>102</v>
      </c>
    </row>
    <row r="349" spans="1:12">
      <c r="A349" s="211">
        <v>33300</v>
      </c>
      <c r="B349" s="110" t="s">
        <v>146</v>
      </c>
      <c r="C349" s="222" t="s">
        <v>102</v>
      </c>
      <c r="D349" s="222" t="s">
        <v>102</v>
      </c>
      <c r="E349" s="222" t="s">
        <v>102</v>
      </c>
      <c r="F349" s="222" t="s">
        <v>102</v>
      </c>
      <c r="G349" s="222" t="s">
        <v>102</v>
      </c>
      <c r="H349" s="222" t="s">
        <v>102</v>
      </c>
      <c r="I349" s="222" t="s">
        <v>102</v>
      </c>
      <c r="J349" s="222" t="s">
        <v>102</v>
      </c>
      <c r="K349" s="222" t="s">
        <v>102</v>
      </c>
      <c r="L349" s="222" t="s">
        <v>102</v>
      </c>
    </row>
    <row r="350" spans="1:12">
      <c r="A350" s="211">
        <v>33400</v>
      </c>
      <c r="B350" s="110" t="s">
        <v>147</v>
      </c>
      <c r="C350" s="222" t="s">
        <v>102</v>
      </c>
      <c r="D350" s="222" t="s">
        <v>102</v>
      </c>
      <c r="E350" s="222" t="s">
        <v>102</v>
      </c>
      <c r="F350" s="222" t="s">
        <v>102</v>
      </c>
      <c r="G350" s="222" t="s">
        <v>102</v>
      </c>
      <c r="H350" s="222" t="s">
        <v>102</v>
      </c>
      <c r="I350" s="222" t="s">
        <v>102</v>
      </c>
      <c r="J350" s="222" t="s">
        <v>102</v>
      </c>
      <c r="K350" s="222" t="s">
        <v>102</v>
      </c>
      <c r="L350" s="222" t="s">
        <v>102</v>
      </c>
    </row>
    <row r="351" spans="1:12">
      <c r="A351" s="211">
        <v>33401</v>
      </c>
      <c r="B351" s="110" t="s">
        <v>634</v>
      </c>
      <c r="C351" s="222" t="s">
        <v>102</v>
      </c>
      <c r="D351" s="222" t="s">
        <v>102</v>
      </c>
      <c r="E351" s="222" t="s">
        <v>102</v>
      </c>
      <c r="F351" s="222" t="s">
        <v>102</v>
      </c>
      <c r="G351" s="222" t="s">
        <v>102</v>
      </c>
      <c r="H351" s="222" t="s">
        <v>102</v>
      </c>
      <c r="I351" s="222" t="s">
        <v>102</v>
      </c>
      <c r="J351" s="222" t="s">
        <v>102</v>
      </c>
      <c r="K351" s="222" t="s">
        <v>102</v>
      </c>
      <c r="L351" s="222" t="s">
        <v>102</v>
      </c>
    </row>
    <row r="352" spans="1:12">
      <c r="A352" s="109">
        <v>33402</v>
      </c>
      <c r="B352" s="110" t="s">
        <v>635</v>
      </c>
      <c r="C352" s="222" t="s">
        <v>102</v>
      </c>
      <c r="D352" s="222" t="s">
        <v>102</v>
      </c>
      <c r="E352" s="222" t="s">
        <v>102</v>
      </c>
      <c r="F352" s="222" t="s">
        <v>102</v>
      </c>
      <c r="G352" s="222" t="s">
        <v>102</v>
      </c>
      <c r="H352" s="222" t="s">
        <v>102</v>
      </c>
      <c r="I352" s="222" t="s">
        <v>102</v>
      </c>
      <c r="J352" s="222" t="s">
        <v>102</v>
      </c>
      <c r="K352" s="222" t="s">
        <v>102</v>
      </c>
      <c r="L352" s="222" t="s">
        <v>102</v>
      </c>
    </row>
    <row r="353" spans="1:12">
      <c r="A353" s="109">
        <v>335</v>
      </c>
      <c r="B353" s="110" t="s">
        <v>148</v>
      </c>
      <c r="C353" s="222" t="s">
        <v>102</v>
      </c>
      <c r="D353" s="222" t="s">
        <v>102</v>
      </c>
      <c r="E353" s="222" t="s">
        <v>102</v>
      </c>
      <c r="F353" s="222" t="s">
        <v>102</v>
      </c>
      <c r="G353" s="222" t="s">
        <v>102</v>
      </c>
      <c r="H353" s="222" t="s">
        <v>102</v>
      </c>
      <c r="I353" s="222" t="s">
        <v>102</v>
      </c>
      <c r="J353" s="222" t="s">
        <v>102</v>
      </c>
      <c r="K353" s="222" t="s">
        <v>102</v>
      </c>
      <c r="L353" s="222" t="s">
        <v>102</v>
      </c>
    </row>
    <row r="354" spans="1:12">
      <c r="A354" s="202">
        <v>33510</v>
      </c>
      <c r="B354" s="182" t="s">
        <v>149</v>
      </c>
      <c r="C354" s="172" t="s">
        <v>102</v>
      </c>
      <c r="D354" s="172" t="s">
        <v>102</v>
      </c>
      <c r="E354" s="172" t="s">
        <v>102</v>
      </c>
      <c r="F354" s="172" t="s">
        <v>102</v>
      </c>
      <c r="G354" s="172" t="s">
        <v>102</v>
      </c>
      <c r="H354" s="172" t="s">
        <v>102</v>
      </c>
      <c r="I354" s="172" t="s">
        <v>102</v>
      </c>
      <c r="J354" s="172" t="s">
        <v>102</v>
      </c>
      <c r="K354" s="172" t="s">
        <v>102</v>
      </c>
      <c r="L354" s="172" t="s">
        <v>102</v>
      </c>
    </row>
    <row r="355" spans="1:12">
      <c r="A355" s="109">
        <v>335101</v>
      </c>
      <c r="B355" s="110" t="s">
        <v>560</v>
      </c>
      <c r="C355" s="222" t="s">
        <v>102</v>
      </c>
      <c r="D355" s="222" t="s">
        <v>102</v>
      </c>
      <c r="E355" s="222" t="s">
        <v>102</v>
      </c>
      <c r="F355" s="222" t="s">
        <v>102</v>
      </c>
      <c r="G355" s="222" t="s">
        <v>102</v>
      </c>
      <c r="H355" s="222" t="s">
        <v>102</v>
      </c>
      <c r="I355" s="222" t="s">
        <v>102</v>
      </c>
      <c r="J355" s="222" t="s">
        <v>102</v>
      </c>
      <c r="K355" s="222" t="s">
        <v>102</v>
      </c>
      <c r="L355" s="222" t="s">
        <v>102</v>
      </c>
    </row>
    <row r="356" spans="1:12">
      <c r="A356" s="212">
        <v>335102</v>
      </c>
      <c r="B356" s="102" t="s">
        <v>561</v>
      </c>
      <c r="C356" s="222" t="s">
        <v>102</v>
      </c>
      <c r="D356" s="222" t="s">
        <v>102</v>
      </c>
      <c r="E356" s="222" t="s">
        <v>102</v>
      </c>
      <c r="F356" s="222" t="s">
        <v>102</v>
      </c>
      <c r="G356" s="222" t="s">
        <v>102</v>
      </c>
      <c r="H356" s="222" t="s">
        <v>102</v>
      </c>
      <c r="I356" s="222" t="s">
        <v>102</v>
      </c>
      <c r="J356" s="222" t="s">
        <v>102</v>
      </c>
      <c r="K356" s="222" t="s">
        <v>102</v>
      </c>
      <c r="L356" s="222" t="s">
        <v>102</v>
      </c>
    </row>
    <row r="357" spans="1:12">
      <c r="A357" s="212">
        <v>335103</v>
      </c>
      <c r="B357" s="102" t="s">
        <v>562</v>
      </c>
      <c r="C357" s="222" t="s">
        <v>102</v>
      </c>
      <c r="D357" s="222" t="s">
        <v>102</v>
      </c>
      <c r="E357" s="222" t="s">
        <v>102</v>
      </c>
      <c r="F357" s="222" t="s">
        <v>102</v>
      </c>
      <c r="G357" s="222" t="s">
        <v>102</v>
      </c>
      <c r="H357" s="222" t="s">
        <v>102</v>
      </c>
      <c r="I357" s="222" t="s">
        <v>102</v>
      </c>
      <c r="J357" s="222" t="s">
        <v>102</v>
      </c>
      <c r="K357" s="222" t="s">
        <v>102</v>
      </c>
      <c r="L357" s="222" t="s">
        <v>102</v>
      </c>
    </row>
    <row r="358" spans="1:12">
      <c r="A358" s="212">
        <v>335104</v>
      </c>
      <c r="B358" s="102" t="s">
        <v>563</v>
      </c>
      <c r="C358" s="222" t="s">
        <v>102</v>
      </c>
      <c r="D358" s="222" t="s">
        <v>102</v>
      </c>
      <c r="E358" s="222" t="s">
        <v>102</v>
      </c>
      <c r="F358" s="222" t="s">
        <v>102</v>
      </c>
      <c r="G358" s="222" t="s">
        <v>102</v>
      </c>
      <c r="H358" s="222" t="s">
        <v>102</v>
      </c>
      <c r="I358" s="222" t="s">
        <v>102</v>
      </c>
      <c r="J358" s="222" t="s">
        <v>102</v>
      </c>
      <c r="K358" s="222" t="s">
        <v>102</v>
      </c>
      <c r="L358" s="222" t="s">
        <v>102</v>
      </c>
    </row>
    <row r="359" spans="1:12">
      <c r="A359" s="212">
        <v>335105</v>
      </c>
      <c r="B359" s="102" t="s">
        <v>564</v>
      </c>
      <c r="C359" s="222" t="s">
        <v>102</v>
      </c>
      <c r="D359" s="222" t="s">
        <v>102</v>
      </c>
      <c r="E359" s="222" t="s">
        <v>102</v>
      </c>
      <c r="F359" s="222" t="s">
        <v>102</v>
      </c>
      <c r="G359" s="222" t="s">
        <v>102</v>
      </c>
      <c r="H359" s="222" t="s">
        <v>102</v>
      </c>
      <c r="I359" s="222" t="s">
        <v>102</v>
      </c>
      <c r="J359" s="222" t="s">
        <v>102</v>
      </c>
      <c r="K359" s="222" t="s">
        <v>102</v>
      </c>
      <c r="L359" s="222" t="s">
        <v>102</v>
      </c>
    </row>
    <row r="360" spans="1:12">
      <c r="A360" s="212">
        <v>335106</v>
      </c>
      <c r="B360" s="102" t="s">
        <v>565</v>
      </c>
      <c r="C360" s="222" t="s">
        <v>102</v>
      </c>
      <c r="D360" s="222" t="s">
        <v>102</v>
      </c>
      <c r="E360" s="222" t="s">
        <v>102</v>
      </c>
      <c r="F360" s="222" t="s">
        <v>102</v>
      </c>
      <c r="G360" s="222" t="s">
        <v>102</v>
      </c>
      <c r="H360" s="222" t="s">
        <v>102</v>
      </c>
      <c r="I360" s="222" t="s">
        <v>102</v>
      </c>
      <c r="J360" s="222" t="s">
        <v>102</v>
      </c>
      <c r="K360" s="222" t="s">
        <v>102</v>
      </c>
      <c r="L360" s="222" t="s">
        <v>102</v>
      </c>
    </row>
    <row r="361" spans="1:12">
      <c r="A361" s="212">
        <v>335107</v>
      </c>
      <c r="B361" s="102" t="s">
        <v>566</v>
      </c>
      <c r="C361" s="222" t="s">
        <v>102</v>
      </c>
      <c r="D361" s="222" t="s">
        <v>102</v>
      </c>
      <c r="E361" s="222" t="s">
        <v>102</v>
      </c>
      <c r="F361" s="222" t="s">
        <v>102</v>
      </c>
      <c r="G361" s="222" t="s">
        <v>102</v>
      </c>
      <c r="H361" s="222" t="s">
        <v>102</v>
      </c>
      <c r="I361" s="222" t="s">
        <v>102</v>
      </c>
      <c r="J361" s="222" t="s">
        <v>102</v>
      </c>
      <c r="K361" s="222" t="s">
        <v>102</v>
      </c>
      <c r="L361" s="222" t="s">
        <v>102</v>
      </c>
    </row>
    <row r="362" spans="1:12">
      <c r="A362" s="212">
        <v>335108</v>
      </c>
      <c r="B362" s="102" t="s">
        <v>567</v>
      </c>
      <c r="C362" s="222" t="s">
        <v>102</v>
      </c>
      <c r="D362" s="222" t="s">
        <v>102</v>
      </c>
      <c r="E362" s="222" t="s">
        <v>102</v>
      </c>
      <c r="F362" s="222" t="s">
        <v>102</v>
      </c>
      <c r="G362" s="222" t="s">
        <v>102</v>
      </c>
      <c r="H362" s="222" t="s">
        <v>102</v>
      </c>
      <c r="I362" s="222" t="s">
        <v>102</v>
      </c>
      <c r="J362" s="222" t="s">
        <v>102</v>
      </c>
      <c r="K362" s="222" t="s">
        <v>102</v>
      </c>
      <c r="L362" s="222" t="s">
        <v>102</v>
      </c>
    </row>
    <row r="363" spans="1:12">
      <c r="A363" s="212">
        <v>335109</v>
      </c>
      <c r="B363" s="102" t="s">
        <v>568</v>
      </c>
      <c r="C363" s="222" t="s">
        <v>102</v>
      </c>
      <c r="D363" s="222" t="s">
        <v>102</v>
      </c>
      <c r="E363" s="222" t="s">
        <v>102</v>
      </c>
      <c r="F363" s="222" t="s">
        <v>102</v>
      </c>
      <c r="G363" s="222" t="s">
        <v>102</v>
      </c>
      <c r="H363" s="222" t="s">
        <v>102</v>
      </c>
      <c r="I363" s="222" t="s">
        <v>102</v>
      </c>
      <c r="J363" s="222" t="s">
        <v>102</v>
      </c>
      <c r="K363" s="222" t="s">
        <v>102</v>
      </c>
      <c r="L363" s="222" t="s">
        <v>102</v>
      </c>
    </row>
    <row r="364" spans="1:12">
      <c r="A364" s="212">
        <v>335110</v>
      </c>
      <c r="B364" s="102" t="s">
        <v>569</v>
      </c>
      <c r="C364" s="222" t="s">
        <v>102</v>
      </c>
      <c r="D364" s="222" t="s">
        <v>102</v>
      </c>
      <c r="E364" s="222" t="s">
        <v>102</v>
      </c>
      <c r="F364" s="222" t="s">
        <v>102</v>
      </c>
      <c r="G364" s="222" t="s">
        <v>102</v>
      </c>
      <c r="H364" s="222" t="s">
        <v>102</v>
      </c>
      <c r="I364" s="222" t="s">
        <v>102</v>
      </c>
      <c r="J364" s="222" t="s">
        <v>102</v>
      </c>
      <c r="K364" s="222" t="s">
        <v>102</v>
      </c>
      <c r="L364" s="222" t="s">
        <v>102</v>
      </c>
    </row>
    <row r="365" spans="1:12">
      <c r="A365" s="212">
        <v>335111</v>
      </c>
      <c r="B365" s="102" t="s">
        <v>570</v>
      </c>
      <c r="C365" s="222" t="s">
        <v>102</v>
      </c>
      <c r="D365" s="222" t="s">
        <v>102</v>
      </c>
      <c r="E365" s="222" t="s">
        <v>102</v>
      </c>
      <c r="F365" s="222" t="s">
        <v>102</v>
      </c>
      <c r="G365" s="222" t="s">
        <v>102</v>
      </c>
      <c r="H365" s="222" t="s">
        <v>102</v>
      </c>
      <c r="I365" s="222" t="s">
        <v>102</v>
      </c>
      <c r="J365" s="222" t="s">
        <v>102</v>
      </c>
      <c r="K365" s="222" t="s">
        <v>102</v>
      </c>
      <c r="L365" s="222" t="s">
        <v>102</v>
      </c>
    </row>
    <row r="366" spans="1:12">
      <c r="A366" s="212">
        <v>335112</v>
      </c>
      <c r="B366" s="102" t="s">
        <v>571</v>
      </c>
      <c r="C366" s="222" t="s">
        <v>102</v>
      </c>
      <c r="D366" s="222" t="s">
        <v>102</v>
      </c>
      <c r="E366" s="222" t="s">
        <v>102</v>
      </c>
      <c r="F366" s="222" t="s">
        <v>102</v>
      </c>
      <c r="G366" s="222" t="s">
        <v>102</v>
      </c>
      <c r="H366" s="222" t="s">
        <v>102</v>
      </c>
      <c r="I366" s="222" t="s">
        <v>102</v>
      </c>
      <c r="J366" s="222" t="s">
        <v>102</v>
      </c>
      <c r="K366" s="222" t="s">
        <v>102</v>
      </c>
      <c r="L366" s="222" t="s">
        <v>102</v>
      </c>
    </row>
    <row r="367" spans="1:12">
      <c r="A367" s="212">
        <v>335113</v>
      </c>
      <c r="B367" s="102" t="s">
        <v>572</v>
      </c>
      <c r="C367" s="222" t="s">
        <v>102</v>
      </c>
      <c r="D367" s="222" t="s">
        <v>102</v>
      </c>
      <c r="E367" s="222" t="s">
        <v>102</v>
      </c>
      <c r="F367" s="222" t="s">
        <v>102</v>
      </c>
      <c r="G367" s="222" t="s">
        <v>102</v>
      </c>
      <c r="H367" s="222" t="s">
        <v>102</v>
      </c>
      <c r="I367" s="222" t="s">
        <v>102</v>
      </c>
      <c r="J367" s="222" t="s">
        <v>102</v>
      </c>
      <c r="K367" s="222" t="s">
        <v>102</v>
      </c>
      <c r="L367" s="222" t="s">
        <v>102</v>
      </c>
    </row>
    <row r="368" spans="1:12">
      <c r="A368" s="212">
        <v>33520</v>
      </c>
      <c r="B368" s="102" t="s">
        <v>150</v>
      </c>
      <c r="C368" s="222" t="s">
        <v>102</v>
      </c>
      <c r="D368" s="222" t="s">
        <v>102</v>
      </c>
      <c r="E368" s="222" t="s">
        <v>102</v>
      </c>
      <c r="F368" s="222" t="s">
        <v>102</v>
      </c>
      <c r="G368" s="222" t="s">
        <v>102</v>
      </c>
      <c r="H368" s="222" t="s">
        <v>102</v>
      </c>
      <c r="I368" s="222" t="s">
        <v>102</v>
      </c>
      <c r="J368" s="222" t="s">
        <v>102</v>
      </c>
      <c r="K368" s="222" t="s">
        <v>102</v>
      </c>
      <c r="L368" s="222" t="s">
        <v>102</v>
      </c>
    </row>
    <row r="369" spans="1:12">
      <c r="A369" s="211">
        <v>336</v>
      </c>
      <c r="B369" s="110" t="s">
        <v>151</v>
      </c>
      <c r="C369" s="222" t="s">
        <v>102</v>
      </c>
      <c r="D369" s="222" t="s">
        <v>102</v>
      </c>
      <c r="E369" s="222" t="s">
        <v>102</v>
      </c>
      <c r="F369" s="222" t="s">
        <v>102</v>
      </c>
      <c r="G369" s="222" t="s">
        <v>102</v>
      </c>
      <c r="H369" s="222" t="s">
        <v>102</v>
      </c>
      <c r="I369" s="222" t="s">
        <v>102</v>
      </c>
      <c r="J369" s="222" t="s">
        <v>102</v>
      </c>
      <c r="K369" s="222" t="s">
        <v>102</v>
      </c>
      <c r="L369" s="222" t="s">
        <v>102</v>
      </c>
    </row>
    <row r="370" spans="1:12">
      <c r="A370" s="202">
        <v>3361</v>
      </c>
      <c r="B370" s="182" t="s">
        <v>152</v>
      </c>
      <c r="C370" s="172" t="s">
        <v>102</v>
      </c>
      <c r="D370" s="172" t="s">
        <v>102</v>
      </c>
      <c r="E370" s="172" t="s">
        <v>102</v>
      </c>
      <c r="F370" s="172" t="s">
        <v>102</v>
      </c>
      <c r="G370" s="172" t="s">
        <v>102</v>
      </c>
      <c r="H370" s="172" t="s">
        <v>102</v>
      </c>
      <c r="I370" s="172" t="s">
        <v>102</v>
      </c>
      <c r="J370" s="172" t="s">
        <v>102</v>
      </c>
      <c r="K370" s="172" t="s">
        <v>102</v>
      </c>
      <c r="L370" s="172" t="s">
        <v>102</v>
      </c>
    </row>
    <row ht="25.5" r="371" spans="1:12">
      <c r="A371" s="202">
        <v>33611</v>
      </c>
      <c r="B371" s="182" t="s">
        <v>153</v>
      </c>
      <c r="C371" s="172" t="s">
        <v>102</v>
      </c>
      <c r="D371" s="172" t="s">
        <v>102</v>
      </c>
      <c r="E371" s="172" t="s">
        <v>102</v>
      </c>
      <c r="F371" s="172" t="s">
        <v>102</v>
      </c>
      <c r="G371" s="172" t="s">
        <v>102</v>
      </c>
      <c r="H371" s="172" t="s">
        <v>102</v>
      </c>
      <c r="I371" s="172" t="s">
        <v>102</v>
      </c>
      <c r="J371" s="172" t="s">
        <v>102</v>
      </c>
      <c r="K371" s="172" t="s">
        <v>102</v>
      </c>
      <c r="L371" s="172" t="s">
        <v>102</v>
      </c>
    </row>
    <row r="372" spans="1:12">
      <c r="A372" s="211">
        <v>33612</v>
      </c>
      <c r="B372" s="110" t="s">
        <v>154</v>
      </c>
      <c r="C372" s="222" t="s">
        <v>102</v>
      </c>
      <c r="D372" s="222" t="s">
        <v>102</v>
      </c>
      <c r="E372" s="222" t="s">
        <v>102</v>
      </c>
      <c r="F372" s="222" t="s">
        <v>102</v>
      </c>
      <c r="G372" s="222" t="s">
        <v>102</v>
      </c>
      <c r="H372" s="222" t="s">
        <v>102</v>
      </c>
      <c r="I372" s="222" t="s">
        <v>102</v>
      </c>
      <c r="J372" s="222" t="s">
        <v>102</v>
      </c>
      <c r="K372" s="222" t="s">
        <v>102</v>
      </c>
      <c r="L372" s="222" t="s">
        <v>102</v>
      </c>
    </row>
    <row r="373" spans="1:12">
      <c r="A373" s="211">
        <v>33613</v>
      </c>
      <c r="B373" s="110" t="s">
        <v>155</v>
      </c>
      <c r="C373" s="222" t="s">
        <v>102</v>
      </c>
      <c r="D373" s="222" t="s">
        <v>102</v>
      </c>
      <c r="E373" s="222" t="s">
        <v>102</v>
      </c>
      <c r="F373" s="222" t="s">
        <v>102</v>
      </c>
      <c r="G373" s="222" t="s">
        <v>102</v>
      </c>
      <c r="H373" s="222" t="s">
        <v>102</v>
      </c>
      <c r="I373" s="222" t="s">
        <v>102</v>
      </c>
      <c r="J373" s="222" t="s">
        <v>102</v>
      </c>
      <c r="K373" s="222" t="s">
        <v>102</v>
      </c>
      <c r="L373" s="222" t="s">
        <v>102</v>
      </c>
    </row>
    <row r="374" spans="1:12">
      <c r="A374" s="211">
        <v>33614</v>
      </c>
      <c r="B374" s="110" t="s">
        <v>156</v>
      </c>
      <c r="C374" s="222" t="s">
        <v>102</v>
      </c>
      <c r="D374" s="222" t="s">
        <v>102</v>
      </c>
      <c r="E374" s="222" t="s">
        <v>102</v>
      </c>
      <c r="F374" s="222" t="s">
        <v>102</v>
      </c>
      <c r="G374" s="222" t="s">
        <v>102</v>
      </c>
      <c r="H374" s="222" t="s">
        <v>102</v>
      </c>
      <c r="I374" s="222" t="s">
        <v>102</v>
      </c>
      <c r="J374" s="222" t="s">
        <v>102</v>
      </c>
      <c r="K374" s="222" t="s">
        <v>102</v>
      </c>
      <c r="L374" s="222" t="s">
        <v>102</v>
      </c>
    </row>
    <row r="375" spans="1:12">
      <c r="A375" s="211">
        <v>33615</v>
      </c>
      <c r="B375" s="110" t="s">
        <v>157</v>
      </c>
      <c r="C375" s="222" t="s">
        <v>102</v>
      </c>
      <c r="D375" s="222" t="s">
        <v>102</v>
      </c>
      <c r="E375" s="222" t="s">
        <v>102</v>
      </c>
      <c r="F375" s="222" t="s">
        <v>102</v>
      </c>
      <c r="G375" s="222" t="s">
        <v>102</v>
      </c>
      <c r="H375" s="222" t="s">
        <v>102</v>
      </c>
      <c r="I375" s="222" t="s">
        <v>102</v>
      </c>
      <c r="J375" s="222" t="s">
        <v>102</v>
      </c>
      <c r="K375" s="222" t="s">
        <v>102</v>
      </c>
      <c r="L375" s="222" t="s">
        <v>102</v>
      </c>
    </row>
    <row r="376" spans="1:12">
      <c r="A376" s="211">
        <v>3362</v>
      </c>
      <c r="B376" s="110" t="s">
        <v>158</v>
      </c>
      <c r="C376" s="222" t="s">
        <v>102</v>
      </c>
      <c r="D376" s="222" t="s">
        <v>102</v>
      </c>
      <c r="E376" s="222" t="s">
        <v>102</v>
      </c>
      <c r="F376" s="222" t="s">
        <v>102</v>
      </c>
      <c r="G376" s="222" t="s">
        <v>102</v>
      </c>
      <c r="H376" s="222" t="s">
        <v>102</v>
      </c>
      <c r="I376" s="222" t="s">
        <v>102</v>
      </c>
      <c r="J376" s="222" t="s">
        <v>102</v>
      </c>
      <c r="K376" s="222" t="s">
        <v>102</v>
      </c>
      <c r="L376" s="222" t="s">
        <v>102</v>
      </c>
    </row>
    <row ht="25.5" r="377" spans="1:12">
      <c r="A377" s="202">
        <v>33621</v>
      </c>
      <c r="B377" s="182" t="s">
        <v>153</v>
      </c>
      <c r="C377" s="172" t="s">
        <v>102</v>
      </c>
      <c r="D377" s="172" t="s">
        <v>102</v>
      </c>
      <c r="E377" s="172" t="s">
        <v>102</v>
      </c>
      <c r="F377" s="172" t="s">
        <v>102</v>
      </c>
      <c r="G377" s="172" t="s">
        <v>102</v>
      </c>
      <c r="H377" s="172" t="s">
        <v>102</v>
      </c>
      <c r="I377" s="172" t="s">
        <v>102</v>
      </c>
      <c r="J377" s="172" t="s">
        <v>102</v>
      </c>
      <c r="K377" s="172" t="s">
        <v>102</v>
      </c>
      <c r="L377" s="172" t="s">
        <v>102</v>
      </c>
    </row>
    <row r="378" spans="1:12">
      <c r="A378" s="211">
        <v>33622</v>
      </c>
      <c r="B378" s="110" t="s">
        <v>156</v>
      </c>
      <c r="C378" s="222" t="s">
        <v>102</v>
      </c>
      <c r="D378" s="222" t="s">
        <v>102</v>
      </c>
      <c r="E378" s="222" t="s">
        <v>102</v>
      </c>
      <c r="F378" s="222" t="s">
        <v>102</v>
      </c>
      <c r="G378" s="222" t="s">
        <v>102</v>
      </c>
      <c r="H378" s="222" t="s">
        <v>102</v>
      </c>
      <c r="I378" s="222" t="s">
        <v>102</v>
      </c>
      <c r="J378" s="222" t="s">
        <v>102</v>
      </c>
      <c r="K378" s="222" t="s">
        <v>102</v>
      </c>
      <c r="L378" s="222" t="s">
        <v>102</v>
      </c>
    </row>
    <row r="379" spans="1:12">
      <c r="A379" s="211">
        <v>33623</v>
      </c>
      <c r="B379" s="110" t="s">
        <v>157</v>
      </c>
      <c r="C379" s="222" t="s">
        <v>102</v>
      </c>
      <c r="D379" s="222" t="s">
        <v>102</v>
      </c>
      <c r="E379" s="222" t="s">
        <v>102</v>
      </c>
      <c r="F379" s="222" t="s">
        <v>102</v>
      </c>
      <c r="G379" s="222" t="s">
        <v>102</v>
      </c>
      <c r="H379" s="222" t="s">
        <v>102</v>
      </c>
      <c r="I379" s="222" t="s">
        <v>102</v>
      </c>
      <c r="J379" s="222" t="s">
        <v>102</v>
      </c>
      <c r="K379" s="222" t="s">
        <v>102</v>
      </c>
      <c r="L379" s="222" t="s">
        <v>102</v>
      </c>
    </row>
    <row r="380" spans="1:12">
      <c r="A380" s="211">
        <v>34</v>
      </c>
      <c r="B380" s="110" t="s">
        <v>160</v>
      </c>
      <c r="C380" s="222" t="s">
        <v>102</v>
      </c>
      <c r="D380" s="222" t="s">
        <v>102</v>
      </c>
      <c r="E380" s="222" t="s">
        <v>102</v>
      </c>
      <c r="F380" s="222" t="s">
        <v>102</v>
      </c>
      <c r="G380" s="222" t="s">
        <v>102</v>
      </c>
      <c r="H380" s="222" t="s">
        <v>102</v>
      </c>
      <c r="I380" s="222" t="s">
        <v>102</v>
      </c>
      <c r="J380" s="222" t="s">
        <v>102</v>
      </c>
      <c r="K380" s="222" t="s">
        <v>102</v>
      </c>
      <c r="L380" s="222" t="s">
        <v>102</v>
      </c>
    </row>
    <row r="381" spans="1:12">
      <c r="A381" s="199">
        <v>34100</v>
      </c>
      <c r="B381" s="182" t="s">
        <v>161</v>
      </c>
      <c r="C381" s="172" t="s">
        <v>102</v>
      </c>
      <c r="D381" s="172" t="s">
        <v>102</v>
      </c>
      <c r="E381" s="172" t="s">
        <v>102</v>
      </c>
      <c r="F381" s="172" t="s">
        <v>102</v>
      </c>
      <c r="G381" s="172" t="s">
        <v>102</v>
      </c>
      <c r="H381" s="172" t="s">
        <v>102</v>
      </c>
      <c r="I381" s="172" t="s">
        <v>102</v>
      </c>
      <c r="J381" s="172" t="s">
        <v>102</v>
      </c>
      <c r="K381" s="172" t="s">
        <v>102</v>
      </c>
      <c r="L381" s="172" t="s">
        <v>102</v>
      </c>
    </row>
    <row r="382" spans="1:12">
      <c r="A382" s="211">
        <v>34200</v>
      </c>
      <c r="B382" s="110" t="s">
        <v>162</v>
      </c>
      <c r="C382" s="222" t="s">
        <v>102</v>
      </c>
      <c r="D382" s="222" t="s">
        <v>102</v>
      </c>
      <c r="E382" s="222" t="s">
        <v>102</v>
      </c>
      <c r="F382" s="222" t="s">
        <v>102</v>
      </c>
      <c r="G382" s="222" t="s">
        <v>102</v>
      </c>
      <c r="H382" s="222" t="s">
        <v>102</v>
      </c>
      <c r="I382" s="222" t="s">
        <v>102</v>
      </c>
      <c r="J382" s="222" t="s">
        <v>102</v>
      </c>
      <c r="K382" s="222" t="s">
        <v>102</v>
      </c>
      <c r="L382" s="222" t="s">
        <v>102</v>
      </c>
    </row>
    <row r="383" spans="1:12">
      <c r="A383" s="211">
        <v>34300</v>
      </c>
      <c r="B383" s="110" t="s">
        <v>163</v>
      </c>
      <c r="C383" s="222" t="s">
        <v>102</v>
      </c>
      <c r="D383" s="222" t="s">
        <v>102</v>
      </c>
      <c r="E383" s="222" t="s">
        <v>102</v>
      </c>
      <c r="F383" s="222" t="s">
        <v>102</v>
      </c>
      <c r="G383" s="222" t="s">
        <v>102</v>
      </c>
      <c r="H383" s="222" t="s">
        <v>102</v>
      </c>
      <c r="I383" s="222" t="s">
        <v>102</v>
      </c>
      <c r="J383" s="222" t="s">
        <v>102</v>
      </c>
      <c r="K383" s="222" t="s">
        <v>102</v>
      </c>
      <c r="L383" s="222" t="s">
        <v>102</v>
      </c>
    </row>
    <row r="384" spans="1:12">
      <c r="A384" s="211">
        <v>34400</v>
      </c>
      <c r="B384" s="110" t="s">
        <v>164</v>
      </c>
      <c r="C384" s="222" t="s">
        <v>102</v>
      </c>
      <c r="D384" s="222" t="s">
        <v>102</v>
      </c>
      <c r="E384" s="222" t="s">
        <v>102</v>
      </c>
      <c r="F384" s="222" t="s">
        <v>102</v>
      </c>
      <c r="G384" s="222" t="s">
        <v>102</v>
      </c>
      <c r="H384" s="222" t="s">
        <v>102</v>
      </c>
      <c r="I384" s="222" t="s">
        <v>102</v>
      </c>
      <c r="J384" s="222" t="s">
        <v>102</v>
      </c>
      <c r="K384" s="222" t="s">
        <v>102</v>
      </c>
      <c r="L384" s="222" t="s">
        <v>102</v>
      </c>
    </row>
    <row r="385" spans="1:12">
      <c r="A385" s="211">
        <v>34500</v>
      </c>
      <c r="B385" s="110" t="s">
        <v>165</v>
      </c>
      <c r="C385" s="222" t="s">
        <v>102</v>
      </c>
      <c r="D385" s="222" t="s">
        <v>102</v>
      </c>
      <c r="E385" s="222" t="s">
        <v>102</v>
      </c>
      <c r="F385" s="222" t="s">
        <v>102</v>
      </c>
      <c r="G385" s="222" t="s">
        <v>102</v>
      </c>
      <c r="H385" s="222" t="s">
        <v>102</v>
      </c>
      <c r="I385" s="222" t="s">
        <v>102</v>
      </c>
      <c r="J385" s="222" t="s">
        <v>102</v>
      </c>
      <c r="K385" s="222" t="s">
        <v>102</v>
      </c>
      <c r="L385" s="222" t="s">
        <v>102</v>
      </c>
    </row>
    <row r="386" spans="1:12">
      <c r="A386" s="211">
        <v>34600</v>
      </c>
      <c r="B386" s="110" t="s">
        <v>166</v>
      </c>
      <c r="C386" s="222" t="s">
        <v>102</v>
      </c>
      <c r="D386" s="222" t="s">
        <v>102</v>
      </c>
      <c r="E386" s="222" t="s">
        <v>102</v>
      </c>
      <c r="F386" s="222" t="s">
        <v>102</v>
      </c>
      <c r="G386" s="222" t="s">
        <v>102</v>
      </c>
      <c r="H386" s="222" t="s">
        <v>102</v>
      </c>
      <c r="I386" s="222" t="s">
        <v>102</v>
      </c>
      <c r="J386" s="222" t="s">
        <v>102</v>
      </c>
      <c r="K386" s="222" t="s">
        <v>102</v>
      </c>
      <c r="L386" s="222" t="s">
        <v>102</v>
      </c>
    </row>
    <row r="387" spans="1:12">
      <c r="A387" s="211">
        <v>3471</v>
      </c>
      <c r="B387" s="110" t="s">
        <v>167</v>
      </c>
      <c r="C387" s="222" t="s">
        <v>102</v>
      </c>
      <c r="D387" s="222" t="s">
        <v>102</v>
      </c>
      <c r="E387" s="222" t="s">
        <v>102</v>
      </c>
      <c r="F387" s="222" t="s">
        <v>102</v>
      </c>
      <c r="G387" s="222" t="s">
        <v>102</v>
      </c>
      <c r="H387" s="222" t="s">
        <v>102</v>
      </c>
      <c r="I387" s="222" t="s">
        <v>102</v>
      </c>
      <c r="J387" s="222" t="s">
        <v>102</v>
      </c>
      <c r="K387" s="222" t="s">
        <v>102</v>
      </c>
      <c r="L387" s="222" t="s">
        <v>102</v>
      </c>
    </row>
    <row r="388" spans="1:12">
      <c r="A388" s="202">
        <v>34711</v>
      </c>
      <c r="B388" s="182" t="s">
        <v>168</v>
      </c>
      <c r="C388" s="172" t="s">
        <v>102</v>
      </c>
      <c r="D388" s="172" t="s">
        <v>102</v>
      </c>
      <c r="E388" s="172" t="s">
        <v>102</v>
      </c>
      <c r="F388" s="172" t="s">
        <v>102</v>
      </c>
      <c r="G388" s="172" t="s">
        <v>102</v>
      </c>
      <c r="H388" s="172" t="s">
        <v>102</v>
      </c>
      <c r="I388" s="172" t="s">
        <v>102</v>
      </c>
      <c r="J388" s="172" t="s">
        <v>102</v>
      </c>
      <c r="K388" s="172" t="s">
        <v>102</v>
      </c>
      <c r="L388" s="172" t="s">
        <v>102</v>
      </c>
    </row>
    <row r="389" spans="1:12">
      <c r="A389" s="211">
        <v>34712</v>
      </c>
      <c r="B389" s="110" t="s">
        <v>169</v>
      </c>
      <c r="C389" s="222" t="s">
        <v>102</v>
      </c>
      <c r="D389" s="222" t="s">
        <v>102</v>
      </c>
      <c r="E389" s="222" t="s">
        <v>102</v>
      </c>
      <c r="F389" s="222" t="s">
        <v>102</v>
      </c>
      <c r="G389" s="222" t="s">
        <v>102</v>
      </c>
      <c r="H389" s="222" t="s">
        <v>102</v>
      </c>
      <c r="I389" s="222" t="s">
        <v>102</v>
      </c>
      <c r="J389" s="222" t="s">
        <v>102</v>
      </c>
      <c r="K389" s="222" t="s">
        <v>102</v>
      </c>
      <c r="L389" s="222" t="s">
        <v>102</v>
      </c>
    </row>
    <row r="390" spans="1:12">
      <c r="A390" s="211">
        <v>34713</v>
      </c>
      <c r="B390" s="110" t="s">
        <v>170</v>
      </c>
      <c r="C390" s="222" t="s">
        <v>102</v>
      </c>
      <c r="D390" s="222" t="s">
        <v>102</v>
      </c>
      <c r="E390" s="222" t="s">
        <v>102</v>
      </c>
      <c r="F390" s="222" t="s">
        <v>102</v>
      </c>
      <c r="G390" s="222" t="s">
        <v>102</v>
      </c>
      <c r="H390" s="222" t="s">
        <v>102</v>
      </c>
      <c r="I390" s="222" t="s">
        <v>102</v>
      </c>
      <c r="J390" s="222" t="s">
        <v>102</v>
      </c>
      <c r="K390" s="222" t="s">
        <v>102</v>
      </c>
      <c r="L390" s="222" t="s">
        <v>102</v>
      </c>
    </row>
    <row r="391" spans="1:12">
      <c r="A391" s="211">
        <v>34714</v>
      </c>
      <c r="B391" s="110" t="s">
        <v>171</v>
      </c>
      <c r="C391" s="222" t="s">
        <v>102</v>
      </c>
      <c r="D391" s="222" t="s">
        <v>102</v>
      </c>
      <c r="E391" s="222" t="s">
        <v>102</v>
      </c>
      <c r="F391" s="222" t="s">
        <v>102</v>
      </c>
      <c r="G391" s="222" t="s">
        <v>102</v>
      </c>
      <c r="H391" s="222" t="s">
        <v>102</v>
      </c>
      <c r="I391" s="222" t="s">
        <v>102</v>
      </c>
      <c r="J391" s="222" t="s">
        <v>102</v>
      </c>
      <c r="K391" s="222" t="s">
        <v>102</v>
      </c>
      <c r="L391" s="222" t="s">
        <v>102</v>
      </c>
    </row>
    <row r="392" spans="1:12">
      <c r="A392" s="211">
        <v>35</v>
      </c>
      <c r="B392" s="110" t="s">
        <v>173</v>
      </c>
      <c r="C392" s="222" t="s">
        <v>102</v>
      </c>
      <c r="D392" s="222" t="s">
        <v>102</v>
      </c>
      <c r="E392" s="222" t="s">
        <v>102</v>
      </c>
      <c r="F392" s="222" t="s">
        <v>102</v>
      </c>
      <c r="G392" s="222" t="s">
        <v>102</v>
      </c>
      <c r="H392" s="222" t="s">
        <v>102</v>
      </c>
      <c r="I392" s="222" t="s">
        <v>102</v>
      </c>
      <c r="J392" s="222" t="s">
        <v>102</v>
      </c>
      <c r="K392" s="222" t="s">
        <v>102</v>
      </c>
      <c r="L392" s="222" t="s">
        <v>102</v>
      </c>
    </row>
    <row r="393" spans="1:12">
      <c r="A393" s="199">
        <v>351</v>
      </c>
      <c r="B393" s="182" t="s">
        <v>448</v>
      </c>
      <c r="C393" s="172" t="s">
        <v>102</v>
      </c>
      <c r="D393" s="172" t="s">
        <v>102</v>
      </c>
      <c r="E393" s="172" t="s">
        <v>102</v>
      </c>
      <c r="F393" s="172" t="s">
        <v>102</v>
      </c>
      <c r="G393" s="172" t="s">
        <v>102</v>
      </c>
      <c r="H393" s="172" t="s">
        <v>102</v>
      </c>
      <c r="I393" s="172" t="s">
        <v>102</v>
      </c>
      <c r="J393" s="172" t="s">
        <v>102</v>
      </c>
      <c r="K393" s="172" t="s">
        <v>102</v>
      </c>
      <c r="L393" s="172" t="s">
        <v>102</v>
      </c>
    </row>
    <row r="394" spans="1:12">
      <c r="A394" s="202">
        <v>35110</v>
      </c>
      <c r="B394" s="182" t="s">
        <v>175</v>
      </c>
      <c r="C394" s="172" t="s">
        <v>102</v>
      </c>
      <c r="D394" s="172" t="s">
        <v>102</v>
      </c>
      <c r="E394" s="172" t="s">
        <v>102</v>
      </c>
      <c r="F394" s="172" t="s">
        <v>102</v>
      </c>
      <c r="G394" s="172" t="s">
        <v>102</v>
      </c>
      <c r="H394" s="172" t="s">
        <v>102</v>
      </c>
      <c r="I394" s="172" t="s">
        <v>102</v>
      </c>
      <c r="J394" s="172" t="s">
        <v>102</v>
      </c>
      <c r="K394" s="172" t="s">
        <v>102</v>
      </c>
      <c r="L394" s="172" t="s">
        <v>102</v>
      </c>
    </row>
    <row r="395" spans="1:12">
      <c r="A395" s="211">
        <v>35130</v>
      </c>
      <c r="B395" s="110" t="s">
        <v>177</v>
      </c>
      <c r="C395" s="222" t="s">
        <v>102</v>
      </c>
      <c r="D395" s="222" t="s">
        <v>102</v>
      </c>
      <c r="E395" s="222" t="s">
        <v>102</v>
      </c>
      <c r="F395" s="222" t="s">
        <v>102</v>
      </c>
      <c r="G395" s="222" t="s">
        <v>102</v>
      </c>
      <c r="H395" s="222" t="s">
        <v>102</v>
      </c>
      <c r="I395" s="222" t="s">
        <v>102</v>
      </c>
      <c r="J395" s="222" t="s">
        <v>102</v>
      </c>
      <c r="K395" s="222" t="s">
        <v>102</v>
      </c>
      <c r="L395" s="222" t="s">
        <v>102</v>
      </c>
    </row>
    <row r="396" spans="1:12">
      <c r="A396" s="211">
        <v>35200</v>
      </c>
      <c r="B396" s="110" t="s">
        <v>179</v>
      </c>
      <c r="C396" s="222" t="s">
        <v>102</v>
      </c>
      <c r="D396" s="222" t="s">
        <v>102</v>
      </c>
      <c r="E396" s="222" t="s">
        <v>102</v>
      </c>
      <c r="F396" s="222" t="s">
        <v>102</v>
      </c>
      <c r="G396" s="222" t="s">
        <v>102</v>
      </c>
      <c r="H396" s="222" t="s">
        <v>102</v>
      </c>
      <c r="I396" s="222" t="s">
        <v>102</v>
      </c>
      <c r="J396" s="222" t="s">
        <v>102</v>
      </c>
      <c r="K396" s="222" t="s">
        <v>102</v>
      </c>
      <c r="L396" s="222" t="s">
        <v>102</v>
      </c>
    </row>
    <row r="397" spans="1:12">
      <c r="A397" s="211">
        <v>35300</v>
      </c>
      <c r="B397" s="110" t="s">
        <v>181</v>
      </c>
      <c r="C397" s="222" t="s">
        <v>102</v>
      </c>
      <c r="D397" s="222" t="s">
        <v>102</v>
      </c>
      <c r="E397" s="222" t="s">
        <v>102</v>
      </c>
      <c r="F397" s="222" t="s">
        <v>102</v>
      </c>
      <c r="G397" s="222" t="s">
        <v>102</v>
      </c>
      <c r="H397" s="222" t="s">
        <v>102</v>
      </c>
      <c r="I397" s="222" t="s">
        <v>102</v>
      </c>
      <c r="J397" s="222" t="s">
        <v>102</v>
      </c>
      <c r="K397" s="222" t="s">
        <v>102</v>
      </c>
      <c r="L397" s="222" t="s">
        <v>102</v>
      </c>
    </row>
    <row r="398" spans="1:12">
      <c r="A398" s="211">
        <v>354</v>
      </c>
      <c r="B398" s="110" t="s">
        <v>182</v>
      </c>
      <c r="C398" s="222" t="s">
        <v>102</v>
      </c>
      <c r="D398" s="222" t="s">
        <v>102</v>
      </c>
      <c r="E398" s="222" t="s">
        <v>102</v>
      </c>
      <c r="F398" s="222" t="s">
        <v>102</v>
      </c>
      <c r="G398" s="222" t="s">
        <v>102</v>
      </c>
      <c r="H398" s="222" t="s">
        <v>102</v>
      </c>
      <c r="I398" s="222" t="s">
        <v>102</v>
      </c>
      <c r="J398" s="222" t="s">
        <v>102</v>
      </c>
      <c r="K398" s="222" t="s">
        <v>102</v>
      </c>
      <c r="L398" s="222" t="s">
        <v>102</v>
      </c>
    </row>
    <row r="399" spans="1:12">
      <c r="A399" s="202">
        <v>35410</v>
      </c>
      <c r="B399" s="182" t="s">
        <v>184</v>
      </c>
      <c r="C399" s="172" t="s">
        <v>102</v>
      </c>
      <c r="D399" s="172" t="s">
        <v>102</v>
      </c>
      <c r="E399" s="172" t="s">
        <v>102</v>
      </c>
      <c r="F399" s="172" t="s">
        <v>102</v>
      </c>
      <c r="G399" s="172" t="s">
        <v>102</v>
      </c>
      <c r="H399" s="172" t="s">
        <v>102</v>
      </c>
      <c r="I399" s="172" t="s">
        <v>102</v>
      </c>
      <c r="J399" s="172" t="s">
        <v>102</v>
      </c>
      <c r="K399" s="172" t="s">
        <v>102</v>
      </c>
      <c r="L399" s="172" t="s">
        <v>102</v>
      </c>
    </row>
    <row r="400" spans="1:12">
      <c r="A400" s="211">
        <v>35420</v>
      </c>
      <c r="B400" s="110" t="s">
        <v>186</v>
      </c>
      <c r="C400" s="222" t="s">
        <v>102</v>
      </c>
      <c r="D400" s="222" t="s">
        <v>102</v>
      </c>
      <c r="E400" s="222" t="s">
        <v>102</v>
      </c>
      <c r="F400" s="222" t="s">
        <v>102</v>
      </c>
      <c r="G400" s="222" t="s">
        <v>102</v>
      </c>
      <c r="H400" s="222" t="s">
        <v>102</v>
      </c>
      <c r="I400" s="222" t="s">
        <v>102</v>
      </c>
      <c r="J400" s="222" t="s">
        <v>102</v>
      </c>
      <c r="K400" s="222" t="s">
        <v>102</v>
      </c>
      <c r="L400" s="222" t="s">
        <v>102</v>
      </c>
    </row>
    <row r="401" spans="1:12">
      <c r="A401" s="211">
        <v>35430</v>
      </c>
      <c r="B401" s="110" t="s">
        <v>188</v>
      </c>
      <c r="C401" s="222" t="s">
        <v>102</v>
      </c>
      <c r="D401" s="222" t="s">
        <v>102</v>
      </c>
      <c r="E401" s="222" t="s">
        <v>102</v>
      </c>
      <c r="F401" s="222" t="s">
        <v>102</v>
      </c>
      <c r="G401" s="222" t="s">
        <v>102</v>
      </c>
      <c r="H401" s="222" t="s">
        <v>102</v>
      </c>
      <c r="I401" s="222" t="s">
        <v>102</v>
      </c>
      <c r="J401" s="222" t="s">
        <v>102</v>
      </c>
      <c r="K401" s="222" t="s">
        <v>102</v>
      </c>
      <c r="L401" s="222" t="s">
        <v>102</v>
      </c>
    </row>
    <row r="402" spans="1:12">
      <c r="A402" s="211">
        <v>35440</v>
      </c>
      <c r="B402" s="110" t="s">
        <v>190</v>
      </c>
      <c r="C402" s="222" t="s">
        <v>102</v>
      </c>
      <c r="D402" s="222" t="s">
        <v>102</v>
      </c>
      <c r="E402" s="222" t="s">
        <v>102</v>
      </c>
      <c r="F402" s="222" t="s">
        <v>102</v>
      </c>
      <c r="G402" s="222" t="s">
        <v>102</v>
      </c>
      <c r="H402" s="222" t="s">
        <v>102</v>
      </c>
      <c r="I402" s="222" t="s">
        <v>102</v>
      </c>
      <c r="J402" s="222" t="s">
        <v>102</v>
      </c>
      <c r="K402" s="222" t="s">
        <v>102</v>
      </c>
      <c r="L402" s="222" t="s">
        <v>102</v>
      </c>
    </row>
    <row r="403" spans="1:12">
      <c r="A403" s="211">
        <v>35450</v>
      </c>
      <c r="B403" s="110" t="s">
        <v>192</v>
      </c>
      <c r="C403" s="222" t="s">
        <v>102</v>
      </c>
      <c r="D403" s="222" t="s">
        <v>102</v>
      </c>
      <c r="E403" s="222" t="s">
        <v>102</v>
      </c>
      <c r="F403" s="222" t="s">
        <v>102</v>
      </c>
      <c r="G403" s="222" t="s">
        <v>102</v>
      </c>
      <c r="H403" s="222" t="s">
        <v>102</v>
      </c>
      <c r="I403" s="222" t="s">
        <v>102</v>
      </c>
      <c r="J403" s="222" t="s">
        <v>102</v>
      </c>
      <c r="K403" s="222" t="s">
        <v>102</v>
      </c>
      <c r="L403" s="222" t="s">
        <v>102</v>
      </c>
    </row>
    <row r="404" spans="1:12">
      <c r="A404" s="211">
        <v>35460</v>
      </c>
      <c r="B404" s="110" t="s">
        <v>194</v>
      </c>
      <c r="C404" s="222" t="s">
        <v>102</v>
      </c>
      <c r="D404" s="222" t="s">
        <v>102</v>
      </c>
      <c r="E404" s="222" t="s">
        <v>102</v>
      </c>
      <c r="F404" s="222" t="s">
        <v>102</v>
      </c>
      <c r="G404" s="222" t="s">
        <v>102</v>
      </c>
      <c r="H404" s="222" t="s">
        <v>102</v>
      </c>
      <c r="I404" s="222" t="s">
        <v>102</v>
      </c>
      <c r="J404" s="222" t="s">
        <v>102</v>
      </c>
      <c r="K404" s="222" t="s">
        <v>102</v>
      </c>
      <c r="L404" s="222" t="s">
        <v>102</v>
      </c>
    </row>
    <row r="405" spans="1:12">
      <c r="A405" s="211">
        <v>35470</v>
      </c>
      <c r="B405" s="110" t="s">
        <v>196</v>
      </c>
      <c r="C405" s="222" t="s">
        <v>102</v>
      </c>
      <c r="D405" s="222" t="s">
        <v>102</v>
      </c>
      <c r="E405" s="222" t="s">
        <v>102</v>
      </c>
      <c r="F405" s="222" t="s">
        <v>102</v>
      </c>
      <c r="G405" s="222" t="s">
        <v>102</v>
      </c>
      <c r="H405" s="222" t="s">
        <v>102</v>
      </c>
      <c r="I405" s="222" t="s">
        <v>102</v>
      </c>
      <c r="J405" s="222" t="s">
        <v>102</v>
      </c>
      <c r="K405" s="222" t="s">
        <v>102</v>
      </c>
      <c r="L405" s="222" t="s">
        <v>102</v>
      </c>
    </row>
    <row r="406" spans="1:12">
      <c r="A406" s="211">
        <v>35500</v>
      </c>
      <c r="B406" s="110" t="s">
        <v>198</v>
      </c>
      <c r="C406" s="222" t="s">
        <v>102</v>
      </c>
      <c r="D406" s="222" t="s">
        <v>102</v>
      </c>
      <c r="E406" s="222" t="s">
        <v>102</v>
      </c>
      <c r="F406" s="222" t="s">
        <v>102</v>
      </c>
      <c r="G406" s="222" t="s">
        <v>102</v>
      </c>
      <c r="H406" s="222" t="s">
        <v>102</v>
      </c>
      <c r="I406" s="222" t="s">
        <v>102</v>
      </c>
      <c r="J406" s="222" t="s">
        <v>102</v>
      </c>
      <c r="K406" s="222" t="s">
        <v>102</v>
      </c>
      <c r="L406" s="222" t="s">
        <v>102</v>
      </c>
    </row>
    <row r="407" spans="1:12">
      <c r="A407" s="211">
        <v>35600</v>
      </c>
      <c r="B407" s="110" t="s">
        <v>200</v>
      </c>
      <c r="C407" s="222" t="s">
        <v>102</v>
      </c>
      <c r="D407" s="222" t="s">
        <v>102</v>
      </c>
      <c r="E407" s="222" t="s">
        <v>102</v>
      </c>
      <c r="F407" s="222" t="s">
        <v>102</v>
      </c>
      <c r="G407" s="222" t="s">
        <v>102</v>
      </c>
      <c r="H407" s="222" t="s">
        <v>102</v>
      </c>
      <c r="I407" s="222" t="s">
        <v>102</v>
      </c>
      <c r="J407" s="222" t="s">
        <v>102</v>
      </c>
      <c r="K407" s="222" t="s">
        <v>102</v>
      </c>
      <c r="L407" s="222" t="s">
        <v>102</v>
      </c>
    </row>
    <row r="408" spans="1:12">
      <c r="A408" s="211">
        <v>36</v>
      </c>
      <c r="B408" s="110" t="s">
        <v>202</v>
      </c>
      <c r="C408" s="222" t="s">
        <v>102</v>
      </c>
      <c r="D408" s="222" t="s">
        <v>102</v>
      </c>
      <c r="E408" s="222" t="s">
        <v>102</v>
      </c>
      <c r="F408" s="222" t="s">
        <v>102</v>
      </c>
      <c r="G408" s="222" t="s">
        <v>102</v>
      </c>
      <c r="H408" s="222" t="s">
        <v>102</v>
      </c>
      <c r="I408" s="222" t="s">
        <v>102</v>
      </c>
      <c r="J408" s="222" t="s">
        <v>102</v>
      </c>
      <c r="K408" s="222" t="s">
        <v>102</v>
      </c>
      <c r="L408" s="222" t="s">
        <v>102</v>
      </c>
    </row>
    <row r="409" spans="1:12">
      <c r="A409" s="199">
        <v>36100</v>
      </c>
      <c r="B409" s="182" t="s">
        <v>203</v>
      </c>
      <c r="C409" s="172" t="s">
        <v>102</v>
      </c>
      <c r="D409" s="172" t="s">
        <v>102</v>
      </c>
      <c r="E409" s="172" t="s">
        <v>102</v>
      </c>
      <c r="F409" s="172" t="s">
        <v>102</v>
      </c>
      <c r="G409" s="172" t="s">
        <v>102</v>
      </c>
      <c r="H409" s="172" t="s">
        <v>102</v>
      </c>
      <c r="I409" s="172" t="s">
        <v>102</v>
      </c>
      <c r="J409" s="172" t="s">
        <v>102</v>
      </c>
      <c r="K409" s="172" t="s">
        <v>102</v>
      </c>
      <c r="L409" s="172" t="s">
        <v>102</v>
      </c>
    </row>
    <row r="410" spans="1:12">
      <c r="A410" s="211">
        <v>36200</v>
      </c>
      <c r="B410" s="110" t="s">
        <v>204</v>
      </c>
      <c r="C410" s="222" t="s">
        <v>102</v>
      </c>
      <c r="D410" s="222" t="s">
        <v>102</v>
      </c>
      <c r="E410" s="222" t="s">
        <v>102</v>
      </c>
      <c r="F410" s="222" t="s">
        <v>102</v>
      </c>
      <c r="G410" s="222" t="s">
        <v>102</v>
      </c>
      <c r="H410" s="222" t="s">
        <v>102</v>
      </c>
      <c r="I410" s="222" t="s">
        <v>102</v>
      </c>
      <c r="J410" s="222" t="s">
        <v>102</v>
      </c>
      <c r="K410" s="222" t="s">
        <v>102</v>
      </c>
      <c r="L410" s="222" t="s">
        <v>102</v>
      </c>
    </row>
    <row r="411" spans="1:12">
      <c r="A411" s="211">
        <v>36300</v>
      </c>
      <c r="B411" s="110" t="s">
        <v>205</v>
      </c>
      <c r="C411" s="222" t="s">
        <v>102</v>
      </c>
      <c r="D411" s="222" t="s">
        <v>102</v>
      </c>
      <c r="E411" s="222" t="s">
        <v>102</v>
      </c>
      <c r="F411" s="222" t="s">
        <v>102</v>
      </c>
      <c r="G411" s="222" t="s">
        <v>102</v>
      </c>
      <c r="H411" s="222" t="s">
        <v>102</v>
      </c>
      <c r="I411" s="222" t="s">
        <v>102</v>
      </c>
      <c r="J411" s="222" t="s">
        <v>102</v>
      </c>
      <c r="K411" s="222" t="s">
        <v>102</v>
      </c>
      <c r="L411" s="222" t="s">
        <v>102</v>
      </c>
    </row>
    <row r="412" spans="1:12">
      <c r="A412" s="211">
        <v>36400</v>
      </c>
      <c r="B412" s="110" t="s">
        <v>206</v>
      </c>
      <c r="C412" s="222" t="s">
        <v>102</v>
      </c>
      <c r="D412" s="222" t="s">
        <v>102</v>
      </c>
      <c r="E412" s="222" t="s">
        <v>102</v>
      </c>
      <c r="F412" s="222" t="s">
        <v>102</v>
      </c>
      <c r="G412" s="222" t="s">
        <v>102</v>
      </c>
      <c r="H412" s="222" t="s">
        <v>102</v>
      </c>
      <c r="I412" s="222" t="s">
        <v>102</v>
      </c>
      <c r="J412" s="222" t="s">
        <v>102</v>
      </c>
      <c r="K412" s="222" t="s">
        <v>102</v>
      </c>
      <c r="L412" s="222" t="s">
        <v>102</v>
      </c>
    </row>
    <row r="413" spans="1:12">
      <c r="A413" s="211">
        <v>36500</v>
      </c>
      <c r="B413" s="110" t="s">
        <v>207</v>
      </c>
      <c r="C413" s="222" t="s">
        <v>102</v>
      </c>
      <c r="D413" s="222" t="s">
        <v>102</v>
      </c>
      <c r="E413" s="222" t="s">
        <v>102</v>
      </c>
      <c r="F413" s="222" t="s">
        <v>102</v>
      </c>
      <c r="G413" s="222" t="s">
        <v>102</v>
      </c>
      <c r="H413" s="222" t="s">
        <v>102</v>
      </c>
      <c r="I413" s="222" t="s">
        <v>102</v>
      </c>
      <c r="J413" s="222" t="s">
        <v>102</v>
      </c>
      <c r="K413" s="222" t="s">
        <v>102</v>
      </c>
      <c r="L413" s="222" t="s">
        <v>102</v>
      </c>
    </row>
    <row r="414" spans="1:12">
      <c r="A414" s="211">
        <v>36600</v>
      </c>
      <c r="B414" s="110" t="s">
        <v>208</v>
      </c>
      <c r="C414" s="222" t="s">
        <v>102</v>
      </c>
      <c r="D414" s="222" t="s">
        <v>102</v>
      </c>
      <c r="E414" s="222" t="s">
        <v>102</v>
      </c>
      <c r="F414" s="222" t="s">
        <v>102</v>
      </c>
      <c r="G414" s="222" t="s">
        <v>102</v>
      </c>
      <c r="H414" s="222" t="s">
        <v>102</v>
      </c>
      <c r="I414" s="222" t="s">
        <v>102</v>
      </c>
      <c r="J414" s="222" t="s">
        <v>102</v>
      </c>
      <c r="K414" s="222" t="s">
        <v>102</v>
      </c>
      <c r="L414" s="222" t="s">
        <v>102</v>
      </c>
    </row>
    <row r="415" spans="1:12">
      <c r="A415" s="211">
        <v>36700</v>
      </c>
      <c r="B415" s="110" t="s">
        <v>636</v>
      </c>
      <c r="C415" s="222" t="s">
        <v>102</v>
      </c>
      <c r="D415" s="222" t="s">
        <v>102</v>
      </c>
      <c r="E415" s="222" t="s">
        <v>102</v>
      </c>
      <c r="F415" s="222" t="s">
        <v>102</v>
      </c>
      <c r="G415" s="222" t="s">
        <v>102</v>
      </c>
      <c r="H415" s="222" t="s">
        <v>102</v>
      </c>
      <c r="I415" s="222" t="s">
        <v>102</v>
      </c>
      <c r="J415" s="222" t="s">
        <v>102</v>
      </c>
      <c r="K415" s="222" t="s">
        <v>102</v>
      </c>
      <c r="L415" s="222" t="s">
        <v>102</v>
      </c>
    </row>
    <row r="416" spans="1:12">
      <c r="A416" s="211">
        <v>36800</v>
      </c>
      <c r="B416" s="110" t="s">
        <v>637</v>
      </c>
      <c r="C416" s="222" t="s">
        <v>102</v>
      </c>
      <c r="D416" s="222" t="s">
        <v>102</v>
      </c>
      <c r="E416" s="222" t="s">
        <v>102</v>
      </c>
      <c r="F416" s="222" t="s">
        <v>102</v>
      </c>
      <c r="G416" s="222" t="s">
        <v>102</v>
      </c>
      <c r="H416" s="222" t="s">
        <v>102</v>
      </c>
      <c r="I416" s="222" t="s">
        <v>102</v>
      </c>
      <c r="J416" s="222" t="s">
        <v>102</v>
      </c>
      <c r="K416" s="222" t="s">
        <v>102</v>
      </c>
      <c r="L416" s="222" t="s">
        <v>102</v>
      </c>
    </row>
    <row ht="25.5" r="417" spans="1:12">
      <c r="A417" s="211">
        <v>36900</v>
      </c>
      <c r="B417" s="110" t="s">
        <v>793</v>
      </c>
      <c r="C417" s="222" t="s">
        <v>102</v>
      </c>
      <c r="D417" s="222" t="s">
        <v>102</v>
      </c>
      <c r="E417" s="222" t="s">
        <v>102</v>
      </c>
      <c r="F417" s="222" t="s">
        <v>102</v>
      </c>
      <c r="G417" s="222" t="s">
        <v>102</v>
      </c>
      <c r="H417" s="222" t="s">
        <v>102</v>
      </c>
      <c r="I417" s="222" t="s">
        <v>102</v>
      </c>
      <c r="J417" s="222" t="s">
        <v>102</v>
      </c>
      <c r="K417" s="222" t="s">
        <v>102</v>
      </c>
      <c r="L417" s="222" t="s">
        <v>102</v>
      </c>
    </row>
    <row r="418" spans="1:12">
      <c r="A418" s="211">
        <v>2</v>
      </c>
      <c r="B418" s="110" t="s">
        <v>209</v>
      </c>
      <c r="C418" s="222" t="s">
        <v>102</v>
      </c>
      <c r="D418" s="222" t="s">
        <v>102</v>
      </c>
      <c r="E418" s="222" t="s">
        <v>102</v>
      </c>
      <c r="F418" s="222" t="s">
        <v>102</v>
      </c>
      <c r="G418" s="222" t="s">
        <v>102</v>
      </c>
      <c r="H418" s="222" t="s">
        <v>102</v>
      </c>
      <c r="I418" s="222" t="s">
        <v>102</v>
      </c>
      <c r="J418" s="222" t="s">
        <v>102</v>
      </c>
      <c r="K418" s="222" t="s">
        <v>102</v>
      </c>
      <c r="L418" s="222" t="s">
        <v>102</v>
      </c>
    </row>
    <row r="419" spans="1:12">
      <c r="A419" s="202">
        <v>37</v>
      </c>
      <c r="B419" s="182" t="s">
        <v>211</v>
      </c>
      <c r="C419" s="172" t="s">
        <v>102</v>
      </c>
      <c r="D419" s="172" t="s">
        <v>102</v>
      </c>
      <c r="E419" s="172" t="s">
        <v>102</v>
      </c>
      <c r="F419" s="172" t="s">
        <v>102</v>
      </c>
      <c r="G419" s="172" t="s">
        <v>102</v>
      </c>
      <c r="H419" s="172" t="s">
        <v>102</v>
      </c>
      <c r="I419" s="172" t="s">
        <v>102</v>
      </c>
      <c r="J419" s="172" t="s">
        <v>102</v>
      </c>
      <c r="K419" s="172" t="s">
        <v>102</v>
      </c>
      <c r="L419" s="172" t="s">
        <v>102</v>
      </c>
    </row>
    <row r="420" spans="1:12">
      <c r="A420" s="199">
        <v>371</v>
      </c>
      <c r="B420" s="182" t="s">
        <v>212</v>
      </c>
      <c r="C420" s="172" t="s">
        <v>102</v>
      </c>
      <c r="D420" s="172" t="s">
        <v>102</v>
      </c>
      <c r="E420" s="172" t="s">
        <v>102</v>
      </c>
      <c r="F420" s="172" t="s">
        <v>102</v>
      </c>
      <c r="G420" s="172" t="s">
        <v>102</v>
      </c>
      <c r="H420" s="172" t="s">
        <v>102</v>
      </c>
      <c r="I420" s="172" t="s">
        <v>102</v>
      </c>
      <c r="J420" s="172" t="s">
        <v>102</v>
      </c>
      <c r="K420" s="172" t="s">
        <v>102</v>
      </c>
      <c r="L420" s="172" t="s">
        <v>102</v>
      </c>
    </row>
    <row r="421" spans="1:12">
      <c r="A421" s="202">
        <v>37110</v>
      </c>
      <c r="B421" s="182" t="s">
        <v>125</v>
      </c>
      <c r="C421" s="172" t="s">
        <v>102</v>
      </c>
      <c r="D421" s="172" t="s">
        <v>102</v>
      </c>
      <c r="E421" s="172" t="s">
        <v>102</v>
      </c>
      <c r="F421" s="172" t="s">
        <v>102</v>
      </c>
      <c r="G421" s="172" t="s">
        <v>102</v>
      </c>
      <c r="H421" s="172" t="s">
        <v>102</v>
      </c>
      <c r="I421" s="172" t="s">
        <v>102</v>
      </c>
      <c r="J421" s="172" t="s">
        <v>102</v>
      </c>
      <c r="K421" s="172" t="s">
        <v>102</v>
      </c>
      <c r="L421" s="172" t="s">
        <v>102</v>
      </c>
    </row>
    <row r="422" spans="1:12">
      <c r="A422" s="211">
        <v>37120</v>
      </c>
      <c r="B422" s="110" t="s">
        <v>126</v>
      </c>
      <c r="C422" s="222" t="s">
        <v>102</v>
      </c>
      <c r="D422" s="222" t="s">
        <v>102</v>
      </c>
      <c r="E422" s="222" t="s">
        <v>102</v>
      </c>
      <c r="F422" s="222" t="s">
        <v>102</v>
      </c>
      <c r="G422" s="222" t="s">
        <v>102</v>
      </c>
      <c r="H422" s="222" t="s">
        <v>102</v>
      </c>
      <c r="I422" s="222" t="s">
        <v>102</v>
      </c>
      <c r="J422" s="222" t="s">
        <v>102</v>
      </c>
      <c r="K422" s="222" t="s">
        <v>102</v>
      </c>
      <c r="L422" s="222" t="s">
        <v>102</v>
      </c>
    </row>
    <row r="423" spans="1:12">
      <c r="A423" s="211">
        <v>372</v>
      </c>
      <c r="B423" s="110" t="s">
        <v>141</v>
      </c>
      <c r="C423" s="222" t="s">
        <v>102</v>
      </c>
      <c r="D423" s="222" t="s">
        <v>102</v>
      </c>
      <c r="E423" s="222" t="s">
        <v>102</v>
      </c>
      <c r="F423" s="222" t="s">
        <v>102</v>
      </c>
      <c r="G423" s="222" t="s">
        <v>102</v>
      </c>
      <c r="H423" s="222" t="s">
        <v>102</v>
      </c>
      <c r="I423" s="222" t="s">
        <v>102</v>
      </c>
      <c r="J423" s="222" t="s">
        <v>102</v>
      </c>
      <c r="K423" s="222" t="s">
        <v>102</v>
      </c>
      <c r="L423" s="222" t="s">
        <v>102</v>
      </c>
    </row>
    <row r="424" spans="1:12">
      <c r="A424" s="202">
        <v>37210</v>
      </c>
      <c r="B424" s="182" t="s">
        <v>125</v>
      </c>
      <c r="C424" s="172" t="s">
        <v>102</v>
      </c>
      <c r="D424" s="172" t="s">
        <v>102</v>
      </c>
      <c r="E424" s="172" t="s">
        <v>102</v>
      </c>
      <c r="F424" s="172" t="s">
        <v>102</v>
      </c>
      <c r="G424" s="172" t="s">
        <v>102</v>
      </c>
      <c r="H424" s="172" t="s">
        <v>102</v>
      </c>
      <c r="I424" s="172" t="s">
        <v>102</v>
      </c>
      <c r="J424" s="172" t="s">
        <v>102</v>
      </c>
      <c r="K424" s="172" t="s">
        <v>102</v>
      </c>
      <c r="L424" s="172" t="s">
        <v>102</v>
      </c>
    </row>
    <row r="425" spans="1:12">
      <c r="A425" s="211">
        <v>37220</v>
      </c>
      <c r="B425" s="110" t="s">
        <v>126</v>
      </c>
      <c r="C425" s="222" t="s">
        <v>102</v>
      </c>
      <c r="D425" s="222" t="s">
        <v>102</v>
      </c>
      <c r="E425" s="222" t="s">
        <v>102</v>
      </c>
      <c r="F425" s="222" t="s">
        <v>102</v>
      </c>
      <c r="G425" s="222" t="s">
        <v>102</v>
      </c>
      <c r="H425" s="222" t="s">
        <v>102</v>
      </c>
      <c r="I425" s="222" t="s">
        <v>102</v>
      </c>
      <c r="J425" s="222" t="s">
        <v>102</v>
      </c>
      <c r="K425" s="222" t="s">
        <v>102</v>
      </c>
      <c r="L425" s="222" t="s">
        <v>102</v>
      </c>
    </row>
    <row r="426" spans="1:12">
      <c r="A426" s="211">
        <v>373</v>
      </c>
      <c r="B426" s="110" t="s">
        <v>213</v>
      </c>
      <c r="C426" s="222" t="s">
        <v>102</v>
      </c>
      <c r="D426" s="222" t="s">
        <v>102</v>
      </c>
      <c r="E426" s="222" t="s">
        <v>102</v>
      </c>
      <c r="F426" s="222" t="s">
        <v>102</v>
      </c>
      <c r="G426" s="222" t="s">
        <v>102</v>
      </c>
      <c r="H426" s="222" t="s">
        <v>102</v>
      </c>
      <c r="I426" s="222" t="s">
        <v>102</v>
      </c>
      <c r="J426" s="222" t="s">
        <v>102</v>
      </c>
      <c r="K426" s="222" t="s">
        <v>102</v>
      </c>
      <c r="L426" s="222" t="s">
        <v>102</v>
      </c>
    </row>
    <row r="427" spans="1:12">
      <c r="A427" s="202">
        <v>3731</v>
      </c>
      <c r="B427" s="182" t="s">
        <v>152</v>
      </c>
      <c r="C427" s="172" t="s">
        <v>102</v>
      </c>
      <c r="D427" s="172" t="s">
        <v>102</v>
      </c>
      <c r="E427" s="172" t="s">
        <v>102</v>
      </c>
      <c r="F427" s="172" t="s">
        <v>102</v>
      </c>
      <c r="G427" s="172" t="s">
        <v>102</v>
      </c>
      <c r="H427" s="172" t="s">
        <v>102</v>
      </c>
      <c r="I427" s="172" t="s">
        <v>102</v>
      </c>
      <c r="J427" s="172" t="s">
        <v>102</v>
      </c>
      <c r="K427" s="172" t="s">
        <v>102</v>
      </c>
      <c r="L427" s="172" t="s">
        <v>102</v>
      </c>
    </row>
    <row ht="25.5" r="428" spans="1:12">
      <c r="A428" s="202">
        <v>37311</v>
      </c>
      <c r="B428" s="182" t="s">
        <v>153</v>
      </c>
      <c r="C428" s="172" t="s">
        <v>102</v>
      </c>
      <c r="D428" s="172" t="s">
        <v>102</v>
      </c>
      <c r="E428" s="172" t="s">
        <v>102</v>
      </c>
      <c r="F428" s="172" t="s">
        <v>102</v>
      </c>
      <c r="G428" s="172" t="s">
        <v>102</v>
      </c>
      <c r="H428" s="172" t="s">
        <v>102</v>
      </c>
      <c r="I428" s="172" t="s">
        <v>102</v>
      </c>
      <c r="J428" s="172" t="s">
        <v>102</v>
      </c>
      <c r="K428" s="172" t="s">
        <v>102</v>
      </c>
      <c r="L428" s="172" t="s">
        <v>102</v>
      </c>
    </row>
    <row r="429" spans="1:12">
      <c r="A429" s="109">
        <v>37312</v>
      </c>
      <c r="B429" s="110" t="s">
        <v>154</v>
      </c>
      <c r="C429" s="222" t="s">
        <v>102</v>
      </c>
      <c r="D429" s="222" t="s">
        <v>102</v>
      </c>
      <c r="E429" s="222" t="s">
        <v>102</v>
      </c>
      <c r="F429" s="222" t="s">
        <v>102</v>
      </c>
      <c r="G429" s="222" t="s">
        <v>102</v>
      </c>
      <c r="H429" s="222" t="s">
        <v>102</v>
      </c>
      <c r="I429" s="222" t="s">
        <v>102</v>
      </c>
      <c r="J429" s="222" t="s">
        <v>102</v>
      </c>
      <c r="K429" s="222" t="s">
        <v>102</v>
      </c>
      <c r="L429" s="222" t="s">
        <v>102</v>
      </c>
    </row>
    <row r="430" spans="1:12">
      <c r="A430" s="211">
        <v>37313</v>
      </c>
      <c r="B430" s="110" t="s">
        <v>155</v>
      </c>
      <c r="C430" s="222" t="s">
        <v>102</v>
      </c>
      <c r="D430" s="222" t="s">
        <v>102</v>
      </c>
      <c r="E430" s="222" t="s">
        <v>102</v>
      </c>
      <c r="F430" s="222" t="s">
        <v>102</v>
      </c>
      <c r="G430" s="222" t="s">
        <v>102</v>
      </c>
      <c r="H430" s="222" t="s">
        <v>102</v>
      </c>
      <c r="I430" s="222" t="s">
        <v>102</v>
      </c>
      <c r="J430" s="222" t="s">
        <v>102</v>
      </c>
      <c r="K430" s="222" t="s">
        <v>102</v>
      </c>
      <c r="L430" s="222" t="s">
        <v>102</v>
      </c>
    </row>
    <row r="431" spans="1:12">
      <c r="A431" s="211">
        <v>37314</v>
      </c>
      <c r="B431" s="110" t="s">
        <v>156</v>
      </c>
      <c r="C431" s="222" t="s">
        <v>102</v>
      </c>
      <c r="D431" s="222" t="s">
        <v>102</v>
      </c>
      <c r="E431" s="222" t="s">
        <v>102</v>
      </c>
      <c r="F431" s="222" t="s">
        <v>102</v>
      </c>
      <c r="G431" s="222" t="s">
        <v>102</v>
      </c>
      <c r="H431" s="222" t="s">
        <v>102</v>
      </c>
      <c r="I431" s="222" t="s">
        <v>102</v>
      </c>
      <c r="J431" s="222" t="s">
        <v>102</v>
      </c>
      <c r="K431" s="222" t="s">
        <v>102</v>
      </c>
      <c r="L431" s="222" t="s">
        <v>102</v>
      </c>
    </row>
    <row r="432" spans="1:12">
      <c r="A432" s="211">
        <v>37315</v>
      </c>
      <c r="B432" s="110" t="s">
        <v>157</v>
      </c>
      <c r="C432" s="222" t="s">
        <v>102</v>
      </c>
      <c r="D432" s="222" t="s">
        <v>102</v>
      </c>
      <c r="E432" s="222" t="s">
        <v>102</v>
      </c>
      <c r="F432" s="222" t="s">
        <v>102</v>
      </c>
      <c r="G432" s="222" t="s">
        <v>102</v>
      </c>
      <c r="H432" s="222" t="s">
        <v>102</v>
      </c>
      <c r="I432" s="222" t="s">
        <v>102</v>
      </c>
      <c r="J432" s="222" t="s">
        <v>102</v>
      </c>
      <c r="K432" s="222" t="s">
        <v>102</v>
      </c>
      <c r="L432" s="222" t="s">
        <v>102</v>
      </c>
    </row>
    <row r="433" spans="1:12">
      <c r="A433" s="211">
        <v>3732</v>
      </c>
      <c r="B433" s="110" t="s">
        <v>632</v>
      </c>
      <c r="C433" s="222" t="s">
        <v>102</v>
      </c>
      <c r="D433" s="222" t="s">
        <v>102</v>
      </c>
      <c r="E433" s="222" t="s">
        <v>102</v>
      </c>
      <c r="F433" s="222" t="s">
        <v>102</v>
      </c>
      <c r="G433" s="222" t="s">
        <v>102</v>
      </c>
      <c r="H433" s="222" t="s">
        <v>102</v>
      </c>
      <c r="I433" s="222" t="s">
        <v>102</v>
      </c>
      <c r="J433" s="222" t="s">
        <v>102</v>
      </c>
      <c r="K433" s="222" t="s">
        <v>102</v>
      </c>
      <c r="L433" s="222" t="s">
        <v>102</v>
      </c>
    </row>
    <row ht="25.5" r="434" spans="1:12">
      <c r="A434" s="202">
        <v>37321</v>
      </c>
      <c r="B434" s="186" t="s">
        <v>153</v>
      </c>
      <c r="C434" s="172" t="s">
        <v>102</v>
      </c>
      <c r="D434" s="172" t="s">
        <v>102</v>
      </c>
      <c r="E434" s="172" t="s">
        <v>102</v>
      </c>
      <c r="F434" s="172" t="s">
        <v>102</v>
      </c>
      <c r="G434" s="172" t="s">
        <v>102</v>
      </c>
      <c r="H434" s="172" t="s">
        <v>102</v>
      </c>
      <c r="I434" s="172" t="s">
        <v>102</v>
      </c>
      <c r="J434" s="172" t="s">
        <v>102</v>
      </c>
      <c r="K434" s="172" t="s">
        <v>102</v>
      </c>
      <c r="L434" s="172" t="s">
        <v>102</v>
      </c>
    </row>
    <row r="435" spans="1:12">
      <c r="A435" s="109">
        <v>37323</v>
      </c>
      <c r="B435" s="110" t="s">
        <v>156</v>
      </c>
      <c r="C435" s="222" t="s">
        <v>102</v>
      </c>
      <c r="D435" s="222" t="s">
        <v>102</v>
      </c>
      <c r="E435" s="222" t="s">
        <v>102</v>
      </c>
      <c r="F435" s="222" t="s">
        <v>102</v>
      </c>
      <c r="G435" s="222" t="s">
        <v>102</v>
      </c>
      <c r="H435" s="222" t="s">
        <v>102</v>
      </c>
      <c r="I435" s="222" t="s">
        <v>102</v>
      </c>
      <c r="J435" s="222" t="s">
        <v>102</v>
      </c>
      <c r="K435" s="222" t="s">
        <v>102</v>
      </c>
      <c r="L435" s="222" t="s">
        <v>102</v>
      </c>
    </row>
    <row r="436" spans="1:12">
      <c r="A436" s="109">
        <v>37324</v>
      </c>
      <c r="B436" s="110" t="s">
        <v>157</v>
      </c>
      <c r="C436" s="222" t="s">
        <v>102</v>
      </c>
      <c r="D436" s="222" t="s">
        <v>102</v>
      </c>
      <c r="E436" s="222" t="s">
        <v>102</v>
      </c>
      <c r="F436" s="222" t="s">
        <v>102</v>
      </c>
      <c r="G436" s="222" t="s">
        <v>102</v>
      </c>
      <c r="H436" s="222" t="s">
        <v>102</v>
      </c>
      <c r="I436" s="222" t="s">
        <v>102</v>
      </c>
      <c r="J436" s="222" t="s">
        <v>102</v>
      </c>
      <c r="K436" s="222" t="s">
        <v>102</v>
      </c>
      <c r="L436" s="222" t="s">
        <v>102</v>
      </c>
    </row>
    <row r="437" spans="1:12">
      <c r="A437" s="109">
        <v>37330</v>
      </c>
      <c r="B437" s="110" t="s">
        <v>214</v>
      </c>
      <c r="C437" s="222" t="s">
        <v>102</v>
      </c>
      <c r="D437" s="222" t="s">
        <v>102</v>
      </c>
      <c r="E437" s="222" t="s">
        <v>102</v>
      </c>
      <c r="F437" s="222" t="s">
        <v>102</v>
      </c>
      <c r="G437" s="222" t="s">
        <v>102</v>
      </c>
      <c r="H437" s="222" t="s">
        <v>102</v>
      </c>
      <c r="I437" s="222" t="s">
        <v>102</v>
      </c>
      <c r="J437" s="222" t="s">
        <v>102</v>
      </c>
      <c r="K437" s="222" t="s">
        <v>102</v>
      </c>
      <c r="L437" s="222" t="s">
        <v>102</v>
      </c>
    </row>
    <row r="438" spans="1:12">
      <c r="A438" s="109">
        <v>39</v>
      </c>
      <c r="B438" s="110" t="s">
        <v>215</v>
      </c>
      <c r="C438" s="222" t="s">
        <v>102</v>
      </c>
      <c r="D438" s="222" t="s">
        <v>102</v>
      </c>
      <c r="E438" s="222" t="s">
        <v>102</v>
      </c>
      <c r="F438" s="222" t="s">
        <v>102</v>
      </c>
      <c r="G438" s="222" t="s">
        <v>102</v>
      </c>
      <c r="H438" s="222" t="s">
        <v>102</v>
      </c>
      <c r="I438" s="222" t="s">
        <v>102</v>
      </c>
      <c r="J438" s="222" t="s">
        <v>102</v>
      </c>
      <c r="K438" s="222" t="s">
        <v>102</v>
      </c>
      <c r="L438" s="222" t="s">
        <v>102</v>
      </c>
    </row>
    <row r="439" spans="1:12">
      <c r="A439" s="199">
        <v>391</v>
      </c>
      <c r="B439" s="182" t="s">
        <v>216</v>
      </c>
      <c r="C439" s="172" t="s">
        <v>102</v>
      </c>
      <c r="D439" s="172" t="s">
        <v>102</v>
      </c>
      <c r="E439" s="172" t="s">
        <v>102</v>
      </c>
      <c r="F439" s="172" t="s">
        <v>102</v>
      </c>
      <c r="G439" s="172" t="s">
        <v>102</v>
      </c>
      <c r="H439" s="172" t="s">
        <v>102</v>
      </c>
      <c r="I439" s="172" t="s">
        <v>102</v>
      </c>
      <c r="J439" s="172" t="s">
        <v>102</v>
      </c>
      <c r="K439" s="172" t="s">
        <v>102</v>
      </c>
      <c r="L439" s="172" t="s">
        <v>102</v>
      </c>
    </row>
    <row r="440" spans="1:12">
      <c r="A440" s="203">
        <v>392</v>
      </c>
      <c r="B440" s="187" t="s">
        <v>217</v>
      </c>
      <c r="C440" s="172" t="s">
        <v>102</v>
      </c>
      <c r="D440" s="172" t="s">
        <v>102</v>
      </c>
      <c r="E440" s="172" t="s">
        <v>102</v>
      </c>
      <c r="F440" s="172" t="s">
        <v>102</v>
      </c>
      <c r="G440" s="172" t="s">
        <v>102</v>
      </c>
      <c r="H440" s="172" t="s">
        <v>102</v>
      </c>
      <c r="I440" s="172" t="s">
        <v>102</v>
      </c>
      <c r="J440" s="172" t="s">
        <v>102</v>
      </c>
      <c r="K440" s="172" t="s">
        <v>102</v>
      </c>
      <c r="L440" s="172" t="s">
        <v>102</v>
      </c>
    </row>
    <row r="441" spans="1:12">
      <c r="A441" s="202">
        <v>39201</v>
      </c>
      <c r="B441" s="182" t="s">
        <v>219</v>
      </c>
      <c r="C441" s="172" t="s">
        <v>102</v>
      </c>
      <c r="D441" s="172" t="s">
        <v>102</v>
      </c>
      <c r="E441" s="172" t="s">
        <v>102</v>
      </c>
      <c r="F441" s="172" t="s">
        <v>102</v>
      </c>
      <c r="G441" s="172" t="s">
        <v>102</v>
      </c>
      <c r="H441" s="172" t="s">
        <v>102</v>
      </c>
      <c r="I441" s="172" t="s">
        <v>102</v>
      </c>
      <c r="J441" s="172" t="s">
        <v>102</v>
      </c>
      <c r="K441" s="172" t="s">
        <v>102</v>
      </c>
      <c r="L441" s="172" t="s">
        <v>102</v>
      </c>
    </row>
    <row r="442" spans="1:12">
      <c r="A442" s="211">
        <v>39202</v>
      </c>
      <c r="B442" s="110" t="s">
        <v>220</v>
      </c>
      <c r="C442" s="222" t="s">
        <v>102</v>
      </c>
      <c r="D442" s="222" t="s">
        <v>102</v>
      </c>
      <c r="E442" s="222" t="s">
        <v>102</v>
      </c>
      <c r="F442" s="222" t="s">
        <v>102</v>
      </c>
      <c r="G442" s="222" t="s">
        <v>102</v>
      </c>
      <c r="H442" s="222" t="s">
        <v>102</v>
      </c>
      <c r="I442" s="222" t="s">
        <v>102</v>
      </c>
      <c r="J442" s="222" t="s">
        <v>102</v>
      </c>
      <c r="K442" s="222" t="s">
        <v>102</v>
      </c>
      <c r="L442" s="222" t="s">
        <v>102</v>
      </c>
    </row>
    <row r="443" spans="1:12">
      <c r="A443" s="211">
        <v>39203</v>
      </c>
      <c r="B443" s="110" t="s">
        <v>222</v>
      </c>
      <c r="C443" s="222" t="s">
        <v>102</v>
      </c>
      <c r="D443" s="222" t="s">
        <v>102</v>
      </c>
      <c r="E443" s="222" t="s">
        <v>102</v>
      </c>
      <c r="F443" s="222" t="s">
        <v>102</v>
      </c>
      <c r="G443" s="222" t="s">
        <v>102</v>
      </c>
      <c r="H443" s="222" t="s">
        <v>102</v>
      </c>
      <c r="I443" s="222" t="s">
        <v>102</v>
      </c>
      <c r="J443" s="222" t="s">
        <v>102</v>
      </c>
      <c r="K443" s="222" t="s">
        <v>102</v>
      </c>
      <c r="L443" s="222" t="s">
        <v>102</v>
      </c>
    </row>
    <row r="444" spans="1:12">
      <c r="A444" s="211">
        <v>39204</v>
      </c>
      <c r="B444" s="110" t="s">
        <v>220</v>
      </c>
      <c r="C444" s="222" t="s">
        <v>102</v>
      </c>
      <c r="D444" s="222" t="s">
        <v>102</v>
      </c>
      <c r="E444" s="222" t="s">
        <v>102</v>
      </c>
      <c r="F444" s="222" t="s">
        <v>102</v>
      </c>
      <c r="G444" s="222" t="s">
        <v>102</v>
      </c>
      <c r="H444" s="222" t="s">
        <v>102</v>
      </c>
      <c r="I444" s="222" t="s">
        <v>102</v>
      </c>
      <c r="J444" s="222" t="s">
        <v>102</v>
      </c>
      <c r="K444" s="222" t="s">
        <v>102</v>
      </c>
      <c r="L444" s="222" t="s">
        <v>102</v>
      </c>
    </row>
    <row r="445" spans="1:12">
      <c r="A445" s="211">
        <v>39205</v>
      </c>
      <c r="B445" s="110" t="s">
        <v>678</v>
      </c>
      <c r="C445" s="222" t="s">
        <v>102</v>
      </c>
      <c r="D445" s="222" t="s">
        <v>102</v>
      </c>
      <c r="E445" s="222" t="s">
        <v>102</v>
      </c>
      <c r="F445" s="222" t="s">
        <v>102</v>
      </c>
      <c r="G445" s="222" t="s">
        <v>102</v>
      </c>
      <c r="H445" s="222" t="s">
        <v>102</v>
      </c>
      <c r="I445" s="222" t="s">
        <v>102</v>
      </c>
      <c r="J445" s="222" t="s">
        <v>102</v>
      </c>
      <c r="K445" s="222" t="s">
        <v>102</v>
      </c>
      <c r="L445" s="222" t="s">
        <v>102</v>
      </c>
    </row>
    <row r="446" spans="1:12">
      <c r="A446" s="211">
        <v>39206</v>
      </c>
      <c r="B446" s="110" t="s">
        <v>220</v>
      </c>
      <c r="C446" s="222" t="s">
        <v>102</v>
      </c>
      <c r="D446" s="222" t="s">
        <v>102</v>
      </c>
      <c r="E446" s="222" t="s">
        <v>102</v>
      </c>
      <c r="F446" s="222" t="s">
        <v>102</v>
      </c>
      <c r="G446" s="222" t="s">
        <v>102</v>
      </c>
      <c r="H446" s="222" t="s">
        <v>102</v>
      </c>
      <c r="I446" s="222" t="s">
        <v>102</v>
      </c>
      <c r="J446" s="222" t="s">
        <v>102</v>
      </c>
      <c r="K446" s="222" t="s">
        <v>102</v>
      </c>
      <c r="L446" s="222" t="s">
        <v>102</v>
      </c>
    </row>
    <row r="447" spans="1:12">
      <c r="A447" s="211">
        <v>39207</v>
      </c>
      <c r="B447" s="110" t="s">
        <v>225</v>
      </c>
      <c r="C447" s="222" t="s">
        <v>102</v>
      </c>
      <c r="D447" s="222" t="s">
        <v>102</v>
      </c>
      <c r="E447" s="222" t="s">
        <v>102</v>
      </c>
      <c r="F447" s="222" t="s">
        <v>102</v>
      </c>
      <c r="G447" s="222" t="s">
        <v>102</v>
      </c>
      <c r="H447" s="222" t="s">
        <v>102</v>
      </c>
      <c r="I447" s="222" t="s">
        <v>102</v>
      </c>
      <c r="J447" s="222" t="s">
        <v>102</v>
      </c>
      <c r="K447" s="222" t="s">
        <v>102</v>
      </c>
      <c r="L447" s="222" t="s">
        <v>102</v>
      </c>
    </row>
    <row r="448" spans="1:12">
      <c r="A448" s="211">
        <v>39208</v>
      </c>
      <c r="B448" s="110" t="s">
        <v>220</v>
      </c>
      <c r="C448" s="222" t="s">
        <v>102</v>
      </c>
      <c r="D448" s="222" t="s">
        <v>102</v>
      </c>
      <c r="E448" s="222" t="s">
        <v>102</v>
      </c>
      <c r="F448" s="222" t="s">
        <v>102</v>
      </c>
      <c r="G448" s="222" t="s">
        <v>102</v>
      </c>
      <c r="H448" s="222" t="s">
        <v>102</v>
      </c>
      <c r="I448" s="222" t="s">
        <v>102</v>
      </c>
      <c r="J448" s="222" t="s">
        <v>102</v>
      </c>
      <c r="K448" s="222" t="s">
        <v>102</v>
      </c>
      <c r="L448" s="222" t="s">
        <v>102</v>
      </c>
    </row>
    <row r="449" spans="1:12">
      <c r="A449" s="211">
        <v>39209</v>
      </c>
      <c r="B449" s="110" t="s">
        <v>227</v>
      </c>
      <c r="C449" s="222" t="s">
        <v>102</v>
      </c>
      <c r="D449" s="222" t="s">
        <v>102</v>
      </c>
      <c r="E449" s="222" t="s">
        <v>102</v>
      </c>
      <c r="F449" s="222" t="s">
        <v>102</v>
      </c>
      <c r="G449" s="222" t="s">
        <v>102</v>
      </c>
      <c r="H449" s="222" t="s">
        <v>102</v>
      </c>
      <c r="I449" s="222" t="s">
        <v>102</v>
      </c>
      <c r="J449" s="222" t="s">
        <v>102</v>
      </c>
      <c r="K449" s="222" t="s">
        <v>102</v>
      </c>
      <c r="L449" s="222" t="s">
        <v>102</v>
      </c>
    </row>
    <row r="450" spans="1:12">
      <c r="A450" s="211">
        <v>39210</v>
      </c>
      <c r="B450" s="110" t="s">
        <v>220</v>
      </c>
      <c r="C450" s="222" t="s">
        <v>102</v>
      </c>
      <c r="D450" s="222" t="s">
        <v>102</v>
      </c>
      <c r="E450" s="222" t="s">
        <v>102</v>
      </c>
      <c r="F450" s="222" t="s">
        <v>102</v>
      </c>
      <c r="G450" s="222" t="s">
        <v>102</v>
      </c>
      <c r="H450" s="222" t="s">
        <v>102</v>
      </c>
      <c r="I450" s="222" t="s">
        <v>102</v>
      </c>
      <c r="J450" s="222" t="s">
        <v>102</v>
      </c>
      <c r="K450" s="222" t="s">
        <v>102</v>
      </c>
      <c r="L450" s="222" t="s">
        <v>102</v>
      </c>
    </row>
    <row r="451" spans="1:12">
      <c r="A451" s="211">
        <v>39211</v>
      </c>
      <c r="B451" s="110" t="s">
        <v>229</v>
      </c>
      <c r="C451" s="222" t="s">
        <v>102</v>
      </c>
      <c r="D451" s="222" t="s">
        <v>102</v>
      </c>
      <c r="E451" s="222" t="s">
        <v>102</v>
      </c>
      <c r="F451" s="222" t="s">
        <v>102</v>
      </c>
      <c r="G451" s="222" t="s">
        <v>102</v>
      </c>
      <c r="H451" s="222" t="s">
        <v>102</v>
      </c>
      <c r="I451" s="222" t="s">
        <v>102</v>
      </c>
      <c r="J451" s="222" t="s">
        <v>102</v>
      </c>
      <c r="K451" s="222" t="s">
        <v>102</v>
      </c>
      <c r="L451" s="222" t="s">
        <v>102</v>
      </c>
    </row>
    <row r="452" spans="1:12">
      <c r="A452" s="211">
        <v>39212</v>
      </c>
      <c r="B452" s="110" t="s">
        <v>220</v>
      </c>
      <c r="C452" s="222" t="s">
        <v>102</v>
      </c>
      <c r="D452" s="222" t="s">
        <v>102</v>
      </c>
      <c r="E452" s="222" t="s">
        <v>102</v>
      </c>
      <c r="F452" s="222" t="s">
        <v>102</v>
      </c>
      <c r="G452" s="222" t="s">
        <v>102</v>
      </c>
      <c r="H452" s="222" t="s">
        <v>102</v>
      </c>
      <c r="I452" s="222" t="s">
        <v>102</v>
      </c>
      <c r="J452" s="222" t="s">
        <v>102</v>
      </c>
      <c r="K452" s="222" t="s">
        <v>102</v>
      </c>
      <c r="L452" s="222" t="s">
        <v>102</v>
      </c>
    </row>
    <row r="453" spans="1:12">
      <c r="A453" s="211">
        <v>39213</v>
      </c>
      <c r="B453" s="110" t="s">
        <v>231</v>
      </c>
      <c r="C453" s="222" t="s">
        <v>102</v>
      </c>
      <c r="D453" s="222" t="s">
        <v>102</v>
      </c>
      <c r="E453" s="222" t="s">
        <v>102</v>
      </c>
      <c r="F453" s="222" t="s">
        <v>102</v>
      </c>
      <c r="G453" s="222" t="s">
        <v>102</v>
      </c>
      <c r="H453" s="222" t="s">
        <v>102</v>
      </c>
      <c r="I453" s="222" t="s">
        <v>102</v>
      </c>
      <c r="J453" s="222" t="s">
        <v>102</v>
      </c>
      <c r="K453" s="222" t="s">
        <v>102</v>
      </c>
      <c r="L453" s="222" t="s">
        <v>102</v>
      </c>
    </row>
    <row r="454" spans="1:12">
      <c r="A454" s="211">
        <v>39214</v>
      </c>
      <c r="B454" s="110" t="s">
        <v>233</v>
      </c>
      <c r="C454" s="222" t="s">
        <v>102</v>
      </c>
      <c r="D454" s="222" t="s">
        <v>102</v>
      </c>
      <c r="E454" s="222" t="s">
        <v>102</v>
      </c>
      <c r="F454" s="222" t="s">
        <v>102</v>
      </c>
      <c r="G454" s="222" t="s">
        <v>102</v>
      </c>
      <c r="H454" s="222" t="s">
        <v>102</v>
      </c>
      <c r="I454" s="222" t="s">
        <v>102</v>
      </c>
      <c r="J454" s="222" t="s">
        <v>102</v>
      </c>
      <c r="K454" s="222" t="s">
        <v>102</v>
      </c>
      <c r="L454" s="222" t="s">
        <v>102</v>
      </c>
    </row>
    <row r="455" spans="1:12">
      <c r="A455" s="211">
        <v>39215</v>
      </c>
      <c r="B455" s="110" t="s">
        <v>220</v>
      </c>
      <c r="C455" s="222" t="s">
        <v>102</v>
      </c>
      <c r="D455" s="222" t="s">
        <v>102</v>
      </c>
      <c r="E455" s="222" t="s">
        <v>102</v>
      </c>
      <c r="F455" s="222" t="s">
        <v>102</v>
      </c>
      <c r="G455" s="222" t="s">
        <v>102</v>
      </c>
      <c r="H455" s="222" t="s">
        <v>102</v>
      </c>
      <c r="I455" s="222" t="s">
        <v>102</v>
      </c>
      <c r="J455" s="222" t="s">
        <v>102</v>
      </c>
      <c r="K455" s="222" t="s">
        <v>102</v>
      </c>
      <c r="L455" s="222" t="s">
        <v>102</v>
      </c>
    </row>
    <row r="456" spans="1:12">
      <c r="A456" s="211">
        <v>39216</v>
      </c>
      <c r="B456" s="110" t="s">
        <v>235</v>
      </c>
      <c r="C456" s="222" t="s">
        <v>102</v>
      </c>
      <c r="D456" s="222" t="s">
        <v>102</v>
      </c>
      <c r="E456" s="222" t="s">
        <v>102</v>
      </c>
      <c r="F456" s="222" t="s">
        <v>102</v>
      </c>
      <c r="G456" s="222" t="s">
        <v>102</v>
      </c>
      <c r="H456" s="222" t="s">
        <v>102</v>
      </c>
      <c r="I456" s="222" t="s">
        <v>102</v>
      </c>
      <c r="J456" s="222" t="s">
        <v>102</v>
      </c>
      <c r="K456" s="222" t="s">
        <v>102</v>
      </c>
      <c r="L456" s="222" t="s">
        <v>102</v>
      </c>
    </row>
    <row r="457" spans="1:12">
      <c r="A457" s="211">
        <v>39217</v>
      </c>
      <c r="B457" s="110" t="s">
        <v>237</v>
      </c>
      <c r="C457" s="222" t="s">
        <v>102</v>
      </c>
      <c r="D457" s="222" t="s">
        <v>102</v>
      </c>
      <c r="E457" s="222" t="s">
        <v>102</v>
      </c>
      <c r="F457" s="222" t="s">
        <v>102</v>
      </c>
      <c r="G457" s="222" t="s">
        <v>102</v>
      </c>
      <c r="H457" s="222" t="s">
        <v>102</v>
      </c>
      <c r="I457" s="222" t="s">
        <v>102</v>
      </c>
      <c r="J457" s="222" t="s">
        <v>102</v>
      </c>
      <c r="K457" s="222" t="s">
        <v>102</v>
      </c>
      <c r="L457" s="222" t="s">
        <v>102</v>
      </c>
    </row>
    <row r="458" spans="1:12">
      <c r="A458" s="211">
        <v>393</v>
      </c>
      <c r="B458" s="110" t="s">
        <v>238</v>
      </c>
      <c r="C458" s="222" t="s">
        <v>102</v>
      </c>
      <c r="D458" s="222" t="s">
        <v>102</v>
      </c>
      <c r="E458" s="222" t="s">
        <v>102</v>
      </c>
      <c r="F458" s="222" t="s">
        <v>102</v>
      </c>
      <c r="G458" s="222" t="s">
        <v>102</v>
      </c>
      <c r="H458" s="222" t="s">
        <v>102</v>
      </c>
      <c r="I458" s="222" t="s">
        <v>102</v>
      </c>
      <c r="J458" s="222" t="s">
        <v>102</v>
      </c>
      <c r="K458" s="222" t="s">
        <v>102</v>
      </c>
      <c r="L458" s="222" t="s">
        <v>102</v>
      </c>
    </row>
    <row r="459" spans="1:12">
      <c r="A459" s="202">
        <v>39301</v>
      </c>
      <c r="B459" s="182" t="s">
        <v>240</v>
      </c>
      <c r="C459" s="172" t="s">
        <v>102</v>
      </c>
      <c r="D459" s="172" t="s">
        <v>102</v>
      </c>
      <c r="E459" s="172" t="s">
        <v>102</v>
      </c>
      <c r="F459" s="172" t="s">
        <v>102</v>
      </c>
      <c r="G459" s="172" t="s">
        <v>102</v>
      </c>
      <c r="H459" s="172" t="s">
        <v>102</v>
      </c>
      <c r="I459" s="172" t="s">
        <v>102</v>
      </c>
      <c r="J459" s="172" t="s">
        <v>102</v>
      </c>
      <c r="K459" s="172" t="s">
        <v>102</v>
      </c>
      <c r="L459" s="172" t="s">
        <v>102</v>
      </c>
    </row>
    <row r="460" spans="1:12">
      <c r="A460" s="211">
        <v>39302</v>
      </c>
      <c r="B460" s="110" t="s">
        <v>220</v>
      </c>
      <c r="C460" s="222" t="s">
        <v>102</v>
      </c>
      <c r="D460" s="222" t="s">
        <v>102</v>
      </c>
      <c r="E460" s="222" t="s">
        <v>102</v>
      </c>
      <c r="F460" s="222" t="s">
        <v>102</v>
      </c>
      <c r="G460" s="222" t="s">
        <v>102</v>
      </c>
      <c r="H460" s="222" t="s">
        <v>102</v>
      </c>
      <c r="I460" s="222" t="s">
        <v>102</v>
      </c>
      <c r="J460" s="222" t="s">
        <v>102</v>
      </c>
      <c r="K460" s="222" t="s">
        <v>102</v>
      </c>
      <c r="L460" s="222" t="s">
        <v>102</v>
      </c>
    </row>
    <row r="461" spans="1:12">
      <c r="A461" s="211">
        <v>39303</v>
      </c>
      <c r="B461" s="110" t="s">
        <v>242</v>
      </c>
      <c r="C461" s="222" t="s">
        <v>102</v>
      </c>
      <c r="D461" s="222" t="s">
        <v>102</v>
      </c>
      <c r="E461" s="222" t="s">
        <v>102</v>
      </c>
      <c r="F461" s="222" t="s">
        <v>102</v>
      </c>
      <c r="G461" s="222" t="s">
        <v>102</v>
      </c>
      <c r="H461" s="222" t="s">
        <v>102</v>
      </c>
      <c r="I461" s="222" t="s">
        <v>102</v>
      </c>
      <c r="J461" s="222" t="s">
        <v>102</v>
      </c>
      <c r="K461" s="222" t="s">
        <v>102</v>
      </c>
      <c r="L461" s="222" t="s">
        <v>102</v>
      </c>
    </row>
    <row r="462" spans="1:12">
      <c r="A462" s="211">
        <v>39304</v>
      </c>
      <c r="B462" s="110" t="s">
        <v>220</v>
      </c>
      <c r="C462" s="222" t="s">
        <v>102</v>
      </c>
      <c r="D462" s="222" t="s">
        <v>102</v>
      </c>
      <c r="E462" s="222" t="s">
        <v>102</v>
      </c>
      <c r="F462" s="222" t="s">
        <v>102</v>
      </c>
      <c r="G462" s="222" t="s">
        <v>102</v>
      </c>
      <c r="H462" s="222" t="s">
        <v>102</v>
      </c>
      <c r="I462" s="222" t="s">
        <v>102</v>
      </c>
      <c r="J462" s="222" t="s">
        <v>102</v>
      </c>
      <c r="K462" s="222" t="s">
        <v>102</v>
      </c>
      <c r="L462" s="222" t="s">
        <v>102</v>
      </c>
    </row>
    <row r="463" spans="1:12">
      <c r="A463" s="211">
        <v>394</v>
      </c>
      <c r="B463" s="110" t="s">
        <v>692</v>
      </c>
      <c r="C463" s="222" t="s">
        <v>102</v>
      </c>
      <c r="D463" s="222" t="s">
        <v>102</v>
      </c>
      <c r="E463" s="222" t="s">
        <v>102</v>
      </c>
      <c r="F463" s="222" t="s">
        <v>102</v>
      </c>
      <c r="G463" s="222" t="s">
        <v>102</v>
      </c>
      <c r="H463" s="222" t="s">
        <v>102</v>
      </c>
      <c r="I463" s="222" t="s">
        <v>102</v>
      </c>
      <c r="J463" s="222" t="s">
        <v>102</v>
      </c>
      <c r="K463" s="222" t="s">
        <v>102</v>
      </c>
      <c r="L463" s="222" t="s">
        <v>102</v>
      </c>
    </row>
    <row r="464" spans="1:12">
      <c r="A464" s="213">
        <v>39401</v>
      </c>
      <c r="B464" s="188" t="s">
        <v>693</v>
      </c>
      <c r="C464" s="172" t="s">
        <v>102</v>
      </c>
      <c r="D464" s="172" t="s">
        <v>102</v>
      </c>
      <c r="E464" s="172" t="s">
        <v>102</v>
      </c>
      <c r="F464" s="172" t="s">
        <v>102</v>
      </c>
      <c r="G464" s="172" t="s">
        <v>102</v>
      </c>
      <c r="H464" s="172" t="s">
        <v>102</v>
      </c>
      <c r="I464" s="172" t="s">
        <v>102</v>
      </c>
      <c r="J464" s="172" t="s">
        <v>102</v>
      </c>
      <c r="K464" s="172" t="s">
        <v>102</v>
      </c>
      <c r="L464" s="172" t="s">
        <v>102</v>
      </c>
    </row>
    <row r="465" spans="1:12">
      <c r="A465" s="109">
        <v>39402</v>
      </c>
      <c r="B465" s="102" t="s">
        <v>694</v>
      </c>
      <c r="C465" s="222" t="s">
        <v>102</v>
      </c>
      <c r="D465" s="222" t="s">
        <v>102</v>
      </c>
      <c r="E465" s="222" t="s">
        <v>102</v>
      </c>
      <c r="F465" s="222" t="s">
        <v>102</v>
      </c>
      <c r="G465" s="222" t="s">
        <v>102</v>
      </c>
      <c r="H465" s="222" t="s">
        <v>102</v>
      </c>
      <c r="I465" s="222" t="s">
        <v>102</v>
      </c>
      <c r="J465" s="222" t="s">
        <v>102</v>
      </c>
      <c r="K465" s="222" t="s">
        <v>102</v>
      </c>
      <c r="L465" s="222" t="s">
        <v>102</v>
      </c>
    </row>
    <row r="466" spans="1:12">
      <c r="A466" s="109">
        <v>39403</v>
      </c>
      <c r="B466" s="102" t="s">
        <v>695</v>
      </c>
      <c r="C466" s="222" t="s">
        <v>102</v>
      </c>
      <c r="D466" s="222" t="s">
        <v>102</v>
      </c>
      <c r="E466" s="222" t="s">
        <v>102</v>
      </c>
      <c r="F466" s="222" t="s">
        <v>102</v>
      </c>
      <c r="G466" s="222" t="s">
        <v>102</v>
      </c>
      <c r="H466" s="222" t="s">
        <v>102</v>
      </c>
      <c r="I466" s="222" t="s">
        <v>102</v>
      </c>
      <c r="J466" s="222" t="s">
        <v>102</v>
      </c>
      <c r="K466" s="222" t="s">
        <v>102</v>
      </c>
      <c r="L466" s="222" t="s">
        <v>102</v>
      </c>
    </row>
    <row ht="25.5" r="467" spans="1:12">
      <c r="A467" s="109">
        <v>39404</v>
      </c>
      <c r="B467" s="102" t="s">
        <v>696</v>
      </c>
      <c r="C467" s="222" t="s">
        <v>102</v>
      </c>
      <c r="D467" s="222" t="s">
        <v>102</v>
      </c>
      <c r="E467" s="222" t="s">
        <v>102</v>
      </c>
      <c r="F467" s="222" t="s">
        <v>102</v>
      </c>
      <c r="G467" s="222" t="s">
        <v>102</v>
      </c>
      <c r="H467" s="222" t="s">
        <v>102</v>
      </c>
      <c r="I467" s="222" t="s">
        <v>102</v>
      </c>
      <c r="J467" s="222" t="s">
        <v>102</v>
      </c>
      <c r="K467" s="222" t="s">
        <v>102</v>
      </c>
      <c r="L467" s="222" t="s">
        <v>102</v>
      </c>
    </row>
    <row r="468" spans="1:12">
      <c r="A468" s="109">
        <v>39405</v>
      </c>
      <c r="B468" s="102" t="s">
        <v>697</v>
      </c>
      <c r="C468" s="222" t="s">
        <v>102</v>
      </c>
      <c r="D468" s="222" t="s">
        <v>102</v>
      </c>
      <c r="E468" s="222" t="s">
        <v>102</v>
      </c>
      <c r="F468" s="222" t="s">
        <v>102</v>
      </c>
      <c r="G468" s="222" t="s">
        <v>102</v>
      </c>
      <c r="H468" s="222" t="s">
        <v>102</v>
      </c>
      <c r="I468" s="222" t="s">
        <v>102</v>
      </c>
      <c r="J468" s="222" t="s">
        <v>102</v>
      </c>
      <c r="K468" s="222" t="s">
        <v>102</v>
      </c>
      <c r="L468" s="222" t="s">
        <v>102</v>
      </c>
    </row>
    <row r="469" spans="1:12">
      <c r="A469" s="109">
        <v>3</v>
      </c>
      <c r="B469" s="102" t="s">
        <v>1184</v>
      </c>
      <c r="C469" s="222" t="s">
        <v>102</v>
      </c>
      <c r="D469" s="222" t="s">
        <v>102</v>
      </c>
      <c r="E469" s="222" t="s">
        <v>102</v>
      </c>
      <c r="F469" s="222" t="s">
        <v>102</v>
      </c>
      <c r="G469" s="222" t="s">
        <v>102</v>
      </c>
      <c r="H469" s="222" t="s">
        <v>102</v>
      </c>
      <c r="I469" s="222" t="s">
        <v>102</v>
      </c>
      <c r="J469" s="222" t="s">
        <v>102</v>
      </c>
      <c r="K469" s="222" t="s">
        <v>102</v>
      </c>
      <c r="L469" s="222" t="s">
        <v>102</v>
      </c>
    </row>
    <row r="470" spans="1:12">
      <c r="A470" s="202">
        <v>4</v>
      </c>
      <c r="B470" s="182" t="s">
        <v>243</v>
      </c>
      <c r="C470" s="172" t="s">
        <v>102</v>
      </c>
      <c r="D470" s="172" t="s">
        <v>102</v>
      </c>
      <c r="E470" s="172" t="s">
        <v>102</v>
      </c>
      <c r="F470" s="172" t="s">
        <v>102</v>
      </c>
      <c r="G470" s="172" t="s">
        <v>102</v>
      </c>
      <c r="H470" s="172" t="s">
        <v>102</v>
      </c>
      <c r="I470" s="172" t="s">
        <v>102</v>
      </c>
      <c r="J470" s="172" t="s">
        <v>102</v>
      </c>
      <c r="K470" s="172" t="s">
        <v>102</v>
      </c>
      <c r="L470" s="172" t="s">
        <v>102</v>
      </c>
    </row>
    <row r="471" spans="1:12">
      <c r="A471" s="202">
        <v>41</v>
      </c>
      <c r="B471" s="182" t="s">
        <v>244</v>
      </c>
      <c r="C471" s="172" t="s">
        <v>102</v>
      </c>
      <c r="D471" s="172" t="s">
        <v>102</v>
      </c>
      <c r="E471" s="172" t="s">
        <v>102</v>
      </c>
      <c r="F471" s="172" t="s">
        <v>102</v>
      </c>
      <c r="G471" s="172" t="s">
        <v>102</v>
      </c>
      <c r="H471" s="172" t="s">
        <v>102</v>
      </c>
      <c r="I471" s="172" t="s">
        <v>102</v>
      </c>
      <c r="J471" s="172" t="s">
        <v>102</v>
      </c>
      <c r="K471" s="172" t="s">
        <v>102</v>
      </c>
      <c r="L471" s="172" t="s">
        <v>102</v>
      </c>
    </row>
    <row r="472" spans="1:12">
      <c r="A472" s="199">
        <v>411</v>
      </c>
      <c r="B472" s="182" t="s">
        <v>245</v>
      </c>
      <c r="C472" s="172" t="s">
        <v>102</v>
      </c>
      <c r="D472" s="172" t="s">
        <v>102</v>
      </c>
      <c r="E472" s="172" t="s">
        <v>102</v>
      </c>
      <c r="F472" s="172" t="s">
        <v>102</v>
      </c>
      <c r="G472" s="172" t="s">
        <v>102</v>
      </c>
      <c r="H472" s="172" t="s">
        <v>102</v>
      </c>
      <c r="I472" s="172" t="s">
        <v>102</v>
      </c>
      <c r="J472" s="172" t="s">
        <v>102</v>
      </c>
      <c r="K472" s="172" t="s">
        <v>102</v>
      </c>
      <c r="L472" s="172" t="s">
        <v>102</v>
      </c>
    </row>
    <row r="473" spans="1:12">
      <c r="A473" s="202">
        <v>4111</v>
      </c>
      <c r="B473" s="182" t="s">
        <v>129</v>
      </c>
      <c r="C473" s="172" t="s">
        <v>102</v>
      </c>
      <c r="D473" s="172" t="s">
        <v>102</v>
      </c>
      <c r="E473" s="172" t="s">
        <v>102</v>
      </c>
      <c r="F473" s="172" t="s">
        <v>102</v>
      </c>
      <c r="G473" s="172" t="s">
        <v>102</v>
      </c>
      <c r="H473" s="172" t="s">
        <v>102</v>
      </c>
      <c r="I473" s="172" t="s">
        <v>102</v>
      </c>
      <c r="J473" s="172" t="s">
        <v>102</v>
      </c>
      <c r="K473" s="172" t="s">
        <v>102</v>
      </c>
      <c r="L473" s="172" t="s">
        <v>102</v>
      </c>
    </row>
    <row r="474" spans="1:12">
      <c r="A474" s="202">
        <v>41111</v>
      </c>
      <c r="B474" s="182" t="s">
        <v>246</v>
      </c>
      <c r="C474" s="172" t="s">
        <v>102</v>
      </c>
      <c r="D474" s="172" t="s">
        <v>102</v>
      </c>
      <c r="E474" s="172" t="s">
        <v>102</v>
      </c>
      <c r="F474" s="172" t="s">
        <v>102</v>
      </c>
      <c r="G474" s="172" t="s">
        <v>102</v>
      </c>
      <c r="H474" s="172" t="s">
        <v>102</v>
      </c>
      <c r="I474" s="172" t="s">
        <v>102</v>
      </c>
      <c r="J474" s="172" t="s">
        <v>102</v>
      </c>
      <c r="K474" s="172" t="s">
        <v>102</v>
      </c>
      <c r="L474" s="172" t="s">
        <v>102</v>
      </c>
    </row>
    <row r="475" spans="1:12">
      <c r="A475" s="211">
        <v>41112</v>
      </c>
      <c r="B475" s="110" t="s">
        <v>247</v>
      </c>
      <c r="C475" s="222" t="s">
        <v>102</v>
      </c>
      <c r="D475" s="222" t="s">
        <v>102</v>
      </c>
      <c r="E475" s="222" t="s">
        <v>102</v>
      </c>
      <c r="F475" s="222" t="s">
        <v>102</v>
      </c>
      <c r="G475" s="222" t="s">
        <v>102</v>
      </c>
      <c r="H475" s="222" t="s">
        <v>102</v>
      </c>
      <c r="I475" s="222" t="s">
        <v>102</v>
      </c>
      <c r="J475" s="222" t="s">
        <v>102</v>
      </c>
      <c r="K475" s="222" t="s">
        <v>102</v>
      </c>
      <c r="L475" s="222" t="s">
        <v>102</v>
      </c>
    </row>
    <row r="476" spans="1:12">
      <c r="A476" s="211">
        <v>41113</v>
      </c>
      <c r="B476" s="110" t="s">
        <v>248</v>
      </c>
      <c r="C476" s="222" t="s">
        <v>102</v>
      </c>
      <c r="D476" s="222" t="s">
        <v>102</v>
      </c>
      <c r="E476" s="222" t="s">
        <v>102</v>
      </c>
      <c r="F476" s="222" t="s">
        <v>102</v>
      </c>
      <c r="G476" s="222" t="s">
        <v>102</v>
      </c>
      <c r="H476" s="222" t="s">
        <v>102</v>
      </c>
      <c r="I476" s="222" t="s">
        <v>102</v>
      </c>
      <c r="J476" s="222" t="s">
        <v>102</v>
      </c>
      <c r="K476" s="222" t="s">
        <v>102</v>
      </c>
      <c r="L476" s="222" t="s">
        <v>102</v>
      </c>
    </row>
    <row r="477" spans="1:12">
      <c r="A477" s="211">
        <v>4112</v>
      </c>
      <c r="B477" s="110" t="s">
        <v>135</v>
      </c>
      <c r="C477" s="222" t="s">
        <v>102</v>
      </c>
      <c r="D477" s="222" t="s">
        <v>102</v>
      </c>
      <c r="E477" s="222" t="s">
        <v>102</v>
      </c>
      <c r="F477" s="222" t="s">
        <v>102</v>
      </c>
      <c r="G477" s="222" t="s">
        <v>102</v>
      </c>
      <c r="H477" s="222" t="s">
        <v>102</v>
      </c>
      <c r="I477" s="222" t="s">
        <v>102</v>
      </c>
      <c r="J477" s="222" t="s">
        <v>102</v>
      </c>
      <c r="K477" s="222" t="s">
        <v>102</v>
      </c>
      <c r="L477" s="222" t="s">
        <v>102</v>
      </c>
    </row>
    <row r="478" spans="1:12">
      <c r="A478" s="202">
        <v>41121</v>
      </c>
      <c r="B478" s="182" t="s">
        <v>246</v>
      </c>
      <c r="C478" s="172" t="s">
        <v>102</v>
      </c>
      <c r="D478" s="172" t="s">
        <v>102</v>
      </c>
      <c r="E478" s="172" t="s">
        <v>102</v>
      </c>
      <c r="F478" s="172" t="s">
        <v>102</v>
      </c>
      <c r="G478" s="172" t="s">
        <v>102</v>
      </c>
      <c r="H478" s="172" t="s">
        <v>102</v>
      </c>
      <c r="I478" s="172" t="s">
        <v>102</v>
      </c>
      <c r="J478" s="172" t="s">
        <v>102</v>
      </c>
      <c r="K478" s="172" t="s">
        <v>102</v>
      </c>
      <c r="L478" s="172" t="s">
        <v>102</v>
      </c>
    </row>
    <row r="479" spans="1:12">
      <c r="A479" s="211">
        <v>41122</v>
      </c>
      <c r="B479" s="110" t="s">
        <v>247</v>
      </c>
      <c r="C479" s="222" t="s">
        <v>102</v>
      </c>
      <c r="D479" s="222" t="s">
        <v>102</v>
      </c>
      <c r="E479" s="222" t="s">
        <v>102</v>
      </c>
      <c r="F479" s="222" t="s">
        <v>102</v>
      </c>
      <c r="G479" s="222" t="s">
        <v>102</v>
      </c>
      <c r="H479" s="222" t="s">
        <v>102</v>
      </c>
      <c r="I479" s="222" t="s">
        <v>102</v>
      </c>
      <c r="J479" s="222" t="s">
        <v>102</v>
      </c>
      <c r="K479" s="222" t="s">
        <v>102</v>
      </c>
      <c r="L479" s="222" t="s">
        <v>102</v>
      </c>
    </row>
    <row r="480" spans="1:12">
      <c r="A480" s="211">
        <v>41123</v>
      </c>
      <c r="B480" s="110" t="s">
        <v>248</v>
      </c>
      <c r="C480" s="222" t="s">
        <v>102</v>
      </c>
      <c r="D480" s="222" t="s">
        <v>102</v>
      </c>
      <c r="E480" s="222" t="s">
        <v>102</v>
      </c>
      <c r="F480" s="222" t="s">
        <v>102</v>
      </c>
      <c r="G480" s="222" t="s">
        <v>102</v>
      </c>
      <c r="H480" s="222" t="s">
        <v>102</v>
      </c>
      <c r="I480" s="222" t="s">
        <v>102</v>
      </c>
      <c r="J480" s="222" t="s">
        <v>102</v>
      </c>
      <c r="K480" s="222" t="s">
        <v>102</v>
      </c>
      <c r="L480" s="222" t="s">
        <v>102</v>
      </c>
    </row>
    <row r="481" spans="1:12">
      <c r="A481" s="211">
        <v>412</v>
      </c>
      <c r="B481" s="110" t="s">
        <v>249</v>
      </c>
      <c r="C481" s="222" t="s">
        <v>102</v>
      </c>
      <c r="D481" s="222" t="s">
        <v>102</v>
      </c>
      <c r="E481" s="222" t="s">
        <v>102</v>
      </c>
      <c r="F481" s="222" t="s">
        <v>102</v>
      </c>
      <c r="G481" s="222" t="s">
        <v>102</v>
      </c>
      <c r="H481" s="222" t="s">
        <v>102</v>
      </c>
      <c r="I481" s="222" t="s">
        <v>102</v>
      </c>
      <c r="J481" s="222" t="s">
        <v>102</v>
      </c>
      <c r="K481" s="222" t="s">
        <v>102</v>
      </c>
      <c r="L481" s="222" t="s">
        <v>102</v>
      </c>
    </row>
    <row r="482" spans="1:12">
      <c r="A482" s="202">
        <v>4121</v>
      </c>
      <c r="B482" s="182" t="s">
        <v>129</v>
      </c>
      <c r="C482" s="172" t="s">
        <v>102</v>
      </c>
      <c r="D482" s="172" t="s">
        <v>102</v>
      </c>
      <c r="E482" s="172" t="s">
        <v>102</v>
      </c>
      <c r="F482" s="172" t="s">
        <v>102</v>
      </c>
      <c r="G482" s="172" t="s">
        <v>102</v>
      </c>
      <c r="H482" s="172" t="s">
        <v>102</v>
      </c>
      <c r="I482" s="172" t="s">
        <v>102</v>
      </c>
      <c r="J482" s="172" t="s">
        <v>102</v>
      </c>
      <c r="K482" s="172" t="s">
        <v>102</v>
      </c>
      <c r="L482" s="172" t="s">
        <v>102</v>
      </c>
    </row>
    <row r="483" spans="1:12">
      <c r="A483" s="202">
        <v>41211</v>
      </c>
      <c r="B483" s="182" t="s">
        <v>250</v>
      </c>
      <c r="C483" s="172" t="s">
        <v>102</v>
      </c>
      <c r="D483" s="172" t="s">
        <v>102</v>
      </c>
      <c r="E483" s="172" t="s">
        <v>102</v>
      </c>
      <c r="F483" s="172" t="s">
        <v>102</v>
      </c>
      <c r="G483" s="172" t="s">
        <v>102</v>
      </c>
      <c r="H483" s="172" t="s">
        <v>102</v>
      </c>
      <c r="I483" s="172" t="s">
        <v>102</v>
      </c>
      <c r="J483" s="172" t="s">
        <v>102</v>
      </c>
      <c r="K483" s="172" t="s">
        <v>102</v>
      </c>
      <c r="L483" s="172" t="s">
        <v>102</v>
      </c>
    </row>
    <row r="484" spans="1:12">
      <c r="A484" s="211">
        <v>41212</v>
      </c>
      <c r="B484" s="110" t="s">
        <v>154</v>
      </c>
      <c r="C484" s="222" t="s">
        <v>102</v>
      </c>
      <c r="D484" s="222" t="s">
        <v>102</v>
      </c>
      <c r="E484" s="222" t="s">
        <v>102</v>
      </c>
      <c r="F484" s="222" t="s">
        <v>102</v>
      </c>
      <c r="G484" s="222" t="s">
        <v>102</v>
      </c>
      <c r="H484" s="222" t="s">
        <v>102</v>
      </c>
      <c r="I484" s="222" t="s">
        <v>102</v>
      </c>
      <c r="J484" s="222" t="s">
        <v>102</v>
      </c>
      <c r="K484" s="222" t="s">
        <v>102</v>
      </c>
      <c r="L484" s="222" t="s">
        <v>102</v>
      </c>
    </row>
    <row r="485" spans="1:12">
      <c r="A485" s="211">
        <v>41213</v>
      </c>
      <c r="B485" s="110" t="s">
        <v>251</v>
      </c>
      <c r="C485" s="222" t="s">
        <v>102</v>
      </c>
      <c r="D485" s="222" t="s">
        <v>102</v>
      </c>
      <c r="E485" s="222" t="s">
        <v>102</v>
      </c>
      <c r="F485" s="222" t="s">
        <v>102</v>
      </c>
      <c r="G485" s="222" t="s">
        <v>102</v>
      </c>
      <c r="H485" s="222" t="s">
        <v>102</v>
      </c>
      <c r="I485" s="222" t="s">
        <v>102</v>
      </c>
      <c r="J485" s="222" t="s">
        <v>102</v>
      </c>
      <c r="K485" s="222" t="s">
        <v>102</v>
      </c>
      <c r="L485" s="222" t="s">
        <v>102</v>
      </c>
    </row>
    <row r="486" spans="1:12">
      <c r="A486" s="211">
        <v>41214</v>
      </c>
      <c r="B486" s="110" t="s">
        <v>252</v>
      </c>
      <c r="C486" s="222" t="s">
        <v>102</v>
      </c>
      <c r="D486" s="222" t="s">
        <v>102</v>
      </c>
      <c r="E486" s="222" t="s">
        <v>102</v>
      </c>
      <c r="F486" s="222" t="s">
        <v>102</v>
      </c>
      <c r="G486" s="222" t="s">
        <v>102</v>
      </c>
      <c r="H486" s="222" t="s">
        <v>102</v>
      </c>
      <c r="I486" s="222" t="s">
        <v>102</v>
      </c>
      <c r="J486" s="222" t="s">
        <v>102</v>
      </c>
      <c r="K486" s="222" t="s">
        <v>102</v>
      </c>
      <c r="L486" s="222" t="s">
        <v>102</v>
      </c>
    </row>
    <row r="487" spans="1:12">
      <c r="A487" s="211">
        <v>41215</v>
      </c>
      <c r="B487" s="110" t="s">
        <v>253</v>
      </c>
      <c r="C487" s="222" t="s">
        <v>102</v>
      </c>
      <c r="D487" s="222" t="s">
        <v>102</v>
      </c>
      <c r="E487" s="222" t="s">
        <v>102</v>
      </c>
      <c r="F487" s="222" t="s">
        <v>102</v>
      </c>
      <c r="G487" s="222" t="s">
        <v>102</v>
      </c>
      <c r="H487" s="222" t="s">
        <v>102</v>
      </c>
      <c r="I487" s="222" t="s">
        <v>102</v>
      </c>
      <c r="J487" s="222" t="s">
        <v>102</v>
      </c>
      <c r="K487" s="222" t="s">
        <v>102</v>
      </c>
      <c r="L487" s="222" t="s">
        <v>102</v>
      </c>
    </row>
    <row r="488" spans="1:12">
      <c r="A488" s="211">
        <v>41216</v>
      </c>
      <c r="B488" s="110" t="s">
        <v>254</v>
      </c>
      <c r="C488" s="222" t="s">
        <v>102</v>
      </c>
      <c r="D488" s="222" t="s">
        <v>102</v>
      </c>
      <c r="E488" s="222" t="s">
        <v>102</v>
      </c>
      <c r="F488" s="222" t="s">
        <v>102</v>
      </c>
      <c r="G488" s="222" t="s">
        <v>102</v>
      </c>
      <c r="H488" s="222" t="s">
        <v>102</v>
      </c>
      <c r="I488" s="222" t="s">
        <v>102</v>
      </c>
      <c r="J488" s="222" t="s">
        <v>102</v>
      </c>
      <c r="K488" s="222" t="s">
        <v>102</v>
      </c>
      <c r="L488" s="222" t="s">
        <v>102</v>
      </c>
    </row>
    <row r="489" spans="1:12">
      <c r="A489" s="211">
        <v>41217</v>
      </c>
      <c r="B489" s="110" t="s">
        <v>255</v>
      </c>
      <c r="C489" s="222" t="s">
        <v>102</v>
      </c>
      <c r="D489" s="222" t="s">
        <v>102</v>
      </c>
      <c r="E489" s="222" t="s">
        <v>102</v>
      </c>
      <c r="F489" s="222" t="s">
        <v>102</v>
      </c>
      <c r="G489" s="222" t="s">
        <v>102</v>
      </c>
      <c r="H489" s="222" t="s">
        <v>102</v>
      </c>
      <c r="I489" s="222" t="s">
        <v>102</v>
      </c>
      <c r="J489" s="222" t="s">
        <v>102</v>
      </c>
      <c r="K489" s="222" t="s">
        <v>102</v>
      </c>
      <c r="L489" s="222" t="s">
        <v>102</v>
      </c>
    </row>
    <row r="490" spans="1:12">
      <c r="A490" s="211">
        <v>4122</v>
      </c>
      <c r="B490" s="110" t="s">
        <v>135</v>
      </c>
      <c r="C490" s="222" t="s">
        <v>102</v>
      </c>
      <c r="D490" s="222" t="s">
        <v>102</v>
      </c>
      <c r="E490" s="222" t="s">
        <v>102</v>
      </c>
      <c r="F490" s="222" t="s">
        <v>102</v>
      </c>
      <c r="G490" s="222" t="s">
        <v>102</v>
      </c>
      <c r="H490" s="222" t="s">
        <v>102</v>
      </c>
      <c r="I490" s="222" t="s">
        <v>102</v>
      </c>
      <c r="J490" s="222" t="s">
        <v>102</v>
      </c>
      <c r="K490" s="222" t="s">
        <v>102</v>
      </c>
      <c r="L490" s="222" t="s">
        <v>102</v>
      </c>
    </row>
    <row r="491" spans="1:12">
      <c r="A491" s="202">
        <v>41221</v>
      </c>
      <c r="B491" s="182" t="s">
        <v>256</v>
      </c>
      <c r="C491" s="172" t="s">
        <v>102</v>
      </c>
      <c r="D491" s="172" t="s">
        <v>102</v>
      </c>
      <c r="E491" s="172" t="s">
        <v>102</v>
      </c>
      <c r="F491" s="172" t="s">
        <v>102</v>
      </c>
      <c r="G491" s="172" t="s">
        <v>102</v>
      </c>
      <c r="H491" s="172" t="s">
        <v>102</v>
      </c>
      <c r="I491" s="172" t="s">
        <v>102</v>
      </c>
      <c r="J491" s="172" t="s">
        <v>102</v>
      </c>
      <c r="K491" s="172" t="s">
        <v>102</v>
      </c>
      <c r="L491" s="172" t="s">
        <v>102</v>
      </c>
    </row>
    <row r="492" spans="1:12">
      <c r="A492" s="211">
        <v>41222</v>
      </c>
      <c r="B492" s="110" t="s">
        <v>257</v>
      </c>
      <c r="C492" s="222" t="s">
        <v>102</v>
      </c>
      <c r="D492" s="222" t="s">
        <v>102</v>
      </c>
      <c r="E492" s="222" t="s">
        <v>102</v>
      </c>
      <c r="F492" s="222" t="s">
        <v>102</v>
      </c>
      <c r="G492" s="222" t="s">
        <v>102</v>
      </c>
      <c r="H492" s="222" t="s">
        <v>102</v>
      </c>
      <c r="I492" s="222" t="s">
        <v>102</v>
      </c>
      <c r="J492" s="222" t="s">
        <v>102</v>
      </c>
      <c r="K492" s="222" t="s">
        <v>102</v>
      </c>
      <c r="L492" s="222" t="s">
        <v>102</v>
      </c>
    </row>
    <row r="493" spans="1:12">
      <c r="A493" s="211">
        <v>41223</v>
      </c>
      <c r="B493" s="110" t="s">
        <v>258</v>
      </c>
      <c r="C493" s="222" t="s">
        <v>102</v>
      </c>
      <c r="D493" s="222" t="s">
        <v>102</v>
      </c>
      <c r="E493" s="222" t="s">
        <v>102</v>
      </c>
      <c r="F493" s="222" t="s">
        <v>102</v>
      </c>
      <c r="G493" s="222" t="s">
        <v>102</v>
      </c>
      <c r="H493" s="222" t="s">
        <v>102</v>
      </c>
      <c r="I493" s="222" t="s">
        <v>102</v>
      </c>
      <c r="J493" s="222" t="s">
        <v>102</v>
      </c>
      <c r="K493" s="222" t="s">
        <v>102</v>
      </c>
      <c r="L493" s="222" t="s">
        <v>102</v>
      </c>
    </row>
    <row r="494" spans="1:12">
      <c r="A494" s="211">
        <v>41224</v>
      </c>
      <c r="B494" s="110" t="s">
        <v>259</v>
      </c>
      <c r="C494" s="222" t="s">
        <v>102</v>
      </c>
      <c r="D494" s="222" t="s">
        <v>102</v>
      </c>
      <c r="E494" s="222" t="s">
        <v>102</v>
      </c>
      <c r="F494" s="222" t="s">
        <v>102</v>
      </c>
      <c r="G494" s="109" t="s">
        <v>102</v>
      </c>
      <c r="H494" s="110" t="s">
        <v>102</v>
      </c>
      <c r="I494" s="222" t="s">
        <v>102</v>
      </c>
      <c r="J494" s="222" t="s">
        <v>102</v>
      </c>
      <c r="K494" s="222" t="s">
        <v>102</v>
      </c>
      <c r="L494" s="222" t="s">
        <v>102</v>
      </c>
    </row>
    <row r="495" spans="1:12">
      <c r="A495" s="211">
        <v>41225</v>
      </c>
      <c r="B495" s="110" t="s">
        <v>691</v>
      </c>
      <c r="C495" s="222" t="s">
        <v>102</v>
      </c>
      <c r="D495" s="222" t="s">
        <v>102</v>
      </c>
      <c r="E495" s="222" t="s">
        <v>102</v>
      </c>
      <c r="F495" s="222" t="s">
        <v>102</v>
      </c>
      <c r="G495" s="222" t="s">
        <v>102</v>
      </c>
      <c r="H495" s="222" t="s">
        <v>102</v>
      </c>
      <c r="I495" s="222" t="s">
        <v>102</v>
      </c>
      <c r="J495" s="222" t="s">
        <v>102</v>
      </c>
      <c r="K495" s="222" t="s">
        <v>102</v>
      </c>
      <c r="L495" s="222" t="s">
        <v>102</v>
      </c>
    </row>
    <row r="496" spans="1:12">
      <c r="A496" s="211">
        <v>413</v>
      </c>
      <c r="B496" s="102" t="s">
        <v>262</v>
      </c>
      <c r="C496" s="222" t="s">
        <v>102</v>
      </c>
      <c r="D496" s="222" t="s">
        <v>102</v>
      </c>
      <c r="E496" s="222" t="s">
        <v>102</v>
      </c>
      <c r="F496" s="222" t="s">
        <v>102</v>
      </c>
      <c r="G496" s="222" t="s">
        <v>102</v>
      </c>
      <c r="H496" s="222" t="s">
        <v>102</v>
      </c>
      <c r="I496" s="222" t="s">
        <v>102</v>
      </c>
      <c r="J496" s="222" t="s">
        <v>102</v>
      </c>
      <c r="K496" s="222" t="s">
        <v>102</v>
      </c>
      <c r="L496" s="222" t="s">
        <v>102</v>
      </c>
    </row>
    <row r="497" spans="1:12">
      <c r="A497" s="202">
        <v>41310</v>
      </c>
      <c r="B497" s="182" t="s">
        <v>263</v>
      </c>
      <c r="C497" s="172" t="s">
        <v>102</v>
      </c>
      <c r="D497" s="172" t="s">
        <v>102</v>
      </c>
      <c r="E497" s="172" t="s">
        <v>102</v>
      </c>
      <c r="F497" s="172" t="s">
        <v>102</v>
      </c>
      <c r="G497" s="172" t="s">
        <v>102</v>
      </c>
      <c r="H497" s="172" t="s">
        <v>102</v>
      </c>
      <c r="I497" s="172" t="s">
        <v>102</v>
      </c>
      <c r="J497" s="172" t="s">
        <v>102</v>
      </c>
      <c r="K497" s="172" t="s">
        <v>102</v>
      </c>
      <c r="L497" s="172" t="s">
        <v>102</v>
      </c>
    </row>
    <row r="498" spans="1:12">
      <c r="A498" s="109">
        <v>413101</v>
      </c>
      <c r="B498" s="110" t="s">
        <v>573</v>
      </c>
      <c r="C498" s="222" t="s">
        <v>102</v>
      </c>
      <c r="D498" s="222" t="s">
        <v>102</v>
      </c>
      <c r="E498" s="222" t="s">
        <v>102</v>
      </c>
      <c r="F498" s="222" t="s">
        <v>102</v>
      </c>
      <c r="G498" s="222" t="s">
        <v>102</v>
      </c>
      <c r="H498" s="222" t="s">
        <v>102</v>
      </c>
      <c r="I498" s="222" t="s">
        <v>102</v>
      </c>
      <c r="J498" s="222" t="s">
        <v>102</v>
      </c>
      <c r="K498" s="222" t="s">
        <v>102</v>
      </c>
      <c r="L498" s="222" t="s">
        <v>102</v>
      </c>
    </row>
    <row r="499" spans="1:12">
      <c r="A499" s="214">
        <v>413102</v>
      </c>
      <c r="B499" s="190" t="s">
        <v>574</v>
      </c>
      <c r="C499" s="222" t="s">
        <v>102</v>
      </c>
      <c r="D499" s="222" t="s">
        <v>102</v>
      </c>
      <c r="E499" s="222" t="s">
        <v>102</v>
      </c>
      <c r="F499" s="222" t="s">
        <v>102</v>
      </c>
      <c r="G499" s="222" t="s">
        <v>102</v>
      </c>
      <c r="H499" s="222" t="s">
        <v>102</v>
      </c>
      <c r="I499" s="222" t="s">
        <v>102</v>
      </c>
      <c r="J499" s="222" t="s">
        <v>102</v>
      </c>
      <c r="K499" s="222" t="s">
        <v>102</v>
      </c>
      <c r="L499" s="222" t="s">
        <v>102</v>
      </c>
    </row>
    <row r="500" spans="1:12">
      <c r="A500" s="214">
        <v>413103</v>
      </c>
      <c r="B500" s="190" t="s">
        <v>575</v>
      </c>
      <c r="C500" s="222" t="s">
        <v>102</v>
      </c>
      <c r="D500" s="222" t="s">
        <v>102</v>
      </c>
      <c r="E500" s="222" t="s">
        <v>102</v>
      </c>
      <c r="F500" s="222" t="s">
        <v>102</v>
      </c>
      <c r="G500" s="222" t="s">
        <v>102</v>
      </c>
      <c r="H500" s="222" t="s">
        <v>102</v>
      </c>
      <c r="I500" s="222" t="s">
        <v>102</v>
      </c>
      <c r="J500" s="222" t="s">
        <v>102</v>
      </c>
      <c r="K500" s="222" t="s">
        <v>102</v>
      </c>
      <c r="L500" s="222" t="s">
        <v>102</v>
      </c>
    </row>
    <row r="501" spans="1:12">
      <c r="A501" s="214">
        <v>413104</v>
      </c>
      <c r="B501" s="190" t="s">
        <v>576</v>
      </c>
      <c r="C501" s="222" t="s">
        <v>102</v>
      </c>
      <c r="D501" s="222" t="s">
        <v>102</v>
      </c>
      <c r="E501" s="222" t="s">
        <v>102</v>
      </c>
      <c r="F501" s="222" t="s">
        <v>102</v>
      </c>
      <c r="G501" s="222" t="s">
        <v>102</v>
      </c>
      <c r="H501" s="222" t="s">
        <v>102</v>
      </c>
      <c r="I501" s="222" t="s">
        <v>102</v>
      </c>
      <c r="J501" s="222" t="s">
        <v>102</v>
      </c>
      <c r="K501" s="222" t="s">
        <v>102</v>
      </c>
      <c r="L501" s="222" t="s">
        <v>102</v>
      </c>
    </row>
    <row r="502" spans="1:12">
      <c r="A502" s="214">
        <v>41320</v>
      </c>
      <c r="B502" s="190" t="s">
        <v>264</v>
      </c>
      <c r="C502" s="222" t="s">
        <v>102</v>
      </c>
      <c r="D502" s="222" t="s">
        <v>102</v>
      </c>
      <c r="E502" s="222" t="s">
        <v>102</v>
      </c>
      <c r="F502" s="222" t="s">
        <v>102</v>
      </c>
      <c r="G502" s="222" t="s">
        <v>102</v>
      </c>
      <c r="H502" s="222" t="s">
        <v>102</v>
      </c>
      <c r="I502" s="222" t="s">
        <v>102</v>
      </c>
      <c r="J502" s="222" t="s">
        <v>102</v>
      </c>
      <c r="K502" s="222" t="s">
        <v>102</v>
      </c>
      <c r="L502" s="222" t="s">
        <v>102</v>
      </c>
    </row>
    <row r="503" spans="1:12">
      <c r="A503" s="211">
        <v>413201</v>
      </c>
      <c r="B503" s="110" t="s">
        <v>577</v>
      </c>
      <c r="C503" s="222" t="s">
        <v>102</v>
      </c>
      <c r="D503" s="222" t="s">
        <v>102</v>
      </c>
      <c r="E503" s="222" t="s">
        <v>102</v>
      </c>
      <c r="F503" s="222" t="s">
        <v>102</v>
      </c>
      <c r="G503" s="222" t="s">
        <v>102</v>
      </c>
      <c r="H503" s="222" t="s">
        <v>102</v>
      </c>
      <c r="I503" s="222" t="s">
        <v>102</v>
      </c>
      <c r="J503" s="222" t="s">
        <v>102</v>
      </c>
      <c r="K503" s="222" t="s">
        <v>102</v>
      </c>
      <c r="L503" s="222" t="s">
        <v>102</v>
      </c>
    </row>
    <row r="504" spans="1:12">
      <c r="A504" s="108">
        <v>413202</v>
      </c>
      <c r="B504" s="102" t="s">
        <v>578</v>
      </c>
      <c r="C504" s="222" t="s">
        <v>102</v>
      </c>
      <c r="D504" s="222" t="s">
        <v>102</v>
      </c>
      <c r="E504" s="222" t="s">
        <v>102</v>
      </c>
      <c r="F504" s="222" t="s">
        <v>102</v>
      </c>
      <c r="G504" s="222" t="s">
        <v>102</v>
      </c>
      <c r="H504" s="222" t="s">
        <v>102</v>
      </c>
      <c r="I504" s="222" t="s">
        <v>102</v>
      </c>
      <c r="J504" s="222" t="s">
        <v>102</v>
      </c>
      <c r="K504" s="222" t="s">
        <v>102</v>
      </c>
      <c r="L504" s="222" t="s">
        <v>102</v>
      </c>
    </row>
    <row r="505" spans="1:12">
      <c r="A505" s="108">
        <v>413203</v>
      </c>
      <c r="B505" s="102" t="s">
        <v>579</v>
      </c>
      <c r="C505" s="222" t="s">
        <v>102</v>
      </c>
      <c r="D505" s="222" t="s">
        <v>102</v>
      </c>
      <c r="E505" s="222" t="s">
        <v>102</v>
      </c>
      <c r="F505" s="222" t="s">
        <v>102</v>
      </c>
      <c r="G505" s="222" t="s">
        <v>102</v>
      </c>
      <c r="H505" s="222" t="s">
        <v>102</v>
      </c>
      <c r="I505" s="222" t="s">
        <v>102</v>
      </c>
      <c r="J505" s="222" t="s">
        <v>102</v>
      </c>
      <c r="K505" s="222" t="s">
        <v>102</v>
      </c>
      <c r="L505" s="222" t="s">
        <v>102</v>
      </c>
    </row>
    <row r="506" spans="1:12">
      <c r="A506" s="108">
        <v>413204</v>
      </c>
      <c r="B506" s="102" t="s">
        <v>580</v>
      </c>
      <c r="C506" s="222" t="s">
        <v>102</v>
      </c>
      <c r="D506" s="222" t="s">
        <v>102</v>
      </c>
      <c r="E506" s="222" t="s">
        <v>102</v>
      </c>
      <c r="F506" s="222" t="s">
        <v>102</v>
      </c>
      <c r="G506" s="222" t="s">
        <v>102</v>
      </c>
      <c r="H506" s="222" t="s">
        <v>102</v>
      </c>
      <c r="I506" s="222" t="s">
        <v>102</v>
      </c>
      <c r="J506" s="222" t="s">
        <v>102</v>
      </c>
      <c r="K506" s="222" t="s">
        <v>102</v>
      </c>
      <c r="L506" s="222" t="s">
        <v>102</v>
      </c>
    </row>
    <row r="507" spans="1:12">
      <c r="A507" s="108">
        <v>413205</v>
      </c>
      <c r="B507" s="102" t="s">
        <v>581</v>
      </c>
      <c r="C507" s="222" t="s">
        <v>102</v>
      </c>
      <c r="D507" s="222" t="s">
        <v>102</v>
      </c>
      <c r="E507" s="222" t="s">
        <v>102</v>
      </c>
      <c r="F507" s="222" t="s">
        <v>102</v>
      </c>
      <c r="G507" s="222" t="s">
        <v>102</v>
      </c>
      <c r="H507" s="222" t="s">
        <v>102</v>
      </c>
      <c r="I507" s="222" t="s">
        <v>102</v>
      </c>
      <c r="J507" s="222" t="s">
        <v>102</v>
      </c>
      <c r="K507" s="222" t="s">
        <v>102</v>
      </c>
      <c r="L507" s="222" t="s">
        <v>102</v>
      </c>
    </row>
    <row r="508" spans="1:12">
      <c r="A508" s="108">
        <v>413206</v>
      </c>
      <c r="B508" s="102" t="s">
        <v>582</v>
      </c>
      <c r="C508" s="222" t="s">
        <v>102</v>
      </c>
      <c r="D508" s="222" t="s">
        <v>102</v>
      </c>
      <c r="E508" s="222" t="s">
        <v>102</v>
      </c>
      <c r="F508" s="222" t="s">
        <v>102</v>
      </c>
      <c r="G508" s="222" t="s">
        <v>102</v>
      </c>
      <c r="H508" s="222" t="s">
        <v>102</v>
      </c>
      <c r="I508" s="222" t="s">
        <v>102</v>
      </c>
      <c r="J508" s="222" t="s">
        <v>102</v>
      </c>
      <c r="K508" s="222" t="s">
        <v>102</v>
      </c>
      <c r="L508" s="222" t="s">
        <v>102</v>
      </c>
    </row>
    <row r="509" spans="1:12">
      <c r="A509" s="108">
        <v>413207</v>
      </c>
      <c r="B509" s="102" t="s">
        <v>583</v>
      </c>
      <c r="C509" s="222" t="s">
        <v>102</v>
      </c>
      <c r="D509" s="222" t="s">
        <v>102</v>
      </c>
      <c r="E509" s="222" t="s">
        <v>102</v>
      </c>
      <c r="F509" s="222" t="s">
        <v>102</v>
      </c>
      <c r="G509" s="222" t="s">
        <v>102</v>
      </c>
      <c r="H509" s="222" t="s">
        <v>102</v>
      </c>
      <c r="I509" s="222" t="s">
        <v>102</v>
      </c>
      <c r="J509" s="222" t="s">
        <v>102</v>
      </c>
      <c r="K509" s="222" t="s">
        <v>102</v>
      </c>
      <c r="L509" s="222" t="s">
        <v>102</v>
      </c>
    </row>
    <row r="510" spans="1:12">
      <c r="A510" s="108">
        <v>413208</v>
      </c>
      <c r="B510" s="102" t="s">
        <v>584</v>
      </c>
      <c r="C510" s="222" t="s">
        <v>102</v>
      </c>
      <c r="D510" s="222" t="s">
        <v>102</v>
      </c>
      <c r="E510" s="222" t="s">
        <v>102</v>
      </c>
      <c r="F510" s="222" t="s">
        <v>102</v>
      </c>
      <c r="G510" s="222" t="s">
        <v>102</v>
      </c>
      <c r="H510" s="222" t="s">
        <v>102</v>
      </c>
      <c r="I510" s="222" t="s">
        <v>102</v>
      </c>
      <c r="J510" s="222" t="s">
        <v>102</v>
      </c>
      <c r="K510" s="222" t="s">
        <v>102</v>
      </c>
      <c r="L510" s="222" t="s">
        <v>102</v>
      </c>
    </row>
    <row r="511" spans="1:12">
      <c r="A511" s="108">
        <v>413209</v>
      </c>
      <c r="B511" s="102" t="s">
        <v>585</v>
      </c>
      <c r="C511" s="222" t="s">
        <v>102</v>
      </c>
      <c r="D511" s="222" t="s">
        <v>102</v>
      </c>
      <c r="E511" s="222" t="s">
        <v>102</v>
      </c>
      <c r="F511" s="222" t="s">
        <v>102</v>
      </c>
      <c r="G511" s="222" t="s">
        <v>102</v>
      </c>
      <c r="H511" s="222" t="s">
        <v>102</v>
      </c>
      <c r="I511" s="222" t="s">
        <v>102</v>
      </c>
      <c r="J511" s="222" t="s">
        <v>102</v>
      </c>
      <c r="K511" s="222" t="s">
        <v>102</v>
      </c>
      <c r="L511" s="222" t="s">
        <v>102</v>
      </c>
    </row>
    <row r="512" spans="1:12">
      <c r="A512" s="108">
        <v>413210</v>
      </c>
      <c r="B512" s="102" t="s">
        <v>586</v>
      </c>
      <c r="C512" s="222" t="s">
        <v>102</v>
      </c>
      <c r="D512" s="222" t="s">
        <v>102</v>
      </c>
      <c r="E512" s="222" t="s">
        <v>102</v>
      </c>
      <c r="F512" s="222" t="s">
        <v>102</v>
      </c>
      <c r="G512" s="222" t="s">
        <v>102</v>
      </c>
      <c r="H512" s="222" t="s">
        <v>102</v>
      </c>
      <c r="I512" s="222" t="s">
        <v>102</v>
      </c>
      <c r="J512" s="222" t="s">
        <v>102</v>
      </c>
      <c r="K512" s="222" t="s">
        <v>102</v>
      </c>
      <c r="L512" s="222" t="s">
        <v>102</v>
      </c>
    </row>
    <row r="513" spans="1:12">
      <c r="A513" s="108">
        <v>413211</v>
      </c>
      <c r="B513" s="102" t="s">
        <v>587</v>
      </c>
      <c r="C513" s="222" t="s">
        <v>102</v>
      </c>
      <c r="D513" s="222" t="s">
        <v>102</v>
      </c>
      <c r="E513" s="222" t="s">
        <v>102</v>
      </c>
      <c r="F513" s="222" t="s">
        <v>102</v>
      </c>
      <c r="G513" s="222" t="s">
        <v>102</v>
      </c>
      <c r="H513" s="222" t="s">
        <v>102</v>
      </c>
      <c r="I513" s="222" t="s">
        <v>102</v>
      </c>
      <c r="J513" s="222" t="s">
        <v>102</v>
      </c>
      <c r="K513" s="222" t="s">
        <v>102</v>
      </c>
      <c r="L513" s="222" t="s">
        <v>102</v>
      </c>
    </row>
    <row r="514" spans="1:12">
      <c r="A514" s="108">
        <v>413212</v>
      </c>
      <c r="B514" s="102" t="s">
        <v>588</v>
      </c>
      <c r="C514" s="222" t="s">
        <v>102</v>
      </c>
      <c r="D514" s="222" t="s">
        <v>102</v>
      </c>
      <c r="E514" s="222" t="s">
        <v>102</v>
      </c>
      <c r="F514" s="222" t="s">
        <v>102</v>
      </c>
      <c r="G514" s="222" t="s">
        <v>102</v>
      </c>
      <c r="H514" s="222" t="s">
        <v>102</v>
      </c>
      <c r="I514" s="222" t="s">
        <v>102</v>
      </c>
      <c r="J514" s="222" t="s">
        <v>102</v>
      </c>
      <c r="K514" s="222" t="s">
        <v>102</v>
      </c>
      <c r="L514" s="222" t="s">
        <v>102</v>
      </c>
    </row>
    <row r="515" spans="1:12">
      <c r="A515" s="108">
        <v>413213</v>
      </c>
      <c r="B515" s="102" t="s">
        <v>589</v>
      </c>
      <c r="C515" s="222" t="s">
        <v>102</v>
      </c>
      <c r="D515" s="222" t="s">
        <v>102</v>
      </c>
      <c r="E515" s="222" t="s">
        <v>102</v>
      </c>
      <c r="F515" s="222" t="s">
        <v>102</v>
      </c>
      <c r="G515" s="222" t="s">
        <v>102</v>
      </c>
      <c r="H515" s="222" t="s">
        <v>102</v>
      </c>
      <c r="I515" s="222" t="s">
        <v>102</v>
      </c>
      <c r="J515" s="222" t="s">
        <v>102</v>
      </c>
      <c r="K515" s="222" t="s">
        <v>102</v>
      </c>
      <c r="L515" s="222" t="s">
        <v>102</v>
      </c>
    </row>
    <row r="516" spans="1:12">
      <c r="A516" s="108">
        <v>41330</v>
      </c>
      <c r="B516" s="102" t="s">
        <v>265</v>
      </c>
      <c r="C516" s="222" t="s">
        <v>102</v>
      </c>
      <c r="D516" s="222" t="s">
        <v>102</v>
      </c>
      <c r="E516" s="222" t="s">
        <v>102</v>
      </c>
      <c r="F516" s="222" t="s">
        <v>102</v>
      </c>
      <c r="G516" s="222" t="s">
        <v>102</v>
      </c>
      <c r="H516" s="222" t="s">
        <v>102</v>
      </c>
      <c r="I516" s="222" t="s">
        <v>102</v>
      </c>
      <c r="J516" s="222" t="s">
        <v>102</v>
      </c>
      <c r="K516" s="222" t="s">
        <v>102</v>
      </c>
      <c r="L516" s="222" t="s">
        <v>102</v>
      </c>
    </row>
    <row r="517" spans="1:12">
      <c r="A517" s="211">
        <v>41340</v>
      </c>
      <c r="B517" s="110" t="s">
        <v>266</v>
      </c>
      <c r="C517" s="222" t="s">
        <v>102</v>
      </c>
      <c r="D517" s="222" t="s">
        <v>102</v>
      </c>
      <c r="E517" s="222" t="s">
        <v>102</v>
      </c>
      <c r="F517" s="222" t="s">
        <v>102</v>
      </c>
      <c r="G517" s="222" t="s">
        <v>102</v>
      </c>
      <c r="H517" s="222" t="s">
        <v>102</v>
      </c>
      <c r="I517" s="222" t="s">
        <v>102</v>
      </c>
      <c r="J517" s="222" t="s">
        <v>102</v>
      </c>
      <c r="K517" s="222" t="s">
        <v>102</v>
      </c>
      <c r="L517" s="222" t="s">
        <v>102</v>
      </c>
    </row>
    <row r="518" spans="1:12">
      <c r="A518" s="211">
        <v>41350</v>
      </c>
      <c r="B518" s="110" t="s">
        <v>267</v>
      </c>
      <c r="C518" s="222" t="s">
        <v>102</v>
      </c>
      <c r="D518" s="222" t="s">
        <v>102</v>
      </c>
      <c r="E518" s="222" t="s">
        <v>102</v>
      </c>
      <c r="F518" s="222" t="s">
        <v>102</v>
      </c>
      <c r="G518" s="222" t="s">
        <v>102</v>
      </c>
      <c r="H518" s="222" t="s">
        <v>102</v>
      </c>
      <c r="I518" s="222" t="s">
        <v>102</v>
      </c>
      <c r="J518" s="222" t="s">
        <v>102</v>
      </c>
      <c r="K518" s="222" t="s">
        <v>102</v>
      </c>
      <c r="L518" s="222" t="s">
        <v>102</v>
      </c>
    </row>
    <row r="519" spans="1:12">
      <c r="A519" s="211">
        <v>4136</v>
      </c>
      <c r="B519" s="110" t="s">
        <v>639</v>
      </c>
      <c r="C519" s="222" t="s">
        <v>102</v>
      </c>
      <c r="D519" s="222" t="s">
        <v>102</v>
      </c>
      <c r="E519" s="222" t="s">
        <v>102</v>
      </c>
      <c r="F519" s="222" t="s">
        <v>102</v>
      </c>
      <c r="G519" s="222" t="s">
        <v>102</v>
      </c>
      <c r="H519" s="222" t="s">
        <v>102</v>
      </c>
      <c r="I519" s="222" t="s">
        <v>102</v>
      </c>
      <c r="J519" s="222" t="s">
        <v>102</v>
      </c>
      <c r="K519" s="222" t="s">
        <v>102</v>
      </c>
      <c r="L519" s="222" t="s">
        <v>102</v>
      </c>
    </row>
    <row r="520" spans="1:12">
      <c r="A520" s="202">
        <v>41361</v>
      </c>
      <c r="B520" s="182" t="s">
        <v>268</v>
      </c>
      <c r="C520" s="172" t="s">
        <v>102</v>
      </c>
      <c r="D520" s="172" t="s">
        <v>102</v>
      </c>
      <c r="E520" s="172" t="s">
        <v>102</v>
      </c>
      <c r="F520" s="172" t="s">
        <v>102</v>
      </c>
      <c r="G520" s="172" t="s">
        <v>102</v>
      </c>
      <c r="H520" s="172" t="s">
        <v>102</v>
      </c>
      <c r="I520" s="172" t="s">
        <v>102</v>
      </c>
      <c r="J520" s="172" t="s">
        <v>102</v>
      </c>
      <c r="K520" s="172" t="s">
        <v>102</v>
      </c>
      <c r="L520" s="172" t="s">
        <v>102</v>
      </c>
    </row>
    <row r="521" spans="1:12">
      <c r="A521" s="211">
        <v>41362</v>
      </c>
      <c r="B521" s="110" t="s">
        <v>269</v>
      </c>
      <c r="C521" s="222" t="s">
        <v>102</v>
      </c>
      <c r="D521" s="222" t="s">
        <v>102</v>
      </c>
      <c r="E521" s="222" t="s">
        <v>102</v>
      </c>
      <c r="F521" s="222" t="s">
        <v>102</v>
      </c>
      <c r="G521" s="222" t="s">
        <v>102</v>
      </c>
      <c r="H521" s="222" t="s">
        <v>102</v>
      </c>
      <c r="I521" s="222" t="s">
        <v>102</v>
      </c>
      <c r="J521" s="222" t="s">
        <v>102</v>
      </c>
      <c r="K521" s="222" t="s">
        <v>102</v>
      </c>
      <c r="L521" s="222" t="s">
        <v>102</v>
      </c>
    </row>
    <row r="522" spans="1:12">
      <c r="A522" s="211">
        <v>41363</v>
      </c>
      <c r="B522" s="110" t="s">
        <v>653</v>
      </c>
      <c r="C522" s="222" t="s">
        <v>102</v>
      </c>
      <c r="D522" s="222" t="s">
        <v>102</v>
      </c>
      <c r="E522" s="222" t="s">
        <v>102</v>
      </c>
      <c r="F522" s="222" t="s">
        <v>102</v>
      </c>
      <c r="G522" s="222" t="s">
        <v>102</v>
      </c>
      <c r="H522" s="222" t="s">
        <v>102</v>
      </c>
      <c r="I522" s="222" t="s">
        <v>102</v>
      </c>
      <c r="J522" s="222" t="s">
        <v>102</v>
      </c>
      <c r="K522" s="222" t="s">
        <v>102</v>
      </c>
      <c r="L522" s="222" t="s">
        <v>102</v>
      </c>
    </row>
    <row r="523" spans="1:12">
      <c r="A523" s="211">
        <v>41364</v>
      </c>
      <c r="B523" s="101" t="s">
        <v>679</v>
      </c>
      <c r="C523" s="222" t="s">
        <v>102</v>
      </c>
      <c r="D523" s="222" t="s">
        <v>102</v>
      </c>
      <c r="E523" s="222" t="s">
        <v>102</v>
      </c>
      <c r="F523" s="222" t="s">
        <v>102</v>
      </c>
      <c r="G523" s="222" t="s">
        <v>102</v>
      </c>
      <c r="H523" s="222" t="s">
        <v>102</v>
      </c>
      <c r="I523" s="222" t="s">
        <v>102</v>
      </c>
      <c r="J523" s="222" t="s">
        <v>102</v>
      </c>
      <c r="K523" s="222" t="s">
        <v>102</v>
      </c>
      <c r="L523" s="222" t="s">
        <v>102</v>
      </c>
    </row>
    <row r="524" spans="1:12">
      <c r="A524" s="211">
        <v>41365</v>
      </c>
      <c r="B524" s="102" t="s">
        <v>680</v>
      </c>
      <c r="C524" s="222" t="s">
        <v>102</v>
      </c>
      <c r="D524" s="222" t="s">
        <v>102</v>
      </c>
      <c r="E524" s="222" t="s">
        <v>102</v>
      </c>
      <c r="F524" s="222" t="s">
        <v>102</v>
      </c>
      <c r="G524" s="222" t="s">
        <v>102</v>
      </c>
      <c r="H524" s="222" t="s">
        <v>102</v>
      </c>
      <c r="I524" s="222" t="s">
        <v>102</v>
      </c>
      <c r="J524" s="222" t="s">
        <v>102</v>
      </c>
      <c r="K524" s="222" t="s">
        <v>102</v>
      </c>
      <c r="L524" s="222" t="s">
        <v>102</v>
      </c>
    </row>
    <row r="525" spans="1:12">
      <c r="A525" s="211">
        <v>41366</v>
      </c>
      <c r="B525" s="102" t="s">
        <v>681</v>
      </c>
      <c r="C525" s="222" t="s">
        <v>102</v>
      </c>
      <c r="D525" s="222" t="s">
        <v>102</v>
      </c>
      <c r="E525" s="222" t="s">
        <v>102</v>
      </c>
      <c r="F525" s="222" t="s">
        <v>102</v>
      </c>
      <c r="G525" s="222" t="s">
        <v>102</v>
      </c>
      <c r="H525" s="222" t="s">
        <v>102</v>
      </c>
      <c r="I525" s="222" t="s">
        <v>102</v>
      </c>
      <c r="J525" s="222" t="s">
        <v>102</v>
      </c>
      <c r="K525" s="222" t="s">
        <v>102</v>
      </c>
      <c r="L525" s="222" t="s">
        <v>102</v>
      </c>
    </row>
    <row r="526" spans="1:12">
      <c r="A526" s="211">
        <v>414</v>
      </c>
      <c r="B526" s="102" t="s">
        <v>270</v>
      </c>
      <c r="C526" s="222" t="s">
        <v>102</v>
      </c>
      <c r="D526" s="222" t="s">
        <v>102</v>
      </c>
      <c r="E526" s="222" t="s">
        <v>102</v>
      </c>
      <c r="F526" s="222" t="s">
        <v>102</v>
      </c>
      <c r="G526" s="222" t="s">
        <v>102</v>
      </c>
      <c r="H526" s="222" t="s">
        <v>102</v>
      </c>
      <c r="I526" s="222" t="s">
        <v>102</v>
      </c>
      <c r="J526" s="222" t="s">
        <v>102</v>
      </c>
      <c r="K526" s="222" t="s">
        <v>102</v>
      </c>
      <c r="L526" s="222" t="s">
        <v>102</v>
      </c>
    </row>
    <row r="527" spans="1:12">
      <c r="A527" s="202">
        <v>41410</v>
      </c>
      <c r="B527" s="182" t="s">
        <v>271</v>
      </c>
      <c r="C527" s="172" t="s">
        <v>102</v>
      </c>
      <c r="D527" s="172" t="s">
        <v>102</v>
      </c>
      <c r="E527" s="172" t="s">
        <v>102</v>
      </c>
      <c r="F527" s="172" t="s">
        <v>102</v>
      </c>
      <c r="G527" s="172" t="s">
        <v>102</v>
      </c>
      <c r="H527" s="172" t="s">
        <v>102</v>
      </c>
      <c r="I527" s="172" t="s">
        <v>102</v>
      </c>
      <c r="J527" s="172" t="s">
        <v>102</v>
      </c>
      <c r="K527" s="172" t="s">
        <v>102</v>
      </c>
      <c r="L527" s="172" t="s">
        <v>102</v>
      </c>
    </row>
    <row r="528" spans="1:12">
      <c r="A528" s="211">
        <v>41420</v>
      </c>
      <c r="B528" s="110" t="s">
        <v>272</v>
      </c>
      <c r="C528" s="222" t="s">
        <v>102</v>
      </c>
      <c r="D528" s="222" t="s">
        <v>102</v>
      </c>
      <c r="E528" s="222" t="s">
        <v>102</v>
      </c>
      <c r="F528" s="222" t="s">
        <v>102</v>
      </c>
      <c r="G528" s="222" t="s">
        <v>102</v>
      </c>
      <c r="H528" s="222" t="s">
        <v>102</v>
      </c>
      <c r="I528" s="222" t="s">
        <v>102</v>
      </c>
      <c r="J528" s="222" t="s">
        <v>102</v>
      </c>
      <c r="K528" s="222" t="s">
        <v>102</v>
      </c>
      <c r="L528" s="222" t="s">
        <v>102</v>
      </c>
    </row>
    <row r="529" spans="1:12">
      <c r="A529" s="211">
        <v>41430</v>
      </c>
      <c r="B529" s="110" t="s">
        <v>273</v>
      </c>
      <c r="C529" s="222" t="s">
        <v>102</v>
      </c>
      <c r="D529" s="222" t="s">
        <v>102</v>
      </c>
      <c r="E529" s="222" t="s">
        <v>102</v>
      </c>
      <c r="F529" s="222" t="s">
        <v>102</v>
      </c>
      <c r="G529" s="222" t="s">
        <v>102</v>
      </c>
      <c r="H529" s="222" t="s">
        <v>102</v>
      </c>
      <c r="I529" s="222" t="s">
        <v>102</v>
      </c>
      <c r="J529" s="222" t="s">
        <v>102</v>
      </c>
      <c r="K529" s="222" t="s">
        <v>102</v>
      </c>
      <c r="L529" s="222" t="s">
        <v>102</v>
      </c>
    </row>
    <row r="530" spans="1:12">
      <c r="A530" s="211">
        <v>41440</v>
      </c>
      <c r="B530" s="110" t="s">
        <v>274</v>
      </c>
      <c r="C530" s="222" t="s">
        <v>102</v>
      </c>
      <c r="D530" s="222" t="s">
        <v>102</v>
      </c>
      <c r="E530" s="222" t="s">
        <v>102</v>
      </c>
      <c r="F530" s="222" t="s">
        <v>102</v>
      </c>
      <c r="G530" s="222" t="s">
        <v>102</v>
      </c>
      <c r="H530" s="222" t="s">
        <v>102</v>
      </c>
      <c r="I530" s="222" t="s">
        <v>102</v>
      </c>
      <c r="J530" s="222" t="s">
        <v>102</v>
      </c>
      <c r="K530" s="222" t="s">
        <v>102</v>
      </c>
      <c r="L530" s="222" t="s">
        <v>102</v>
      </c>
    </row>
    <row r="531" spans="1:12">
      <c r="A531" s="211">
        <v>41450</v>
      </c>
      <c r="B531" s="110" t="s">
        <v>275</v>
      </c>
      <c r="C531" s="222" t="s">
        <v>102</v>
      </c>
      <c r="D531" s="222" t="s">
        <v>102</v>
      </c>
      <c r="E531" s="222" t="s">
        <v>102</v>
      </c>
      <c r="F531" s="222" t="s">
        <v>102</v>
      </c>
      <c r="G531" s="222" t="s">
        <v>102</v>
      </c>
      <c r="H531" s="222" t="s">
        <v>102</v>
      </c>
      <c r="I531" s="222" t="s">
        <v>102</v>
      </c>
      <c r="J531" s="222" t="s">
        <v>102</v>
      </c>
      <c r="K531" s="222" t="s">
        <v>102</v>
      </c>
      <c r="L531" s="222" t="s">
        <v>102</v>
      </c>
    </row>
    <row r="532" spans="1:12">
      <c r="A532" s="211">
        <v>42</v>
      </c>
      <c r="B532" s="110" t="s">
        <v>276</v>
      </c>
      <c r="C532" s="222" t="s">
        <v>102</v>
      </c>
      <c r="D532" s="222" t="s">
        <v>102</v>
      </c>
      <c r="E532" s="222" t="s">
        <v>102</v>
      </c>
      <c r="F532" s="222" t="s">
        <v>102</v>
      </c>
      <c r="G532" s="222" t="s">
        <v>102</v>
      </c>
      <c r="H532" s="222" t="s">
        <v>102</v>
      </c>
      <c r="I532" s="222" t="s">
        <v>102</v>
      </c>
      <c r="J532" s="222" t="s">
        <v>102</v>
      </c>
      <c r="K532" s="222" t="s">
        <v>102</v>
      </c>
      <c r="L532" s="222" t="s">
        <v>102</v>
      </c>
    </row>
    <row r="533" spans="1:12">
      <c r="A533" s="199">
        <v>421</v>
      </c>
      <c r="B533" s="182" t="s">
        <v>277</v>
      </c>
      <c r="C533" s="172" t="s">
        <v>102</v>
      </c>
      <c r="D533" s="172" t="s">
        <v>102</v>
      </c>
      <c r="E533" s="172" t="s">
        <v>102</v>
      </c>
      <c r="F533" s="172" t="s">
        <v>102</v>
      </c>
      <c r="G533" s="172" t="s">
        <v>102</v>
      </c>
      <c r="H533" s="172" t="s">
        <v>102</v>
      </c>
      <c r="I533" s="172" t="s">
        <v>102</v>
      </c>
      <c r="J533" s="172" t="s">
        <v>102</v>
      </c>
      <c r="K533" s="172" t="s">
        <v>102</v>
      </c>
      <c r="L533" s="172" t="s">
        <v>102</v>
      </c>
    </row>
    <row r="534" spans="1:12">
      <c r="A534" s="202">
        <v>4211</v>
      </c>
      <c r="B534" s="182" t="s">
        <v>129</v>
      </c>
      <c r="C534" s="172" t="s">
        <v>102</v>
      </c>
      <c r="D534" s="172" t="s">
        <v>102</v>
      </c>
      <c r="E534" s="172" t="s">
        <v>102</v>
      </c>
      <c r="F534" s="172" t="s">
        <v>102</v>
      </c>
      <c r="G534" s="172" t="s">
        <v>102</v>
      </c>
      <c r="H534" s="172" t="s">
        <v>102</v>
      </c>
      <c r="I534" s="172" t="s">
        <v>102</v>
      </c>
      <c r="J534" s="172" t="s">
        <v>102</v>
      </c>
      <c r="K534" s="172" t="s">
        <v>102</v>
      </c>
      <c r="L534" s="172" t="s">
        <v>102</v>
      </c>
    </row>
    <row r="535" spans="1:12">
      <c r="A535" s="202">
        <v>42111</v>
      </c>
      <c r="B535" s="182" t="s">
        <v>246</v>
      </c>
      <c r="C535" s="172" t="s">
        <v>102</v>
      </c>
      <c r="D535" s="172" t="s">
        <v>102</v>
      </c>
      <c r="E535" s="172" t="s">
        <v>102</v>
      </c>
      <c r="F535" s="172" t="s">
        <v>102</v>
      </c>
      <c r="G535" s="172" t="s">
        <v>102</v>
      </c>
      <c r="H535" s="172" t="s">
        <v>102</v>
      </c>
      <c r="I535" s="172" t="s">
        <v>102</v>
      </c>
      <c r="J535" s="172" t="s">
        <v>102</v>
      </c>
      <c r="K535" s="172" t="s">
        <v>102</v>
      </c>
      <c r="L535" s="172" t="s">
        <v>102</v>
      </c>
    </row>
    <row r="536" spans="1:12">
      <c r="A536" s="109">
        <v>42112</v>
      </c>
      <c r="B536" s="110" t="s">
        <v>247</v>
      </c>
      <c r="C536" s="222" t="s">
        <v>102</v>
      </c>
      <c r="D536" s="222" t="s">
        <v>102</v>
      </c>
      <c r="E536" s="222" t="s">
        <v>102</v>
      </c>
      <c r="F536" s="222" t="s">
        <v>102</v>
      </c>
      <c r="G536" s="222" t="s">
        <v>102</v>
      </c>
      <c r="H536" s="222" t="s">
        <v>102</v>
      </c>
      <c r="I536" s="222" t="s">
        <v>102</v>
      </c>
      <c r="J536" s="222" t="s">
        <v>102</v>
      </c>
      <c r="K536" s="222" t="s">
        <v>102</v>
      </c>
      <c r="L536" s="222" t="s">
        <v>102</v>
      </c>
    </row>
    <row r="537" spans="1:12">
      <c r="A537" s="109">
        <v>42113</v>
      </c>
      <c r="B537" s="110" t="s">
        <v>248</v>
      </c>
      <c r="C537" s="222" t="s">
        <v>102</v>
      </c>
      <c r="D537" s="222" t="s">
        <v>102</v>
      </c>
      <c r="E537" s="222" t="s">
        <v>102</v>
      </c>
      <c r="F537" s="222" t="s">
        <v>102</v>
      </c>
      <c r="G537" s="222" t="s">
        <v>102</v>
      </c>
      <c r="H537" s="222" t="s">
        <v>102</v>
      </c>
      <c r="I537" s="222" t="s">
        <v>102</v>
      </c>
      <c r="J537" s="222" t="s">
        <v>102</v>
      </c>
      <c r="K537" s="222" t="s">
        <v>102</v>
      </c>
      <c r="L537" s="222" t="s">
        <v>102</v>
      </c>
    </row>
    <row r="538" spans="1:12">
      <c r="A538" s="109">
        <v>4212</v>
      </c>
      <c r="B538" s="110" t="s">
        <v>135</v>
      </c>
      <c r="C538" s="222" t="s">
        <v>102</v>
      </c>
      <c r="D538" s="222" t="s">
        <v>102</v>
      </c>
      <c r="E538" s="222" t="s">
        <v>102</v>
      </c>
      <c r="F538" s="222" t="s">
        <v>102</v>
      </c>
      <c r="G538" s="222" t="s">
        <v>102</v>
      </c>
      <c r="H538" s="222" t="s">
        <v>102</v>
      </c>
      <c r="I538" s="222" t="s">
        <v>102</v>
      </c>
      <c r="J538" s="222" t="s">
        <v>102</v>
      </c>
      <c r="K538" s="222" t="s">
        <v>102</v>
      </c>
      <c r="L538" s="222" t="s">
        <v>102</v>
      </c>
    </row>
    <row r="539" spans="1:12">
      <c r="A539" s="215">
        <v>42121</v>
      </c>
      <c r="B539" s="188" t="s">
        <v>246</v>
      </c>
      <c r="C539" s="172" t="s">
        <v>102</v>
      </c>
      <c r="D539" s="172" t="s">
        <v>102</v>
      </c>
      <c r="E539" s="172" t="s">
        <v>102</v>
      </c>
      <c r="F539" s="172" t="s">
        <v>102</v>
      </c>
      <c r="G539" s="172" t="s">
        <v>102</v>
      </c>
      <c r="H539" s="172" t="s">
        <v>102</v>
      </c>
      <c r="I539" s="172" t="s">
        <v>102</v>
      </c>
      <c r="J539" s="172" t="s">
        <v>102</v>
      </c>
      <c r="K539" s="172" t="s">
        <v>102</v>
      </c>
      <c r="L539" s="172" t="s">
        <v>102</v>
      </c>
    </row>
    <row r="540" spans="1:12">
      <c r="A540" s="109">
        <v>42122</v>
      </c>
      <c r="B540" s="110" t="s">
        <v>247</v>
      </c>
      <c r="C540" s="222" t="s">
        <v>102</v>
      </c>
      <c r="D540" s="222" t="s">
        <v>102</v>
      </c>
      <c r="E540" s="222" t="s">
        <v>102</v>
      </c>
      <c r="F540" s="222" t="s">
        <v>102</v>
      </c>
      <c r="G540" s="222" t="s">
        <v>102</v>
      </c>
      <c r="H540" s="222" t="s">
        <v>102</v>
      </c>
      <c r="I540" s="222" t="s">
        <v>102</v>
      </c>
      <c r="J540" s="222" t="s">
        <v>102</v>
      </c>
      <c r="K540" s="222" t="s">
        <v>102</v>
      </c>
      <c r="L540" s="222" t="s">
        <v>102</v>
      </c>
    </row>
    <row r="541" spans="1:12">
      <c r="A541" s="109">
        <v>42123</v>
      </c>
      <c r="B541" s="110" t="s">
        <v>248</v>
      </c>
      <c r="C541" s="222" t="s">
        <v>102</v>
      </c>
      <c r="D541" s="222" t="s">
        <v>102</v>
      </c>
      <c r="E541" s="222" t="s">
        <v>102</v>
      </c>
      <c r="F541" s="222" t="s">
        <v>102</v>
      </c>
      <c r="G541" s="222" t="s">
        <v>102</v>
      </c>
      <c r="H541" s="222" t="s">
        <v>102</v>
      </c>
      <c r="I541" s="222" t="s">
        <v>102</v>
      </c>
      <c r="J541" s="222" t="s">
        <v>102</v>
      </c>
      <c r="K541" s="222" t="s">
        <v>102</v>
      </c>
      <c r="L541" s="222" t="s">
        <v>102</v>
      </c>
    </row>
    <row r="542" spans="1:12">
      <c r="A542" s="109">
        <v>422</v>
      </c>
      <c r="B542" s="110" t="s">
        <v>213</v>
      </c>
      <c r="C542" s="222" t="s">
        <v>102</v>
      </c>
      <c r="D542" s="222" t="s">
        <v>102</v>
      </c>
      <c r="E542" s="222" t="s">
        <v>102</v>
      </c>
      <c r="F542" s="222" t="s">
        <v>102</v>
      </c>
      <c r="G542" s="222" t="s">
        <v>102</v>
      </c>
      <c r="H542" s="222" t="s">
        <v>102</v>
      </c>
      <c r="I542" s="222" t="s">
        <v>102</v>
      </c>
      <c r="J542" s="222" t="s">
        <v>102</v>
      </c>
      <c r="K542" s="222" t="s">
        <v>102</v>
      </c>
      <c r="L542" s="222" t="s">
        <v>102</v>
      </c>
    </row>
    <row r="543" spans="1:12">
      <c r="A543" s="202">
        <v>4221</v>
      </c>
      <c r="B543" s="182" t="s">
        <v>129</v>
      </c>
      <c r="C543" s="172" t="s">
        <v>102</v>
      </c>
      <c r="D543" s="172" t="s">
        <v>102</v>
      </c>
      <c r="E543" s="172" t="s">
        <v>102</v>
      </c>
      <c r="F543" s="172" t="s">
        <v>102</v>
      </c>
      <c r="G543" s="172" t="s">
        <v>102</v>
      </c>
      <c r="H543" s="172" t="s">
        <v>102</v>
      </c>
      <c r="I543" s="172" t="s">
        <v>102</v>
      </c>
      <c r="J543" s="172" t="s">
        <v>102</v>
      </c>
      <c r="K543" s="172" t="s">
        <v>102</v>
      </c>
      <c r="L543" s="172" t="s">
        <v>102</v>
      </c>
    </row>
    <row r="544" spans="1:12">
      <c r="A544" s="202">
        <v>42211</v>
      </c>
      <c r="B544" s="182" t="s">
        <v>250</v>
      </c>
      <c r="C544" s="172" t="s">
        <v>102</v>
      </c>
      <c r="D544" s="172" t="s">
        <v>102</v>
      </c>
      <c r="E544" s="172" t="s">
        <v>102</v>
      </c>
      <c r="F544" s="172" t="s">
        <v>102</v>
      </c>
      <c r="G544" s="172" t="s">
        <v>102</v>
      </c>
      <c r="H544" s="172" t="s">
        <v>102</v>
      </c>
      <c r="I544" s="172" t="s">
        <v>102</v>
      </c>
      <c r="J544" s="172" t="s">
        <v>102</v>
      </c>
      <c r="K544" s="172" t="s">
        <v>102</v>
      </c>
      <c r="L544" s="172" t="s">
        <v>102</v>
      </c>
    </row>
    <row r="545" spans="1:12">
      <c r="A545" s="211">
        <v>42212</v>
      </c>
      <c r="B545" s="110" t="s">
        <v>278</v>
      </c>
      <c r="C545" s="222" t="s">
        <v>102</v>
      </c>
      <c r="D545" s="222" t="s">
        <v>102</v>
      </c>
      <c r="E545" s="222" t="s">
        <v>102</v>
      </c>
      <c r="F545" s="222" t="s">
        <v>102</v>
      </c>
      <c r="G545" s="222" t="s">
        <v>102</v>
      </c>
      <c r="H545" s="222" t="s">
        <v>102</v>
      </c>
      <c r="I545" s="222" t="s">
        <v>102</v>
      </c>
      <c r="J545" s="222" t="s">
        <v>102</v>
      </c>
      <c r="K545" s="222" t="s">
        <v>102</v>
      </c>
      <c r="L545" s="222" t="s">
        <v>102</v>
      </c>
    </row>
    <row r="546" spans="1:12">
      <c r="A546" s="211">
        <v>42213</v>
      </c>
      <c r="B546" s="110" t="s">
        <v>251</v>
      </c>
      <c r="C546" s="222" t="s">
        <v>102</v>
      </c>
      <c r="D546" s="222" t="s">
        <v>102</v>
      </c>
      <c r="E546" s="222" t="s">
        <v>102</v>
      </c>
      <c r="F546" s="222" t="s">
        <v>102</v>
      </c>
      <c r="G546" s="222" t="s">
        <v>102</v>
      </c>
      <c r="H546" s="222" t="s">
        <v>102</v>
      </c>
      <c r="I546" s="222" t="s">
        <v>102</v>
      </c>
      <c r="J546" s="222" t="s">
        <v>102</v>
      </c>
      <c r="K546" s="222" t="s">
        <v>102</v>
      </c>
      <c r="L546" s="222" t="s">
        <v>102</v>
      </c>
    </row>
    <row r="547" spans="1:12">
      <c r="A547" s="211">
        <v>42214</v>
      </c>
      <c r="B547" s="110" t="s">
        <v>252</v>
      </c>
      <c r="C547" s="222" t="s">
        <v>102</v>
      </c>
      <c r="D547" s="222" t="s">
        <v>102</v>
      </c>
      <c r="E547" s="222" t="s">
        <v>102</v>
      </c>
      <c r="F547" s="222" t="s">
        <v>102</v>
      </c>
      <c r="G547" s="222" t="s">
        <v>102</v>
      </c>
      <c r="H547" s="222" t="s">
        <v>102</v>
      </c>
      <c r="I547" s="222" t="s">
        <v>102</v>
      </c>
      <c r="J547" s="222" t="s">
        <v>102</v>
      </c>
      <c r="K547" s="222" t="s">
        <v>102</v>
      </c>
      <c r="L547" s="222" t="s">
        <v>102</v>
      </c>
    </row>
    <row r="548" spans="1:12">
      <c r="A548" s="211">
        <v>42215</v>
      </c>
      <c r="B548" s="110" t="s">
        <v>253</v>
      </c>
      <c r="C548" s="222" t="s">
        <v>102</v>
      </c>
      <c r="D548" s="222" t="s">
        <v>102</v>
      </c>
      <c r="E548" s="222" t="s">
        <v>102</v>
      </c>
      <c r="F548" s="222" t="s">
        <v>102</v>
      </c>
      <c r="G548" s="222" t="s">
        <v>102</v>
      </c>
      <c r="H548" s="222" t="s">
        <v>102</v>
      </c>
      <c r="I548" s="222" t="s">
        <v>102</v>
      </c>
      <c r="J548" s="222" t="s">
        <v>102</v>
      </c>
      <c r="K548" s="222" t="s">
        <v>102</v>
      </c>
      <c r="L548" s="222" t="s">
        <v>102</v>
      </c>
    </row>
    <row r="549" spans="1:12">
      <c r="A549" s="211">
        <v>42216</v>
      </c>
      <c r="B549" s="110" t="s">
        <v>254</v>
      </c>
      <c r="C549" s="222" t="s">
        <v>102</v>
      </c>
      <c r="D549" s="222" t="s">
        <v>102</v>
      </c>
      <c r="E549" s="222" t="s">
        <v>102</v>
      </c>
      <c r="F549" s="222" t="s">
        <v>102</v>
      </c>
      <c r="G549" s="222" t="s">
        <v>102</v>
      </c>
      <c r="H549" s="222" t="s">
        <v>102</v>
      </c>
      <c r="I549" s="222" t="s">
        <v>102</v>
      </c>
      <c r="J549" s="222" t="s">
        <v>102</v>
      </c>
      <c r="K549" s="222" t="s">
        <v>102</v>
      </c>
      <c r="L549" s="222" t="s">
        <v>102</v>
      </c>
    </row>
    <row r="550" spans="1:12">
      <c r="A550" s="211">
        <v>42217</v>
      </c>
      <c r="B550" s="110" t="s">
        <v>255</v>
      </c>
      <c r="C550" s="222" t="s">
        <v>102</v>
      </c>
      <c r="D550" s="222" t="s">
        <v>102</v>
      </c>
      <c r="E550" s="222" t="s">
        <v>102</v>
      </c>
      <c r="F550" s="222" t="s">
        <v>102</v>
      </c>
      <c r="G550" s="222" t="s">
        <v>102</v>
      </c>
      <c r="H550" s="222" t="s">
        <v>102</v>
      </c>
      <c r="I550" s="222" t="s">
        <v>102</v>
      </c>
      <c r="J550" s="222" t="s">
        <v>102</v>
      </c>
      <c r="K550" s="222" t="s">
        <v>102</v>
      </c>
      <c r="L550" s="222" t="s">
        <v>102</v>
      </c>
    </row>
    <row r="551" spans="1:12">
      <c r="A551" s="211">
        <v>4222</v>
      </c>
      <c r="B551" s="110" t="s">
        <v>135</v>
      </c>
      <c r="C551" s="222" t="s">
        <v>102</v>
      </c>
      <c r="D551" s="222" t="s">
        <v>102</v>
      </c>
      <c r="E551" s="222" t="s">
        <v>102</v>
      </c>
      <c r="F551" s="222" t="s">
        <v>102</v>
      </c>
      <c r="G551" s="222" t="s">
        <v>102</v>
      </c>
      <c r="H551" s="222" t="s">
        <v>102</v>
      </c>
      <c r="I551" s="222" t="s">
        <v>102</v>
      </c>
      <c r="J551" s="222" t="s">
        <v>102</v>
      </c>
      <c r="K551" s="222" t="s">
        <v>102</v>
      </c>
      <c r="L551" s="222" t="s">
        <v>102</v>
      </c>
    </row>
    <row r="552" spans="1:12">
      <c r="A552" s="202">
        <v>42221</v>
      </c>
      <c r="B552" s="182" t="s">
        <v>279</v>
      </c>
      <c r="C552" s="172" t="s">
        <v>102</v>
      </c>
      <c r="D552" s="172" t="s">
        <v>102</v>
      </c>
      <c r="E552" s="172" t="s">
        <v>102</v>
      </c>
      <c r="F552" s="172" t="s">
        <v>102</v>
      </c>
      <c r="G552" s="172" t="s">
        <v>102</v>
      </c>
      <c r="H552" s="172" t="s">
        <v>102</v>
      </c>
      <c r="I552" s="172" t="s">
        <v>102</v>
      </c>
      <c r="J552" s="172" t="s">
        <v>102</v>
      </c>
      <c r="K552" s="172" t="s">
        <v>102</v>
      </c>
      <c r="L552" s="172" t="s">
        <v>102</v>
      </c>
    </row>
    <row r="553" spans="1:12">
      <c r="A553" s="211">
        <v>42222</v>
      </c>
      <c r="B553" s="110" t="s">
        <v>280</v>
      </c>
      <c r="C553" s="222" t="s">
        <v>102</v>
      </c>
      <c r="D553" s="222" t="s">
        <v>102</v>
      </c>
      <c r="E553" s="222" t="s">
        <v>102</v>
      </c>
      <c r="F553" s="222" t="s">
        <v>102</v>
      </c>
      <c r="G553" s="222" t="s">
        <v>102</v>
      </c>
      <c r="H553" s="222" t="s">
        <v>102</v>
      </c>
      <c r="I553" s="222" t="s">
        <v>102</v>
      </c>
      <c r="J553" s="222" t="s">
        <v>102</v>
      </c>
      <c r="K553" s="222" t="s">
        <v>102</v>
      </c>
      <c r="L553" s="222" t="s">
        <v>102</v>
      </c>
    </row>
    <row r="554" spans="1:12">
      <c r="A554" s="211">
        <v>42223</v>
      </c>
      <c r="B554" s="110" t="s">
        <v>258</v>
      </c>
      <c r="C554" s="222" t="s">
        <v>102</v>
      </c>
      <c r="D554" s="222" t="s">
        <v>102</v>
      </c>
      <c r="E554" s="222" t="s">
        <v>102</v>
      </c>
      <c r="F554" s="222" t="s">
        <v>102</v>
      </c>
      <c r="G554" s="222" t="s">
        <v>102</v>
      </c>
      <c r="H554" s="222" t="s">
        <v>102</v>
      </c>
      <c r="I554" s="222" t="s">
        <v>102</v>
      </c>
      <c r="J554" s="222" t="s">
        <v>102</v>
      </c>
      <c r="K554" s="222" t="s">
        <v>102</v>
      </c>
      <c r="L554" s="222" t="s">
        <v>102</v>
      </c>
    </row>
    <row r="555" spans="1:12">
      <c r="A555" s="211">
        <v>42224</v>
      </c>
      <c r="B555" s="110" t="s">
        <v>259</v>
      </c>
      <c r="C555" s="222" t="s">
        <v>102</v>
      </c>
      <c r="D555" s="222" t="s">
        <v>102</v>
      </c>
      <c r="E555" s="222" t="s">
        <v>102</v>
      </c>
      <c r="F555" s="222" t="s">
        <v>102</v>
      </c>
      <c r="G555" s="222" t="s">
        <v>102</v>
      </c>
      <c r="H555" s="222" t="s">
        <v>102</v>
      </c>
      <c r="I555" s="222" t="s">
        <v>102</v>
      </c>
      <c r="J555" s="222" t="s">
        <v>102</v>
      </c>
      <c r="K555" s="222" t="s">
        <v>102</v>
      </c>
      <c r="L555" s="222" t="s">
        <v>102</v>
      </c>
    </row>
    <row r="556" spans="1:12">
      <c r="A556" s="211">
        <v>42225</v>
      </c>
      <c r="B556" s="110" t="s">
        <v>260</v>
      </c>
      <c r="C556" s="222" t="s">
        <v>102</v>
      </c>
      <c r="D556" s="222" t="s">
        <v>102</v>
      </c>
      <c r="E556" s="222" t="s">
        <v>102</v>
      </c>
      <c r="F556" s="222" t="s">
        <v>102</v>
      </c>
      <c r="G556" s="222" t="s">
        <v>102</v>
      </c>
      <c r="H556" s="222" t="s">
        <v>102</v>
      </c>
      <c r="I556" s="222" t="s">
        <v>102</v>
      </c>
      <c r="J556" s="222" t="s">
        <v>102</v>
      </c>
      <c r="K556" s="222" t="s">
        <v>102</v>
      </c>
      <c r="L556" s="222" t="s">
        <v>102</v>
      </c>
    </row>
    <row r="557" spans="1:12">
      <c r="A557" s="211">
        <v>42226</v>
      </c>
      <c r="B557" s="110" t="s">
        <v>261</v>
      </c>
      <c r="C557" s="222" t="s">
        <v>102</v>
      </c>
      <c r="D557" s="222" t="s">
        <v>102</v>
      </c>
      <c r="E557" s="222" t="s">
        <v>102</v>
      </c>
      <c r="F557" s="222" t="s">
        <v>102</v>
      </c>
      <c r="G557" s="222" t="s">
        <v>102</v>
      </c>
      <c r="H557" s="222" t="s">
        <v>102</v>
      </c>
      <c r="I557" s="222" t="s">
        <v>102</v>
      </c>
      <c r="J557" s="222" t="s">
        <v>102</v>
      </c>
      <c r="K557" s="222" t="s">
        <v>102</v>
      </c>
      <c r="L557" s="222" t="s">
        <v>102</v>
      </c>
    </row>
    <row r="558" spans="1:12">
      <c r="A558" s="211">
        <v>42227</v>
      </c>
      <c r="B558" s="110" t="s">
        <v>627</v>
      </c>
      <c r="C558" s="222" t="s">
        <v>102</v>
      </c>
      <c r="D558" s="222" t="s">
        <v>102</v>
      </c>
      <c r="E558" s="222" t="s">
        <v>102</v>
      </c>
      <c r="F558" s="222" t="s">
        <v>102</v>
      </c>
      <c r="G558" s="222" t="s">
        <v>102</v>
      </c>
      <c r="H558" s="222" t="s">
        <v>102</v>
      </c>
      <c r="I558" s="222" t="s">
        <v>102</v>
      </c>
      <c r="J558" s="222" t="s">
        <v>102</v>
      </c>
      <c r="K558" s="222" t="s">
        <v>102</v>
      </c>
      <c r="L558" s="222" t="s">
        <v>102</v>
      </c>
    </row>
    <row r="559" spans="1:12">
      <c r="A559" s="161">
        <v>42228</v>
      </c>
      <c r="B559" s="191" t="s">
        <v>682</v>
      </c>
      <c r="C559" s="222" t="s">
        <v>102</v>
      </c>
      <c r="D559" s="222" t="s">
        <v>102</v>
      </c>
      <c r="E559" s="222" t="s">
        <v>102</v>
      </c>
      <c r="F559" s="222" t="s">
        <v>102</v>
      </c>
      <c r="G559" s="222" t="s">
        <v>102</v>
      </c>
      <c r="H559" s="222" t="s">
        <v>102</v>
      </c>
      <c r="I559" s="222" t="s">
        <v>102</v>
      </c>
      <c r="J559" s="222" t="s">
        <v>102</v>
      </c>
      <c r="K559" s="222" t="s">
        <v>102</v>
      </c>
      <c r="L559" s="222" t="s">
        <v>102</v>
      </c>
    </row>
    <row r="560" spans="1:12">
      <c r="A560" s="216">
        <v>42229</v>
      </c>
      <c r="B560" s="193" t="s">
        <v>683</v>
      </c>
      <c r="C560" s="222" t="s">
        <v>102</v>
      </c>
      <c r="D560" s="222" t="s">
        <v>102</v>
      </c>
      <c r="E560" s="222" t="s">
        <v>102</v>
      </c>
      <c r="F560" s="222" t="s">
        <v>102</v>
      </c>
      <c r="G560" s="222" t="s">
        <v>102</v>
      </c>
      <c r="H560" s="222" t="s">
        <v>102</v>
      </c>
      <c r="I560" s="222" t="s">
        <v>102</v>
      </c>
      <c r="J560" s="222" t="s">
        <v>102</v>
      </c>
      <c r="K560" s="222" t="s">
        <v>102</v>
      </c>
      <c r="L560" s="222" t="s">
        <v>102</v>
      </c>
    </row>
    <row r="561" spans="1:12">
      <c r="A561" s="161">
        <v>42230</v>
      </c>
      <c r="B561" s="193" t="s">
        <v>684</v>
      </c>
      <c r="C561" s="222" t="s">
        <v>102</v>
      </c>
      <c r="D561" s="222" t="s">
        <v>102</v>
      </c>
      <c r="E561" s="222" t="s">
        <v>102</v>
      </c>
      <c r="F561" s="222" t="s">
        <v>102</v>
      </c>
      <c r="G561" s="222" t="s">
        <v>102</v>
      </c>
      <c r="H561" s="222" t="s">
        <v>102</v>
      </c>
      <c r="I561" s="222" t="s">
        <v>102</v>
      </c>
      <c r="J561" s="222" t="s">
        <v>102</v>
      </c>
      <c r="K561" s="222" t="s">
        <v>102</v>
      </c>
      <c r="L561" s="222" t="s">
        <v>102</v>
      </c>
    </row>
    <row r="562" spans="1:12">
      <c r="A562" s="161">
        <v>42231</v>
      </c>
      <c r="B562" s="193" t="s">
        <v>654</v>
      </c>
      <c r="C562" s="222" t="s">
        <v>102</v>
      </c>
      <c r="D562" s="222" t="s">
        <v>102</v>
      </c>
      <c r="E562" s="222" t="s">
        <v>102</v>
      </c>
      <c r="F562" s="222" t="s">
        <v>102</v>
      </c>
      <c r="G562" s="222" t="s">
        <v>102</v>
      </c>
      <c r="H562" s="222" t="s">
        <v>102</v>
      </c>
      <c r="I562" s="222" t="s">
        <v>102</v>
      </c>
      <c r="J562" s="222" t="s">
        <v>102</v>
      </c>
      <c r="K562" s="222" t="s">
        <v>102</v>
      </c>
      <c r="L562" s="222" t="s">
        <v>102</v>
      </c>
    </row>
    <row r="563" spans="1:12">
      <c r="A563" s="217">
        <v>5</v>
      </c>
      <c r="B563" s="193" t="s">
        <v>281</v>
      </c>
      <c r="C563" s="222" t="s">
        <v>102</v>
      </c>
      <c r="D563" s="222" t="s">
        <v>102</v>
      </c>
      <c r="E563" s="222" t="s">
        <v>102</v>
      </c>
      <c r="F563" s="222" t="s">
        <v>102</v>
      </c>
      <c r="G563" s="222" t="s">
        <v>102</v>
      </c>
      <c r="H563" s="222" t="s">
        <v>102</v>
      </c>
      <c r="I563" s="222" t="s">
        <v>102</v>
      </c>
      <c r="J563" s="222" t="s">
        <v>102</v>
      </c>
      <c r="K563" s="222" t="s">
        <v>102</v>
      </c>
      <c r="L563" s="222" t="s">
        <v>102</v>
      </c>
    </row>
    <row r="564" spans="1:12">
      <c r="A564" s="202">
        <v>51</v>
      </c>
      <c r="B564" s="182" t="s">
        <v>282</v>
      </c>
      <c r="C564" s="172" t="s">
        <v>102</v>
      </c>
      <c r="D564" s="172" t="s">
        <v>102</v>
      </c>
      <c r="E564" s="172" t="s">
        <v>102</v>
      </c>
      <c r="F564" s="172" t="s">
        <v>102</v>
      </c>
      <c r="G564" s="172" t="s">
        <v>102</v>
      </c>
      <c r="H564" s="172" t="s">
        <v>102</v>
      </c>
      <c r="I564" s="172" t="s">
        <v>102</v>
      </c>
      <c r="J564" s="172" t="s">
        <v>102</v>
      </c>
      <c r="K564" s="172" t="s">
        <v>102</v>
      </c>
      <c r="L564" s="172" t="s">
        <v>102</v>
      </c>
    </row>
    <row ht="25.5" r="565" spans="1:12">
      <c r="A565" s="199">
        <v>511</v>
      </c>
      <c r="B565" s="182" t="s">
        <v>638</v>
      </c>
      <c r="C565" s="172" t="s">
        <v>102</v>
      </c>
      <c r="D565" s="172" t="s">
        <v>102</v>
      </c>
      <c r="E565" s="172" t="s">
        <v>102</v>
      </c>
      <c r="F565" s="172" t="s">
        <v>102</v>
      </c>
      <c r="G565" s="172" t="s">
        <v>102</v>
      </c>
      <c r="H565" s="172" t="s">
        <v>102</v>
      </c>
      <c r="I565" s="172" t="s">
        <v>102</v>
      </c>
      <c r="J565" s="172" t="s">
        <v>102</v>
      </c>
      <c r="K565" s="172" t="s">
        <v>102</v>
      </c>
      <c r="L565" s="172" t="s">
        <v>102</v>
      </c>
    </row>
    <row r="566" spans="1:12">
      <c r="A566" s="218">
        <v>51101</v>
      </c>
      <c r="B566" s="195" t="s">
        <v>685</v>
      </c>
      <c r="C566" s="172" t="s">
        <v>102</v>
      </c>
      <c r="D566" s="172" t="s">
        <v>102</v>
      </c>
      <c r="E566" s="172" t="s">
        <v>102</v>
      </c>
      <c r="F566" s="172" t="s">
        <v>102</v>
      </c>
      <c r="G566" s="172" t="s">
        <v>102</v>
      </c>
      <c r="H566" s="172" t="s">
        <v>102</v>
      </c>
      <c r="I566" s="172" t="s">
        <v>102</v>
      </c>
      <c r="J566" s="172" t="s">
        <v>102</v>
      </c>
      <c r="K566" s="172" t="s">
        <v>102</v>
      </c>
      <c r="L566" s="172" t="s">
        <v>102</v>
      </c>
    </row>
    <row r="567" spans="1:12">
      <c r="A567" s="109">
        <v>51102</v>
      </c>
      <c r="B567" s="102" t="s">
        <v>686</v>
      </c>
      <c r="C567" s="222" t="s">
        <v>102</v>
      </c>
      <c r="D567" s="222" t="s">
        <v>102</v>
      </c>
      <c r="E567" s="222" t="s">
        <v>102</v>
      </c>
      <c r="F567" s="222" t="s">
        <v>102</v>
      </c>
      <c r="G567" s="222" t="s">
        <v>102</v>
      </c>
      <c r="H567" s="222" t="s">
        <v>102</v>
      </c>
      <c r="I567" s="222" t="s">
        <v>102</v>
      </c>
      <c r="J567" s="222" t="s">
        <v>102</v>
      </c>
      <c r="K567" s="222" t="s">
        <v>102</v>
      </c>
      <c r="L567" s="222" t="s">
        <v>102</v>
      </c>
    </row>
    <row r="568" spans="1:12">
      <c r="A568" s="109">
        <v>51103</v>
      </c>
      <c r="B568" s="102" t="s">
        <v>687</v>
      </c>
      <c r="C568" s="222" t="s">
        <v>102</v>
      </c>
      <c r="D568" s="222" t="s">
        <v>102</v>
      </c>
      <c r="E568" s="222" t="s">
        <v>102</v>
      </c>
      <c r="F568" s="222" t="s">
        <v>102</v>
      </c>
      <c r="G568" s="222" t="s">
        <v>102</v>
      </c>
      <c r="H568" s="222" t="s">
        <v>102</v>
      </c>
      <c r="I568" s="222" t="s">
        <v>102</v>
      </c>
      <c r="J568" s="222" t="s">
        <v>102</v>
      </c>
      <c r="K568" s="222" t="s">
        <v>102</v>
      </c>
      <c r="L568" s="222" t="s">
        <v>102</v>
      </c>
    </row>
    <row r="569" spans="1:12">
      <c r="A569" s="109">
        <v>51104</v>
      </c>
      <c r="B569" s="102" t="s">
        <v>688</v>
      </c>
      <c r="C569" s="222" t="s">
        <v>102</v>
      </c>
      <c r="D569" s="222" t="s">
        <v>102</v>
      </c>
      <c r="E569" s="222" t="s">
        <v>102</v>
      </c>
      <c r="F569" s="222" t="s">
        <v>102</v>
      </c>
      <c r="G569" s="222" t="s">
        <v>102</v>
      </c>
      <c r="H569" s="222" t="s">
        <v>102</v>
      </c>
      <c r="I569" s="222" t="s">
        <v>102</v>
      </c>
      <c r="J569" s="222" t="s">
        <v>102</v>
      </c>
      <c r="K569" s="222" t="s">
        <v>102</v>
      </c>
      <c r="L569" s="222" t="s">
        <v>102</v>
      </c>
    </row>
    <row r="570" spans="1:12">
      <c r="A570" s="109">
        <v>51105</v>
      </c>
      <c r="B570" s="102" t="s">
        <v>689</v>
      </c>
      <c r="C570" s="222" t="s">
        <v>102</v>
      </c>
      <c r="D570" s="222" t="s">
        <v>102</v>
      </c>
      <c r="E570" s="222" t="s">
        <v>102</v>
      </c>
      <c r="F570" s="222" t="s">
        <v>102</v>
      </c>
      <c r="G570" s="222" t="s">
        <v>102</v>
      </c>
      <c r="H570" s="222" t="s">
        <v>102</v>
      </c>
      <c r="I570" s="222" t="s">
        <v>102</v>
      </c>
      <c r="J570" s="222" t="s">
        <v>102</v>
      </c>
      <c r="K570" s="222" t="s">
        <v>102</v>
      </c>
      <c r="L570" s="222" t="s">
        <v>102</v>
      </c>
    </row>
    <row r="571" spans="1:12">
      <c r="A571" s="109">
        <v>51106</v>
      </c>
      <c r="B571" s="102" t="s">
        <v>690</v>
      </c>
      <c r="C571" s="222" t="s">
        <v>102</v>
      </c>
      <c r="D571" s="222" t="s">
        <v>102</v>
      </c>
      <c r="E571" s="222" t="s">
        <v>102</v>
      </c>
      <c r="F571" s="222" t="s">
        <v>102</v>
      </c>
      <c r="G571" s="222" t="s">
        <v>102</v>
      </c>
      <c r="H571" s="222" t="s">
        <v>102</v>
      </c>
      <c r="I571" s="222" t="s">
        <v>102</v>
      </c>
      <c r="J571" s="222" t="s">
        <v>102</v>
      </c>
      <c r="K571" s="222" t="s">
        <v>102</v>
      </c>
      <c r="L571" s="222" t="s">
        <v>102</v>
      </c>
    </row>
    <row r="572" spans="1:12">
      <c r="A572" s="109">
        <v>512</v>
      </c>
      <c r="B572" s="102" t="s">
        <v>283</v>
      </c>
      <c r="C572" s="222" t="s">
        <v>102</v>
      </c>
      <c r="D572" s="222" t="s">
        <v>102</v>
      </c>
      <c r="E572" s="222" t="s">
        <v>102</v>
      </c>
      <c r="F572" s="222" t="s">
        <v>102</v>
      </c>
      <c r="G572" s="222" t="s">
        <v>102</v>
      </c>
      <c r="H572" s="222" t="s">
        <v>102</v>
      </c>
      <c r="I572" s="222" t="s">
        <v>102</v>
      </c>
      <c r="J572" s="222" t="s">
        <v>102</v>
      </c>
      <c r="K572" s="222" t="s">
        <v>102</v>
      </c>
      <c r="L572" s="222" t="s">
        <v>102</v>
      </c>
    </row>
    <row r="573" spans="1:12">
      <c r="A573" s="202">
        <v>51210</v>
      </c>
      <c r="B573" s="182" t="s">
        <v>284</v>
      </c>
      <c r="C573" s="172" t="s">
        <v>102</v>
      </c>
      <c r="D573" s="172" t="s">
        <v>102</v>
      </c>
      <c r="E573" s="172" t="s">
        <v>102</v>
      </c>
      <c r="F573" s="172" t="s">
        <v>102</v>
      </c>
      <c r="G573" s="172" t="s">
        <v>102</v>
      </c>
      <c r="H573" s="172" t="s">
        <v>102</v>
      </c>
      <c r="I573" s="172" t="s">
        <v>102</v>
      </c>
      <c r="J573" s="172" t="s">
        <v>102</v>
      </c>
      <c r="K573" s="172" t="s">
        <v>102</v>
      </c>
      <c r="L573" s="172" t="s">
        <v>102</v>
      </c>
    </row>
    <row r="574" spans="1:12">
      <c r="A574" s="211">
        <v>51220</v>
      </c>
      <c r="B574" s="110" t="s">
        <v>285</v>
      </c>
      <c r="C574" s="222" t="s">
        <v>102</v>
      </c>
      <c r="D574" s="222" t="s">
        <v>102</v>
      </c>
      <c r="E574" s="222" t="s">
        <v>102</v>
      </c>
      <c r="F574" s="222" t="s">
        <v>102</v>
      </c>
      <c r="G574" s="222" t="s">
        <v>102</v>
      </c>
      <c r="H574" s="222" t="s">
        <v>102</v>
      </c>
      <c r="I574" s="222" t="s">
        <v>102</v>
      </c>
      <c r="J574" s="222" t="s">
        <v>102</v>
      </c>
      <c r="K574" s="222" t="s">
        <v>102</v>
      </c>
      <c r="L574" s="222" t="s">
        <v>102</v>
      </c>
    </row>
    <row r="575" spans="1:12">
      <c r="A575" s="211">
        <v>51230</v>
      </c>
      <c r="B575" s="110" t="s">
        <v>286</v>
      </c>
      <c r="C575" s="222" t="s">
        <v>102</v>
      </c>
      <c r="D575" s="222" t="s">
        <v>102</v>
      </c>
      <c r="E575" s="222" t="s">
        <v>102</v>
      </c>
      <c r="F575" s="222" t="s">
        <v>102</v>
      </c>
      <c r="G575" s="222" t="s">
        <v>102</v>
      </c>
      <c r="H575" s="222" t="s">
        <v>102</v>
      </c>
      <c r="I575" s="222" t="s">
        <v>102</v>
      </c>
      <c r="J575" s="222" t="s">
        <v>102</v>
      </c>
      <c r="K575" s="222" t="s">
        <v>102</v>
      </c>
      <c r="L575" s="222" t="s">
        <v>102</v>
      </c>
    </row>
    <row r="576" spans="1:12">
      <c r="A576" s="211">
        <v>51300</v>
      </c>
      <c r="B576" s="110" t="s">
        <v>287</v>
      </c>
      <c r="C576" s="222" t="s">
        <v>102</v>
      </c>
      <c r="D576" s="222" t="s">
        <v>102</v>
      </c>
      <c r="E576" s="222" t="s">
        <v>102</v>
      </c>
      <c r="F576" s="222" t="s">
        <v>102</v>
      </c>
      <c r="G576" s="222" t="s">
        <v>102</v>
      </c>
      <c r="H576" s="222" t="s">
        <v>102</v>
      </c>
      <c r="I576" s="222" t="s">
        <v>102</v>
      </c>
      <c r="J576" s="222" t="s">
        <v>102</v>
      </c>
      <c r="K576" s="222" t="s">
        <v>102</v>
      </c>
      <c r="L576" s="222" t="s">
        <v>102</v>
      </c>
    </row>
    <row r="577" spans="1:12">
      <c r="A577" s="211">
        <v>51400</v>
      </c>
      <c r="B577" s="110" t="s">
        <v>290</v>
      </c>
      <c r="C577" s="222" t="s">
        <v>102</v>
      </c>
      <c r="D577" s="222" t="s">
        <v>102</v>
      </c>
      <c r="E577" s="222" t="s">
        <v>102</v>
      </c>
      <c r="F577" s="222" t="s">
        <v>102</v>
      </c>
      <c r="G577" s="222" t="s">
        <v>102</v>
      </c>
      <c r="H577" s="222" t="s">
        <v>102</v>
      </c>
      <c r="I577" s="222" t="s">
        <v>102</v>
      </c>
      <c r="J577" s="222" t="s">
        <v>102</v>
      </c>
      <c r="K577" s="222" t="s">
        <v>102</v>
      </c>
      <c r="L577" s="222" t="s">
        <v>102</v>
      </c>
    </row>
    <row r="578" spans="1:12">
      <c r="A578" s="107">
        <v>51500</v>
      </c>
      <c r="B578" s="102" t="s">
        <v>288</v>
      </c>
      <c r="C578" s="222" t="s">
        <v>102</v>
      </c>
      <c r="D578" s="222" t="s">
        <v>102</v>
      </c>
      <c r="E578" s="222" t="s">
        <v>102</v>
      </c>
      <c r="F578" s="222" t="s">
        <v>102</v>
      </c>
      <c r="G578" s="222" t="s">
        <v>102</v>
      </c>
      <c r="H578" s="222" t="s">
        <v>102</v>
      </c>
      <c r="I578" s="222" t="s">
        <v>102</v>
      </c>
      <c r="J578" s="222" t="s">
        <v>102</v>
      </c>
      <c r="K578" s="222" t="s">
        <v>102</v>
      </c>
      <c r="L578" s="222" t="s">
        <v>102</v>
      </c>
    </row>
    <row r="579" spans="1:12">
      <c r="A579" s="211">
        <v>51500</v>
      </c>
      <c r="B579" s="110" t="s">
        <v>288</v>
      </c>
      <c r="C579" s="222" t="s">
        <v>102</v>
      </c>
      <c r="D579" s="222" t="s">
        <v>102</v>
      </c>
      <c r="E579" s="222" t="s">
        <v>102</v>
      </c>
      <c r="F579" s="222" t="s">
        <v>102</v>
      </c>
      <c r="G579" s="222" t="s">
        <v>102</v>
      </c>
      <c r="H579" s="222" t="s">
        <v>102</v>
      </c>
      <c r="I579" s="222" t="s">
        <v>102</v>
      </c>
      <c r="J579" s="222" t="s">
        <v>102</v>
      </c>
      <c r="K579" s="222" t="s">
        <v>102</v>
      </c>
      <c r="L579" s="222" t="s">
        <v>102</v>
      </c>
    </row>
    <row r="580" spans="1:12">
      <c r="A580" s="211">
        <v>51600</v>
      </c>
      <c r="B580" s="110" t="s">
        <v>289</v>
      </c>
      <c r="C580" s="222"/>
      <c r="D580" s="222"/>
      <c r="E580" s="222"/>
      <c r="F580" s="222"/>
      <c r="G580" s="222"/>
      <c r="H580" s="222"/>
      <c r="I580" s="222"/>
      <c r="J580" s="222"/>
      <c r="K580" s="222"/>
      <c r="L580" s="222"/>
    </row>
  </sheetData>
  <mergeCells count="10">
    <mergeCell ref="A1:L1"/>
    <mergeCell ref="E4:F4"/>
    <mergeCell ref="G4:H4"/>
    <mergeCell ref="C2:L2"/>
    <mergeCell ref="C3:L3"/>
    <mergeCell ref="A4:A5"/>
    <mergeCell ref="B4:B5"/>
    <mergeCell ref="I4:J4"/>
    <mergeCell ref="K4:L4"/>
    <mergeCell ref="C4:D4"/>
  </mergeCells>
  <pageMargins bottom="0.25" footer="0.19" header="0.3" left="0.97" right="0.25" top="0.37"/>
  <pageSetup fitToHeight="0" orientation="portrait" paperSize="9" r:id="rId1" scale="39"/>
</worksheet>
</file>

<file path=xl/worksheets/sheet1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customWidth="true" style="85" width="14.7109375" collapsed="false"/>
    <col min="2" max="2" customWidth="true" style="89" width="85.28515625" collapsed="false"/>
    <col min="3" max="6" customWidth="true" style="85" width="18.85546875" collapsed="false"/>
    <col min="7" max="16384" style="85" width="9.140625" collapsed="false"/>
  </cols>
  <sheetData>
    <row r="1" spans="1:6">
      <c r="A1" s="197" t="s">
        <v>102</v>
      </c>
      <c r="B1" s="198" t="s">
        <v>102</v>
      </c>
      <c r="C1" s="197" t="s">
        <v>102</v>
      </c>
      <c r="D1" s="197" t="s">
        <v>102</v>
      </c>
      <c r="E1" s="197" t="s">
        <v>102</v>
      </c>
      <c r="F1" s="197" t="s">
        <v>102</v>
      </c>
    </row>
    <row r="2" spans="1:6">
      <c r="A2" s="2048" t="s">
        <v>89</v>
      </c>
      <c r="B2" s="2048" t="s">
        <v>102</v>
      </c>
      <c r="C2" s="2048" t="s">
        <v>102</v>
      </c>
      <c r="D2" s="2048" t="s">
        <v>102</v>
      </c>
      <c r="E2" s="2048" t="s">
        <v>102</v>
      </c>
      <c r="F2" s="2048" t="s">
        <v>102</v>
      </c>
    </row>
    <row r="3" spans="1:6">
      <c r="A3" s="169" t="s">
        <v>102</v>
      </c>
      <c r="B3" s="168" t="s">
        <v>102</v>
      </c>
      <c r="C3" s="169" t="s">
        <v>102</v>
      </c>
      <c r="D3" s="169" t="s">
        <v>102</v>
      </c>
      <c r="E3" s="169" t="s">
        <v>102</v>
      </c>
      <c r="F3" s="169" t="s">
        <v>102</v>
      </c>
    </row>
    <row customHeight="1" ht="21" r="4" spans="1:6">
      <c r="A4" s="2203" t="s">
        <v>64</v>
      </c>
      <c r="B4" s="2203" t="s">
        <v>78</v>
      </c>
      <c r="C4" s="2201" t="s">
        <v>49</v>
      </c>
      <c r="D4" s="2201" t="s">
        <v>102</v>
      </c>
      <c r="E4" s="2202" t="s">
        <v>90</v>
      </c>
      <c r="F4" s="2202" t="s">
        <v>102</v>
      </c>
    </row>
    <row customHeight="1" ht="25.5" r="5" spans="1:6">
      <c r="A5" s="2203" t="s">
        <v>102</v>
      </c>
      <c r="B5" s="2203" t="s">
        <v>102</v>
      </c>
      <c r="C5" s="170" t="s">
        <v>38</v>
      </c>
      <c r="D5" s="170" t="s">
        <v>39</v>
      </c>
      <c r="E5" s="170" t="s">
        <v>38</v>
      </c>
      <c r="F5" s="170" t="s">
        <v>39</v>
      </c>
    </row>
    <row r="6" spans="1:6">
      <c r="A6" s="199">
        <v>1</v>
      </c>
      <c r="B6" s="182" t="s">
        <v>3701</v>
      </c>
      <c r="C6" s="172">
        <v>0</v>
      </c>
      <c r="D6" s="172">
        <v>0</v>
      </c>
      <c r="E6" s="172">
        <v>0</v>
      </c>
      <c r="F6" s="172">
        <v>7737199411</v>
      </c>
    </row>
    <row r="7" spans="1:6">
      <c r="A7" s="199">
        <v>12</v>
      </c>
      <c r="B7" s="182" t="s">
        <v>3702</v>
      </c>
      <c r="C7" s="172">
        <v>0</v>
      </c>
      <c r="D7" s="172">
        <v>0</v>
      </c>
      <c r="E7" s="172">
        <v>0</v>
      </c>
      <c r="F7" s="172">
        <v>11774590</v>
      </c>
    </row>
    <row r="8" spans="1:6">
      <c r="A8" s="199">
        <v>120</v>
      </c>
      <c r="B8" s="182" t="s">
        <v>3703</v>
      </c>
      <c r="C8" s="172">
        <v>0</v>
      </c>
      <c r="D8" s="172">
        <v>0</v>
      </c>
      <c r="E8" s="172">
        <v>0</v>
      </c>
      <c r="F8" s="172">
        <v>11774590</v>
      </c>
    </row>
    <row r="9" spans="1:6">
      <c r="A9" s="200">
        <v>120004</v>
      </c>
      <c r="B9" s="201" t="s">
        <v>3704</v>
      </c>
      <c r="C9" s="172">
        <v>0</v>
      </c>
      <c r="D9" s="172">
        <v>0</v>
      </c>
      <c r="E9" s="172">
        <v>0</v>
      </c>
      <c r="F9" s="172">
        <v>11774590</v>
      </c>
    </row>
    <row r="10" spans="1:6">
      <c r="A10" s="200">
        <v>1200042</v>
      </c>
      <c r="B10" s="201" t="s">
        <v>3683</v>
      </c>
      <c r="C10" s="172">
        <v>0</v>
      </c>
      <c r="D10" s="172">
        <v>0</v>
      </c>
      <c r="E10" s="172">
        <v>0</v>
      </c>
      <c r="F10" s="172">
        <v>11774590</v>
      </c>
    </row>
    <row r="11" spans="1:6">
      <c r="A11" s="200">
        <v>13</v>
      </c>
      <c r="B11" s="201" t="s">
        <v>3705</v>
      </c>
      <c r="C11" s="172">
        <v>0</v>
      </c>
      <c r="D11" s="172">
        <v>0</v>
      </c>
      <c r="E11" s="172">
        <v>0</v>
      </c>
      <c r="F11" s="172">
        <v>7724834821</v>
      </c>
    </row>
    <row r="12" spans="1:6">
      <c r="A12" s="200">
        <v>1310</v>
      </c>
      <c r="B12" s="201" t="s">
        <v>3706</v>
      </c>
      <c r="C12" s="172">
        <v>0</v>
      </c>
      <c r="D12" s="172">
        <v>0</v>
      </c>
      <c r="E12" s="172">
        <v>0</v>
      </c>
      <c r="F12" s="172">
        <v>210667000</v>
      </c>
    </row>
    <row r="13" spans="1:6">
      <c r="A13" s="200">
        <v>131001</v>
      </c>
      <c r="B13" s="175" t="s">
        <v>3707</v>
      </c>
      <c r="C13" s="172">
        <v>0</v>
      </c>
      <c r="D13" s="172">
        <v>0</v>
      </c>
      <c r="E13" s="172">
        <v>0</v>
      </c>
      <c r="F13" s="172">
        <v>210667000</v>
      </c>
    </row>
    <row r="14" spans="1:6">
      <c r="A14" s="200">
        <v>1311</v>
      </c>
      <c r="B14" s="201" t="s">
        <v>3708</v>
      </c>
      <c r="C14" s="172">
        <v>0</v>
      </c>
      <c r="D14" s="172">
        <v>0</v>
      </c>
      <c r="E14" s="172">
        <v>0</v>
      </c>
      <c r="F14" s="172">
        <v>7514167821</v>
      </c>
    </row>
    <row r="15" spans="1:6">
      <c r="A15" s="200">
        <v>131101</v>
      </c>
      <c r="B15" s="201" t="s">
        <v>3709</v>
      </c>
      <c r="C15" s="172">
        <v>0</v>
      </c>
      <c r="D15" s="172">
        <v>0</v>
      </c>
      <c r="E15" s="172">
        <v>0</v>
      </c>
      <c r="F15" s="172">
        <v>83358902</v>
      </c>
    </row>
    <row r="16" spans="1:6">
      <c r="A16" s="200">
        <v>131104</v>
      </c>
      <c r="B16" s="201" t="s">
        <v>3710</v>
      </c>
      <c r="C16" s="172">
        <v>0</v>
      </c>
      <c r="D16" s="172">
        <v>0</v>
      </c>
      <c r="E16" s="172">
        <v>0</v>
      </c>
      <c r="F16" s="172">
        <v>7430808919</v>
      </c>
    </row>
    <row r="17" spans="1:6">
      <c r="A17" s="202">
        <v>145</v>
      </c>
      <c r="B17" s="182" t="s">
        <v>3711</v>
      </c>
      <c r="C17" s="172">
        <v>0</v>
      </c>
      <c r="D17" s="172">
        <v>0</v>
      </c>
      <c r="E17" s="172">
        <v>0</v>
      </c>
      <c r="F17" s="172">
        <v>590000</v>
      </c>
    </row>
    <row r="18" spans="1:6">
      <c r="A18" s="200">
        <v>145002</v>
      </c>
      <c r="B18" s="201" t="s">
        <v>3712</v>
      </c>
      <c r="C18" s="172">
        <v>0</v>
      </c>
      <c r="D18" s="172">
        <v>0</v>
      </c>
      <c r="E18" s="172">
        <v>0</v>
      </c>
      <c r="F18" s="172">
        <v>590000</v>
      </c>
    </row>
    <row r="19" spans="1:6">
      <c r="A19" s="202">
        <v>14500202</v>
      </c>
      <c r="B19" s="182" t="s">
        <v>3713</v>
      </c>
      <c r="C19" s="172">
        <v>0</v>
      </c>
      <c r="D19" s="172">
        <v>0</v>
      </c>
      <c r="E19" s="172">
        <v>0</v>
      </c>
      <c r="F19" s="172">
        <v>590000</v>
      </c>
    </row>
    <row r="20" spans="1:6">
      <c r="A20" s="200">
        <v>2</v>
      </c>
      <c r="B20" s="201" t="s">
        <v>3626</v>
      </c>
      <c r="C20" s="172">
        <v>0</v>
      </c>
      <c r="D20" s="172">
        <v>0</v>
      </c>
      <c r="E20" s="172">
        <v>7864165999.1000004</v>
      </c>
      <c r="F20" s="172">
        <v>0</v>
      </c>
    </row>
    <row r="21" spans="1:6">
      <c r="A21" s="202">
        <v>21</v>
      </c>
      <c r="B21" s="182" t="s">
        <v>3627</v>
      </c>
      <c r="C21" s="172">
        <v>0</v>
      </c>
      <c r="D21" s="172">
        <v>0</v>
      </c>
      <c r="E21" s="172">
        <v>7863078439.5900002</v>
      </c>
      <c r="F21" s="172">
        <v>0</v>
      </c>
    </row>
    <row r="22" spans="1:6">
      <c r="A22" s="200">
        <v>210</v>
      </c>
      <c r="B22" s="201" t="s">
        <v>3628</v>
      </c>
      <c r="C22" s="172">
        <v>0</v>
      </c>
      <c r="D22" s="172">
        <v>0</v>
      </c>
      <c r="E22" s="172">
        <v>7517494137.8999996</v>
      </c>
      <c r="F22" s="172">
        <v>0</v>
      </c>
    </row>
    <row r="23" spans="1:6">
      <c r="A23" s="202">
        <v>2101</v>
      </c>
      <c r="B23" s="182" t="s">
        <v>3629</v>
      </c>
      <c r="C23" s="172">
        <v>0</v>
      </c>
      <c r="D23" s="172">
        <v>0</v>
      </c>
      <c r="E23" s="172">
        <v>299688608.95999998</v>
      </c>
      <c r="F23" s="172">
        <v>0</v>
      </c>
    </row>
    <row r="24" spans="1:6">
      <c r="A24" s="200">
        <v>210101</v>
      </c>
      <c r="B24" s="201" t="s">
        <v>623</v>
      </c>
      <c r="C24" s="172">
        <v>0</v>
      </c>
      <c r="D24" s="172">
        <v>0</v>
      </c>
      <c r="E24" s="172">
        <v>241215125.96000001</v>
      </c>
      <c r="F24" s="172">
        <v>0</v>
      </c>
    </row>
    <row r="25" spans="1:6">
      <c r="A25" s="202">
        <v>210102</v>
      </c>
      <c r="B25" s="182" t="s">
        <v>3630</v>
      </c>
      <c r="C25" s="172">
        <v>0</v>
      </c>
      <c r="D25" s="172">
        <v>0</v>
      </c>
      <c r="E25" s="172">
        <v>30781855</v>
      </c>
      <c r="F25" s="172">
        <v>0</v>
      </c>
    </row>
    <row r="26" spans="1:6">
      <c r="A26" s="200">
        <v>210103</v>
      </c>
      <c r="B26" s="201" t="s">
        <v>3631</v>
      </c>
      <c r="C26" s="172">
        <v>0</v>
      </c>
      <c r="D26" s="172">
        <v>0</v>
      </c>
      <c r="E26" s="172">
        <v>27691628</v>
      </c>
      <c r="F26" s="172">
        <v>0</v>
      </c>
    </row>
    <row r="27" spans="1:6">
      <c r="A27" s="200">
        <v>2102</v>
      </c>
      <c r="B27" s="201" t="s">
        <v>3632</v>
      </c>
      <c r="C27" s="172">
        <v>0</v>
      </c>
      <c r="D27" s="172">
        <v>0</v>
      </c>
      <c r="E27" s="172">
        <v>30463479.469999999</v>
      </c>
      <c r="F27" s="172">
        <v>0</v>
      </c>
    </row>
    <row r="28" spans="1:6">
      <c r="A28" s="200">
        <v>210201</v>
      </c>
      <c r="B28" s="201" t="s">
        <v>3633</v>
      </c>
      <c r="C28" s="172">
        <v>0</v>
      </c>
      <c r="D28" s="172">
        <v>0</v>
      </c>
      <c r="E28" s="172">
        <v>19444166.010000002</v>
      </c>
      <c r="F28" s="172">
        <v>0</v>
      </c>
    </row>
    <row r="29" spans="1:6">
      <c r="A29" s="200">
        <v>210202</v>
      </c>
      <c r="B29" s="201" t="s">
        <v>3634</v>
      </c>
      <c r="C29" s="172">
        <v>0</v>
      </c>
      <c r="D29" s="172">
        <v>0</v>
      </c>
      <c r="E29" s="172">
        <v>2715263.69</v>
      </c>
      <c r="F29" s="172">
        <v>0</v>
      </c>
    </row>
    <row r="30" spans="1:6">
      <c r="A30" s="200">
        <v>210203</v>
      </c>
      <c r="B30" s="201" t="s">
        <v>3635</v>
      </c>
      <c r="C30" s="172">
        <v>0</v>
      </c>
      <c r="D30" s="172">
        <v>0</v>
      </c>
      <c r="E30" s="172">
        <v>2215240.35</v>
      </c>
      <c r="F30" s="172">
        <v>0</v>
      </c>
    </row>
    <row r="31" spans="1:6">
      <c r="A31" s="202">
        <v>210204</v>
      </c>
      <c r="B31" s="182" t="s">
        <v>3636</v>
      </c>
      <c r="C31" s="172">
        <v>0</v>
      </c>
      <c r="D31" s="172">
        <v>0</v>
      </c>
      <c r="E31" s="172">
        <v>531366.57999999996</v>
      </c>
      <c r="F31" s="172">
        <v>0</v>
      </c>
    </row>
    <row r="32" spans="1:6">
      <c r="A32" s="200">
        <v>210205</v>
      </c>
      <c r="B32" s="201" t="s">
        <v>3637</v>
      </c>
      <c r="C32" s="172">
        <v>0</v>
      </c>
      <c r="D32" s="172">
        <v>0</v>
      </c>
      <c r="E32" s="172">
        <v>5557442.8399999999</v>
      </c>
      <c r="F32" s="172">
        <v>0</v>
      </c>
    </row>
    <row r="33" spans="1:6">
      <c r="A33" s="200">
        <v>2103</v>
      </c>
      <c r="B33" s="201" t="s">
        <v>3638</v>
      </c>
      <c r="C33" s="172">
        <v>0</v>
      </c>
      <c r="D33" s="172">
        <v>0</v>
      </c>
      <c r="E33" s="172">
        <v>17489070</v>
      </c>
      <c r="F33" s="172">
        <v>0</v>
      </c>
    </row>
    <row r="34" spans="1:6">
      <c r="A34" s="200">
        <v>210301</v>
      </c>
      <c r="B34" s="201" t="s">
        <v>3639</v>
      </c>
      <c r="C34" s="172">
        <v>0</v>
      </c>
      <c r="D34" s="172">
        <v>0</v>
      </c>
      <c r="E34" s="172">
        <v>5295600</v>
      </c>
      <c r="F34" s="172">
        <v>0</v>
      </c>
    </row>
    <row r="35" spans="1:6">
      <c r="A35" s="200">
        <v>210302</v>
      </c>
      <c r="B35" s="201" t="s">
        <v>3640</v>
      </c>
      <c r="C35" s="172">
        <v>0</v>
      </c>
      <c r="D35" s="172">
        <v>0</v>
      </c>
      <c r="E35" s="172">
        <v>12193470</v>
      </c>
      <c r="F35" s="172">
        <v>0</v>
      </c>
    </row>
    <row r="36" spans="1:6">
      <c r="A36" s="200">
        <v>2104</v>
      </c>
      <c r="B36" s="201" t="s">
        <v>3641</v>
      </c>
      <c r="C36" s="172">
        <v>0</v>
      </c>
      <c r="D36" s="172">
        <v>0</v>
      </c>
      <c r="E36" s="172">
        <v>34189106.399999999</v>
      </c>
      <c r="F36" s="172">
        <v>0</v>
      </c>
    </row>
    <row r="37" spans="1:6">
      <c r="A37" s="202">
        <v>210401</v>
      </c>
      <c r="B37" s="182" t="s">
        <v>3642</v>
      </c>
      <c r="C37" s="172">
        <v>0</v>
      </c>
      <c r="D37" s="172">
        <v>0</v>
      </c>
      <c r="E37" s="172">
        <v>11226963.119999999</v>
      </c>
      <c r="F37" s="172">
        <v>0</v>
      </c>
    </row>
    <row r="38" spans="1:6">
      <c r="A38" s="158">
        <v>210402</v>
      </c>
      <c r="B38" s="201" t="s">
        <v>3643</v>
      </c>
      <c r="C38" s="172">
        <v>0</v>
      </c>
      <c r="D38" s="172">
        <v>0</v>
      </c>
      <c r="E38" s="172">
        <v>12196356</v>
      </c>
      <c r="F38" s="172">
        <v>0</v>
      </c>
    </row>
    <row r="39" spans="1:6">
      <c r="A39" s="200">
        <v>210403</v>
      </c>
      <c r="B39" s="201" t="s">
        <v>3644</v>
      </c>
      <c r="C39" s="172">
        <v>0</v>
      </c>
      <c r="D39" s="172">
        <v>0</v>
      </c>
      <c r="E39" s="172">
        <v>8473241.2799999993</v>
      </c>
      <c r="F39" s="172">
        <v>0</v>
      </c>
    </row>
    <row r="40" spans="1:6">
      <c r="A40" s="200">
        <v>210404</v>
      </c>
      <c r="B40" s="201" t="s">
        <v>3672</v>
      </c>
      <c r="C40" s="172">
        <v>0</v>
      </c>
      <c r="D40" s="172">
        <v>0</v>
      </c>
      <c r="E40" s="172">
        <v>186890</v>
      </c>
      <c r="F40" s="172">
        <v>0</v>
      </c>
    </row>
    <row r="41" spans="1:6">
      <c r="A41" s="202">
        <v>210406</v>
      </c>
      <c r="B41" s="182" t="s">
        <v>3645</v>
      </c>
      <c r="C41" s="172">
        <v>0</v>
      </c>
      <c r="D41" s="172">
        <v>0</v>
      </c>
      <c r="E41" s="172">
        <v>2105656</v>
      </c>
      <c r="F41" s="172">
        <v>0</v>
      </c>
    </row>
    <row r="42" spans="1:6">
      <c r="A42" s="200">
        <v>2105</v>
      </c>
      <c r="B42" s="201" t="s">
        <v>3646</v>
      </c>
      <c r="C42" s="172">
        <v>0</v>
      </c>
      <c r="D42" s="172">
        <v>0</v>
      </c>
      <c r="E42" s="172">
        <v>5277000</v>
      </c>
      <c r="F42" s="172">
        <v>0</v>
      </c>
    </row>
    <row r="43" spans="1:6">
      <c r="A43" s="200">
        <v>210503</v>
      </c>
      <c r="B43" s="201" t="s">
        <v>3647</v>
      </c>
      <c r="C43" s="172">
        <v>0</v>
      </c>
      <c r="D43" s="172">
        <v>0</v>
      </c>
      <c r="E43" s="172">
        <v>5277000</v>
      </c>
      <c r="F43" s="172">
        <v>0</v>
      </c>
    </row>
    <row r="44" spans="1:6">
      <c r="A44" s="200">
        <v>2106</v>
      </c>
      <c r="B44" s="201" t="s">
        <v>3648</v>
      </c>
      <c r="C44" s="172">
        <v>0</v>
      </c>
      <c r="D44" s="172">
        <v>0</v>
      </c>
      <c r="E44" s="172">
        <v>27038700</v>
      </c>
      <c r="F44" s="172">
        <v>0</v>
      </c>
    </row>
    <row r="45" spans="1:6">
      <c r="A45" s="200">
        <v>210601</v>
      </c>
      <c r="B45" s="201" t="s">
        <v>3714</v>
      </c>
      <c r="C45" s="172">
        <v>0</v>
      </c>
      <c r="D45" s="172">
        <v>0</v>
      </c>
      <c r="E45" s="172">
        <v>16413500</v>
      </c>
      <c r="F45" s="172">
        <v>0</v>
      </c>
    </row>
    <row r="46" spans="1:6">
      <c r="A46" s="200">
        <v>210603</v>
      </c>
      <c r="B46" s="201" t="s">
        <v>3649</v>
      </c>
      <c r="C46" s="172">
        <v>0</v>
      </c>
      <c r="D46" s="172">
        <v>0</v>
      </c>
      <c r="E46" s="172">
        <v>1878000</v>
      </c>
      <c r="F46" s="172">
        <v>0</v>
      </c>
    </row>
    <row r="47" spans="1:6">
      <c r="A47" s="200">
        <v>210604</v>
      </c>
      <c r="B47" s="201" t="s">
        <v>3677</v>
      </c>
      <c r="C47" s="172">
        <v>0</v>
      </c>
      <c r="D47" s="172">
        <v>0</v>
      </c>
      <c r="E47" s="172">
        <v>8747200</v>
      </c>
      <c r="F47" s="172">
        <v>0</v>
      </c>
    </row>
    <row r="48" spans="1:6">
      <c r="A48" s="200">
        <v>2107</v>
      </c>
      <c r="B48" s="201" t="s">
        <v>3650</v>
      </c>
      <c r="C48" s="172">
        <v>0</v>
      </c>
      <c r="D48" s="172">
        <v>0</v>
      </c>
      <c r="E48" s="172">
        <v>228790461</v>
      </c>
      <c r="F48" s="172">
        <v>0</v>
      </c>
    </row>
    <row r="49" spans="1:6">
      <c r="A49" s="200">
        <v>210701</v>
      </c>
      <c r="B49" s="201" t="s">
        <v>3678</v>
      </c>
      <c r="C49" s="172">
        <v>0</v>
      </c>
      <c r="D49" s="172">
        <v>0</v>
      </c>
      <c r="E49" s="172">
        <v>84695250</v>
      </c>
      <c r="F49" s="172">
        <v>0</v>
      </c>
    </row>
    <row r="50" spans="1:6">
      <c r="A50" s="202">
        <v>210702</v>
      </c>
      <c r="B50" s="182" t="s">
        <v>3651</v>
      </c>
      <c r="C50" s="172">
        <v>0</v>
      </c>
      <c r="D50" s="172">
        <v>0</v>
      </c>
      <c r="E50" s="172">
        <v>144095211</v>
      </c>
      <c r="F50" s="172">
        <v>0</v>
      </c>
    </row>
    <row r="51" spans="1:6">
      <c r="A51" s="200">
        <v>2108</v>
      </c>
      <c r="B51" s="201" t="s">
        <v>3652</v>
      </c>
      <c r="C51" s="172">
        <v>0</v>
      </c>
      <c r="D51" s="172">
        <v>0</v>
      </c>
      <c r="E51" s="172">
        <v>6608408768.3000002</v>
      </c>
      <c r="F51" s="172">
        <v>0</v>
      </c>
    </row>
    <row r="52" spans="1:6">
      <c r="A52" s="202">
        <v>210801</v>
      </c>
      <c r="B52" s="182" t="s">
        <v>3680</v>
      </c>
      <c r="C52" s="172">
        <v>0</v>
      </c>
      <c r="D52" s="172">
        <v>0</v>
      </c>
      <c r="E52" s="172">
        <v>6604915098.3000002</v>
      </c>
      <c r="F52" s="172">
        <v>0</v>
      </c>
    </row>
    <row r="53" spans="1:6">
      <c r="A53" s="200">
        <v>210803</v>
      </c>
      <c r="B53" s="201" t="s">
        <v>3654</v>
      </c>
      <c r="C53" s="172">
        <v>0</v>
      </c>
      <c r="D53" s="172">
        <v>0</v>
      </c>
      <c r="E53" s="172">
        <v>2701770</v>
      </c>
      <c r="F53" s="172">
        <v>0</v>
      </c>
    </row>
    <row r="54" spans="1:6">
      <c r="A54" s="200">
        <v>210804</v>
      </c>
      <c r="B54" s="201" t="s">
        <v>3655</v>
      </c>
      <c r="C54" s="172">
        <v>0</v>
      </c>
      <c r="D54" s="172">
        <v>0</v>
      </c>
      <c r="E54" s="172">
        <v>633500</v>
      </c>
      <c r="F54" s="172">
        <v>0</v>
      </c>
    </row>
    <row r="55" spans="1:6">
      <c r="A55" s="202">
        <v>210805</v>
      </c>
      <c r="B55" s="182" t="s">
        <v>3656</v>
      </c>
      <c r="C55" s="172">
        <v>0</v>
      </c>
      <c r="D55" s="172">
        <v>0</v>
      </c>
      <c r="E55" s="172">
        <v>158400</v>
      </c>
      <c r="F55" s="172">
        <v>0</v>
      </c>
    </row>
    <row r="56" spans="1:6">
      <c r="A56" s="202">
        <v>2109</v>
      </c>
      <c r="B56" s="182" t="s">
        <v>3657</v>
      </c>
      <c r="C56" s="172">
        <v>0</v>
      </c>
      <c r="D56" s="172">
        <v>0</v>
      </c>
      <c r="E56" s="172">
        <v>266148943.77000001</v>
      </c>
      <c r="F56" s="172">
        <v>0</v>
      </c>
    </row>
    <row r="57" spans="1:6">
      <c r="A57" s="200">
        <v>210901</v>
      </c>
      <c r="B57" s="201" t="s">
        <v>3657</v>
      </c>
      <c r="C57" s="172">
        <v>0</v>
      </c>
      <c r="D57" s="172">
        <v>0</v>
      </c>
      <c r="E57" s="172">
        <v>147501458.11000001</v>
      </c>
      <c r="F57" s="172">
        <v>0</v>
      </c>
    </row>
    <row r="58" spans="1:6">
      <c r="A58" s="200">
        <v>21090101</v>
      </c>
      <c r="B58" s="201" t="s">
        <v>3715</v>
      </c>
      <c r="C58" s="172">
        <v>0</v>
      </c>
      <c r="D58" s="172">
        <v>0</v>
      </c>
      <c r="E58" s="172">
        <v>630000</v>
      </c>
      <c r="F58" s="172">
        <v>0</v>
      </c>
    </row>
    <row r="59" spans="1:6">
      <c r="A59" s="200">
        <v>21090102</v>
      </c>
      <c r="B59" s="201" t="s">
        <v>3657</v>
      </c>
      <c r="C59" s="172">
        <v>0</v>
      </c>
      <c r="D59" s="172">
        <v>0</v>
      </c>
      <c r="E59" s="172">
        <v>146871458.11000001</v>
      </c>
      <c r="F59" s="172">
        <v>0</v>
      </c>
    </row>
    <row r="60" spans="1:6">
      <c r="A60" s="200">
        <v>210902</v>
      </c>
      <c r="B60" s="201" t="s">
        <v>3681</v>
      </c>
      <c r="C60" s="172">
        <v>0</v>
      </c>
      <c r="D60" s="172">
        <v>0</v>
      </c>
      <c r="E60" s="172">
        <v>200000</v>
      </c>
      <c r="F60" s="172">
        <v>0</v>
      </c>
    </row>
    <row r="61" spans="1:6">
      <c r="A61" s="200">
        <v>210903</v>
      </c>
      <c r="B61" s="201" t="s">
        <v>3716</v>
      </c>
      <c r="C61" s="172">
        <v>0</v>
      </c>
      <c r="D61" s="172">
        <v>0</v>
      </c>
      <c r="E61" s="172">
        <v>118447485.66</v>
      </c>
      <c r="F61" s="172">
        <v>0</v>
      </c>
    </row>
    <row r="62" spans="1:6">
      <c r="A62" s="200">
        <v>213</v>
      </c>
      <c r="B62" s="201" t="s">
        <v>3658</v>
      </c>
      <c r="C62" s="172">
        <v>0</v>
      </c>
      <c r="D62" s="172">
        <v>0</v>
      </c>
      <c r="E62" s="172">
        <v>345584301.69</v>
      </c>
      <c r="F62" s="172">
        <v>0</v>
      </c>
    </row>
    <row r="63" spans="1:6">
      <c r="A63" s="200">
        <v>2132</v>
      </c>
      <c r="B63" s="201" t="s">
        <v>3659</v>
      </c>
      <c r="C63" s="172">
        <v>0</v>
      </c>
      <c r="D63" s="172">
        <v>0</v>
      </c>
      <c r="E63" s="172">
        <v>3600000</v>
      </c>
      <c r="F63" s="172">
        <v>0</v>
      </c>
    </row>
    <row r="64" spans="1:6">
      <c r="A64" s="200">
        <v>213209</v>
      </c>
      <c r="B64" s="201" t="s">
        <v>3717</v>
      </c>
      <c r="C64" s="172">
        <v>0</v>
      </c>
      <c r="D64" s="172">
        <v>0</v>
      </c>
      <c r="E64" s="172">
        <v>3600000</v>
      </c>
      <c r="F64" s="172">
        <v>0</v>
      </c>
    </row>
    <row r="65" spans="1:6">
      <c r="A65" s="200">
        <v>2133</v>
      </c>
      <c r="B65" s="201" t="s">
        <v>3718</v>
      </c>
      <c r="C65" s="172">
        <v>0</v>
      </c>
      <c r="D65" s="172">
        <v>0</v>
      </c>
      <c r="E65" s="172">
        <v>341984301.69</v>
      </c>
      <c r="F65" s="172">
        <v>0</v>
      </c>
    </row>
    <row r="66" spans="1:6">
      <c r="A66" s="200">
        <v>213303</v>
      </c>
      <c r="B66" s="201" t="s">
        <v>3719</v>
      </c>
      <c r="C66" s="172">
        <v>0</v>
      </c>
      <c r="D66" s="172">
        <v>0</v>
      </c>
      <c r="E66" s="172">
        <v>341984301.69</v>
      </c>
      <c r="F66" s="172">
        <v>0</v>
      </c>
    </row>
    <row r="67" spans="1:6">
      <c r="A67" s="200">
        <v>22</v>
      </c>
      <c r="B67" s="201" t="s">
        <v>3720</v>
      </c>
      <c r="C67" s="172">
        <v>0</v>
      </c>
      <c r="D67" s="172">
        <v>0</v>
      </c>
      <c r="E67" s="172">
        <v>1087559.51</v>
      </c>
      <c r="F67" s="172">
        <v>0</v>
      </c>
    </row>
    <row r="68" spans="1:6">
      <c r="A68" s="202">
        <v>225</v>
      </c>
      <c r="B68" s="182" t="s">
        <v>3721</v>
      </c>
      <c r="C68" s="172">
        <v>0</v>
      </c>
      <c r="D68" s="172">
        <v>0</v>
      </c>
      <c r="E68" s="172">
        <v>1087559.51</v>
      </c>
      <c r="F68" s="172">
        <v>0</v>
      </c>
    </row>
    <row r="69" spans="1:6">
      <c r="A69" s="200">
        <v>225001</v>
      </c>
      <c r="B69" s="201" t="s">
        <v>3722</v>
      </c>
      <c r="C69" s="172">
        <v>0</v>
      </c>
      <c r="D69" s="172">
        <v>0</v>
      </c>
      <c r="E69" s="172">
        <v>1087559.51</v>
      </c>
      <c r="F69" s="172">
        <v>0</v>
      </c>
    </row>
    <row r="70" spans="1:6">
      <c r="A70" s="200">
        <v>3</v>
      </c>
      <c r="B70" s="201" t="s">
        <v>3723</v>
      </c>
      <c r="C70" s="172">
        <v>1527799489.7</v>
      </c>
      <c r="D70" s="172">
        <v>0</v>
      </c>
      <c r="E70" s="172">
        <v>1723963042.6099999</v>
      </c>
      <c r="F70" s="172">
        <v>0</v>
      </c>
    </row>
    <row r="71" spans="1:6">
      <c r="A71" s="202">
        <v>300001</v>
      </c>
      <c r="B71" s="182" t="s">
        <v>3724</v>
      </c>
      <c r="C71" s="172">
        <v>0</v>
      </c>
      <c r="D71" s="172">
        <v>0</v>
      </c>
      <c r="E71" s="172">
        <v>0</v>
      </c>
      <c r="F71" s="172">
        <v>0</v>
      </c>
    </row>
    <row r="72" spans="1:6">
      <c r="A72" s="200">
        <v>300002</v>
      </c>
      <c r="B72" s="201" t="s">
        <v>3725</v>
      </c>
      <c r="C72" s="172">
        <v>0</v>
      </c>
      <c r="D72" s="172">
        <v>0</v>
      </c>
      <c r="E72" s="172">
        <v>0</v>
      </c>
      <c r="F72" s="172">
        <v>0</v>
      </c>
    </row>
    <row r="73" spans="1:6">
      <c r="A73" s="200">
        <v>300004</v>
      </c>
      <c r="B73" s="201" t="s">
        <v>3726</v>
      </c>
      <c r="C73" s="172">
        <v>0</v>
      </c>
      <c r="D73" s="172">
        <v>0</v>
      </c>
      <c r="E73" s="172">
        <v>0</v>
      </c>
      <c r="F73" s="172">
        <v>0</v>
      </c>
    </row>
    <row r="74" spans="1:6">
      <c r="A74" s="200">
        <v>31</v>
      </c>
      <c r="B74" s="201" t="s">
        <v>2188</v>
      </c>
      <c r="C74" s="172">
        <v>0</v>
      </c>
      <c r="D74" s="172">
        <v>0</v>
      </c>
      <c r="E74" s="172">
        <v>0</v>
      </c>
      <c r="F74" s="172">
        <v>0</v>
      </c>
    </row>
    <row r="75" spans="1:6">
      <c r="A75" s="200">
        <v>312</v>
      </c>
      <c r="B75" s="201" t="s">
        <v>3727</v>
      </c>
      <c r="C75" s="172">
        <v>0</v>
      </c>
      <c r="D75" s="172">
        <v>0</v>
      </c>
      <c r="E75" s="172">
        <v>0</v>
      </c>
      <c r="F75" s="172">
        <v>0</v>
      </c>
    </row>
    <row r="76" spans="1:6">
      <c r="A76" s="202">
        <v>3121</v>
      </c>
      <c r="B76" s="182" t="s">
        <v>3728</v>
      </c>
      <c r="C76" s="172">
        <v>0</v>
      </c>
      <c r="D76" s="172">
        <v>0</v>
      </c>
      <c r="E76" s="172">
        <v>0</v>
      </c>
      <c r="F76" s="172">
        <v>0</v>
      </c>
    </row>
    <row r="77" spans="1:6">
      <c r="A77" s="200">
        <v>31211</v>
      </c>
      <c r="B77" s="201" t="s">
        <v>3729</v>
      </c>
      <c r="C77" s="172">
        <v>0</v>
      </c>
      <c r="D77" s="172">
        <v>0</v>
      </c>
      <c r="E77" s="172">
        <v>0</v>
      </c>
      <c r="F77" s="172">
        <v>0</v>
      </c>
    </row>
    <row r="78" spans="1:6">
      <c r="A78" s="200">
        <v>312113</v>
      </c>
      <c r="B78" s="201" t="s">
        <v>3730</v>
      </c>
      <c r="C78" s="172">
        <v>0</v>
      </c>
      <c r="D78" s="172">
        <v>0</v>
      </c>
      <c r="E78" s="172">
        <v>0</v>
      </c>
      <c r="F78" s="172">
        <v>0</v>
      </c>
    </row>
    <row r="79" spans="1:6">
      <c r="A79" s="200">
        <v>31215</v>
      </c>
      <c r="B79" s="201" t="s">
        <v>3731</v>
      </c>
      <c r="C79" s="172">
        <v>0</v>
      </c>
      <c r="D79" s="172">
        <v>0</v>
      </c>
      <c r="E79" s="172">
        <v>0</v>
      </c>
      <c r="F79" s="172">
        <v>0</v>
      </c>
    </row>
    <row r="80" spans="1:6">
      <c r="A80" s="200">
        <v>33</v>
      </c>
      <c r="B80" s="201" t="s">
        <v>2185</v>
      </c>
      <c r="C80" s="172">
        <v>360000</v>
      </c>
      <c r="D80" s="172">
        <v>0</v>
      </c>
      <c r="E80" s="172">
        <v>323243154.61000001</v>
      </c>
      <c r="F80" s="172">
        <v>0</v>
      </c>
    </row>
    <row r="81" spans="1:6">
      <c r="A81" s="202">
        <v>335</v>
      </c>
      <c r="B81" s="182" t="s">
        <v>3732</v>
      </c>
      <c r="C81" s="172">
        <v>360000</v>
      </c>
      <c r="D81" s="172">
        <v>0</v>
      </c>
      <c r="E81" s="172">
        <v>323243154.61000001</v>
      </c>
      <c r="F81" s="172">
        <v>0</v>
      </c>
    </row>
    <row r="82" spans="1:6">
      <c r="A82" s="202">
        <v>3351</v>
      </c>
      <c r="B82" s="182" t="s">
        <v>3733</v>
      </c>
      <c r="C82" s="172">
        <v>0</v>
      </c>
      <c r="D82" s="172">
        <v>0</v>
      </c>
      <c r="E82" s="172">
        <v>323243154.61000001</v>
      </c>
      <c r="F82" s="172">
        <v>0</v>
      </c>
    </row>
    <row r="83" spans="1:6">
      <c r="A83" s="200">
        <v>335101</v>
      </c>
      <c r="B83" s="201" t="s">
        <v>560</v>
      </c>
      <c r="C83" s="172">
        <v>0</v>
      </c>
      <c r="D83" s="172">
        <v>0</v>
      </c>
      <c r="E83" s="172">
        <v>0</v>
      </c>
      <c r="F83" s="172">
        <v>0</v>
      </c>
    </row>
    <row r="84" spans="1:6">
      <c r="A84" s="200">
        <v>335102</v>
      </c>
      <c r="B84" s="201" t="s">
        <v>561</v>
      </c>
      <c r="C84" s="172">
        <v>0</v>
      </c>
      <c r="D84" s="172">
        <v>0</v>
      </c>
      <c r="E84" s="172">
        <v>0</v>
      </c>
      <c r="F84" s="172">
        <v>0</v>
      </c>
    </row>
    <row r="85" spans="1:6">
      <c r="A85" s="200">
        <v>335103</v>
      </c>
      <c r="B85" s="201" t="s">
        <v>562</v>
      </c>
      <c r="C85" s="172">
        <v>0</v>
      </c>
      <c r="D85" s="172">
        <v>0</v>
      </c>
      <c r="E85" s="172">
        <v>0</v>
      </c>
      <c r="F85" s="172">
        <v>0</v>
      </c>
    </row>
    <row r="86" spans="1:6">
      <c r="A86" s="203">
        <v>335105</v>
      </c>
      <c r="B86" s="187" t="s">
        <v>3734</v>
      </c>
      <c r="C86" s="172">
        <v>0</v>
      </c>
      <c r="D86" s="172">
        <v>0</v>
      </c>
      <c r="E86" s="172">
        <v>0</v>
      </c>
      <c r="F86" s="172">
        <v>0</v>
      </c>
    </row>
    <row r="87" spans="1:6">
      <c r="A87" s="200">
        <v>335106</v>
      </c>
      <c r="B87" s="201" t="s">
        <v>565</v>
      </c>
      <c r="C87" s="172">
        <v>0</v>
      </c>
      <c r="D87" s="172">
        <v>0</v>
      </c>
      <c r="E87" s="172">
        <v>0</v>
      </c>
      <c r="F87" s="172">
        <v>0</v>
      </c>
    </row>
    <row r="88" spans="1:6">
      <c r="A88" s="200">
        <v>335113</v>
      </c>
      <c r="B88" s="201" t="s">
        <v>572</v>
      </c>
      <c r="C88" s="172">
        <v>0</v>
      </c>
      <c r="D88" s="172">
        <v>0</v>
      </c>
      <c r="E88" s="172">
        <v>323243154.61000001</v>
      </c>
      <c r="F88" s="172">
        <v>0</v>
      </c>
    </row>
    <row r="89" spans="1:6">
      <c r="A89" s="204">
        <v>3352</v>
      </c>
      <c r="B89" s="175" t="s">
        <v>2418</v>
      </c>
      <c r="C89" s="172">
        <v>360000</v>
      </c>
      <c r="D89" s="172">
        <v>0</v>
      </c>
      <c r="E89" s="172">
        <v>0</v>
      </c>
      <c r="F89" s="172">
        <v>0</v>
      </c>
    </row>
    <row r="90" spans="1:6">
      <c r="A90" s="200">
        <v>34</v>
      </c>
      <c r="B90" s="201" t="s">
        <v>3735</v>
      </c>
      <c r="C90" s="172">
        <v>0</v>
      </c>
      <c r="D90" s="172">
        <v>0</v>
      </c>
      <c r="E90" s="172">
        <v>0</v>
      </c>
      <c r="F90" s="172">
        <v>0</v>
      </c>
    </row>
    <row r="91" spans="1:6">
      <c r="A91" s="205">
        <v>34600</v>
      </c>
      <c r="B91" s="201" t="s">
        <v>3736</v>
      </c>
      <c r="C91" s="172">
        <v>0</v>
      </c>
      <c r="D91" s="172">
        <v>0</v>
      </c>
      <c r="E91" s="172">
        <v>0</v>
      </c>
      <c r="F91" s="172">
        <v>0</v>
      </c>
    </row>
    <row r="92" spans="1:6">
      <c r="A92" s="200">
        <v>3471</v>
      </c>
      <c r="B92" s="201" t="s">
        <v>3737</v>
      </c>
      <c r="C92" s="172">
        <v>0</v>
      </c>
      <c r="D92" s="172">
        <v>0</v>
      </c>
      <c r="E92" s="172">
        <v>0</v>
      </c>
      <c r="F92" s="172">
        <v>0</v>
      </c>
    </row>
    <row r="93" spans="1:6">
      <c r="A93" s="200">
        <v>34713</v>
      </c>
      <c r="B93" s="201" t="s">
        <v>3738</v>
      </c>
      <c r="C93" s="172">
        <v>0</v>
      </c>
      <c r="D93" s="172">
        <v>0</v>
      </c>
      <c r="E93" s="172">
        <v>0</v>
      </c>
      <c r="F93" s="172">
        <v>0</v>
      </c>
    </row>
    <row r="94" spans="1:6">
      <c r="A94" s="200">
        <v>35</v>
      </c>
      <c r="B94" s="201" t="s">
        <v>2186</v>
      </c>
      <c r="C94" s="172">
        <v>725789634.71000004</v>
      </c>
      <c r="D94" s="172">
        <v>0</v>
      </c>
      <c r="E94" s="172">
        <v>677644978.17999995</v>
      </c>
      <c r="F94" s="172">
        <v>0</v>
      </c>
    </row>
    <row r="95" spans="1:6">
      <c r="A95" s="200">
        <v>351</v>
      </c>
      <c r="B95" s="201" t="s">
        <v>3739</v>
      </c>
      <c r="C95" s="172">
        <v>42546313.100000001</v>
      </c>
      <c r="D95" s="172">
        <v>0</v>
      </c>
      <c r="E95" s="172">
        <v>14926200.800000001</v>
      </c>
      <c r="F95" s="172">
        <v>0</v>
      </c>
    </row>
    <row r="96" spans="1:6">
      <c r="A96" s="200">
        <v>35110</v>
      </c>
      <c r="B96" s="201" t="s">
        <v>2410</v>
      </c>
      <c r="C96" s="172">
        <v>42546313.100000001</v>
      </c>
      <c r="D96" s="172">
        <v>0</v>
      </c>
      <c r="E96" s="172">
        <v>14926200.800000001</v>
      </c>
      <c r="F96" s="172">
        <v>0</v>
      </c>
    </row>
    <row r="97" spans="1:6">
      <c r="A97" s="103">
        <v>35300</v>
      </c>
      <c r="B97" s="104" t="s">
        <v>556</v>
      </c>
      <c r="C97" s="172">
        <v>26063798.800000001</v>
      </c>
      <c r="D97" s="172">
        <v>0</v>
      </c>
      <c r="E97" s="172">
        <v>15276918.800000001</v>
      </c>
      <c r="F97" s="172">
        <v>0</v>
      </c>
    </row>
    <row r="98" spans="1:6">
      <c r="A98" s="105">
        <v>354</v>
      </c>
      <c r="B98" s="104" t="s">
        <v>3740</v>
      </c>
      <c r="C98" s="172">
        <v>657179522.80999994</v>
      </c>
      <c r="D98" s="172">
        <v>0</v>
      </c>
      <c r="E98" s="172">
        <v>647441858.58000004</v>
      </c>
      <c r="F98" s="172">
        <v>0</v>
      </c>
    </row>
    <row r="99" spans="1:6">
      <c r="A99" s="105">
        <v>35410</v>
      </c>
      <c r="B99" s="104" t="s">
        <v>557</v>
      </c>
      <c r="C99" s="172">
        <v>1520663.12</v>
      </c>
      <c r="D99" s="172">
        <v>0</v>
      </c>
      <c r="E99" s="172">
        <v>2654000</v>
      </c>
      <c r="F99" s="172">
        <v>0</v>
      </c>
    </row>
    <row r="100" spans="1:6">
      <c r="A100" s="202">
        <v>35430</v>
      </c>
      <c r="B100" s="182" t="s">
        <v>71</v>
      </c>
      <c r="C100" s="172">
        <v>0</v>
      </c>
      <c r="D100" s="172">
        <v>0</v>
      </c>
      <c r="E100" s="172">
        <v>0</v>
      </c>
      <c r="F100" s="172">
        <v>0</v>
      </c>
    </row>
    <row r="101" spans="1:6">
      <c r="A101" s="200">
        <v>35440</v>
      </c>
      <c r="B101" s="201" t="s">
        <v>72</v>
      </c>
      <c r="C101" s="172">
        <v>1439526</v>
      </c>
      <c r="D101" s="172">
        <v>0</v>
      </c>
      <c r="E101" s="172">
        <v>0</v>
      </c>
      <c r="F101" s="172">
        <v>0</v>
      </c>
    </row>
    <row r="102" spans="1:6">
      <c r="A102" s="200">
        <v>35470</v>
      </c>
      <c r="B102" s="201" t="s">
        <v>75</v>
      </c>
      <c r="C102" s="172">
        <v>654219333.69000006</v>
      </c>
      <c r="D102" s="172">
        <v>0</v>
      </c>
      <c r="E102" s="172">
        <v>644787858.58000004</v>
      </c>
      <c r="F102" s="172">
        <v>0</v>
      </c>
    </row>
    <row r="103" spans="1:6">
      <c r="A103" s="202">
        <v>3547003</v>
      </c>
      <c r="B103" s="182" t="s">
        <v>75</v>
      </c>
      <c r="C103" s="172">
        <v>654219333.69000006</v>
      </c>
      <c r="D103" s="172">
        <v>0</v>
      </c>
      <c r="E103" s="172">
        <v>644787858.58000004</v>
      </c>
      <c r="F103" s="172">
        <v>0</v>
      </c>
    </row>
    <row r="104" spans="1:6">
      <c r="A104" s="200">
        <v>39</v>
      </c>
      <c r="B104" s="201" t="s">
        <v>2187</v>
      </c>
      <c r="C104" s="172">
        <v>801649854.99000001</v>
      </c>
      <c r="D104" s="172">
        <v>0</v>
      </c>
      <c r="E104" s="172">
        <v>723074909.82000005</v>
      </c>
      <c r="F104" s="172">
        <v>0</v>
      </c>
    </row>
    <row r="105" spans="1:6">
      <c r="A105" s="200">
        <v>392</v>
      </c>
      <c r="B105" s="201" t="s">
        <v>3741</v>
      </c>
      <c r="C105" s="172">
        <v>801649854.99000001</v>
      </c>
      <c r="D105" s="172">
        <v>0</v>
      </c>
      <c r="E105" s="172">
        <v>723074909.82000005</v>
      </c>
      <c r="F105" s="172">
        <v>0</v>
      </c>
    </row>
    <row r="106" spans="1:6">
      <c r="A106" s="202">
        <v>39201</v>
      </c>
      <c r="B106" s="182" t="s">
        <v>3742</v>
      </c>
      <c r="C106" s="172">
        <v>257733446.40000001</v>
      </c>
      <c r="D106" s="172">
        <v>0</v>
      </c>
      <c r="E106" s="172">
        <v>257733446.40000001</v>
      </c>
      <c r="F106" s="172">
        <v>0</v>
      </c>
    </row>
    <row r="107" spans="1:6">
      <c r="A107" s="200">
        <v>39202</v>
      </c>
      <c r="B107" s="201" t="s">
        <v>3743</v>
      </c>
      <c r="C107" s="172">
        <v>-154466171.59</v>
      </c>
      <c r="D107" s="172">
        <v>0</v>
      </c>
      <c r="E107" s="172">
        <v>-157252474.75</v>
      </c>
      <c r="F107" s="172">
        <v>0</v>
      </c>
    </row>
    <row r="108" spans="1:6">
      <c r="A108" s="200">
        <v>39203</v>
      </c>
      <c r="B108" s="201" t="s">
        <v>3744</v>
      </c>
      <c r="C108" s="172">
        <v>497205481.38</v>
      </c>
      <c r="D108" s="172">
        <v>0</v>
      </c>
      <c r="E108" s="172">
        <v>497205481.38</v>
      </c>
      <c r="F108" s="172">
        <v>0</v>
      </c>
    </row>
    <row r="109" spans="1:6">
      <c r="A109" s="200">
        <v>39204</v>
      </c>
      <c r="B109" s="201" t="s">
        <v>3745</v>
      </c>
      <c r="C109" s="172">
        <v>-242552663.56999999</v>
      </c>
      <c r="D109" s="172">
        <v>0</v>
      </c>
      <c r="E109" s="172">
        <v>-299842443.88999999</v>
      </c>
      <c r="F109" s="172">
        <v>0</v>
      </c>
    </row>
    <row r="110" spans="1:6">
      <c r="A110" s="200">
        <v>39205</v>
      </c>
      <c r="B110" s="201" t="s">
        <v>3746</v>
      </c>
      <c r="C110" s="172">
        <v>1116375693.1300001</v>
      </c>
      <c r="D110" s="172">
        <v>0</v>
      </c>
      <c r="E110" s="172">
        <v>642919216.80999994</v>
      </c>
      <c r="F110" s="172">
        <v>0</v>
      </c>
    </row>
    <row r="111" spans="1:6">
      <c r="A111" s="135">
        <v>39206</v>
      </c>
      <c r="B111" s="134" t="s">
        <v>3747</v>
      </c>
      <c r="C111" s="172">
        <v>-691190701.60000002</v>
      </c>
      <c r="D111" s="172">
        <v>0</v>
      </c>
      <c r="E111" s="172">
        <v>-240846292.56999999</v>
      </c>
      <c r="F111" s="172">
        <v>0</v>
      </c>
    </row>
    <row r="112" spans="1:6">
      <c r="A112" s="103">
        <v>39207</v>
      </c>
      <c r="B112" s="174" t="s">
        <v>3748</v>
      </c>
      <c r="C112" s="172">
        <v>72263594.180000007</v>
      </c>
      <c r="D112" s="172">
        <v>0</v>
      </c>
      <c r="E112" s="172">
        <v>40858329.329999998</v>
      </c>
      <c r="F112" s="172">
        <v>0</v>
      </c>
    </row>
    <row r="113" spans="1:6">
      <c r="A113" s="103">
        <v>39208</v>
      </c>
      <c r="B113" s="174" t="s">
        <v>3749</v>
      </c>
      <c r="C113" s="172">
        <v>-54393823.340000004</v>
      </c>
      <c r="D113" s="172">
        <v>0</v>
      </c>
      <c r="E113" s="172">
        <v>-17700352.890000001</v>
      </c>
      <c r="F113" s="172">
        <v>0</v>
      </c>
    </row>
    <row r="114" spans="1:6">
      <c r="A114" s="103">
        <v>39214</v>
      </c>
      <c r="B114" s="174" t="s">
        <v>546</v>
      </c>
      <c r="C114" s="172">
        <v>32813449.800000001</v>
      </c>
      <c r="D114" s="172">
        <v>0</v>
      </c>
      <c r="E114" s="172">
        <v>23937223</v>
      </c>
      <c r="F114" s="172">
        <v>0</v>
      </c>
    </row>
    <row r="115" spans="1:6">
      <c r="A115" s="202">
        <v>39215</v>
      </c>
      <c r="B115" s="182" t="s">
        <v>3750</v>
      </c>
      <c r="C115" s="172">
        <v>-32138449.800000001</v>
      </c>
      <c r="D115" s="172">
        <v>0</v>
      </c>
      <c r="E115" s="172">
        <v>-23937223</v>
      </c>
      <c r="F115" s="172">
        <v>0</v>
      </c>
    </row>
    <row r="116" spans="1:6">
      <c r="A116" s="202">
        <v>39301</v>
      </c>
      <c r="B116" s="182" t="s">
        <v>3751</v>
      </c>
      <c r="C116" s="172">
        <v>600000</v>
      </c>
      <c r="D116" s="172">
        <v>0</v>
      </c>
      <c r="E116" s="172">
        <v>600000</v>
      </c>
      <c r="F116" s="172">
        <v>0</v>
      </c>
    </row>
    <row r="117" spans="1:6">
      <c r="A117" s="200">
        <v>39302</v>
      </c>
      <c r="B117" s="201" t="s">
        <v>3752</v>
      </c>
      <c r="C117" s="172">
        <v>-600000</v>
      </c>
      <c r="D117" s="172">
        <v>0</v>
      </c>
      <c r="E117" s="172">
        <v>-600000</v>
      </c>
      <c r="F117" s="172">
        <v>0</v>
      </c>
    </row>
    <row r="118" spans="1:6">
      <c r="A118" s="200">
        <v>4</v>
      </c>
      <c r="B118" s="201" t="s">
        <v>243</v>
      </c>
      <c r="C118" s="172">
        <v>0</v>
      </c>
      <c r="D118" s="172">
        <v>58815</v>
      </c>
      <c r="E118" s="172">
        <v>0</v>
      </c>
      <c r="F118" s="172">
        <v>323188956</v>
      </c>
    </row>
    <row r="119" spans="1:6">
      <c r="A119" s="200">
        <v>41</v>
      </c>
      <c r="B119" s="201" t="s">
        <v>2745</v>
      </c>
      <c r="C119" s="172">
        <v>0</v>
      </c>
      <c r="D119" s="172">
        <v>58815</v>
      </c>
      <c r="E119" s="172">
        <v>0</v>
      </c>
      <c r="F119" s="172">
        <v>323188956</v>
      </c>
    </row>
    <row r="120" spans="1:6">
      <c r="A120" s="200">
        <v>413</v>
      </c>
      <c r="B120" s="201" t="s">
        <v>1917</v>
      </c>
      <c r="C120" s="172">
        <v>0</v>
      </c>
      <c r="D120" s="172">
        <v>58815</v>
      </c>
      <c r="E120" s="172">
        <v>0</v>
      </c>
      <c r="F120" s="172">
        <v>323188956</v>
      </c>
    </row>
    <row r="121" spans="1:6">
      <c r="A121" s="200">
        <v>4131</v>
      </c>
      <c r="B121" s="201" t="s">
        <v>3753</v>
      </c>
      <c r="C121" s="172">
        <v>0</v>
      </c>
      <c r="D121" s="172">
        <v>58815</v>
      </c>
      <c r="E121" s="172">
        <v>0</v>
      </c>
      <c r="F121" s="172">
        <v>0</v>
      </c>
    </row>
    <row r="122" spans="1:6">
      <c r="A122" s="200">
        <v>413101</v>
      </c>
      <c r="B122" s="201" t="s">
        <v>573</v>
      </c>
      <c r="C122" s="172">
        <v>0</v>
      </c>
      <c r="D122" s="172">
        <v>0</v>
      </c>
      <c r="E122" s="172">
        <v>0</v>
      </c>
      <c r="F122" s="172">
        <v>0</v>
      </c>
    </row>
    <row r="123" spans="1:6">
      <c r="A123" s="200">
        <v>413102</v>
      </c>
      <c r="B123" s="201" t="s">
        <v>574</v>
      </c>
      <c r="C123" s="172">
        <v>0</v>
      </c>
      <c r="D123" s="172">
        <v>58815</v>
      </c>
      <c r="E123" s="172">
        <v>0</v>
      </c>
      <c r="F123" s="172">
        <v>0</v>
      </c>
    </row>
    <row r="124" spans="1:6">
      <c r="A124" s="200">
        <v>413103</v>
      </c>
      <c r="B124" s="201" t="s">
        <v>575</v>
      </c>
      <c r="C124" s="172">
        <v>0</v>
      </c>
      <c r="D124" s="172">
        <v>0</v>
      </c>
      <c r="E124" s="172">
        <v>0</v>
      </c>
      <c r="F124" s="172">
        <v>0</v>
      </c>
    </row>
    <row r="125" spans="1:6">
      <c r="A125" s="200">
        <v>4132</v>
      </c>
      <c r="B125" s="201" t="s">
        <v>3754</v>
      </c>
      <c r="C125" s="172">
        <v>0</v>
      </c>
      <c r="D125" s="172">
        <v>0</v>
      </c>
      <c r="E125" s="172">
        <v>0</v>
      </c>
      <c r="F125" s="172">
        <v>0</v>
      </c>
    </row>
    <row r="126" spans="1:6">
      <c r="A126" s="202">
        <v>413205</v>
      </c>
      <c r="B126" s="182" t="s">
        <v>581</v>
      </c>
      <c r="C126" s="172">
        <v>0</v>
      </c>
      <c r="D126" s="172">
        <v>0</v>
      </c>
      <c r="E126" s="172">
        <v>0</v>
      </c>
      <c r="F126" s="172">
        <v>0</v>
      </c>
    </row>
    <row r="127" spans="1:6">
      <c r="A127" s="200">
        <v>41350</v>
      </c>
      <c r="B127" s="201" t="s">
        <v>3755</v>
      </c>
      <c r="C127" s="172">
        <v>0</v>
      </c>
      <c r="D127" s="172">
        <v>0</v>
      </c>
      <c r="E127" s="172">
        <v>0</v>
      </c>
      <c r="F127" s="172">
        <v>0</v>
      </c>
    </row>
    <row r="128" spans="1:6">
      <c r="A128" s="200">
        <v>413501</v>
      </c>
      <c r="B128" s="201" t="s">
        <v>3756</v>
      </c>
      <c r="C128" s="172">
        <v>0</v>
      </c>
      <c r="D128" s="172">
        <v>0</v>
      </c>
      <c r="E128" s="172">
        <v>0</v>
      </c>
      <c r="F128" s="172">
        <v>0</v>
      </c>
    </row>
    <row r="129" spans="1:6">
      <c r="A129" s="200">
        <v>4136</v>
      </c>
      <c r="B129" s="201" t="s">
        <v>3757</v>
      </c>
      <c r="C129" s="172">
        <v>0</v>
      </c>
      <c r="D129" s="172">
        <v>0</v>
      </c>
      <c r="E129" s="172">
        <v>0</v>
      </c>
      <c r="F129" s="172">
        <v>323188956</v>
      </c>
    </row>
    <row r="130" spans="1:6">
      <c r="A130" s="200">
        <v>41361</v>
      </c>
      <c r="B130" s="201" t="s">
        <v>3758</v>
      </c>
      <c r="C130" s="172">
        <v>0</v>
      </c>
      <c r="D130" s="172">
        <v>0</v>
      </c>
      <c r="E130" s="172">
        <v>0</v>
      </c>
      <c r="F130" s="172">
        <v>323188956</v>
      </c>
    </row>
    <row r="131" spans="1:6">
      <c r="A131" s="200">
        <v>5</v>
      </c>
      <c r="B131" s="201" t="s">
        <v>2193</v>
      </c>
      <c r="C131" s="172">
        <v>0</v>
      </c>
      <c r="D131" s="172">
        <v>1527740674.7</v>
      </c>
      <c r="E131" s="172">
        <v>0</v>
      </c>
      <c r="F131" s="172">
        <v>1400774086.6099999</v>
      </c>
    </row>
    <row r="132" spans="1:6">
      <c r="A132" s="200">
        <v>51</v>
      </c>
      <c r="B132" s="201" t="s">
        <v>2763</v>
      </c>
      <c r="C132" s="172">
        <v>0</v>
      </c>
      <c r="D132" s="172">
        <v>1527740674.7</v>
      </c>
      <c r="E132" s="172">
        <v>0</v>
      </c>
      <c r="F132" s="172">
        <v>1400774086.6099999</v>
      </c>
    </row>
    <row r="133" spans="1:6">
      <c r="A133" s="202">
        <v>511</v>
      </c>
      <c r="B133" s="182" t="s">
        <v>484</v>
      </c>
      <c r="C133" s="172">
        <v>0</v>
      </c>
      <c r="D133" s="172">
        <v>536870268.13999999</v>
      </c>
      <c r="E133" s="172">
        <v>0</v>
      </c>
      <c r="F133" s="172">
        <v>536870268.13999999</v>
      </c>
    </row>
    <row r="134" spans="1:6">
      <c r="A134" s="200">
        <v>51101</v>
      </c>
      <c r="B134" s="201" t="s">
        <v>3759</v>
      </c>
      <c r="C134" s="172">
        <v>0</v>
      </c>
      <c r="D134" s="172">
        <v>536870268.13999999</v>
      </c>
      <c r="E134" s="172">
        <v>0</v>
      </c>
      <c r="F134" s="172">
        <v>536870268.13999999</v>
      </c>
    </row>
    <row r="135" spans="1:6">
      <c r="A135" s="200">
        <v>512</v>
      </c>
      <c r="B135" s="201" t="s">
        <v>2767</v>
      </c>
      <c r="C135" s="172">
        <v>0</v>
      </c>
      <c r="D135" s="172">
        <v>990870406.55999994</v>
      </c>
      <c r="E135" s="172">
        <v>0</v>
      </c>
      <c r="F135" s="172">
        <v>863903818.47000003</v>
      </c>
    </row>
    <row r="136" spans="1:6">
      <c r="A136" s="200">
        <v>51210</v>
      </c>
      <c r="B136" s="201" t="s">
        <v>3760</v>
      </c>
      <c r="C136" s="172">
        <v>0</v>
      </c>
      <c r="D136" s="172">
        <v>990870406.55999994</v>
      </c>
      <c r="E136" s="172">
        <v>0</v>
      </c>
      <c r="F136" s="172">
        <v>990870406.55999994</v>
      </c>
    </row>
    <row r="137" spans="1:6">
      <c r="A137" s="200">
        <v>132005</v>
      </c>
      <c r="B137" s="201" t="s">
        <v>909</v>
      </c>
      <c r="C137" s="172" t="s">
        <v>102</v>
      </c>
      <c r="D137" s="172" t="s">
        <v>102</v>
      </c>
      <c r="E137" s="172" t="s">
        <v>102</v>
      </c>
      <c r="F137" s="172" t="s">
        <v>102</v>
      </c>
    </row>
    <row r="138" spans="1:6">
      <c r="A138" s="200">
        <v>132006</v>
      </c>
      <c r="B138" s="201" t="s">
        <v>910</v>
      </c>
      <c r="C138" s="172" t="s">
        <v>102</v>
      </c>
      <c r="D138" s="172" t="s">
        <v>102</v>
      </c>
      <c r="E138" s="172" t="s">
        <v>102</v>
      </c>
      <c r="F138" s="172" t="s">
        <v>102</v>
      </c>
    </row>
    <row r="139" spans="1:6">
      <c r="A139" s="200">
        <v>132007</v>
      </c>
      <c r="B139" s="201" t="s">
        <v>911</v>
      </c>
      <c r="C139" s="172" t="s">
        <v>102</v>
      </c>
      <c r="D139" s="172" t="s">
        <v>102</v>
      </c>
      <c r="E139" s="172" t="s">
        <v>102</v>
      </c>
      <c r="F139" s="172" t="s">
        <v>102</v>
      </c>
    </row>
    <row r="140" spans="1:6">
      <c r="A140" s="200">
        <v>1330</v>
      </c>
      <c r="B140" s="201" t="s">
        <v>912</v>
      </c>
      <c r="C140" s="172" t="s">
        <v>102</v>
      </c>
      <c r="D140" s="172" t="s">
        <v>102</v>
      </c>
      <c r="E140" s="172" t="s">
        <v>102</v>
      </c>
      <c r="F140" s="172" t="s">
        <v>102</v>
      </c>
    </row>
    <row r="141" spans="1:6">
      <c r="A141" s="202">
        <v>133001</v>
      </c>
      <c r="B141" s="182" t="s">
        <v>889</v>
      </c>
      <c r="C141" s="172" t="s">
        <v>102</v>
      </c>
      <c r="D141" s="172" t="s">
        <v>102</v>
      </c>
      <c r="E141" s="172" t="s">
        <v>102</v>
      </c>
      <c r="F141" s="172" t="s">
        <v>102</v>
      </c>
    </row>
    <row r="142" spans="1:6">
      <c r="A142" s="200">
        <v>133002</v>
      </c>
      <c r="B142" s="201" t="s">
        <v>891</v>
      </c>
      <c r="C142" s="172" t="s">
        <v>102</v>
      </c>
      <c r="D142" s="172" t="s">
        <v>102</v>
      </c>
      <c r="E142" s="172" t="s">
        <v>102</v>
      </c>
      <c r="F142" s="172" t="s">
        <v>102</v>
      </c>
    </row>
    <row r="143" spans="1:6">
      <c r="A143" s="200">
        <v>133003</v>
      </c>
      <c r="B143" s="201" t="s">
        <v>913</v>
      </c>
      <c r="C143" s="172" t="s">
        <v>102</v>
      </c>
      <c r="D143" s="172" t="s">
        <v>102</v>
      </c>
      <c r="E143" s="172" t="s">
        <v>102</v>
      </c>
      <c r="F143" s="172" t="s">
        <v>102</v>
      </c>
    </row>
    <row r="144" spans="1:6">
      <c r="A144" s="200">
        <v>133004</v>
      </c>
      <c r="B144" s="201" t="s">
        <v>914</v>
      </c>
      <c r="C144" s="172" t="s">
        <v>102</v>
      </c>
      <c r="D144" s="172" t="s">
        <v>102</v>
      </c>
      <c r="E144" s="172" t="s">
        <v>102</v>
      </c>
      <c r="F144" s="172" t="s">
        <v>102</v>
      </c>
    </row>
    <row r="145" spans="1:6">
      <c r="A145" s="200">
        <v>133005</v>
      </c>
      <c r="B145" s="201" t="s">
        <v>915</v>
      </c>
      <c r="C145" s="172" t="s">
        <v>102</v>
      </c>
      <c r="D145" s="172" t="s">
        <v>102</v>
      </c>
      <c r="E145" s="172" t="s">
        <v>102</v>
      </c>
      <c r="F145" s="172" t="s">
        <v>102</v>
      </c>
    </row>
    <row r="146" spans="1:6">
      <c r="A146" s="200">
        <v>1340</v>
      </c>
      <c r="B146" s="201" t="s">
        <v>916</v>
      </c>
      <c r="C146" s="172" t="s">
        <v>102</v>
      </c>
      <c r="D146" s="172" t="s">
        <v>102</v>
      </c>
      <c r="E146" s="172" t="s">
        <v>102</v>
      </c>
      <c r="F146" s="172" t="s">
        <v>102</v>
      </c>
    </row>
    <row r="147" spans="1:6">
      <c r="A147" s="202">
        <v>134001</v>
      </c>
      <c r="B147" s="182" t="s">
        <v>917</v>
      </c>
      <c r="C147" s="172" t="s">
        <v>102</v>
      </c>
      <c r="D147" s="172" t="s">
        <v>102</v>
      </c>
      <c r="E147" s="172" t="s">
        <v>102</v>
      </c>
      <c r="F147" s="172" t="s">
        <v>102</v>
      </c>
    </row>
    <row r="148" spans="1:6">
      <c r="A148" s="200">
        <v>134002</v>
      </c>
      <c r="B148" s="201" t="s">
        <v>918</v>
      </c>
      <c r="C148" s="172" t="s">
        <v>102</v>
      </c>
      <c r="D148" s="172" t="s">
        <v>102</v>
      </c>
      <c r="E148" s="172" t="s">
        <v>102</v>
      </c>
      <c r="F148" s="172" t="s">
        <v>102</v>
      </c>
    </row>
    <row r="149" spans="1:6">
      <c r="A149" s="200">
        <v>134003</v>
      </c>
      <c r="B149" s="201" t="s">
        <v>919</v>
      </c>
      <c r="C149" s="172" t="s">
        <v>102</v>
      </c>
      <c r="D149" s="172" t="s">
        <v>102</v>
      </c>
      <c r="E149" s="172" t="s">
        <v>102</v>
      </c>
      <c r="F149" s="172" t="s">
        <v>102</v>
      </c>
    </row>
    <row r="150" spans="1:6">
      <c r="A150" s="200" t="s">
        <v>102</v>
      </c>
      <c r="B150" s="201" t="s">
        <v>102</v>
      </c>
      <c r="C150" s="172" t="s">
        <v>102</v>
      </c>
      <c r="D150" s="172" t="s">
        <v>102</v>
      </c>
      <c r="E150" s="172" t="s">
        <v>102</v>
      </c>
      <c r="F150" s="172" t="s">
        <v>102</v>
      </c>
    </row>
    <row r="151" spans="1:6">
      <c r="A151" s="206">
        <v>21</v>
      </c>
      <c r="B151" s="207" t="s">
        <v>920</v>
      </c>
      <c r="C151" s="172" t="s">
        <v>102</v>
      </c>
      <c r="D151" s="172" t="s">
        <v>102</v>
      </c>
      <c r="E151" s="172" t="s">
        <v>102</v>
      </c>
      <c r="F151" s="172" t="s">
        <v>102</v>
      </c>
    </row>
    <row r="152" spans="1:6">
      <c r="A152" s="202">
        <v>210</v>
      </c>
      <c r="B152" s="182" t="s">
        <v>921</v>
      </c>
      <c r="C152" s="172" t="s">
        <v>102</v>
      </c>
      <c r="D152" s="172" t="s">
        <v>102</v>
      </c>
      <c r="E152" s="172" t="s">
        <v>102</v>
      </c>
      <c r="F152" s="172" t="s">
        <v>102</v>
      </c>
    </row>
    <row r="153" spans="1:6">
      <c r="A153" s="202">
        <v>2101</v>
      </c>
      <c r="B153" s="182" t="s">
        <v>922</v>
      </c>
      <c r="C153" s="172" t="s">
        <v>102</v>
      </c>
      <c r="D153" s="172" t="s">
        <v>102</v>
      </c>
      <c r="E153" s="172" t="s">
        <v>102</v>
      </c>
      <c r="F153" s="172" t="s">
        <v>102</v>
      </c>
    </row>
    <row r="154" spans="1:6">
      <c r="A154" s="202">
        <v>210101</v>
      </c>
      <c r="B154" s="182" t="s">
        <v>923</v>
      </c>
      <c r="C154" s="172" t="s">
        <v>102</v>
      </c>
      <c r="D154" s="172" t="s">
        <v>102</v>
      </c>
      <c r="E154" s="172" t="s">
        <v>102</v>
      </c>
      <c r="F154" s="172" t="s">
        <v>102</v>
      </c>
    </row>
    <row r="155" spans="1:6">
      <c r="A155" s="200">
        <v>210102</v>
      </c>
      <c r="B155" s="201" t="s">
        <v>924</v>
      </c>
      <c r="C155" s="172" t="s">
        <v>102</v>
      </c>
      <c r="D155" s="172" t="s">
        <v>102</v>
      </c>
      <c r="E155" s="172" t="s">
        <v>102</v>
      </c>
      <c r="F155" s="172" t="s">
        <v>102</v>
      </c>
    </row>
    <row r="156" spans="1:6">
      <c r="A156" s="200">
        <v>210103</v>
      </c>
      <c r="B156" s="201" t="s">
        <v>925</v>
      </c>
      <c r="C156" s="172" t="s">
        <v>102</v>
      </c>
      <c r="D156" s="172" t="s">
        <v>102</v>
      </c>
      <c r="E156" s="172" t="s">
        <v>102</v>
      </c>
      <c r="F156" s="172" t="s">
        <v>102</v>
      </c>
    </row>
    <row r="157" spans="1:6">
      <c r="A157" s="200">
        <v>210104</v>
      </c>
      <c r="B157" s="201" t="s">
        <v>926</v>
      </c>
      <c r="C157" s="172" t="s">
        <v>102</v>
      </c>
      <c r="D157" s="172" t="s">
        <v>102</v>
      </c>
      <c r="E157" s="172" t="s">
        <v>102</v>
      </c>
      <c r="F157" s="172" t="s">
        <v>102</v>
      </c>
    </row>
    <row r="158" spans="1:6">
      <c r="A158" s="200">
        <v>210105</v>
      </c>
      <c r="B158" s="201" t="s">
        <v>927</v>
      </c>
      <c r="C158" s="172" t="s">
        <v>102</v>
      </c>
      <c r="D158" s="172" t="s">
        <v>102</v>
      </c>
      <c r="E158" s="172" t="s">
        <v>102</v>
      </c>
      <c r="F158" s="172" t="s">
        <v>102</v>
      </c>
    </row>
    <row r="159" spans="1:6">
      <c r="A159" s="200">
        <v>210106</v>
      </c>
      <c r="B159" s="201" t="s">
        <v>1055</v>
      </c>
      <c r="C159" s="172" t="s">
        <v>102</v>
      </c>
      <c r="D159" s="172" t="s">
        <v>102</v>
      </c>
      <c r="E159" s="172" t="s">
        <v>102</v>
      </c>
      <c r="F159" s="172" t="s">
        <v>102</v>
      </c>
    </row>
    <row r="160" spans="1:6">
      <c r="A160" s="200">
        <v>2102</v>
      </c>
      <c r="B160" s="201" t="s">
        <v>928</v>
      </c>
      <c r="C160" s="172" t="s">
        <v>102</v>
      </c>
      <c r="D160" s="172" t="s">
        <v>102</v>
      </c>
      <c r="E160" s="172" t="s">
        <v>102</v>
      </c>
      <c r="F160" s="172" t="s">
        <v>102</v>
      </c>
    </row>
    <row r="161" spans="1:6">
      <c r="A161" s="202">
        <v>210201</v>
      </c>
      <c r="B161" s="182" t="s">
        <v>931</v>
      </c>
      <c r="C161" s="172" t="s">
        <v>102</v>
      </c>
      <c r="D161" s="172" t="s">
        <v>102</v>
      </c>
      <c r="E161" s="172" t="s">
        <v>102</v>
      </c>
      <c r="F161" s="172" t="s">
        <v>102</v>
      </c>
    </row>
    <row r="162" spans="1:6">
      <c r="A162" s="200">
        <v>210202</v>
      </c>
      <c r="B162" s="201" t="s">
        <v>932</v>
      </c>
      <c r="C162" s="172" t="s">
        <v>102</v>
      </c>
      <c r="D162" s="172" t="s">
        <v>102</v>
      </c>
      <c r="E162" s="172" t="s">
        <v>102</v>
      </c>
      <c r="F162" s="172" t="s">
        <v>102</v>
      </c>
    </row>
    <row r="163" spans="1:6">
      <c r="A163" s="200">
        <v>210203</v>
      </c>
      <c r="B163" s="201" t="s">
        <v>933</v>
      </c>
      <c r="C163" s="172" t="s">
        <v>102</v>
      </c>
      <c r="D163" s="172" t="s">
        <v>102</v>
      </c>
      <c r="E163" s="172" t="s">
        <v>102</v>
      </c>
      <c r="F163" s="172" t="s">
        <v>102</v>
      </c>
    </row>
    <row r="164" spans="1:6">
      <c r="A164" s="200">
        <v>210204</v>
      </c>
      <c r="B164" s="201" t="s">
        <v>934</v>
      </c>
      <c r="C164" s="172" t="s">
        <v>102</v>
      </c>
      <c r="D164" s="172" t="s">
        <v>102</v>
      </c>
      <c r="E164" s="172" t="s">
        <v>102</v>
      </c>
      <c r="F164" s="172" t="s">
        <v>102</v>
      </c>
    </row>
    <row r="165" spans="1:6">
      <c r="A165" s="200">
        <v>210205</v>
      </c>
      <c r="B165" s="201" t="s">
        <v>935</v>
      </c>
      <c r="C165" s="172" t="s">
        <v>102</v>
      </c>
      <c r="D165" s="172" t="s">
        <v>102</v>
      </c>
      <c r="E165" s="172" t="s">
        <v>102</v>
      </c>
      <c r="F165" s="172" t="s">
        <v>102</v>
      </c>
    </row>
    <row r="166" spans="1:6">
      <c r="A166" s="200">
        <v>210206</v>
      </c>
      <c r="B166" s="201" t="s">
        <v>1056</v>
      </c>
      <c r="C166" s="172" t="s">
        <v>102</v>
      </c>
      <c r="D166" s="172" t="s">
        <v>102</v>
      </c>
      <c r="E166" s="172" t="s">
        <v>102</v>
      </c>
      <c r="F166" s="172" t="s">
        <v>102</v>
      </c>
    </row>
    <row r="167" spans="1:6">
      <c r="A167" s="105">
        <v>2103</v>
      </c>
      <c r="B167" s="174" t="s">
        <v>929</v>
      </c>
      <c r="C167" s="172" t="s">
        <v>102</v>
      </c>
      <c r="D167" s="172" t="s">
        <v>102</v>
      </c>
      <c r="E167" s="172" t="s">
        <v>102</v>
      </c>
      <c r="F167" s="172" t="s">
        <v>102</v>
      </c>
    </row>
    <row r="168" spans="1:6">
      <c r="A168" s="202">
        <v>210301</v>
      </c>
      <c r="B168" s="182" t="s">
        <v>939</v>
      </c>
      <c r="C168" s="172" t="s">
        <v>102</v>
      </c>
      <c r="D168" s="172" t="s">
        <v>102</v>
      </c>
      <c r="E168" s="172" t="s">
        <v>102</v>
      </c>
      <c r="F168" s="172" t="s">
        <v>102</v>
      </c>
    </row>
    <row r="169" spans="1:6">
      <c r="A169" s="200">
        <v>210302</v>
      </c>
      <c r="B169" s="201" t="s">
        <v>938</v>
      </c>
      <c r="C169" s="172" t="s">
        <v>102</v>
      </c>
      <c r="D169" s="172" t="s">
        <v>102</v>
      </c>
      <c r="E169" s="172" t="s">
        <v>102</v>
      </c>
      <c r="F169" s="172" t="s">
        <v>102</v>
      </c>
    </row>
    <row r="170" spans="1:6">
      <c r="A170" s="200">
        <v>210303</v>
      </c>
      <c r="B170" s="201" t="s">
        <v>936</v>
      </c>
      <c r="C170" s="172" t="s">
        <v>102</v>
      </c>
      <c r="D170" s="172" t="s">
        <v>102</v>
      </c>
      <c r="E170" s="172" t="s">
        <v>102</v>
      </c>
      <c r="F170" s="172" t="s">
        <v>102</v>
      </c>
    </row>
    <row r="171" spans="1:6">
      <c r="A171" s="200">
        <v>210304</v>
      </c>
      <c r="B171" s="201" t="s">
        <v>937</v>
      </c>
      <c r="C171" s="172" t="s">
        <v>102</v>
      </c>
      <c r="D171" s="172" t="s">
        <v>102</v>
      </c>
      <c r="E171" s="172" t="s">
        <v>102</v>
      </c>
      <c r="F171" s="172" t="s">
        <v>102</v>
      </c>
    </row>
    <row r="172" spans="1:6">
      <c r="A172" s="200">
        <v>210305</v>
      </c>
      <c r="B172" s="201" t="s">
        <v>1057</v>
      </c>
      <c r="C172" s="172" t="s">
        <v>102</v>
      </c>
      <c r="D172" s="172" t="s">
        <v>102</v>
      </c>
      <c r="E172" s="172" t="s">
        <v>102</v>
      </c>
      <c r="F172" s="172" t="s">
        <v>102</v>
      </c>
    </row>
    <row r="173" spans="1:6">
      <c r="A173" s="200">
        <v>2104</v>
      </c>
      <c r="B173" s="201" t="s">
        <v>930</v>
      </c>
      <c r="C173" s="172" t="s">
        <v>102</v>
      </c>
      <c r="D173" s="172" t="s">
        <v>102</v>
      </c>
      <c r="E173" s="172" t="s">
        <v>102</v>
      </c>
      <c r="F173" s="172" t="s">
        <v>102</v>
      </c>
    </row>
    <row r="174" spans="1:6">
      <c r="A174" s="202">
        <v>210401</v>
      </c>
      <c r="B174" s="182" t="s">
        <v>940</v>
      </c>
      <c r="C174" s="172" t="s">
        <v>102</v>
      </c>
      <c r="D174" s="172" t="s">
        <v>102</v>
      </c>
      <c r="E174" s="172" t="s">
        <v>102</v>
      </c>
      <c r="F174" s="172" t="s">
        <v>102</v>
      </c>
    </row>
    <row r="175" spans="1:6">
      <c r="A175" s="200">
        <v>210402</v>
      </c>
      <c r="B175" s="201" t="s">
        <v>941</v>
      </c>
      <c r="C175" s="172" t="s">
        <v>102</v>
      </c>
      <c r="D175" s="172" t="s">
        <v>102</v>
      </c>
      <c r="E175" s="172" t="s">
        <v>102</v>
      </c>
      <c r="F175" s="172" t="s">
        <v>102</v>
      </c>
    </row>
    <row r="176" spans="1:6">
      <c r="A176" s="200">
        <v>210403</v>
      </c>
      <c r="B176" s="201" t="s">
        <v>942</v>
      </c>
      <c r="C176" s="172" t="s">
        <v>102</v>
      </c>
      <c r="D176" s="172" t="s">
        <v>102</v>
      </c>
      <c r="E176" s="172" t="s">
        <v>102</v>
      </c>
      <c r="F176" s="172" t="s">
        <v>102</v>
      </c>
    </row>
    <row r="177" spans="1:6">
      <c r="A177" s="200">
        <v>210404</v>
      </c>
      <c r="B177" s="201" t="s">
        <v>943</v>
      </c>
      <c r="C177" s="172" t="s">
        <v>102</v>
      </c>
      <c r="D177" s="172" t="s">
        <v>102</v>
      </c>
      <c r="E177" s="172" t="s">
        <v>102</v>
      </c>
      <c r="F177" s="172" t="s">
        <v>102</v>
      </c>
    </row>
    <row r="178" spans="1:6">
      <c r="A178" s="200">
        <v>210405</v>
      </c>
      <c r="B178" s="201" t="s">
        <v>947</v>
      </c>
      <c r="C178" s="172" t="s">
        <v>102</v>
      </c>
      <c r="D178" s="172" t="s">
        <v>102</v>
      </c>
      <c r="E178" s="172" t="s">
        <v>102</v>
      </c>
      <c r="F178" s="172" t="s">
        <v>102</v>
      </c>
    </row>
    <row r="179" spans="1:6">
      <c r="A179" s="200">
        <v>210406</v>
      </c>
      <c r="B179" s="201" t="s">
        <v>944</v>
      </c>
      <c r="C179" s="172" t="s">
        <v>102</v>
      </c>
      <c r="D179" s="172" t="s">
        <v>102</v>
      </c>
      <c r="E179" s="172" t="s">
        <v>102</v>
      </c>
      <c r="F179" s="172" t="s">
        <v>102</v>
      </c>
    </row>
    <row r="180" spans="1:6">
      <c r="A180" s="200">
        <v>210407</v>
      </c>
      <c r="B180" s="201" t="s">
        <v>945</v>
      </c>
      <c r="C180" s="172" t="s">
        <v>102</v>
      </c>
      <c r="D180" s="172" t="s">
        <v>102</v>
      </c>
      <c r="E180" s="172" t="s">
        <v>102</v>
      </c>
      <c r="F180" s="172" t="s">
        <v>102</v>
      </c>
    </row>
    <row r="181" spans="1:6">
      <c r="A181" s="200">
        <v>210408</v>
      </c>
      <c r="B181" s="201" t="s">
        <v>946</v>
      </c>
      <c r="C181" s="172" t="s">
        <v>102</v>
      </c>
      <c r="D181" s="172" t="s">
        <v>102</v>
      </c>
      <c r="E181" s="172" t="s">
        <v>102</v>
      </c>
      <c r="F181" s="172" t="s">
        <v>102</v>
      </c>
    </row>
    <row r="182" spans="1:6">
      <c r="A182" s="200">
        <v>210409</v>
      </c>
      <c r="B182" s="201" t="s">
        <v>1058</v>
      </c>
      <c r="C182" s="172" t="s">
        <v>102</v>
      </c>
      <c r="D182" s="172" t="s">
        <v>102</v>
      </c>
      <c r="E182" s="172" t="s">
        <v>102</v>
      </c>
      <c r="F182" s="172" t="s">
        <v>102</v>
      </c>
    </row>
    <row r="183" spans="1:6">
      <c r="A183" s="204">
        <v>210410</v>
      </c>
      <c r="B183" s="201" t="s">
        <v>1059</v>
      </c>
      <c r="C183" s="172" t="s">
        <v>102</v>
      </c>
      <c r="D183" s="172" t="s">
        <v>102</v>
      </c>
      <c r="E183" s="172" t="s">
        <v>102</v>
      </c>
      <c r="F183" s="172" t="s">
        <v>102</v>
      </c>
    </row>
    <row r="184" spans="1:6">
      <c r="A184" s="204">
        <v>2105</v>
      </c>
      <c r="B184" s="201" t="s">
        <v>948</v>
      </c>
      <c r="C184" s="172" t="s">
        <v>102</v>
      </c>
      <c r="D184" s="172" t="s">
        <v>102</v>
      </c>
      <c r="E184" s="172" t="s">
        <v>102</v>
      </c>
      <c r="F184" s="172" t="s">
        <v>102</v>
      </c>
    </row>
    <row r="185" spans="1:6">
      <c r="A185" s="202">
        <v>210501</v>
      </c>
      <c r="B185" s="182" t="s">
        <v>949</v>
      </c>
      <c r="C185" s="172" t="s">
        <v>102</v>
      </c>
      <c r="D185" s="172" t="s">
        <v>102</v>
      </c>
      <c r="E185" s="172" t="s">
        <v>102</v>
      </c>
      <c r="F185" s="172" t="s">
        <v>102</v>
      </c>
    </row>
    <row r="186" spans="1:6">
      <c r="A186" s="200">
        <v>210502</v>
      </c>
      <c r="B186" s="201" t="s">
        <v>950</v>
      </c>
      <c r="C186" s="172" t="s">
        <v>102</v>
      </c>
      <c r="D186" s="172" t="s">
        <v>102</v>
      </c>
      <c r="E186" s="172" t="s">
        <v>102</v>
      </c>
      <c r="F186" s="172" t="s">
        <v>102</v>
      </c>
    </row>
    <row r="187" spans="1:6">
      <c r="A187" s="200">
        <v>210503</v>
      </c>
      <c r="B187" s="201" t="s">
        <v>951</v>
      </c>
      <c r="C187" s="172" t="s">
        <v>102</v>
      </c>
      <c r="D187" s="172" t="s">
        <v>102</v>
      </c>
      <c r="E187" s="172" t="s">
        <v>102</v>
      </c>
      <c r="F187" s="172" t="s">
        <v>102</v>
      </c>
    </row>
    <row r="188" spans="1:6">
      <c r="A188" s="200">
        <v>2106</v>
      </c>
      <c r="B188" s="201" t="s">
        <v>952</v>
      </c>
      <c r="C188" s="172" t="s">
        <v>102</v>
      </c>
      <c r="D188" s="172" t="s">
        <v>102</v>
      </c>
      <c r="E188" s="172" t="s">
        <v>102</v>
      </c>
      <c r="F188" s="172" t="s">
        <v>102</v>
      </c>
    </row>
    <row r="189" spans="1:6">
      <c r="A189" s="202">
        <v>210601</v>
      </c>
      <c r="B189" s="182" t="s">
        <v>953</v>
      </c>
      <c r="C189" s="172" t="s">
        <v>102</v>
      </c>
      <c r="D189" s="172" t="s">
        <v>102</v>
      </c>
      <c r="E189" s="172" t="s">
        <v>102</v>
      </c>
      <c r="F189" s="172" t="s">
        <v>102</v>
      </c>
    </row>
    <row r="190" spans="1:6">
      <c r="A190" s="200">
        <v>210602</v>
      </c>
      <c r="B190" s="201" t="s">
        <v>954</v>
      </c>
      <c r="C190" s="172" t="s">
        <v>102</v>
      </c>
      <c r="D190" s="172" t="s">
        <v>102</v>
      </c>
      <c r="E190" s="172" t="s">
        <v>102</v>
      </c>
      <c r="F190" s="172" t="s">
        <v>102</v>
      </c>
    </row>
    <row r="191" spans="1:6">
      <c r="A191" s="200">
        <v>210603</v>
      </c>
      <c r="B191" s="201" t="s">
        <v>955</v>
      </c>
      <c r="C191" s="172" t="s">
        <v>102</v>
      </c>
      <c r="D191" s="172" t="s">
        <v>102</v>
      </c>
      <c r="E191" s="172" t="s">
        <v>102</v>
      </c>
      <c r="F191" s="172" t="s">
        <v>102</v>
      </c>
    </row>
    <row r="192" spans="1:6">
      <c r="A192" s="200">
        <v>210604</v>
      </c>
      <c r="B192" s="201" t="s">
        <v>956</v>
      </c>
      <c r="C192" s="172" t="s">
        <v>102</v>
      </c>
      <c r="D192" s="172" t="s">
        <v>102</v>
      </c>
      <c r="E192" s="172" t="s">
        <v>102</v>
      </c>
      <c r="F192" s="172" t="s">
        <v>102</v>
      </c>
    </row>
    <row r="193" spans="1:6">
      <c r="A193" s="200">
        <v>2107</v>
      </c>
      <c r="B193" s="201" t="s">
        <v>957</v>
      </c>
      <c r="C193" s="172" t="s">
        <v>102</v>
      </c>
      <c r="D193" s="172" t="s">
        <v>102</v>
      </c>
      <c r="E193" s="172" t="s">
        <v>102</v>
      </c>
      <c r="F193" s="172" t="s">
        <v>102</v>
      </c>
    </row>
    <row r="194" spans="1:6">
      <c r="A194" s="199">
        <v>210701</v>
      </c>
      <c r="B194" s="182" t="s">
        <v>958</v>
      </c>
      <c r="C194" s="172" t="s">
        <v>102</v>
      </c>
      <c r="D194" s="172" t="s">
        <v>102</v>
      </c>
      <c r="E194" s="172" t="s">
        <v>102</v>
      </c>
      <c r="F194" s="172" t="s">
        <v>102</v>
      </c>
    </row>
    <row r="195" spans="1:6">
      <c r="A195" s="200">
        <v>210702</v>
      </c>
      <c r="B195" s="201" t="s">
        <v>959</v>
      </c>
      <c r="C195" s="172" t="s">
        <v>102</v>
      </c>
      <c r="D195" s="172" t="s">
        <v>102</v>
      </c>
      <c r="E195" s="172" t="s">
        <v>102</v>
      </c>
      <c r="F195" s="172" t="s">
        <v>102</v>
      </c>
    </row>
    <row r="196" spans="1:6">
      <c r="A196" s="200">
        <v>210703</v>
      </c>
      <c r="B196" s="201" t="s">
        <v>960</v>
      </c>
      <c r="C196" s="172" t="s">
        <v>102</v>
      </c>
      <c r="D196" s="172" t="s">
        <v>102</v>
      </c>
      <c r="E196" s="172" t="s">
        <v>102</v>
      </c>
      <c r="F196" s="172" t="s">
        <v>102</v>
      </c>
    </row>
    <row r="197" spans="1:6">
      <c r="A197" s="200">
        <v>2108</v>
      </c>
      <c r="B197" s="201" t="s">
        <v>961</v>
      </c>
      <c r="C197" s="172" t="s">
        <v>102</v>
      </c>
      <c r="D197" s="172" t="s">
        <v>102</v>
      </c>
      <c r="E197" s="172" t="s">
        <v>102</v>
      </c>
      <c r="F197" s="172" t="s">
        <v>102</v>
      </c>
    </row>
    <row r="198" spans="1:6">
      <c r="A198" s="202">
        <v>210801</v>
      </c>
      <c r="B198" s="182" t="s">
        <v>962</v>
      </c>
      <c r="C198" s="172" t="s">
        <v>102</v>
      </c>
      <c r="D198" s="172" t="s">
        <v>102</v>
      </c>
      <c r="E198" s="172" t="s">
        <v>102</v>
      </c>
      <c r="F198" s="172" t="s">
        <v>102</v>
      </c>
    </row>
    <row r="199" spans="1:6">
      <c r="A199" s="200">
        <v>210802</v>
      </c>
      <c r="B199" s="201" t="s">
        <v>963</v>
      </c>
      <c r="C199" s="172" t="s">
        <v>102</v>
      </c>
      <c r="D199" s="172" t="s">
        <v>102</v>
      </c>
      <c r="E199" s="172" t="s">
        <v>102</v>
      </c>
      <c r="F199" s="172" t="s">
        <v>102</v>
      </c>
    </row>
    <row r="200" spans="1:6">
      <c r="A200" s="200">
        <v>210803</v>
      </c>
      <c r="B200" s="201" t="s">
        <v>964</v>
      </c>
      <c r="C200" s="172" t="s">
        <v>102</v>
      </c>
      <c r="D200" s="172" t="s">
        <v>102</v>
      </c>
      <c r="E200" s="172" t="s">
        <v>102</v>
      </c>
      <c r="F200" s="172" t="s">
        <v>102</v>
      </c>
    </row>
    <row r="201" spans="1:6">
      <c r="A201" s="200">
        <v>210804</v>
      </c>
      <c r="B201" s="201" t="s">
        <v>965</v>
      </c>
      <c r="C201" s="172" t="s">
        <v>102</v>
      </c>
      <c r="D201" s="172" t="s">
        <v>102</v>
      </c>
      <c r="E201" s="172" t="s">
        <v>102</v>
      </c>
      <c r="F201" s="172" t="s">
        <v>102</v>
      </c>
    </row>
    <row r="202" spans="1:6">
      <c r="A202" s="200">
        <v>210805</v>
      </c>
      <c r="B202" s="201" t="s">
        <v>966</v>
      </c>
      <c r="C202" s="172" t="s">
        <v>102</v>
      </c>
      <c r="D202" s="172" t="s">
        <v>102</v>
      </c>
      <c r="E202" s="172" t="s">
        <v>102</v>
      </c>
      <c r="F202" s="172" t="s">
        <v>102</v>
      </c>
    </row>
    <row r="203" spans="1:6">
      <c r="A203" s="200">
        <v>210806</v>
      </c>
      <c r="B203" s="201" t="s">
        <v>967</v>
      </c>
      <c r="C203" s="172" t="s">
        <v>102</v>
      </c>
      <c r="D203" s="172" t="s">
        <v>102</v>
      </c>
      <c r="E203" s="172" t="s">
        <v>102</v>
      </c>
      <c r="F203" s="172" t="s">
        <v>102</v>
      </c>
    </row>
    <row r="204" spans="1:6">
      <c r="A204" s="200">
        <v>210807</v>
      </c>
      <c r="B204" s="201" t="s">
        <v>296</v>
      </c>
      <c r="C204" s="172" t="s">
        <v>102</v>
      </c>
      <c r="D204" s="172" t="s">
        <v>102</v>
      </c>
      <c r="E204" s="172" t="s">
        <v>102</v>
      </c>
      <c r="F204" s="172" t="s">
        <v>102</v>
      </c>
    </row>
    <row r="205" spans="1:6">
      <c r="A205" s="200">
        <v>210808</v>
      </c>
      <c r="B205" s="201" t="s">
        <v>968</v>
      </c>
      <c r="C205" s="172" t="s">
        <v>102</v>
      </c>
      <c r="D205" s="172" t="s">
        <v>102</v>
      </c>
      <c r="E205" s="172" t="s">
        <v>102</v>
      </c>
      <c r="F205" s="172" t="s">
        <v>102</v>
      </c>
    </row>
    <row r="206" spans="1:6">
      <c r="A206" s="200">
        <v>210809</v>
      </c>
      <c r="B206" s="201" t="s">
        <v>969</v>
      </c>
      <c r="C206" s="172" t="s">
        <v>102</v>
      </c>
      <c r="D206" s="172" t="s">
        <v>102</v>
      </c>
      <c r="E206" s="172" t="s">
        <v>102</v>
      </c>
      <c r="F206" s="172" t="s">
        <v>102</v>
      </c>
    </row>
    <row r="207" spans="1:6">
      <c r="A207" s="200">
        <v>210810</v>
      </c>
      <c r="B207" s="201" t="s">
        <v>970</v>
      </c>
      <c r="C207" s="172" t="s">
        <v>102</v>
      </c>
      <c r="D207" s="172" t="s">
        <v>102</v>
      </c>
      <c r="E207" s="172" t="s">
        <v>102</v>
      </c>
      <c r="F207" s="172" t="s">
        <v>102</v>
      </c>
    </row>
    <row r="208" spans="1:6">
      <c r="A208" s="200">
        <v>210811</v>
      </c>
      <c r="B208" s="201" t="s">
        <v>971</v>
      </c>
      <c r="C208" s="172" t="s">
        <v>102</v>
      </c>
      <c r="D208" s="172" t="s">
        <v>102</v>
      </c>
      <c r="E208" s="172" t="s">
        <v>102</v>
      </c>
      <c r="F208" s="172" t="s">
        <v>102</v>
      </c>
    </row>
    <row r="209" spans="1:6">
      <c r="A209" s="200">
        <v>210812</v>
      </c>
      <c r="B209" s="201" t="s">
        <v>972</v>
      </c>
      <c r="C209" s="172" t="s">
        <v>102</v>
      </c>
      <c r="D209" s="172" t="s">
        <v>102</v>
      </c>
      <c r="E209" s="172" t="s">
        <v>102</v>
      </c>
      <c r="F209" s="172" t="s">
        <v>102</v>
      </c>
    </row>
    <row r="210" spans="1:6">
      <c r="A210" s="200">
        <v>210813</v>
      </c>
      <c r="B210" s="201" t="s">
        <v>973</v>
      </c>
      <c r="C210" s="172" t="s">
        <v>102</v>
      </c>
      <c r="D210" s="172" t="s">
        <v>102</v>
      </c>
      <c r="E210" s="172" t="s">
        <v>102</v>
      </c>
      <c r="F210" s="172" t="s">
        <v>102</v>
      </c>
    </row>
    <row r="211" spans="1:6">
      <c r="A211" s="200">
        <v>210814</v>
      </c>
      <c r="B211" s="201" t="s">
        <v>974</v>
      </c>
      <c r="C211" s="172" t="s">
        <v>102</v>
      </c>
      <c r="D211" s="172" t="s">
        <v>102</v>
      </c>
      <c r="E211" s="172" t="s">
        <v>102</v>
      </c>
      <c r="F211" s="172" t="s">
        <v>102</v>
      </c>
    </row>
    <row r="212" spans="1:6">
      <c r="A212" s="200">
        <v>210815</v>
      </c>
      <c r="B212" s="201" t="s">
        <v>1060</v>
      </c>
      <c r="C212" s="172" t="s">
        <v>102</v>
      </c>
      <c r="D212" s="172" t="s">
        <v>102</v>
      </c>
      <c r="E212" s="172" t="s">
        <v>102</v>
      </c>
      <c r="F212" s="172" t="s">
        <v>102</v>
      </c>
    </row>
    <row r="213" spans="1:6">
      <c r="A213" s="204">
        <v>210816</v>
      </c>
      <c r="B213" s="201" t="s">
        <v>1061</v>
      </c>
      <c r="C213" s="172" t="s">
        <v>102</v>
      </c>
      <c r="D213" s="172" t="s">
        <v>102</v>
      </c>
      <c r="E213" s="172" t="s">
        <v>102</v>
      </c>
      <c r="F213" s="172" t="s">
        <v>102</v>
      </c>
    </row>
    <row r="214" spans="1:6">
      <c r="A214" s="204">
        <v>210817</v>
      </c>
      <c r="B214" s="201" t="s">
        <v>1062</v>
      </c>
      <c r="C214" s="172" t="s">
        <v>102</v>
      </c>
      <c r="D214" s="172" t="s">
        <v>102</v>
      </c>
      <c r="E214" s="172" t="s">
        <v>102</v>
      </c>
      <c r="F214" s="172" t="s">
        <v>102</v>
      </c>
    </row>
    <row r="215" spans="1:6">
      <c r="A215" s="204">
        <v>210818</v>
      </c>
      <c r="B215" s="201" t="s">
        <v>1063</v>
      </c>
      <c r="C215" s="172" t="s">
        <v>102</v>
      </c>
      <c r="D215" s="172" t="s">
        <v>102</v>
      </c>
      <c r="E215" s="172" t="s">
        <v>102</v>
      </c>
      <c r="F215" s="172" t="s">
        <v>102</v>
      </c>
    </row>
    <row r="216" spans="1:6">
      <c r="A216" s="204">
        <v>2109</v>
      </c>
      <c r="B216" s="201" t="s">
        <v>975</v>
      </c>
      <c r="C216" s="172" t="s">
        <v>102</v>
      </c>
      <c r="D216" s="172" t="s">
        <v>102</v>
      </c>
      <c r="E216" s="172" t="s">
        <v>102</v>
      </c>
      <c r="F216" s="172" t="s">
        <v>102</v>
      </c>
    </row>
    <row r="217" spans="1:6">
      <c r="A217" s="202">
        <v>210901</v>
      </c>
      <c r="B217" s="182" t="s">
        <v>378</v>
      </c>
      <c r="C217" s="172" t="s">
        <v>102</v>
      </c>
      <c r="D217" s="172" t="s">
        <v>102</v>
      </c>
      <c r="E217" s="172" t="s">
        <v>102</v>
      </c>
      <c r="F217" s="172" t="s">
        <v>102</v>
      </c>
    </row>
    <row r="218" spans="1:6">
      <c r="A218" s="200">
        <v>210902</v>
      </c>
      <c r="B218" s="201" t="s">
        <v>976</v>
      </c>
      <c r="C218" s="172" t="s">
        <v>102</v>
      </c>
      <c r="D218" s="172" t="s">
        <v>102</v>
      </c>
      <c r="E218" s="172" t="s">
        <v>102</v>
      </c>
      <c r="F218" s="172" t="s">
        <v>102</v>
      </c>
    </row>
    <row r="219" spans="1:6">
      <c r="A219" s="200">
        <v>210903</v>
      </c>
      <c r="B219" s="201" t="s">
        <v>977</v>
      </c>
      <c r="C219" s="172" t="s">
        <v>102</v>
      </c>
      <c r="D219" s="172" t="s">
        <v>102</v>
      </c>
      <c r="E219" s="172" t="s">
        <v>102</v>
      </c>
      <c r="F219" s="172" t="s">
        <v>102</v>
      </c>
    </row>
    <row r="220" spans="1:6">
      <c r="A220" s="200">
        <v>210904</v>
      </c>
      <c r="B220" s="201" t="s">
        <v>978</v>
      </c>
      <c r="C220" s="172" t="s">
        <v>102</v>
      </c>
      <c r="D220" s="172" t="s">
        <v>102</v>
      </c>
      <c r="E220" s="172" t="s">
        <v>102</v>
      </c>
      <c r="F220" s="172" t="s">
        <v>102</v>
      </c>
    </row>
    <row r="221" spans="1:6">
      <c r="A221" s="205">
        <v>211</v>
      </c>
      <c r="B221" s="175" t="s">
        <v>979</v>
      </c>
      <c r="C221" s="172" t="s">
        <v>102</v>
      </c>
      <c r="D221" s="172" t="s">
        <v>102</v>
      </c>
      <c r="E221" s="172" t="s">
        <v>102</v>
      </c>
      <c r="F221" s="172" t="s">
        <v>102</v>
      </c>
    </row>
    <row r="222" spans="1:6">
      <c r="A222" s="202">
        <v>2111</v>
      </c>
      <c r="B222" s="182" t="s">
        <v>980</v>
      </c>
      <c r="C222" s="172" t="s">
        <v>102</v>
      </c>
      <c r="D222" s="172" t="s">
        <v>102</v>
      </c>
      <c r="E222" s="172" t="s">
        <v>102</v>
      </c>
      <c r="F222" s="172" t="s">
        <v>102</v>
      </c>
    </row>
    <row r="223" spans="1:6">
      <c r="A223" s="202">
        <v>211101</v>
      </c>
      <c r="B223" s="182" t="s">
        <v>981</v>
      </c>
      <c r="C223" s="172" t="s">
        <v>102</v>
      </c>
      <c r="D223" s="172" t="s">
        <v>102</v>
      </c>
      <c r="E223" s="172" t="s">
        <v>102</v>
      </c>
      <c r="F223" s="172" t="s">
        <v>102</v>
      </c>
    </row>
    <row r="224" spans="1:6">
      <c r="A224" s="200">
        <v>2112</v>
      </c>
      <c r="B224" s="201" t="s">
        <v>982</v>
      </c>
      <c r="C224" s="172" t="s">
        <v>102</v>
      </c>
      <c r="D224" s="172" t="s">
        <v>102</v>
      </c>
      <c r="E224" s="172" t="s">
        <v>102</v>
      </c>
      <c r="F224" s="172" t="s">
        <v>102</v>
      </c>
    </row>
    <row r="225" spans="1:6">
      <c r="A225" s="202">
        <v>211201</v>
      </c>
      <c r="B225" s="182" t="s">
        <v>983</v>
      </c>
      <c r="C225" s="172" t="s">
        <v>102</v>
      </c>
      <c r="D225" s="172" t="s">
        <v>102</v>
      </c>
      <c r="E225" s="172" t="s">
        <v>102</v>
      </c>
      <c r="F225" s="172" t="s">
        <v>102</v>
      </c>
    </row>
    <row r="226" spans="1:6">
      <c r="A226" s="200">
        <v>212</v>
      </c>
      <c r="B226" s="201" t="s">
        <v>984</v>
      </c>
      <c r="C226" s="172" t="s">
        <v>102</v>
      </c>
      <c r="D226" s="172" t="s">
        <v>102</v>
      </c>
      <c r="E226" s="172" t="s">
        <v>102</v>
      </c>
      <c r="F226" s="172" t="s">
        <v>102</v>
      </c>
    </row>
    <row r="227" spans="1:6">
      <c r="A227" s="202">
        <v>2121</v>
      </c>
      <c r="B227" s="182" t="s">
        <v>985</v>
      </c>
      <c r="C227" s="172" t="s">
        <v>102</v>
      </c>
      <c r="D227" s="172" t="s">
        <v>102</v>
      </c>
      <c r="E227" s="172" t="s">
        <v>102</v>
      </c>
      <c r="F227" s="172" t="s">
        <v>102</v>
      </c>
    </row>
    <row r="228" spans="1:6">
      <c r="A228" s="202">
        <v>212101</v>
      </c>
      <c r="B228" s="182" t="s">
        <v>395</v>
      </c>
      <c r="C228" s="172" t="s">
        <v>102</v>
      </c>
      <c r="D228" s="172" t="s">
        <v>102</v>
      </c>
      <c r="E228" s="172" t="s">
        <v>102</v>
      </c>
      <c r="F228" s="172" t="s">
        <v>102</v>
      </c>
    </row>
    <row r="229" spans="1:6">
      <c r="A229" s="200">
        <v>2122</v>
      </c>
      <c r="B229" s="201" t="s">
        <v>986</v>
      </c>
      <c r="C229" s="172" t="s">
        <v>102</v>
      </c>
      <c r="D229" s="172" t="s">
        <v>102</v>
      </c>
      <c r="E229" s="172" t="s">
        <v>102</v>
      </c>
      <c r="F229" s="172" t="s">
        <v>102</v>
      </c>
    </row>
    <row r="230" spans="1:6">
      <c r="A230" s="202">
        <v>212201</v>
      </c>
      <c r="B230" s="182" t="s">
        <v>399</v>
      </c>
      <c r="C230" s="172" t="s">
        <v>102</v>
      </c>
      <c r="D230" s="172" t="s">
        <v>102</v>
      </c>
      <c r="E230" s="172" t="s">
        <v>102</v>
      </c>
      <c r="F230" s="172" t="s">
        <v>102</v>
      </c>
    </row>
    <row r="231" spans="1:6">
      <c r="A231" s="200">
        <v>213</v>
      </c>
      <c r="B231" s="201" t="s">
        <v>987</v>
      </c>
      <c r="C231" s="172" t="s">
        <v>102</v>
      </c>
      <c r="D231" s="172" t="s">
        <v>102</v>
      </c>
      <c r="E231" s="172" t="s">
        <v>102</v>
      </c>
      <c r="F231" s="172" t="s">
        <v>102</v>
      </c>
    </row>
    <row r="232" spans="1:6">
      <c r="A232" s="202">
        <v>2131</v>
      </c>
      <c r="B232" s="182" t="s">
        <v>988</v>
      </c>
      <c r="C232" s="172" t="s">
        <v>102</v>
      </c>
      <c r="D232" s="172" t="s">
        <v>102</v>
      </c>
      <c r="E232" s="172" t="s">
        <v>102</v>
      </c>
      <c r="F232" s="172" t="s">
        <v>102</v>
      </c>
    </row>
    <row r="233" spans="1:6">
      <c r="A233" s="202">
        <v>213101</v>
      </c>
      <c r="B233" s="182" t="s">
        <v>990</v>
      </c>
      <c r="C233" s="172" t="s">
        <v>102</v>
      </c>
      <c r="D233" s="172" t="s">
        <v>102</v>
      </c>
      <c r="E233" s="172" t="s">
        <v>102</v>
      </c>
      <c r="F233" s="172" t="s">
        <v>102</v>
      </c>
    </row>
    <row r="234" spans="1:6">
      <c r="A234" s="200">
        <v>213102</v>
      </c>
      <c r="B234" s="201" t="s">
        <v>991</v>
      </c>
      <c r="C234" s="172" t="s">
        <v>102</v>
      </c>
      <c r="D234" s="172" t="s">
        <v>102</v>
      </c>
      <c r="E234" s="172" t="s">
        <v>102</v>
      </c>
      <c r="F234" s="172" t="s">
        <v>102</v>
      </c>
    </row>
    <row r="235" spans="1:6">
      <c r="A235" s="200">
        <v>2132</v>
      </c>
      <c r="B235" s="201" t="s">
        <v>989</v>
      </c>
      <c r="C235" s="172" t="s">
        <v>102</v>
      </c>
      <c r="D235" s="172" t="s">
        <v>102</v>
      </c>
      <c r="E235" s="172" t="s">
        <v>102</v>
      </c>
      <c r="F235" s="172" t="s">
        <v>102</v>
      </c>
    </row>
    <row r="236" spans="1:6">
      <c r="A236" s="202">
        <v>213202</v>
      </c>
      <c r="B236" s="182" t="s">
        <v>992</v>
      </c>
      <c r="C236" s="172" t="s">
        <v>102</v>
      </c>
      <c r="D236" s="172" t="s">
        <v>102</v>
      </c>
      <c r="E236" s="172" t="s">
        <v>102</v>
      </c>
      <c r="F236" s="172" t="s">
        <v>102</v>
      </c>
    </row>
    <row r="237" spans="1:6">
      <c r="A237" s="200">
        <v>213203</v>
      </c>
      <c r="B237" s="201" t="s">
        <v>993</v>
      </c>
      <c r="C237" s="172" t="s">
        <v>102</v>
      </c>
      <c r="D237" s="172" t="s">
        <v>102</v>
      </c>
      <c r="E237" s="172" t="s">
        <v>102</v>
      </c>
      <c r="F237" s="172" t="s">
        <v>102</v>
      </c>
    </row>
    <row r="238" spans="1:6">
      <c r="A238" s="200">
        <v>213204</v>
      </c>
      <c r="B238" s="201" t="s">
        <v>994</v>
      </c>
      <c r="C238" s="172" t="s">
        <v>102</v>
      </c>
      <c r="D238" s="172" t="s">
        <v>102</v>
      </c>
      <c r="E238" s="172" t="s">
        <v>102</v>
      </c>
      <c r="F238" s="172" t="s">
        <v>102</v>
      </c>
    </row>
    <row r="239" spans="1:6">
      <c r="A239" s="200">
        <v>213205</v>
      </c>
      <c r="B239" s="201" t="s">
        <v>995</v>
      </c>
      <c r="C239" s="172" t="s">
        <v>102</v>
      </c>
      <c r="D239" s="172" t="s">
        <v>102</v>
      </c>
      <c r="E239" s="172" t="s">
        <v>102</v>
      </c>
      <c r="F239" s="172" t="s">
        <v>102</v>
      </c>
    </row>
    <row r="240" spans="1:6">
      <c r="A240" s="200">
        <v>213206</v>
      </c>
      <c r="B240" s="201" t="s">
        <v>996</v>
      </c>
      <c r="C240" s="172" t="s">
        <v>102</v>
      </c>
      <c r="D240" s="172" t="s">
        <v>102</v>
      </c>
      <c r="E240" s="172" t="s">
        <v>102</v>
      </c>
      <c r="F240" s="172" t="s">
        <v>102</v>
      </c>
    </row>
    <row r="241" spans="1:6">
      <c r="A241" s="200">
        <v>213207</v>
      </c>
      <c r="B241" s="201" t="s">
        <v>997</v>
      </c>
      <c r="C241" s="172" t="s">
        <v>102</v>
      </c>
      <c r="D241" s="172" t="s">
        <v>102</v>
      </c>
      <c r="E241" s="172" t="s">
        <v>102</v>
      </c>
      <c r="F241" s="172" t="s">
        <v>102</v>
      </c>
    </row>
    <row ht="25.5" r="242" spans="1:6">
      <c r="A242" s="200">
        <v>213208</v>
      </c>
      <c r="B242" s="201" t="s">
        <v>998</v>
      </c>
      <c r="C242" s="172" t="s">
        <v>102</v>
      </c>
      <c r="D242" s="172" t="s">
        <v>102</v>
      </c>
      <c r="E242" s="172" t="s">
        <v>102</v>
      </c>
      <c r="F242" s="172" t="s">
        <v>102</v>
      </c>
    </row>
    <row r="243" spans="1:6">
      <c r="A243" s="200">
        <v>213209</v>
      </c>
      <c r="B243" s="201" t="s">
        <v>999</v>
      </c>
      <c r="C243" s="172" t="s">
        <v>102</v>
      </c>
      <c r="D243" s="172" t="s">
        <v>102</v>
      </c>
      <c r="E243" s="172" t="s">
        <v>102</v>
      </c>
      <c r="F243" s="172" t="s">
        <v>102</v>
      </c>
    </row>
    <row r="244" spans="1:6">
      <c r="A244" s="200">
        <v>2133</v>
      </c>
      <c r="B244" s="201" t="s">
        <v>1000</v>
      </c>
      <c r="C244" s="172" t="s">
        <v>102</v>
      </c>
      <c r="D244" s="172" t="s">
        <v>102</v>
      </c>
      <c r="E244" s="172" t="s">
        <v>102</v>
      </c>
      <c r="F244" s="172" t="s">
        <v>102</v>
      </c>
    </row>
    <row r="245" spans="1:6">
      <c r="A245" s="202">
        <v>213301</v>
      </c>
      <c r="B245" s="182" t="s">
        <v>1003</v>
      </c>
      <c r="C245" s="172" t="s">
        <v>102</v>
      </c>
      <c r="D245" s="172" t="s">
        <v>102</v>
      </c>
      <c r="E245" s="172" t="s">
        <v>102</v>
      </c>
      <c r="F245" s="172" t="s">
        <v>102</v>
      </c>
    </row>
    <row r="246" spans="1:6">
      <c r="A246" s="200">
        <v>213302</v>
      </c>
      <c r="B246" s="201" t="s">
        <v>1002</v>
      </c>
      <c r="C246" s="172" t="s">
        <v>102</v>
      </c>
      <c r="D246" s="172" t="s">
        <v>102</v>
      </c>
      <c r="E246" s="172" t="s">
        <v>102</v>
      </c>
      <c r="F246" s="172" t="s">
        <v>102</v>
      </c>
    </row>
    <row r="247" spans="1:6">
      <c r="A247" s="200">
        <v>213303</v>
      </c>
      <c r="B247" s="201" t="s">
        <v>1004</v>
      </c>
      <c r="C247" s="172" t="s">
        <v>102</v>
      </c>
      <c r="D247" s="172" t="s">
        <v>102</v>
      </c>
      <c r="E247" s="172" t="s">
        <v>102</v>
      </c>
      <c r="F247" s="172" t="s">
        <v>102</v>
      </c>
    </row>
    <row r="248" spans="1:6">
      <c r="A248" s="200">
        <v>213304</v>
      </c>
      <c r="B248" s="201" t="s">
        <v>1005</v>
      </c>
      <c r="C248" s="172" t="s">
        <v>102</v>
      </c>
      <c r="D248" s="172" t="s">
        <v>102</v>
      </c>
      <c r="E248" s="172" t="s">
        <v>102</v>
      </c>
      <c r="F248" s="172" t="s">
        <v>102</v>
      </c>
    </row>
    <row r="249" spans="1:6">
      <c r="A249" s="200">
        <v>2134</v>
      </c>
      <c r="B249" s="201" t="s">
        <v>1006</v>
      </c>
      <c r="C249" s="172" t="s">
        <v>102</v>
      </c>
      <c r="D249" s="172" t="s">
        <v>102</v>
      </c>
      <c r="E249" s="172" t="s">
        <v>102</v>
      </c>
      <c r="F249" s="172" t="s">
        <v>102</v>
      </c>
    </row>
    <row r="250" spans="1:6">
      <c r="A250" s="202">
        <v>213401</v>
      </c>
      <c r="B250" s="182" t="s">
        <v>1007</v>
      </c>
      <c r="C250" s="172" t="s">
        <v>102</v>
      </c>
      <c r="D250" s="172" t="s">
        <v>102</v>
      </c>
      <c r="E250" s="172" t="s">
        <v>102</v>
      </c>
      <c r="F250" s="172" t="s">
        <v>102</v>
      </c>
    </row>
    <row r="251" spans="1:6">
      <c r="A251" s="200">
        <v>213402</v>
      </c>
      <c r="B251" s="201" t="s">
        <v>1008</v>
      </c>
      <c r="C251" s="172" t="s">
        <v>102</v>
      </c>
      <c r="D251" s="172" t="s">
        <v>102</v>
      </c>
      <c r="E251" s="172" t="s">
        <v>102</v>
      </c>
      <c r="F251" s="172" t="s">
        <v>102</v>
      </c>
    </row>
    <row r="252" spans="1:6">
      <c r="A252" s="200">
        <v>213403</v>
      </c>
      <c r="B252" s="201" t="s">
        <v>1004</v>
      </c>
      <c r="C252" s="172" t="s">
        <v>102</v>
      </c>
      <c r="D252" s="172" t="s">
        <v>102</v>
      </c>
      <c r="E252" s="172" t="s">
        <v>102</v>
      </c>
      <c r="F252" s="172" t="s">
        <v>102</v>
      </c>
    </row>
    <row r="253" spans="1:6">
      <c r="A253" s="200">
        <v>213404</v>
      </c>
      <c r="B253" s="201" t="s">
        <v>1005</v>
      </c>
      <c r="C253" s="172" t="s">
        <v>102</v>
      </c>
      <c r="D253" s="172" t="s">
        <v>102</v>
      </c>
      <c r="E253" s="172" t="s">
        <v>102</v>
      </c>
      <c r="F253" s="172" t="s">
        <v>102</v>
      </c>
    </row>
    <row r="254" spans="1:6">
      <c r="A254" s="200">
        <v>2135</v>
      </c>
      <c r="B254" s="201" t="s">
        <v>1009</v>
      </c>
      <c r="C254" s="172" t="s">
        <v>102</v>
      </c>
      <c r="D254" s="172" t="s">
        <v>102</v>
      </c>
      <c r="E254" s="172" t="s">
        <v>102</v>
      </c>
      <c r="F254" s="172" t="s">
        <v>102</v>
      </c>
    </row>
    <row r="255" spans="1:6">
      <c r="A255" s="202">
        <v>213501</v>
      </c>
      <c r="B255" s="182" t="s">
        <v>1001</v>
      </c>
      <c r="C255" s="172" t="s">
        <v>102</v>
      </c>
      <c r="D255" s="172" t="s">
        <v>102</v>
      </c>
      <c r="E255" s="172" t="s">
        <v>102</v>
      </c>
      <c r="F255" s="172" t="s">
        <v>102</v>
      </c>
    </row>
    <row r="256" spans="1:6">
      <c r="A256" s="200">
        <v>213502</v>
      </c>
      <c r="B256" s="201" t="s">
        <v>1010</v>
      </c>
      <c r="C256" s="172" t="s">
        <v>102</v>
      </c>
      <c r="D256" s="172" t="s">
        <v>102</v>
      </c>
      <c r="E256" s="172" t="s">
        <v>102</v>
      </c>
      <c r="F256" s="172" t="s">
        <v>102</v>
      </c>
    </row>
    <row r="257" spans="1:6">
      <c r="A257" s="200">
        <v>213503</v>
      </c>
      <c r="B257" s="201" t="s">
        <v>1011</v>
      </c>
      <c r="C257" s="172" t="s">
        <v>102</v>
      </c>
      <c r="D257" s="172" t="s">
        <v>102</v>
      </c>
      <c r="E257" s="172" t="s">
        <v>102</v>
      </c>
      <c r="F257" s="172" t="s">
        <v>102</v>
      </c>
    </row>
    <row r="258" spans="1:6">
      <c r="A258" s="200">
        <v>213504</v>
      </c>
      <c r="B258" s="201" t="s">
        <v>1012</v>
      </c>
      <c r="C258" s="172" t="s">
        <v>102</v>
      </c>
      <c r="D258" s="172" t="s">
        <v>102</v>
      </c>
      <c r="E258" s="172" t="s">
        <v>102</v>
      </c>
      <c r="F258" s="172" t="s">
        <v>102</v>
      </c>
    </row>
    <row r="259" spans="1:6">
      <c r="A259" s="200">
        <v>213505</v>
      </c>
      <c r="B259" s="201" t="s">
        <v>1013</v>
      </c>
      <c r="C259" s="172" t="s">
        <v>102</v>
      </c>
      <c r="D259" s="172" t="s">
        <v>102</v>
      </c>
      <c r="E259" s="172" t="s">
        <v>102</v>
      </c>
      <c r="F259" s="172" t="s">
        <v>102</v>
      </c>
    </row>
    <row r="260" spans="1:6">
      <c r="A260" s="200">
        <v>22</v>
      </c>
      <c r="B260" s="201" t="s">
        <v>1014</v>
      </c>
      <c r="C260" s="172" t="s">
        <v>102</v>
      </c>
      <c r="D260" s="172" t="s">
        <v>102</v>
      </c>
      <c r="E260" s="172" t="s">
        <v>102</v>
      </c>
      <c r="F260" s="172" t="s">
        <v>102</v>
      </c>
    </row>
    <row r="261" spans="1:6">
      <c r="A261" s="202">
        <v>2200</v>
      </c>
      <c r="B261" s="182" t="s">
        <v>1015</v>
      </c>
      <c r="C261" s="172" t="s">
        <v>102</v>
      </c>
      <c r="D261" s="172" t="s">
        <v>102</v>
      </c>
      <c r="E261" s="172" t="s">
        <v>102</v>
      </c>
      <c r="F261" s="172" t="s">
        <v>102</v>
      </c>
    </row>
    <row r="262" spans="1:6">
      <c r="A262" s="202">
        <v>220001</v>
      </c>
      <c r="B262" s="182" t="s">
        <v>1016</v>
      </c>
      <c r="C262" s="172" t="s">
        <v>102</v>
      </c>
      <c r="D262" s="172" t="s">
        <v>102</v>
      </c>
      <c r="E262" s="172" t="s">
        <v>102</v>
      </c>
      <c r="F262" s="172" t="s">
        <v>102</v>
      </c>
    </row>
    <row r="263" spans="1:6">
      <c r="A263" s="200">
        <v>221001</v>
      </c>
      <c r="B263" s="201" t="s">
        <v>1017</v>
      </c>
      <c r="C263" s="172" t="s">
        <v>102</v>
      </c>
      <c r="D263" s="172" t="s">
        <v>102</v>
      </c>
      <c r="E263" s="172" t="s">
        <v>102</v>
      </c>
      <c r="F263" s="172" t="s">
        <v>102</v>
      </c>
    </row>
    <row r="264" spans="1:6">
      <c r="A264" s="200">
        <v>222001</v>
      </c>
      <c r="B264" s="201" t="s">
        <v>1018</v>
      </c>
      <c r="C264" s="172" t="s">
        <v>102</v>
      </c>
      <c r="D264" s="172" t="s">
        <v>102</v>
      </c>
      <c r="E264" s="172" t="s">
        <v>102</v>
      </c>
      <c r="F264" s="172" t="s">
        <v>102</v>
      </c>
    </row>
    <row r="265" spans="1:6">
      <c r="A265" s="200">
        <v>223001</v>
      </c>
      <c r="B265" s="201" t="s">
        <v>1019</v>
      </c>
      <c r="C265" s="172" t="s">
        <v>102</v>
      </c>
      <c r="D265" s="172" t="s">
        <v>102</v>
      </c>
      <c r="E265" s="172" t="s">
        <v>102</v>
      </c>
      <c r="F265" s="172" t="s">
        <v>102</v>
      </c>
    </row>
    <row r="266" spans="1:6">
      <c r="A266" s="200">
        <v>224001</v>
      </c>
      <c r="B266" s="201" t="s">
        <v>1020</v>
      </c>
      <c r="C266" s="172" t="s">
        <v>102</v>
      </c>
      <c r="D266" s="172" t="s">
        <v>102</v>
      </c>
      <c r="E266" s="172" t="s">
        <v>102</v>
      </c>
      <c r="F266" s="172" t="s">
        <v>102</v>
      </c>
    </row>
    <row r="267" spans="1:6">
      <c r="A267" s="200">
        <v>225101</v>
      </c>
      <c r="B267" s="201" t="s">
        <v>1077</v>
      </c>
      <c r="C267" s="172" t="s">
        <v>102</v>
      </c>
      <c r="D267" s="172" t="s">
        <v>102</v>
      </c>
      <c r="E267" s="172" t="s">
        <v>102</v>
      </c>
      <c r="F267" s="172" t="s">
        <v>102</v>
      </c>
    </row>
    <row r="268" spans="1:6">
      <c r="A268" s="103">
        <v>225102</v>
      </c>
      <c r="B268" s="174" t="s">
        <v>1078</v>
      </c>
      <c r="C268" s="172" t="s">
        <v>102</v>
      </c>
      <c r="D268" s="172" t="s">
        <v>102</v>
      </c>
      <c r="E268" s="172" t="s">
        <v>102</v>
      </c>
      <c r="F268" s="172" t="s">
        <v>102</v>
      </c>
    </row>
    <row r="269" spans="1:6">
      <c r="A269" s="103">
        <v>225103</v>
      </c>
      <c r="B269" s="174" t="s">
        <v>1079</v>
      </c>
      <c r="C269" s="172" t="s">
        <v>102</v>
      </c>
      <c r="D269" s="172" t="s">
        <v>102</v>
      </c>
      <c r="E269" s="172" t="s">
        <v>102</v>
      </c>
      <c r="F269" s="172" t="s">
        <v>102</v>
      </c>
    </row>
    <row r="270" spans="1:6">
      <c r="A270" s="103">
        <v>225104</v>
      </c>
      <c r="B270" s="174" t="s">
        <v>1080</v>
      </c>
      <c r="C270" s="172" t="s">
        <v>102</v>
      </c>
      <c r="D270" s="172" t="s">
        <v>102</v>
      </c>
      <c r="E270" s="172" t="s">
        <v>102</v>
      </c>
      <c r="F270" s="172" t="s">
        <v>102</v>
      </c>
    </row>
    <row r="271" spans="1:6">
      <c r="A271" s="103">
        <v>225105</v>
      </c>
      <c r="B271" s="174" t="s">
        <v>1081</v>
      </c>
      <c r="C271" s="172" t="s">
        <v>102</v>
      </c>
      <c r="D271" s="172" t="s">
        <v>102</v>
      </c>
      <c r="E271" s="172" t="s">
        <v>102</v>
      </c>
      <c r="F271" s="172" t="s">
        <v>102</v>
      </c>
    </row>
    <row r="272" spans="1:6">
      <c r="A272" s="103">
        <v>225106</v>
      </c>
      <c r="B272" s="174" t="s">
        <v>1194</v>
      </c>
      <c r="C272" s="172" t="s">
        <v>102</v>
      </c>
      <c r="D272" s="172" t="s">
        <v>102</v>
      </c>
      <c r="E272" s="172" t="s">
        <v>102</v>
      </c>
      <c r="F272" s="172" t="s">
        <v>102</v>
      </c>
    </row>
    <row r="273" spans="1:6">
      <c r="A273" s="103" t="s">
        <v>102</v>
      </c>
      <c r="B273" s="174" t="s">
        <v>102</v>
      </c>
      <c r="C273" s="172" t="s">
        <v>102</v>
      </c>
      <c r="D273" s="172" t="s">
        <v>102</v>
      </c>
      <c r="E273" s="172" t="s">
        <v>102</v>
      </c>
      <c r="F273" s="172" t="s">
        <v>102</v>
      </c>
    </row>
    <row r="274" spans="1:6">
      <c r="A274" s="206">
        <v>23</v>
      </c>
      <c r="B274" s="207" t="s">
        <v>466</v>
      </c>
      <c r="C274" s="172">
        <v>0</v>
      </c>
      <c r="D274" s="172">
        <v>0</v>
      </c>
      <c r="E274" s="172" t="s">
        <v>102</v>
      </c>
      <c r="F274" s="172" t="s">
        <v>102</v>
      </c>
    </row>
    <row r="275" spans="1:6">
      <c r="A275" s="133">
        <v>230001</v>
      </c>
      <c r="B275" s="134" t="s">
        <v>468</v>
      </c>
      <c r="C275" s="208">
        <f>SUM(C276:C278)</f>
        <v>0</v>
      </c>
      <c r="D275" s="208">
        <f>SUM(D276:D278)</f>
        <v>0</v>
      </c>
      <c r="E275" s="172" t="s">
        <v>102</v>
      </c>
      <c r="F275" s="172" t="s">
        <v>102</v>
      </c>
    </row>
    <row r="276" spans="1:6">
      <c r="A276" s="105">
        <v>231001</v>
      </c>
      <c r="B276" s="174" t="s">
        <v>470</v>
      </c>
      <c r="C276" s="209" t="s">
        <v>102</v>
      </c>
      <c r="D276" s="209" t="s">
        <v>102</v>
      </c>
      <c r="E276" s="172" t="s">
        <v>102</v>
      </c>
      <c r="F276" s="172" t="s">
        <v>102</v>
      </c>
    </row>
    <row r="277" spans="1:6">
      <c r="A277" s="105">
        <v>232001</v>
      </c>
      <c r="B277" s="174" t="s">
        <v>472</v>
      </c>
      <c r="C277" s="209" t="s">
        <v>102</v>
      </c>
      <c r="D277" s="209" t="s">
        <v>102</v>
      </c>
      <c r="E277" s="172" t="s">
        <v>102</v>
      </c>
      <c r="F277" s="172" t="s">
        <v>102</v>
      </c>
    </row>
    <row r="278" spans="1:6">
      <c r="A278" s="105">
        <v>24</v>
      </c>
      <c r="B278" s="174" t="s">
        <v>473</v>
      </c>
      <c r="C278" s="209">
        <v>0</v>
      </c>
      <c r="D278" s="209">
        <v>0</v>
      </c>
      <c r="E278" s="172" t="s">
        <v>102</v>
      </c>
      <c r="F278" s="172" t="s">
        <v>102</v>
      </c>
    </row>
    <row r="279" spans="1:6">
      <c r="A279" s="133">
        <v>240001</v>
      </c>
      <c r="B279" s="134" t="s">
        <v>474</v>
      </c>
      <c r="C279" s="208">
        <f>SUM(C280:C282)</f>
        <v>0</v>
      </c>
      <c r="D279" s="208">
        <f>SUM(D280:D282)</f>
        <v>0</v>
      </c>
      <c r="E279" s="172" t="s">
        <v>102</v>
      </c>
      <c r="F279" s="172" t="s">
        <v>102</v>
      </c>
    </row>
    <row r="280" spans="1:6">
      <c r="A280" s="105">
        <v>241001</v>
      </c>
      <c r="B280" s="174" t="s">
        <v>475</v>
      </c>
      <c r="C280" s="209" t="s">
        <v>102</v>
      </c>
      <c r="D280" s="209" t="s">
        <v>102</v>
      </c>
      <c r="E280" s="172" t="s">
        <v>102</v>
      </c>
      <c r="F280" s="172" t="s">
        <v>102</v>
      </c>
    </row>
    <row r="281" spans="1:6">
      <c r="A281" s="105">
        <v>242001</v>
      </c>
      <c r="B281" s="174" t="s">
        <v>476</v>
      </c>
      <c r="C281" s="209" t="s">
        <v>102</v>
      </c>
      <c r="D281" s="209" t="s">
        <v>102</v>
      </c>
      <c r="E281" s="172" t="s">
        <v>102</v>
      </c>
      <c r="F281" s="172" t="s">
        <v>102</v>
      </c>
    </row>
    <row r="282" spans="1:6">
      <c r="A282" s="105">
        <v>25</v>
      </c>
      <c r="B282" s="174" t="s">
        <v>644</v>
      </c>
      <c r="C282" s="209">
        <v>0</v>
      </c>
      <c r="D282" s="209">
        <v>0</v>
      </c>
      <c r="E282" s="172" t="s">
        <v>102</v>
      </c>
      <c r="F282" s="172" t="s">
        <v>102</v>
      </c>
    </row>
    <row r="283" spans="1:6">
      <c r="A283" s="210">
        <v>250001</v>
      </c>
      <c r="B283" s="180" t="s">
        <v>477</v>
      </c>
      <c r="C283" s="208">
        <f>SUM(C284:C288)</f>
        <v>0</v>
      </c>
      <c r="D283" s="208">
        <f>SUM(D284:D288)</f>
        <v>0</v>
      </c>
      <c r="E283" s="172" t="s">
        <v>102</v>
      </c>
      <c r="F283" s="172" t="s">
        <v>102</v>
      </c>
    </row>
    <row r="284" spans="1:6">
      <c r="A284" s="105">
        <v>250002</v>
      </c>
      <c r="B284" s="174" t="s">
        <v>645</v>
      </c>
      <c r="C284" s="209" t="s">
        <v>102</v>
      </c>
      <c r="D284" s="209" t="s">
        <v>102</v>
      </c>
      <c r="E284" s="172" t="s">
        <v>102</v>
      </c>
      <c r="F284" s="172" t="s">
        <v>102</v>
      </c>
    </row>
    <row r="285" spans="1:6">
      <c r="A285" s="105">
        <v>250003</v>
      </c>
      <c r="B285" s="174" t="s">
        <v>646</v>
      </c>
      <c r="C285" s="209" t="s">
        <v>102</v>
      </c>
      <c r="D285" s="209" t="s">
        <v>102</v>
      </c>
      <c r="E285" s="172" t="s">
        <v>102</v>
      </c>
      <c r="F285" s="172" t="s">
        <v>102</v>
      </c>
    </row>
    <row r="286" spans="1:6">
      <c r="A286" s="105">
        <v>250004</v>
      </c>
      <c r="B286" s="174" t="s">
        <v>647</v>
      </c>
      <c r="C286" s="209" t="s">
        <v>102</v>
      </c>
      <c r="D286" s="209" t="s">
        <v>102</v>
      </c>
      <c r="E286" s="172" t="s">
        <v>102</v>
      </c>
      <c r="F286" s="172" t="s">
        <v>102</v>
      </c>
    </row>
    <row r="287" spans="1:6">
      <c r="A287" s="105">
        <v>250005</v>
      </c>
      <c r="B287" s="174" t="s">
        <v>648</v>
      </c>
      <c r="C287" s="209" t="s">
        <v>102</v>
      </c>
      <c r="D287" s="209" t="s">
        <v>102</v>
      </c>
      <c r="E287" s="172" t="s">
        <v>102</v>
      </c>
      <c r="F287" s="172" t="s">
        <v>102</v>
      </c>
    </row>
    <row r="288" spans="1:6">
      <c r="A288" s="105" t="s">
        <v>102</v>
      </c>
      <c r="B288" s="174" t="s">
        <v>102</v>
      </c>
      <c r="C288" s="209" t="s">
        <v>102</v>
      </c>
      <c r="D288" s="209" t="s">
        <v>102</v>
      </c>
      <c r="E288" s="172" t="s">
        <v>102</v>
      </c>
      <c r="F288" s="172" t="s">
        <v>102</v>
      </c>
    </row>
    <row r="289" spans="1:6">
      <c r="A289" s="206">
        <v>1</v>
      </c>
      <c r="B289" s="207" t="s">
        <v>121</v>
      </c>
      <c r="C289" s="172" t="s">
        <v>102</v>
      </c>
      <c r="D289" s="172" t="s">
        <v>102</v>
      </c>
      <c r="E289" s="172" t="s">
        <v>102</v>
      </c>
      <c r="F289" s="172" t="s">
        <v>102</v>
      </c>
    </row>
    <row r="290" spans="1:6">
      <c r="A290" s="181">
        <v>31</v>
      </c>
      <c r="B290" s="182" t="s">
        <v>123</v>
      </c>
      <c r="C290" s="172" t="s">
        <v>102</v>
      </c>
      <c r="D290" s="172" t="s">
        <v>102</v>
      </c>
      <c r="E290" s="172" t="s">
        <v>102</v>
      </c>
      <c r="F290" s="172" t="s">
        <v>102</v>
      </c>
    </row>
    <row r="291" spans="1:6">
      <c r="A291" s="199">
        <v>311</v>
      </c>
      <c r="B291" s="182" t="s">
        <v>124</v>
      </c>
      <c r="C291" s="172" t="s">
        <v>102</v>
      </c>
      <c r="D291" s="172" t="s">
        <v>102</v>
      </c>
      <c r="E291" s="172" t="s">
        <v>102</v>
      </c>
      <c r="F291" s="172" t="s">
        <v>102</v>
      </c>
    </row>
    <row r="292" spans="1:6">
      <c r="A292" s="202">
        <v>31110</v>
      </c>
      <c r="B292" s="182" t="s">
        <v>125</v>
      </c>
      <c r="C292" s="172" t="s">
        <v>102</v>
      </c>
      <c r="D292" s="172" t="s">
        <v>102</v>
      </c>
      <c r="E292" s="172" t="s">
        <v>102</v>
      </c>
      <c r="F292" s="172" t="s">
        <v>102</v>
      </c>
    </row>
    <row r="293" spans="1:6">
      <c r="A293" s="211">
        <v>31120</v>
      </c>
      <c r="B293" s="110" t="s">
        <v>126</v>
      </c>
      <c r="C293" s="172" t="s">
        <v>102</v>
      </c>
      <c r="D293" s="172" t="s">
        <v>102</v>
      </c>
      <c r="E293" s="172" t="s">
        <v>102</v>
      </c>
      <c r="F293" s="172" t="s">
        <v>102</v>
      </c>
    </row>
    <row r="294" spans="1:6">
      <c r="A294" s="211">
        <v>31130</v>
      </c>
      <c r="B294" s="110" t="s">
        <v>127</v>
      </c>
      <c r="C294" s="172" t="s">
        <v>102</v>
      </c>
      <c r="D294" s="172" t="s">
        <v>102</v>
      </c>
      <c r="E294" s="172" t="s">
        <v>102</v>
      </c>
      <c r="F294" s="172" t="s">
        <v>102</v>
      </c>
    </row>
    <row r="295" spans="1:6">
      <c r="A295" s="211">
        <v>31140</v>
      </c>
      <c r="B295" s="110" t="s">
        <v>656</v>
      </c>
      <c r="C295" s="172" t="s">
        <v>102</v>
      </c>
      <c r="D295" s="172" t="s">
        <v>102</v>
      </c>
      <c r="E295" s="172" t="s">
        <v>102</v>
      </c>
      <c r="F295" s="172" t="s">
        <v>102</v>
      </c>
    </row>
    <row r="296" spans="1:6">
      <c r="A296" s="107">
        <v>312</v>
      </c>
      <c r="B296" s="102" t="s">
        <v>128</v>
      </c>
      <c r="C296" s="172" t="s">
        <v>102</v>
      </c>
      <c r="D296" s="172" t="s">
        <v>102</v>
      </c>
      <c r="E296" s="172" t="s">
        <v>102</v>
      </c>
      <c r="F296" s="172" t="s">
        <v>102</v>
      </c>
    </row>
    <row r="297" spans="1:6">
      <c r="A297" s="202">
        <v>3121</v>
      </c>
      <c r="B297" s="182" t="s">
        <v>129</v>
      </c>
      <c r="C297" s="172" t="s">
        <v>102</v>
      </c>
      <c r="D297" s="172" t="s">
        <v>102</v>
      </c>
      <c r="E297" s="172" t="s">
        <v>102</v>
      </c>
      <c r="F297" s="172" t="s">
        <v>102</v>
      </c>
    </row>
    <row r="298" spans="1:6">
      <c r="A298" s="202">
        <v>31211</v>
      </c>
      <c r="B298" s="182" t="s">
        <v>130</v>
      </c>
      <c r="C298" s="172" t="s">
        <v>102</v>
      </c>
      <c r="D298" s="172" t="s">
        <v>102</v>
      </c>
      <c r="E298" s="172" t="s">
        <v>102</v>
      </c>
      <c r="F298" s="172" t="s">
        <v>102</v>
      </c>
    </row>
    <row r="299" spans="1:6">
      <c r="A299" s="211">
        <v>31212</v>
      </c>
      <c r="B299" s="110" t="s">
        <v>131</v>
      </c>
      <c r="C299" s="172" t="s">
        <v>102</v>
      </c>
      <c r="D299" s="172" t="s">
        <v>102</v>
      </c>
      <c r="E299" s="172" t="s">
        <v>102</v>
      </c>
      <c r="F299" s="172" t="s">
        <v>102</v>
      </c>
    </row>
    <row r="300" spans="1:6">
      <c r="A300" s="211">
        <v>31213</v>
      </c>
      <c r="B300" s="110" t="s">
        <v>132</v>
      </c>
      <c r="C300" s="172" t="s">
        <v>102</v>
      </c>
      <c r="D300" s="172" t="s">
        <v>102</v>
      </c>
      <c r="E300" s="172" t="s">
        <v>102</v>
      </c>
      <c r="F300" s="172" t="s">
        <v>102</v>
      </c>
    </row>
    <row r="301" spans="1:6">
      <c r="A301" s="211">
        <v>31214</v>
      </c>
      <c r="B301" s="110" t="s">
        <v>133</v>
      </c>
      <c r="C301" s="172" t="s">
        <v>102</v>
      </c>
      <c r="D301" s="172" t="s">
        <v>102</v>
      </c>
      <c r="E301" s="172" t="s">
        <v>102</v>
      </c>
      <c r="F301" s="172" t="s">
        <v>102</v>
      </c>
    </row>
    <row r="302" spans="1:6">
      <c r="A302" s="211">
        <v>31215</v>
      </c>
      <c r="B302" s="110" t="s">
        <v>134</v>
      </c>
      <c r="C302" s="172" t="s">
        <v>102</v>
      </c>
      <c r="D302" s="172" t="s">
        <v>102</v>
      </c>
      <c r="E302" s="172" t="s">
        <v>102</v>
      </c>
      <c r="F302" s="172" t="s">
        <v>102</v>
      </c>
    </row>
    <row r="303" spans="1:6">
      <c r="A303" s="211">
        <v>31216</v>
      </c>
      <c r="B303" s="110" t="s">
        <v>655</v>
      </c>
      <c r="C303" s="172" t="s">
        <v>102</v>
      </c>
      <c r="D303" s="172" t="s">
        <v>102</v>
      </c>
      <c r="E303" s="172" t="s">
        <v>102</v>
      </c>
      <c r="F303" s="172" t="s">
        <v>102</v>
      </c>
    </row>
    <row r="304" spans="1:6">
      <c r="A304" s="107">
        <v>3122</v>
      </c>
      <c r="B304" s="102" t="s">
        <v>135</v>
      </c>
      <c r="C304" s="172" t="s">
        <v>102</v>
      </c>
      <c r="D304" s="172" t="s">
        <v>102</v>
      </c>
      <c r="E304" s="172" t="s">
        <v>102</v>
      </c>
      <c r="F304" s="172" t="s">
        <v>102</v>
      </c>
    </row>
    <row r="305" spans="1:6">
      <c r="A305" s="202">
        <v>31221</v>
      </c>
      <c r="B305" s="182" t="s">
        <v>130</v>
      </c>
      <c r="C305" s="172" t="s">
        <v>102</v>
      </c>
      <c r="D305" s="172" t="s">
        <v>102</v>
      </c>
      <c r="E305" s="172" t="s">
        <v>102</v>
      </c>
      <c r="F305" s="172" t="s">
        <v>102</v>
      </c>
    </row>
    <row r="306" spans="1:6">
      <c r="A306" s="211">
        <v>31222</v>
      </c>
      <c r="B306" s="110" t="s">
        <v>136</v>
      </c>
      <c r="C306" s="172" t="s">
        <v>102</v>
      </c>
      <c r="D306" s="172" t="s">
        <v>102</v>
      </c>
      <c r="E306" s="172" t="s">
        <v>102</v>
      </c>
      <c r="F306" s="172" t="s">
        <v>102</v>
      </c>
    </row>
    <row r="307" spans="1:6">
      <c r="A307" s="211">
        <v>31223</v>
      </c>
      <c r="B307" s="110" t="s">
        <v>132</v>
      </c>
      <c r="C307" s="172" t="s">
        <v>102</v>
      </c>
      <c r="D307" s="172" t="s">
        <v>102</v>
      </c>
      <c r="E307" s="172" t="s">
        <v>102</v>
      </c>
      <c r="F307" s="172" t="s">
        <v>102</v>
      </c>
    </row>
    <row r="308" spans="1:6">
      <c r="A308" s="211">
        <v>31224</v>
      </c>
      <c r="B308" s="110" t="s">
        <v>133</v>
      </c>
      <c r="C308" s="172" t="s">
        <v>102</v>
      </c>
      <c r="D308" s="172" t="s">
        <v>102</v>
      </c>
      <c r="E308" s="172" t="s">
        <v>102</v>
      </c>
      <c r="F308" s="172" t="s">
        <v>102</v>
      </c>
    </row>
    <row r="309" spans="1:6">
      <c r="A309" s="211">
        <v>31400</v>
      </c>
      <c r="B309" s="110" t="s">
        <v>137</v>
      </c>
      <c r="C309" s="172" t="s">
        <v>102</v>
      </c>
      <c r="D309" s="172" t="s">
        <v>102</v>
      </c>
      <c r="E309" s="172" t="s">
        <v>102</v>
      </c>
      <c r="F309" s="172" t="s">
        <v>102</v>
      </c>
    </row>
    <row r="310" spans="1:6">
      <c r="A310" s="211">
        <v>31500</v>
      </c>
      <c r="B310" s="110" t="s">
        <v>138</v>
      </c>
      <c r="C310" s="172" t="s">
        <v>102</v>
      </c>
      <c r="D310" s="172" t="s">
        <v>102</v>
      </c>
      <c r="E310" s="172" t="s">
        <v>102</v>
      </c>
      <c r="F310" s="172" t="s">
        <v>102</v>
      </c>
    </row>
    <row r="311" spans="1:6">
      <c r="A311" s="211">
        <v>32</v>
      </c>
      <c r="B311" s="110" t="s">
        <v>140</v>
      </c>
      <c r="C311" s="172" t="s">
        <v>102</v>
      </c>
      <c r="D311" s="172" t="s">
        <v>102</v>
      </c>
      <c r="E311" s="172" t="s">
        <v>102</v>
      </c>
      <c r="F311" s="172" t="s">
        <v>102</v>
      </c>
    </row>
    <row r="312" spans="1:6">
      <c r="A312" s="199">
        <v>321</v>
      </c>
      <c r="B312" s="182" t="s">
        <v>141</v>
      </c>
      <c r="C312" s="172" t="s">
        <v>102</v>
      </c>
      <c r="D312" s="172" t="s">
        <v>102</v>
      </c>
      <c r="E312" s="172" t="s">
        <v>102</v>
      </c>
      <c r="F312" s="172" t="s">
        <v>102</v>
      </c>
    </row>
    <row r="313" spans="1:6">
      <c r="A313" s="202">
        <v>32110</v>
      </c>
      <c r="B313" s="182" t="s">
        <v>125</v>
      </c>
      <c r="C313" s="172" t="s">
        <v>102</v>
      </c>
      <c r="D313" s="172" t="s">
        <v>102</v>
      </c>
      <c r="E313" s="172" t="s">
        <v>102</v>
      </c>
      <c r="F313" s="172" t="s">
        <v>102</v>
      </c>
    </row>
    <row r="314" spans="1:6">
      <c r="A314" s="211">
        <v>32120</v>
      </c>
      <c r="B314" s="110" t="s">
        <v>126</v>
      </c>
      <c r="C314" s="172" t="s">
        <v>102</v>
      </c>
      <c r="D314" s="172" t="s">
        <v>102</v>
      </c>
      <c r="E314" s="172" t="s">
        <v>102</v>
      </c>
      <c r="F314" s="172" t="s">
        <v>102</v>
      </c>
    </row>
    <row r="315" spans="1:6">
      <c r="A315" s="211">
        <v>33</v>
      </c>
      <c r="B315" s="110" t="s">
        <v>143</v>
      </c>
      <c r="C315" s="172" t="s">
        <v>102</v>
      </c>
      <c r="D315" s="172" t="s">
        <v>102</v>
      </c>
      <c r="E315" s="172" t="s">
        <v>102</v>
      </c>
      <c r="F315" s="172" t="s">
        <v>102</v>
      </c>
    </row>
    <row r="316" spans="1:6">
      <c r="A316" s="199">
        <v>33100</v>
      </c>
      <c r="B316" s="182" t="s">
        <v>144</v>
      </c>
      <c r="C316" s="172" t="s">
        <v>102</v>
      </c>
      <c r="D316" s="172" t="s">
        <v>102</v>
      </c>
      <c r="E316" s="172" t="s">
        <v>102</v>
      </c>
      <c r="F316" s="172" t="s">
        <v>102</v>
      </c>
    </row>
    <row r="317" spans="1:6">
      <c r="A317" s="211">
        <v>33200</v>
      </c>
      <c r="B317" s="110" t="s">
        <v>145</v>
      </c>
      <c r="C317" s="172" t="s">
        <v>102</v>
      </c>
      <c r="D317" s="172" t="s">
        <v>102</v>
      </c>
      <c r="E317" s="172" t="s">
        <v>102</v>
      </c>
      <c r="F317" s="172" t="s">
        <v>102</v>
      </c>
    </row>
    <row r="318" spans="1:6">
      <c r="A318" s="211">
        <v>33300</v>
      </c>
      <c r="B318" s="110" t="s">
        <v>146</v>
      </c>
      <c r="C318" s="172" t="s">
        <v>102</v>
      </c>
      <c r="D318" s="172" t="s">
        <v>102</v>
      </c>
      <c r="E318" s="172" t="s">
        <v>102</v>
      </c>
      <c r="F318" s="172" t="s">
        <v>102</v>
      </c>
    </row>
    <row r="319" spans="1:6">
      <c r="A319" s="211">
        <v>33400</v>
      </c>
      <c r="B319" s="110" t="s">
        <v>147</v>
      </c>
      <c r="C319" s="172" t="s">
        <v>102</v>
      </c>
      <c r="D319" s="172" t="s">
        <v>102</v>
      </c>
      <c r="E319" s="172" t="s">
        <v>102</v>
      </c>
      <c r="F319" s="172" t="s">
        <v>102</v>
      </c>
    </row>
    <row r="320" spans="1:6">
      <c r="A320" s="211">
        <v>33401</v>
      </c>
      <c r="B320" s="110" t="s">
        <v>634</v>
      </c>
      <c r="C320" s="172" t="s">
        <v>102</v>
      </c>
      <c r="D320" s="172" t="s">
        <v>102</v>
      </c>
      <c r="E320" s="172" t="s">
        <v>102</v>
      </c>
      <c r="F320" s="172" t="s">
        <v>102</v>
      </c>
    </row>
    <row r="321" spans="1:6">
      <c r="A321" s="109">
        <v>33402</v>
      </c>
      <c r="B321" s="110" t="s">
        <v>635</v>
      </c>
      <c r="C321" s="172" t="s">
        <v>102</v>
      </c>
      <c r="D321" s="172" t="s">
        <v>102</v>
      </c>
      <c r="E321" s="172" t="s">
        <v>102</v>
      </c>
      <c r="F321" s="172" t="s">
        <v>102</v>
      </c>
    </row>
    <row r="322" spans="1:6">
      <c r="A322" s="109">
        <v>335</v>
      </c>
      <c r="B322" s="110" t="s">
        <v>148</v>
      </c>
      <c r="C322" s="172" t="s">
        <v>102</v>
      </c>
      <c r="D322" s="172" t="s">
        <v>102</v>
      </c>
      <c r="E322" s="172" t="s">
        <v>102</v>
      </c>
      <c r="F322" s="172" t="s">
        <v>102</v>
      </c>
    </row>
    <row r="323" spans="1:6">
      <c r="A323" s="202">
        <v>33510</v>
      </c>
      <c r="B323" s="182" t="s">
        <v>149</v>
      </c>
      <c r="C323" s="172" t="s">
        <v>102</v>
      </c>
      <c r="D323" s="172" t="s">
        <v>102</v>
      </c>
      <c r="E323" s="172" t="s">
        <v>102</v>
      </c>
      <c r="F323" s="172" t="s">
        <v>102</v>
      </c>
    </row>
    <row r="324" spans="1:6">
      <c r="A324" s="109">
        <v>335101</v>
      </c>
      <c r="B324" s="110" t="s">
        <v>560</v>
      </c>
      <c r="C324" s="172" t="s">
        <v>102</v>
      </c>
      <c r="D324" s="172" t="s">
        <v>102</v>
      </c>
      <c r="E324" s="172" t="s">
        <v>102</v>
      </c>
      <c r="F324" s="172" t="s">
        <v>102</v>
      </c>
    </row>
    <row r="325" spans="1:6">
      <c r="A325" s="212">
        <v>335102</v>
      </c>
      <c r="B325" s="102" t="s">
        <v>561</v>
      </c>
      <c r="C325" s="172" t="s">
        <v>102</v>
      </c>
      <c r="D325" s="172" t="s">
        <v>102</v>
      </c>
      <c r="E325" s="172" t="s">
        <v>102</v>
      </c>
      <c r="F325" s="172" t="s">
        <v>102</v>
      </c>
    </row>
    <row r="326" spans="1:6">
      <c r="A326" s="212">
        <v>335103</v>
      </c>
      <c r="B326" s="102" t="s">
        <v>562</v>
      </c>
      <c r="C326" s="172" t="s">
        <v>102</v>
      </c>
      <c r="D326" s="172" t="s">
        <v>102</v>
      </c>
      <c r="E326" s="172" t="s">
        <v>102</v>
      </c>
      <c r="F326" s="172" t="s">
        <v>102</v>
      </c>
    </row>
    <row r="327" spans="1:6">
      <c r="A327" s="212">
        <v>335104</v>
      </c>
      <c r="B327" s="102" t="s">
        <v>563</v>
      </c>
      <c r="C327" s="172" t="s">
        <v>102</v>
      </c>
      <c r="D327" s="172" t="s">
        <v>102</v>
      </c>
      <c r="E327" s="172" t="s">
        <v>102</v>
      </c>
      <c r="F327" s="172" t="s">
        <v>102</v>
      </c>
    </row>
    <row r="328" spans="1:6">
      <c r="A328" s="212">
        <v>335105</v>
      </c>
      <c r="B328" s="102" t="s">
        <v>564</v>
      </c>
      <c r="C328" s="172" t="s">
        <v>102</v>
      </c>
      <c r="D328" s="172" t="s">
        <v>102</v>
      </c>
      <c r="E328" s="172" t="s">
        <v>102</v>
      </c>
      <c r="F328" s="172" t="s">
        <v>102</v>
      </c>
    </row>
    <row r="329" spans="1:6">
      <c r="A329" s="212">
        <v>335106</v>
      </c>
      <c r="B329" s="102" t="s">
        <v>565</v>
      </c>
      <c r="C329" s="172" t="s">
        <v>102</v>
      </c>
      <c r="D329" s="172" t="s">
        <v>102</v>
      </c>
      <c r="E329" s="172" t="s">
        <v>102</v>
      </c>
      <c r="F329" s="172" t="s">
        <v>102</v>
      </c>
    </row>
    <row r="330" spans="1:6">
      <c r="A330" s="212">
        <v>335107</v>
      </c>
      <c r="B330" s="102" t="s">
        <v>566</v>
      </c>
      <c r="C330" s="172" t="s">
        <v>102</v>
      </c>
      <c r="D330" s="172" t="s">
        <v>102</v>
      </c>
      <c r="E330" s="172" t="s">
        <v>102</v>
      </c>
      <c r="F330" s="172" t="s">
        <v>102</v>
      </c>
    </row>
    <row r="331" spans="1:6">
      <c r="A331" s="212">
        <v>335108</v>
      </c>
      <c r="B331" s="102" t="s">
        <v>567</v>
      </c>
      <c r="C331" s="172" t="s">
        <v>102</v>
      </c>
      <c r="D331" s="172" t="s">
        <v>102</v>
      </c>
      <c r="E331" s="172" t="s">
        <v>102</v>
      </c>
      <c r="F331" s="172" t="s">
        <v>102</v>
      </c>
    </row>
    <row r="332" spans="1:6">
      <c r="A332" s="212">
        <v>335109</v>
      </c>
      <c r="B332" s="102" t="s">
        <v>568</v>
      </c>
      <c r="C332" s="172" t="s">
        <v>102</v>
      </c>
      <c r="D332" s="172" t="s">
        <v>102</v>
      </c>
      <c r="E332" s="172" t="s">
        <v>102</v>
      </c>
      <c r="F332" s="172" t="s">
        <v>102</v>
      </c>
    </row>
    <row r="333" spans="1:6">
      <c r="A333" s="212">
        <v>335110</v>
      </c>
      <c r="B333" s="102" t="s">
        <v>569</v>
      </c>
      <c r="C333" s="172" t="s">
        <v>102</v>
      </c>
      <c r="D333" s="172" t="s">
        <v>102</v>
      </c>
      <c r="E333" s="172" t="s">
        <v>102</v>
      </c>
      <c r="F333" s="172" t="s">
        <v>102</v>
      </c>
    </row>
    <row r="334" spans="1:6">
      <c r="A334" s="212">
        <v>335111</v>
      </c>
      <c r="B334" s="102" t="s">
        <v>570</v>
      </c>
      <c r="C334" s="172" t="s">
        <v>102</v>
      </c>
      <c r="D334" s="172" t="s">
        <v>102</v>
      </c>
      <c r="E334" s="172" t="s">
        <v>102</v>
      </c>
      <c r="F334" s="172" t="s">
        <v>102</v>
      </c>
    </row>
    <row r="335" spans="1:6">
      <c r="A335" s="212">
        <v>335112</v>
      </c>
      <c r="B335" s="102" t="s">
        <v>571</v>
      </c>
      <c r="C335" s="172" t="s">
        <v>102</v>
      </c>
      <c r="D335" s="172" t="s">
        <v>102</v>
      </c>
      <c r="E335" s="172" t="s">
        <v>102</v>
      </c>
      <c r="F335" s="172" t="s">
        <v>102</v>
      </c>
    </row>
    <row r="336" spans="1:6">
      <c r="A336" s="212">
        <v>335113</v>
      </c>
      <c r="B336" s="102" t="s">
        <v>572</v>
      </c>
      <c r="C336" s="172" t="s">
        <v>102</v>
      </c>
      <c r="D336" s="172" t="s">
        <v>102</v>
      </c>
      <c r="E336" s="172" t="s">
        <v>102</v>
      </c>
      <c r="F336" s="172" t="s">
        <v>102</v>
      </c>
    </row>
    <row r="337" spans="1:6">
      <c r="A337" s="212">
        <v>33520</v>
      </c>
      <c r="B337" s="102" t="s">
        <v>150</v>
      </c>
      <c r="C337" s="172" t="s">
        <v>102</v>
      </c>
      <c r="D337" s="172" t="s">
        <v>102</v>
      </c>
      <c r="E337" s="172" t="s">
        <v>102</v>
      </c>
      <c r="F337" s="172" t="s">
        <v>102</v>
      </c>
    </row>
    <row r="338" spans="1:6">
      <c r="A338" s="211">
        <v>336</v>
      </c>
      <c r="B338" s="110" t="s">
        <v>151</v>
      </c>
      <c r="C338" s="172" t="s">
        <v>102</v>
      </c>
      <c r="D338" s="172" t="s">
        <v>102</v>
      </c>
      <c r="E338" s="172" t="s">
        <v>102</v>
      </c>
      <c r="F338" s="172" t="s">
        <v>102</v>
      </c>
    </row>
    <row r="339" spans="1:6">
      <c r="A339" s="202">
        <v>3361</v>
      </c>
      <c r="B339" s="182" t="s">
        <v>152</v>
      </c>
      <c r="C339" s="172" t="s">
        <v>102</v>
      </c>
      <c r="D339" s="172" t="s">
        <v>102</v>
      </c>
      <c r="E339" s="172" t="s">
        <v>102</v>
      </c>
      <c r="F339" s="172" t="s">
        <v>102</v>
      </c>
    </row>
    <row r="340" spans="1:6">
      <c r="A340" s="202">
        <v>33611</v>
      </c>
      <c r="B340" s="182" t="s">
        <v>153</v>
      </c>
      <c r="C340" s="172" t="s">
        <v>102</v>
      </c>
      <c r="D340" s="172" t="s">
        <v>102</v>
      </c>
      <c r="E340" s="172" t="s">
        <v>102</v>
      </c>
      <c r="F340" s="172" t="s">
        <v>102</v>
      </c>
    </row>
    <row r="341" spans="1:6">
      <c r="A341" s="211">
        <v>33612</v>
      </c>
      <c r="B341" s="110" t="s">
        <v>154</v>
      </c>
      <c r="C341" s="172" t="s">
        <v>102</v>
      </c>
      <c r="D341" s="172" t="s">
        <v>102</v>
      </c>
      <c r="E341" s="172" t="s">
        <v>102</v>
      </c>
      <c r="F341" s="172" t="s">
        <v>102</v>
      </c>
    </row>
    <row r="342" spans="1:6">
      <c r="A342" s="211">
        <v>33613</v>
      </c>
      <c r="B342" s="110" t="s">
        <v>155</v>
      </c>
      <c r="C342" s="172" t="s">
        <v>102</v>
      </c>
      <c r="D342" s="172" t="s">
        <v>102</v>
      </c>
      <c r="E342" s="172" t="s">
        <v>102</v>
      </c>
      <c r="F342" s="172" t="s">
        <v>102</v>
      </c>
    </row>
    <row r="343" spans="1:6">
      <c r="A343" s="211">
        <v>33614</v>
      </c>
      <c r="B343" s="110" t="s">
        <v>156</v>
      </c>
      <c r="C343" s="172" t="s">
        <v>102</v>
      </c>
      <c r="D343" s="172" t="s">
        <v>102</v>
      </c>
      <c r="E343" s="172" t="s">
        <v>102</v>
      </c>
      <c r="F343" s="172" t="s">
        <v>102</v>
      </c>
    </row>
    <row r="344" spans="1:6">
      <c r="A344" s="211">
        <v>33615</v>
      </c>
      <c r="B344" s="110" t="s">
        <v>157</v>
      </c>
      <c r="C344" s="172" t="s">
        <v>102</v>
      </c>
      <c r="D344" s="172" t="s">
        <v>102</v>
      </c>
      <c r="E344" s="172" t="s">
        <v>102</v>
      </c>
      <c r="F344" s="172" t="s">
        <v>102</v>
      </c>
    </row>
    <row r="345" spans="1:6">
      <c r="A345" s="211">
        <v>3362</v>
      </c>
      <c r="B345" s="110" t="s">
        <v>158</v>
      </c>
      <c r="C345" s="172" t="s">
        <v>102</v>
      </c>
      <c r="D345" s="172" t="s">
        <v>102</v>
      </c>
      <c r="E345" s="172" t="s">
        <v>102</v>
      </c>
      <c r="F345" s="172" t="s">
        <v>102</v>
      </c>
    </row>
    <row r="346" spans="1:6">
      <c r="A346" s="202">
        <v>33621</v>
      </c>
      <c r="B346" s="182" t="s">
        <v>153</v>
      </c>
      <c r="C346" s="172" t="s">
        <v>102</v>
      </c>
      <c r="D346" s="172" t="s">
        <v>102</v>
      </c>
      <c r="E346" s="172" t="s">
        <v>102</v>
      </c>
      <c r="F346" s="172" t="s">
        <v>102</v>
      </c>
    </row>
    <row r="347" spans="1:6">
      <c r="A347" s="211">
        <v>33622</v>
      </c>
      <c r="B347" s="110" t="s">
        <v>156</v>
      </c>
      <c r="C347" s="172" t="s">
        <v>102</v>
      </c>
      <c r="D347" s="172" t="s">
        <v>102</v>
      </c>
      <c r="E347" s="172" t="s">
        <v>102</v>
      </c>
      <c r="F347" s="172" t="s">
        <v>102</v>
      </c>
    </row>
    <row r="348" spans="1:6">
      <c r="A348" s="211">
        <v>33623</v>
      </c>
      <c r="B348" s="110" t="s">
        <v>157</v>
      </c>
      <c r="C348" s="172" t="s">
        <v>102</v>
      </c>
      <c r="D348" s="172" t="s">
        <v>102</v>
      </c>
      <c r="E348" s="172" t="s">
        <v>102</v>
      </c>
      <c r="F348" s="172" t="s">
        <v>102</v>
      </c>
    </row>
    <row r="349" spans="1:6">
      <c r="A349" s="211">
        <v>34</v>
      </c>
      <c r="B349" s="110" t="s">
        <v>160</v>
      </c>
      <c r="C349" s="172" t="s">
        <v>102</v>
      </c>
      <c r="D349" s="172" t="s">
        <v>102</v>
      </c>
      <c r="E349" s="172" t="s">
        <v>102</v>
      </c>
      <c r="F349" s="172" t="s">
        <v>102</v>
      </c>
    </row>
    <row r="350" spans="1:6">
      <c r="A350" s="199">
        <v>34100</v>
      </c>
      <c r="B350" s="182" t="s">
        <v>161</v>
      </c>
      <c r="C350" s="172" t="s">
        <v>102</v>
      </c>
      <c r="D350" s="172" t="s">
        <v>102</v>
      </c>
      <c r="E350" s="172" t="s">
        <v>102</v>
      </c>
      <c r="F350" s="172" t="s">
        <v>102</v>
      </c>
    </row>
    <row r="351" spans="1:6">
      <c r="A351" s="211">
        <v>34200</v>
      </c>
      <c r="B351" s="110" t="s">
        <v>162</v>
      </c>
      <c r="C351" s="172" t="s">
        <v>102</v>
      </c>
      <c r="D351" s="172" t="s">
        <v>102</v>
      </c>
      <c r="E351" s="172" t="s">
        <v>102</v>
      </c>
      <c r="F351" s="172" t="s">
        <v>102</v>
      </c>
    </row>
    <row r="352" spans="1:6">
      <c r="A352" s="211">
        <v>34300</v>
      </c>
      <c r="B352" s="110" t="s">
        <v>163</v>
      </c>
      <c r="C352" s="172" t="s">
        <v>102</v>
      </c>
      <c r="D352" s="172" t="s">
        <v>102</v>
      </c>
      <c r="E352" s="172" t="s">
        <v>102</v>
      </c>
      <c r="F352" s="172" t="s">
        <v>102</v>
      </c>
    </row>
    <row r="353" spans="1:6">
      <c r="A353" s="211">
        <v>34400</v>
      </c>
      <c r="B353" s="110" t="s">
        <v>164</v>
      </c>
      <c r="C353" s="172" t="s">
        <v>102</v>
      </c>
      <c r="D353" s="172" t="s">
        <v>102</v>
      </c>
      <c r="E353" s="172" t="s">
        <v>102</v>
      </c>
      <c r="F353" s="172" t="s">
        <v>102</v>
      </c>
    </row>
    <row r="354" spans="1:6">
      <c r="A354" s="211">
        <v>34500</v>
      </c>
      <c r="B354" s="110" t="s">
        <v>165</v>
      </c>
      <c r="C354" s="172" t="s">
        <v>102</v>
      </c>
      <c r="D354" s="172" t="s">
        <v>102</v>
      </c>
      <c r="E354" s="172" t="s">
        <v>102</v>
      </c>
      <c r="F354" s="172" t="s">
        <v>102</v>
      </c>
    </row>
    <row r="355" spans="1:6">
      <c r="A355" s="211">
        <v>34600</v>
      </c>
      <c r="B355" s="110" t="s">
        <v>166</v>
      </c>
      <c r="C355" s="172" t="s">
        <v>102</v>
      </c>
      <c r="D355" s="172" t="s">
        <v>102</v>
      </c>
      <c r="E355" s="172" t="s">
        <v>102</v>
      </c>
      <c r="F355" s="172" t="s">
        <v>102</v>
      </c>
    </row>
    <row r="356" spans="1:6">
      <c r="A356" s="211">
        <v>3471</v>
      </c>
      <c r="B356" s="110" t="s">
        <v>167</v>
      </c>
      <c r="C356" s="172" t="s">
        <v>102</v>
      </c>
      <c r="D356" s="172" t="s">
        <v>102</v>
      </c>
      <c r="E356" s="172" t="s">
        <v>102</v>
      </c>
      <c r="F356" s="172" t="s">
        <v>102</v>
      </c>
    </row>
    <row r="357" spans="1:6">
      <c r="A357" s="202">
        <v>34711</v>
      </c>
      <c r="B357" s="182" t="s">
        <v>168</v>
      </c>
      <c r="C357" s="172" t="s">
        <v>102</v>
      </c>
      <c r="D357" s="172" t="s">
        <v>102</v>
      </c>
      <c r="E357" s="172" t="s">
        <v>102</v>
      </c>
      <c r="F357" s="172" t="s">
        <v>102</v>
      </c>
    </row>
    <row r="358" spans="1:6">
      <c r="A358" s="211">
        <v>34712</v>
      </c>
      <c r="B358" s="110" t="s">
        <v>169</v>
      </c>
      <c r="C358" s="172" t="s">
        <v>102</v>
      </c>
      <c r="D358" s="172" t="s">
        <v>102</v>
      </c>
      <c r="E358" s="172" t="s">
        <v>102</v>
      </c>
      <c r="F358" s="172" t="s">
        <v>102</v>
      </c>
    </row>
    <row r="359" spans="1:6">
      <c r="A359" s="211">
        <v>34713</v>
      </c>
      <c r="B359" s="110" t="s">
        <v>170</v>
      </c>
      <c r="C359" s="172" t="s">
        <v>102</v>
      </c>
      <c r="D359" s="172" t="s">
        <v>102</v>
      </c>
      <c r="E359" s="172" t="s">
        <v>102</v>
      </c>
      <c r="F359" s="172" t="s">
        <v>102</v>
      </c>
    </row>
    <row r="360" spans="1:6">
      <c r="A360" s="211">
        <v>34714</v>
      </c>
      <c r="B360" s="110" t="s">
        <v>171</v>
      </c>
      <c r="C360" s="172" t="s">
        <v>102</v>
      </c>
      <c r="D360" s="172" t="s">
        <v>102</v>
      </c>
      <c r="E360" s="172" t="s">
        <v>102</v>
      </c>
      <c r="F360" s="172" t="s">
        <v>102</v>
      </c>
    </row>
    <row r="361" spans="1:6">
      <c r="A361" s="211">
        <v>35</v>
      </c>
      <c r="B361" s="110" t="s">
        <v>173</v>
      </c>
      <c r="C361" s="172" t="s">
        <v>102</v>
      </c>
      <c r="D361" s="172" t="s">
        <v>102</v>
      </c>
      <c r="E361" s="172" t="s">
        <v>102</v>
      </c>
      <c r="F361" s="172" t="s">
        <v>102</v>
      </c>
    </row>
    <row r="362" spans="1:6">
      <c r="A362" s="199">
        <v>351</v>
      </c>
      <c r="B362" s="182" t="s">
        <v>448</v>
      </c>
      <c r="C362" s="172" t="s">
        <v>102</v>
      </c>
      <c r="D362" s="172" t="s">
        <v>102</v>
      </c>
      <c r="E362" s="172" t="s">
        <v>102</v>
      </c>
      <c r="F362" s="172" t="s">
        <v>102</v>
      </c>
    </row>
    <row r="363" spans="1:6">
      <c r="A363" s="202">
        <v>35110</v>
      </c>
      <c r="B363" s="182" t="s">
        <v>175</v>
      </c>
      <c r="C363" s="172" t="s">
        <v>102</v>
      </c>
      <c r="D363" s="172" t="s">
        <v>102</v>
      </c>
      <c r="E363" s="172" t="s">
        <v>102</v>
      </c>
      <c r="F363" s="172" t="s">
        <v>102</v>
      </c>
    </row>
    <row r="364" spans="1:6">
      <c r="A364" s="211">
        <v>35130</v>
      </c>
      <c r="B364" s="110" t="s">
        <v>177</v>
      </c>
      <c r="C364" s="172" t="s">
        <v>102</v>
      </c>
      <c r="D364" s="172" t="s">
        <v>102</v>
      </c>
      <c r="E364" s="172" t="s">
        <v>102</v>
      </c>
      <c r="F364" s="172" t="s">
        <v>102</v>
      </c>
    </row>
    <row r="365" spans="1:6">
      <c r="A365" s="211">
        <v>35200</v>
      </c>
      <c r="B365" s="110" t="s">
        <v>179</v>
      </c>
      <c r="C365" s="172" t="s">
        <v>102</v>
      </c>
      <c r="D365" s="172" t="s">
        <v>102</v>
      </c>
      <c r="E365" s="172" t="s">
        <v>102</v>
      </c>
      <c r="F365" s="172" t="s">
        <v>102</v>
      </c>
    </row>
    <row r="366" spans="1:6">
      <c r="A366" s="211">
        <v>35300</v>
      </c>
      <c r="B366" s="110" t="s">
        <v>181</v>
      </c>
      <c r="C366" s="172" t="s">
        <v>102</v>
      </c>
      <c r="D366" s="172" t="s">
        <v>102</v>
      </c>
      <c r="E366" s="172" t="s">
        <v>102</v>
      </c>
      <c r="F366" s="172" t="s">
        <v>102</v>
      </c>
    </row>
    <row r="367" spans="1:6">
      <c r="A367" s="211">
        <v>354</v>
      </c>
      <c r="B367" s="110" t="s">
        <v>182</v>
      </c>
      <c r="C367" s="172" t="s">
        <v>102</v>
      </c>
      <c r="D367" s="172" t="s">
        <v>102</v>
      </c>
      <c r="E367" s="172" t="s">
        <v>102</v>
      </c>
      <c r="F367" s="172" t="s">
        <v>102</v>
      </c>
    </row>
    <row r="368" spans="1:6">
      <c r="A368" s="202">
        <v>35410</v>
      </c>
      <c r="B368" s="182" t="s">
        <v>184</v>
      </c>
      <c r="C368" s="172" t="s">
        <v>102</v>
      </c>
      <c r="D368" s="172" t="s">
        <v>102</v>
      </c>
      <c r="E368" s="172" t="s">
        <v>102</v>
      </c>
      <c r="F368" s="172" t="s">
        <v>102</v>
      </c>
    </row>
    <row r="369" spans="1:6">
      <c r="A369" s="211">
        <v>35420</v>
      </c>
      <c r="B369" s="110" t="s">
        <v>186</v>
      </c>
      <c r="C369" s="172" t="s">
        <v>102</v>
      </c>
      <c r="D369" s="172" t="s">
        <v>102</v>
      </c>
      <c r="E369" s="172" t="s">
        <v>102</v>
      </c>
      <c r="F369" s="172" t="s">
        <v>102</v>
      </c>
    </row>
    <row r="370" spans="1:6">
      <c r="A370" s="211">
        <v>35430</v>
      </c>
      <c r="B370" s="110" t="s">
        <v>188</v>
      </c>
      <c r="C370" s="172" t="s">
        <v>102</v>
      </c>
      <c r="D370" s="172" t="s">
        <v>102</v>
      </c>
      <c r="E370" s="172" t="s">
        <v>102</v>
      </c>
      <c r="F370" s="172" t="s">
        <v>102</v>
      </c>
    </row>
    <row r="371" spans="1:6">
      <c r="A371" s="211">
        <v>35440</v>
      </c>
      <c r="B371" s="110" t="s">
        <v>190</v>
      </c>
      <c r="C371" s="172" t="s">
        <v>102</v>
      </c>
      <c r="D371" s="172" t="s">
        <v>102</v>
      </c>
      <c r="E371" s="172" t="s">
        <v>102</v>
      </c>
      <c r="F371" s="172" t="s">
        <v>102</v>
      </c>
    </row>
    <row r="372" spans="1:6">
      <c r="A372" s="211">
        <v>35450</v>
      </c>
      <c r="B372" s="110" t="s">
        <v>192</v>
      </c>
      <c r="C372" s="172" t="s">
        <v>102</v>
      </c>
      <c r="D372" s="172" t="s">
        <v>102</v>
      </c>
      <c r="E372" s="172" t="s">
        <v>102</v>
      </c>
      <c r="F372" s="172" t="s">
        <v>102</v>
      </c>
    </row>
    <row r="373" spans="1:6">
      <c r="A373" s="211">
        <v>35460</v>
      </c>
      <c r="B373" s="110" t="s">
        <v>194</v>
      </c>
      <c r="C373" s="172" t="s">
        <v>102</v>
      </c>
      <c r="D373" s="172" t="s">
        <v>102</v>
      </c>
      <c r="E373" s="172" t="s">
        <v>102</v>
      </c>
      <c r="F373" s="172" t="s">
        <v>102</v>
      </c>
    </row>
    <row r="374" spans="1:6">
      <c r="A374" s="211">
        <v>35470</v>
      </c>
      <c r="B374" s="110" t="s">
        <v>196</v>
      </c>
      <c r="C374" s="172" t="s">
        <v>102</v>
      </c>
      <c r="D374" s="172" t="s">
        <v>102</v>
      </c>
      <c r="E374" s="172" t="s">
        <v>102</v>
      </c>
      <c r="F374" s="172" t="s">
        <v>102</v>
      </c>
    </row>
    <row r="375" spans="1:6">
      <c r="A375" s="211">
        <v>35500</v>
      </c>
      <c r="B375" s="110" t="s">
        <v>198</v>
      </c>
      <c r="C375" s="172" t="s">
        <v>102</v>
      </c>
      <c r="D375" s="172" t="s">
        <v>102</v>
      </c>
      <c r="E375" s="172" t="s">
        <v>102</v>
      </c>
      <c r="F375" s="172" t="s">
        <v>102</v>
      </c>
    </row>
    <row r="376" spans="1:6">
      <c r="A376" s="211">
        <v>35600</v>
      </c>
      <c r="B376" s="110" t="s">
        <v>200</v>
      </c>
      <c r="C376" s="172" t="s">
        <v>102</v>
      </c>
      <c r="D376" s="172" t="s">
        <v>102</v>
      </c>
      <c r="E376" s="172" t="s">
        <v>102</v>
      </c>
      <c r="F376" s="172" t="s">
        <v>102</v>
      </c>
    </row>
    <row r="377" spans="1:6">
      <c r="A377" s="211">
        <v>36</v>
      </c>
      <c r="B377" s="110" t="s">
        <v>202</v>
      </c>
      <c r="C377" s="172" t="s">
        <v>102</v>
      </c>
      <c r="D377" s="172" t="s">
        <v>102</v>
      </c>
      <c r="E377" s="172" t="s">
        <v>102</v>
      </c>
      <c r="F377" s="172" t="s">
        <v>102</v>
      </c>
    </row>
    <row r="378" spans="1:6">
      <c r="A378" s="199">
        <v>36100</v>
      </c>
      <c r="B378" s="182" t="s">
        <v>203</v>
      </c>
      <c r="C378" s="172" t="s">
        <v>102</v>
      </c>
      <c r="D378" s="172" t="s">
        <v>102</v>
      </c>
      <c r="E378" s="172" t="s">
        <v>102</v>
      </c>
      <c r="F378" s="172" t="s">
        <v>102</v>
      </c>
    </row>
    <row r="379" spans="1:6">
      <c r="A379" s="211">
        <v>36200</v>
      </c>
      <c r="B379" s="110" t="s">
        <v>204</v>
      </c>
      <c r="C379" s="172" t="s">
        <v>102</v>
      </c>
      <c r="D379" s="172" t="s">
        <v>102</v>
      </c>
      <c r="E379" s="172" t="s">
        <v>102</v>
      </c>
      <c r="F379" s="172" t="s">
        <v>102</v>
      </c>
    </row>
    <row r="380" spans="1:6">
      <c r="A380" s="211">
        <v>36300</v>
      </c>
      <c r="B380" s="110" t="s">
        <v>205</v>
      </c>
      <c r="C380" s="172" t="s">
        <v>102</v>
      </c>
      <c r="D380" s="172" t="s">
        <v>102</v>
      </c>
      <c r="E380" s="172" t="s">
        <v>102</v>
      </c>
      <c r="F380" s="172" t="s">
        <v>102</v>
      </c>
    </row>
    <row r="381" spans="1:6">
      <c r="A381" s="211">
        <v>36400</v>
      </c>
      <c r="B381" s="110" t="s">
        <v>206</v>
      </c>
      <c r="C381" s="172" t="s">
        <v>102</v>
      </c>
      <c r="D381" s="172" t="s">
        <v>102</v>
      </c>
      <c r="E381" s="172" t="s">
        <v>102</v>
      </c>
      <c r="F381" s="172" t="s">
        <v>102</v>
      </c>
    </row>
    <row r="382" spans="1:6">
      <c r="A382" s="211">
        <v>36500</v>
      </c>
      <c r="B382" s="110" t="s">
        <v>207</v>
      </c>
      <c r="C382" s="172" t="s">
        <v>102</v>
      </c>
      <c r="D382" s="172" t="s">
        <v>102</v>
      </c>
      <c r="E382" s="172" t="s">
        <v>102</v>
      </c>
      <c r="F382" s="172" t="s">
        <v>102</v>
      </c>
    </row>
    <row r="383" spans="1:6">
      <c r="A383" s="211">
        <v>36600</v>
      </c>
      <c r="B383" s="110" t="s">
        <v>208</v>
      </c>
      <c r="C383" s="172" t="s">
        <v>102</v>
      </c>
      <c r="D383" s="172" t="s">
        <v>102</v>
      </c>
      <c r="E383" s="172" t="s">
        <v>102</v>
      </c>
      <c r="F383" s="172" t="s">
        <v>102</v>
      </c>
    </row>
    <row r="384" spans="1:6">
      <c r="A384" s="211">
        <v>36700</v>
      </c>
      <c r="B384" s="110" t="s">
        <v>636</v>
      </c>
      <c r="C384" s="172" t="s">
        <v>102</v>
      </c>
      <c r="D384" s="172" t="s">
        <v>102</v>
      </c>
      <c r="E384" s="172" t="s">
        <v>102</v>
      </c>
      <c r="F384" s="172" t="s">
        <v>102</v>
      </c>
    </row>
    <row r="385" spans="1:6">
      <c r="A385" s="211">
        <v>36800</v>
      </c>
      <c r="B385" s="110" t="s">
        <v>637</v>
      </c>
      <c r="C385" s="172" t="s">
        <v>102</v>
      </c>
      <c r="D385" s="172" t="s">
        <v>102</v>
      </c>
      <c r="E385" s="172" t="s">
        <v>102</v>
      </c>
      <c r="F385" s="172" t="s">
        <v>102</v>
      </c>
    </row>
    <row r="386" spans="1:6">
      <c r="A386" s="211">
        <v>36900</v>
      </c>
      <c r="B386" s="110" t="s">
        <v>793</v>
      </c>
      <c r="C386" s="172" t="s">
        <v>102</v>
      </c>
      <c r="D386" s="172" t="s">
        <v>102</v>
      </c>
      <c r="E386" s="172" t="s">
        <v>102</v>
      </c>
      <c r="F386" s="172" t="s">
        <v>102</v>
      </c>
    </row>
    <row r="387" spans="1:6">
      <c r="A387" s="211">
        <v>2</v>
      </c>
      <c r="B387" s="110" t="s">
        <v>209</v>
      </c>
      <c r="C387" s="172" t="s">
        <v>102</v>
      </c>
      <c r="D387" s="172" t="s">
        <v>102</v>
      </c>
      <c r="E387" s="172" t="s">
        <v>102</v>
      </c>
      <c r="F387" s="172" t="s">
        <v>102</v>
      </c>
    </row>
    <row r="388" spans="1:6">
      <c r="A388" s="202">
        <v>37</v>
      </c>
      <c r="B388" s="182" t="s">
        <v>211</v>
      </c>
      <c r="C388" s="172" t="s">
        <v>102</v>
      </c>
      <c r="D388" s="172" t="s">
        <v>102</v>
      </c>
      <c r="E388" s="172" t="s">
        <v>102</v>
      </c>
      <c r="F388" s="172" t="s">
        <v>102</v>
      </c>
    </row>
    <row r="389" spans="1:6">
      <c r="A389" s="199">
        <v>371</v>
      </c>
      <c r="B389" s="182" t="s">
        <v>212</v>
      </c>
      <c r="C389" s="172" t="s">
        <v>102</v>
      </c>
      <c r="D389" s="172" t="s">
        <v>102</v>
      </c>
      <c r="E389" s="172" t="s">
        <v>102</v>
      </c>
      <c r="F389" s="172" t="s">
        <v>102</v>
      </c>
    </row>
    <row r="390" spans="1:6">
      <c r="A390" s="202">
        <v>37110</v>
      </c>
      <c r="B390" s="182" t="s">
        <v>125</v>
      </c>
      <c r="C390" s="172" t="s">
        <v>102</v>
      </c>
      <c r="D390" s="172" t="s">
        <v>102</v>
      </c>
      <c r="E390" s="172" t="s">
        <v>102</v>
      </c>
      <c r="F390" s="172" t="s">
        <v>102</v>
      </c>
    </row>
    <row r="391" spans="1:6">
      <c r="A391" s="211">
        <v>37120</v>
      </c>
      <c r="B391" s="110" t="s">
        <v>126</v>
      </c>
      <c r="C391" s="172" t="s">
        <v>102</v>
      </c>
      <c r="D391" s="172" t="s">
        <v>102</v>
      </c>
      <c r="E391" s="172" t="s">
        <v>102</v>
      </c>
      <c r="F391" s="172" t="s">
        <v>102</v>
      </c>
    </row>
    <row r="392" spans="1:6">
      <c r="A392" s="211">
        <v>372</v>
      </c>
      <c r="B392" s="110" t="s">
        <v>141</v>
      </c>
      <c r="C392" s="172" t="s">
        <v>102</v>
      </c>
      <c r="D392" s="172" t="s">
        <v>102</v>
      </c>
      <c r="E392" s="172" t="s">
        <v>102</v>
      </c>
      <c r="F392" s="172" t="s">
        <v>102</v>
      </c>
    </row>
    <row r="393" spans="1:6">
      <c r="A393" s="202">
        <v>37210</v>
      </c>
      <c r="B393" s="182" t="s">
        <v>125</v>
      </c>
      <c r="C393" s="172" t="s">
        <v>102</v>
      </c>
      <c r="D393" s="172" t="s">
        <v>102</v>
      </c>
      <c r="E393" s="172" t="s">
        <v>102</v>
      </c>
      <c r="F393" s="172" t="s">
        <v>102</v>
      </c>
    </row>
    <row r="394" spans="1:6">
      <c r="A394" s="211">
        <v>37220</v>
      </c>
      <c r="B394" s="110" t="s">
        <v>126</v>
      </c>
      <c r="C394" s="172" t="s">
        <v>102</v>
      </c>
      <c r="D394" s="172" t="s">
        <v>102</v>
      </c>
      <c r="E394" s="172" t="s">
        <v>102</v>
      </c>
      <c r="F394" s="172" t="s">
        <v>102</v>
      </c>
    </row>
    <row r="395" spans="1:6">
      <c r="A395" s="211">
        <v>373</v>
      </c>
      <c r="B395" s="110" t="s">
        <v>213</v>
      </c>
      <c r="C395" s="172" t="s">
        <v>102</v>
      </c>
      <c r="D395" s="172" t="s">
        <v>102</v>
      </c>
      <c r="E395" s="172" t="s">
        <v>102</v>
      </c>
      <c r="F395" s="172" t="s">
        <v>102</v>
      </c>
    </row>
    <row r="396" spans="1:6">
      <c r="A396" s="202">
        <v>3731</v>
      </c>
      <c r="B396" s="182" t="s">
        <v>152</v>
      </c>
      <c r="C396" s="172" t="s">
        <v>102</v>
      </c>
      <c r="D396" s="172" t="s">
        <v>102</v>
      </c>
      <c r="E396" s="172" t="s">
        <v>102</v>
      </c>
      <c r="F396" s="172" t="s">
        <v>102</v>
      </c>
    </row>
    <row r="397" spans="1:6">
      <c r="A397" s="202">
        <v>37311</v>
      </c>
      <c r="B397" s="182" t="s">
        <v>153</v>
      </c>
      <c r="C397" s="172" t="s">
        <v>102</v>
      </c>
      <c r="D397" s="172" t="s">
        <v>102</v>
      </c>
      <c r="E397" s="172" t="s">
        <v>102</v>
      </c>
      <c r="F397" s="172" t="s">
        <v>102</v>
      </c>
    </row>
    <row r="398" spans="1:6">
      <c r="A398" s="109">
        <v>37312</v>
      </c>
      <c r="B398" s="110" t="s">
        <v>154</v>
      </c>
      <c r="C398" s="172" t="s">
        <v>102</v>
      </c>
      <c r="D398" s="172" t="s">
        <v>102</v>
      </c>
      <c r="E398" s="172" t="s">
        <v>102</v>
      </c>
      <c r="F398" s="172" t="s">
        <v>102</v>
      </c>
    </row>
    <row r="399" spans="1:6">
      <c r="A399" s="211">
        <v>37313</v>
      </c>
      <c r="B399" s="110" t="s">
        <v>155</v>
      </c>
      <c r="C399" s="172" t="s">
        <v>102</v>
      </c>
      <c r="D399" s="172" t="s">
        <v>102</v>
      </c>
      <c r="E399" s="172" t="s">
        <v>102</v>
      </c>
      <c r="F399" s="172" t="s">
        <v>102</v>
      </c>
    </row>
    <row r="400" spans="1:6">
      <c r="A400" s="211">
        <v>37314</v>
      </c>
      <c r="B400" s="110" t="s">
        <v>156</v>
      </c>
      <c r="C400" s="172" t="s">
        <v>102</v>
      </c>
      <c r="D400" s="172" t="s">
        <v>102</v>
      </c>
      <c r="E400" s="172" t="s">
        <v>102</v>
      </c>
      <c r="F400" s="172" t="s">
        <v>102</v>
      </c>
    </row>
    <row r="401" spans="1:6">
      <c r="A401" s="211">
        <v>37315</v>
      </c>
      <c r="B401" s="110" t="s">
        <v>157</v>
      </c>
      <c r="C401" s="172" t="s">
        <v>102</v>
      </c>
      <c r="D401" s="172" t="s">
        <v>102</v>
      </c>
      <c r="E401" s="172" t="s">
        <v>102</v>
      </c>
      <c r="F401" s="172" t="s">
        <v>102</v>
      </c>
    </row>
    <row r="402" spans="1:6">
      <c r="A402" s="211">
        <v>3732</v>
      </c>
      <c r="B402" s="110" t="s">
        <v>632</v>
      </c>
      <c r="C402" s="172" t="s">
        <v>102</v>
      </c>
      <c r="D402" s="172" t="s">
        <v>102</v>
      </c>
      <c r="E402" s="172" t="s">
        <v>102</v>
      </c>
      <c r="F402" s="172" t="s">
        <v>102</v>
      </c>
    </row>
    <row r="403" spans="1:6">
      <c r="A403" s="202">
        <v>37321</v>
      </c>
      <c r="B403" s="186" t="s">
        <v>153</v>
      </c>
      <c r="C403" s="172" t="s">
        <v>102</v>
      </c>
      <c r="D403" s="172" t="s">
        <v>102</v>
      </c>
      <c r="E403" s="172" t="s">
        <v>102</v>
      </c>
      <c r="F403" s="172" t="s">
        <v>102</v>
      </c>
    </row>
    <row r="404" spans="1:6">
      <c r="A404" s="109">
        <v>37323</v>
      </c>
      <c r="B404" s="110" t="s">
        <v>156</v>
      </c>
      <c r="C404" s="172" t="s">
        <v>102</v>
      </c>
      <c r="D404" s="172" t="s">
        <v>102</v>
      </c>
      <c r="E404" s="172" t="s">
        <v>102</v>
      </c>
      <c r="F404" s="172" t="s">
        <v>102</v>
      </c>
    </row>
    <row r="405" spans="1:6">
      <c r="A405" s="109">
        <v>37324</v>
      </c>
      <c r="B405" s="110" t="s">
        <v>157</v>
      </c>
      <c r="C405" s="172" t="s">
        <v>102</v>
      </c>
      <c r="D405" s="172" t="s">
        <v>102</v>
      </c>
      <c r="E405" s="172" t="s">
        <v>102</v>
      </c>
      <c r="F405" s="172" t="s">
        <v>102</v>
      </c>
    </row>
    <row r="406" spans="1:6">
      <c r="A406" s="109">
        <v>37330</v>
      </c>
      <c r="B406" s="110" t="s">
        <v>214</v>
      </c>
      <c r="C406" s="172" t="s">
        <v>102</v>
      </c>
      <c r="D406" s="172" t="s">
        <v>102</v>
      </c>
      <c r="E406" s="172" t="s">
        <v>102</v>
      </c>
      <c r="F406" s="172" t="s">
        <v>102</v>
      </c>
    </row>
    <row r="407" spans="1:6">
      <c r="A407" s="109">
        <v>39</v>
      </c>
      <c r="B407" s="110" t="s">
        <v>215</v>
      </c>
      <c r="C407" s="172" t="s">
        <v>102</v>
      </c>
      <c r="D407" s="172" t="s">
        <v>102</v>
      </c>
      <c r="E407" s="172" t="s">
        <v>102</v>
      </c>
      <c r="F407" s="172" t="s">
        <v>102</v>
      </c>
    </row>
    <row r="408" spans="1:6">
      <c r="A408" s="199">
        <v>391</v>
      </c>
      <c r="B408" s="182" t="s">
        <v>216</v>
      </c>
      <c r="C408" s="172" t="s">
        <v>102</v>
      </c>
      <c r="D408" s="172" t="s">
        <v>102</v>
      </c>
      <c r="E408" s="172" t="s">
        <v>102</v>
      </c>
      <c r="F408" s="172" t="s">
        <v>102</v>
      </c>
    </row>
    <row r="409" spans="1:6">
      <c r="A409" s="203">
        <v>392</v>
      </c>
      <c r="B409" s="187" t="s">
        <v>217</v>
      </c>
      <c r="C409" s="172" t="s">
        <v>102</v>
      </c>
      <c r="D409" s="172" t="s">
        <v>102</v>
      </c>
      <c r="E409" s="172" t="s">
        <v>102</v>
      </c>
      <c r="F409" s="172" t="s">
        <v>102</v>
      </c>
    </row>
    <row r="410" spans="1:6">
      <c r="A410" s="202">
        <v>39201</v>
      </c>
      <c r="B410" s="182" t="s">
        <v>219</v>
      </c>
      <c r="C410" s="172" t="s">
        <v>102</v>
      </c>
      <c r="D410" s="172" t="s">
        <v>102</v>
      </c>
      <c r="E410" s="172" t="s">
        <v>102</v>
      </c>
      <c r="F410" s="172" t="s">
        <v>102</v>
      </c>
    </row>
    <row r="411" spans="1:6">
      <c r="A411" s="211">
        <v>39202</v>
      </c>
      <c r="B411" s="110" t="s">
        <v>220</v>
      </c>
      <c r="C411" s="172" t="s">
        <v>102</v>
      </c>
      <c r="D411" s="172" t="s">
        <v>102</v>
      </c>
      <c r="E411" s="172" t="s">
        <v>102</v>
      </c>
      <c r="F411" s="172" t="s">
        <v>102</v>
      </c>
    </row>
    <row r="412" spans="1:6">
      <c r="A412" s="211">
        <v>39203</v>
      </c>
      <c r="B412" s="110" t="s">
        <v>222</v>
      </c>
      <c r="C412" s="172" t="s">
        <v>102</v>
      </c>
      <c r="D412" s="172" t="s">
        <v>102</v>
      </c>
      <c r="E412" s="172" t="s">
        <v>102</v>
      </c>
      <c r="F412" s="172" t="s">
        <v>102</v>
      </c>
    </row>
    <row r="413" spans="1:6">
      <c r="A413" s="211">
        <v>39204</v>
      </c>
      <c r="B413" s="110" t="s">
        <v>220</v>
      </c>
      <c r="C413" s="172" t="s">
        <v>102</v>
      </c>
      <c r="D413" s="172" t="s">
        <v>102</v>
      </c>
      <c r="E413" s="172" t="s">
        <v>102</v>
      </c>
      <c r="F413" s="172" t="s">
        <v>102</v>
      </c>
    </row>
    <row r="414" spans="1:6">
      <c r="A414" s="211">
        <v>39205</v>
      </c>
      <c r="B414" s="110" t="s">
        <v>678</v>
      </c>
      <c r="C414" s="172" t="s">
        <v>102</v>
      </c>
      <c r="D414" s="172" t="s">
        <v>102</v>
      </c>
      <c r="E414" s="172" t="s">
        <v>102</v>
      </c>
      <c r="F414" s="172" t="s">
        <v>102</v>
      </c>
    </row>
    <row r="415" spans="1:6">
      <c r="A415" s="211">
        <v>39206</v>
      </c>
      <c r="B415" s="110" t="s">
        <v>220</v>
      </c>
      <c r="C415" s="172" t="s">
        <v>102</v>
      </c>
      <c r="D415" s="172" t="s">
        <v>102</v>
      </c>
      <c r="E415" s="172" t="s">
        <v>102</v>
      </c>
      <c r="F415" s="172" t="s">
        <v>102</v>
      </c>
    </row>
    <row r="416" spans="1:6">
      <c r="A416" s="211">
        <v>39207</v>
      </c>
      <c r="B416" s="110" t="s">
        <v>225</v>
      </c>
      <c r="C416" s="172" t="s">
        <v>102</v>
      </c>
      <c r="D416" s="172" t="s">
        <v>102</v>
      </c>
      <c r="E416" s="172" t="s">
        <v>102</v>
      </c>
      <c r="F416" s="172" t="s">
        <v>102</v>
      </c>
    </row>
    <row r="417" spans="1:6">
      <c r="A417" s="211">
        <v>39208</v>
      </c>
      <c r="B417" s="110" t="s">
        <v>220</v>
      </c>
      <c r="C417" s="172" t="s">
        <v>102</v>
      </c>
      <c r="D417" s="172" t="s">
        <v>102</v>
      </c>
      <c r="E417" s="172" t="s">
        <v>102</v>
      </c>
      <c r="F417" s="172" t="s">
        <v>102</v>
      </c>
    </row>
    <row r="418" spans="1:6">
      <c r="A418" s="211">
        <v>39209</v>
      </c>
      <c r="B418" s="110" t="s">
        <v>227</v>
      </c>
      <c r="C418" s="172" t="s">
        <v>102</v>
      </c>
      <c r="D418" s="172" t="s">
        <v>102</v>
      </c>
      <c r="E418" s="172" t="s">
        <v>102</v>
      </c>
      <c r="F418" s="172" t="s">
        <v>102</v>
      </c>
    </row>
    <row r="419" spans="1:6">
      <c r="A419" s="211">
        <v>39210</v>
      </c>
      <c r="B419" s="110" t="s">
        <v>220</v>
      </c>
      <c r="C419" s="172" t="s">
        <v>102</v>
      </c>
      <c r="D419" s="172" t="s">
        <v>102</v>
      </c>
      <c r="E419" s="172" t="s">
        <v>102</v>
      </c>
      <c r="F419" s="172" t="s">
        <v>102</v>
      </c>
    </row>
    <row r="420" spans="1:6">
      <c r="A420" s="211">
        <v>39211</v>
      </c>
      <c r="B420" s="110" t="s">
        <v>229</v>
      </c>
      <c r="C420" s="172" t="s">
        <v>102</v>
      </c>
      <c r="D420" s="172" t="s">
        <v>102</v>
      </c>
      <c r="E420" s="172" t="s">
        <v>102</v>
      </c>
      <c r="F420" s="172" t="s">
        <v>102</v>
      </c>
    </row>
    <row r="421" spans="1:6">
      <c r="A421" s="211">
        <v>39212</v>
      </c>
      <c r="B421" s="110" t="s">
        <v>220</v>
      </c>
      <c r="C421" s="172" t="s">
        <v>102</v>
      </c>
      <c r="D421" s="172" t="s">
        <v>102</v>
      </c>
      <c r="E421" s="172" t="s">
        <v>102</v>
      </c>
      <c r="F421" s="172" t="s">
        <v>102</v>
      </c>
    </row>
    <row r="422" spans="1:6">
      <c r="A422" s="211">
        <v>39213</v>
      </c>
      <c r="B422" s="110" t="s">
        <v>231</v>
      </c>
      <c r="C422" s="172" t="s">
        <v>102</v>
      </c>
      <c r="D422" s="172" t="s">
        <v>102</v>
      </c>
      <c r="E422" s="172" t="s">
        <v>102</v>
      </c>
      <c r="F422" s="172" t="s">
        <v>102</v>
      </c>
    </row>
    <row r="423" spans="1:6">
      <c r="A423" s="211">
        <v>39214</v>
      </c>
      <c r="B423" s="110" t="s">
        <v>233</v>
      </c>
      <c r="C423" s="172" t="s">
        <v>102</v>
      </c>
      <c r="D423" s="172" t="s">
        <v>102</v>
      </c>
      <c r="E423" s="172" t="s">
        <v>102</v>
      </c>
      <c r="F423" s="172" t="s">
        <v>102</v>
      </c>
    </row>
    <row r="424" spans="1:6">
      <c r="A424" s="211">
        <v>39215</v>
      </c>
      <c r="B424" s="110" t="s">
        <v>220</v>
      </c>
      <c r="C424" s="172" t="s">
        <v>102</v>
      </c>
      <c r="D424" s="172" t="s">
        <v>102</v>
      </c>
      <c r="E424" s="172" t="s">
        <v>102</v>
      </c>
      <c r="F424" s="172" t="s">
        <v>102</v>
      </c>
    </row>
    <row r="425" spans="1:6">
      <c r="A425" s="211">
        <v>39216</v>
      </c>
      <c r="B425" s="110" t="s">
        <v>235</v>
      </c>
      <c r="C425" s="172" t="s">
        <v>102</v>
      </c>
      <c r="D425" s="172" t="s">
        <v>102</v>
      </c>
      <c r="E425" s="172" t="s">
        <v>102</v>
      </c>
      <c r="F425" s="172" t="s">
        <v>102</v>
      </c>
    </row>
    <row r="426" spans="1:6">
      <c r="A426" s="211">
        <v>39217</v>
      </c>
      <c r="B426" s="110" t="s">
        <v>237</v>
      </c>
      <c r="C426" s="172" t="s">
        <v>102</v>
      </c>
      <c r="D426" s="172" t="s">
        <v>102</v>
      </c>
      <c r="E426" s="172" t="s">
        <v>102</v>
      </c>
      <c r="F426" s="172" t="s">
        <v>102</v>
      </c>
    </row>
    <row r="427" spans="1:6">
      <c r="A427" s="211">
        <v>393</v>
      </c>
      <c r="B427" s="110" t="s">
        <v>238</v>
      </c>
      <c r="C427" s="172" t="s">
        <v>102</v>
      </c>
      <c r="D427" s="172" t="s">
        <v>102</v>
      </c>
      <c r="E427" s="172" t="s">
        <v>102</v>
      </c>
      <c r="F427" s="172" t="s">
        <v>102</v>
      </c>
    </row>
    <row r="428" spans="1:6">
      <c r="A428" s="202">
        <v>39301</v>
      </c>
      <c r="B428" s="182" t="s">
        <v>240</v>
      </c>
      <c r="C428" s="172" t="s">
        <v>102</v>
      </c>
      <c r="D428" s="172" t="s">
        <v>102</v>
      </c>
      <c r="E428" s="172" t="s">
        <v>102</v>
      </c>
      <c r="F428" s="172" t="s">
        <v>102</v>
      </c>
    </row>
    <row r="429" spans="1:6">
      <c r="A429" s="211">
        <v>39302</v>
      </c>
      <c r="B429" s="110" t="s">
        <v>220</v>
      </c>
      <c r="C429" s="172" t="s">
        <v>102</v>
      </c>
      <c r="D429" s="172" t="s">
        <v>102</v>
      </c>
      <c r="E429" s="172" t="s">
        <v>102</v>
      </c>
      <c r="F429" s="172" t="s">
        <v>102</v>
      </c>
    </row>
    <row r="430" spans="1:6">
      <c r="A430" s="211">
        <v>39303</v>
      </c>
      <c r="B430" s="110" t="s">
        <v>242</v>
      </c>
      <c r="C430" s="172" t="s">
        <v>102</v>
      </c>
      <c r="D430" s="172" t="s">
        <v>102</v>
      </c>
      <c r="E430" s="172" t="s">
        <v>102</v>
      </c>
      <c r="F430" s="172" t="s">
        <v>102</v>
      </c>
    </row>
    <row r="431" spans="1:6">
      <c r="A431" s="211">
        <v>39304</v>
      </c>
      <c r="B431" s="110" t="s">
        <v>220</v>
      </c>
      <c r="C431" s="172" t="s">
        <v>102</v>
      </c>
      <c r="D431" s="172" t="s">
        <v>102</v>
      </c>
      <c r="E431" s="172" t="s">
        <v>102</v>
      </c>
      <c r="F431" s="172" t="s">
        <v>102</v>
      </c>
    </row>
    <row r="432" spans="1:6">
      <c r="A432" s="211">
        <v>394</v>
      </c>
      <c r="B432" s="110" t="s">
        <v>692</v>
      </c>
      <c r="C432" s="172" t="s">
        <v>102</v>
      </c>
      <c r="D432" s="172" t="s">
        <v>102</v>
      </c>
      <c r="E432" s="172" t="s">
        <v>102</v>
      </c>
      <c r="F432" s="172" t="s">
        <v>102</v>
      </c>
    </row>
    <row r="433" spans="1:6">
      <c r="A433" s="213">
        <v>39401</v>
      </c>
      <c r="B433" s="188" t="s">
        <v>693</v>
      </c>
      <c r="C433" s="172" t="s">
        <v>102</v>
      </c>
      <c r="D433" s="172" t="s">
        <v>102</v>
      </c>
      <c r="E433" s="172" t="s">
        <v>102</v>
      </c>
      <c r="F433" s="172" t="s">
        <v>102</v>
      </c>
    </row>
    <row r="434" spans="1:6">
      <c r="A434" s="109">
        <v>39402</v>
      </c>
      <c r="B434" s="102" t="s">
        <v>694</v>
      </c>
      <c r="C434" s="172" t="s">
        <v>102</v>
      </c>
      <c r="D434" s="172" t="s">
        <v>102</v>
      </c>
      <c r="E434" s="172" t="s">
        <v>102</v>
      </c>
      <c r="F434" s="172" t="s">
        <v>102</v>
      </c>
    </row>
    <row r="435" spans="1:6">
      <c r="A435" s="109">
        <v>39403</v>
      </c>
      <c r="B435" s="102" t="s">
        <v>695</v>
      </c>
      <c r="C435" s="172" t="s">
        <v>102</v>
      </c>
      <c r="D435" s="172" t="s">
        <v>102</v>
      </c>
      <c r="E435" s="172" t="s">
        <v>102</v>
      </c>
      <c r="F435" s="172" t="s">
        <v>102</v>
      </c>
    </row>
    <row r="436" spans="1:6">
      <c r="A436" s="109">
        <v>39404</v>
      </c>
      <c r="B436" s="102" t="s">
        <v>696</v>
      </c>
      <c r="C436" s="172" t="s">
        <v>102</v>
      </c>
      <c r="D436" s="172" t="s">
        <v>102</v>
      </c>
      <c r="E436" s="172" t="s">
        <v>102</v>
      </c>
      <c r="F436" s="172" t="s">
        <v>102</v>
      </c>
    </row>
    <row r="437" spans="1:6">
      <c r="A437" s="109">
        <v>39405</v>
      </c>
      <c r="B437" s="102" t="s">
        <v>697</v>
      </c>
      <c r="C437" s="172" t="s">
        <v>102</v>
      </c>
      <c r="D437" s="172" t="s">
        <v>102</v>
      </c>
      <c r="E437" s="172" t="s">
        <v>102</v>
      </c>
      <c r="F437" s="172" t="s">
        <v>102</v>
      </c>
    </row>
    <row r="438" spans="1:6">
      <c r="A438" s="109">
        <v>3</v>
      </c>
      <c r="B438" s="102" t="s">
        <v>1184</v>
      </c>
      <c r="C438" s="172" t="s">
        <v>102</v>
      </c>
      <c r="D438" s="172" t="s">
        <v>102</v>
      </c>
      <c r="E438" s="172" t="s">
        <v>102</v>
      </c>
      <c r="F438" s="172" t="s">
        <v>102</v>
      </c>
    </row>
    <row r="439" spans="1:6">
      <c r="A439" s="202">
        <v>4</v>
      </c>
      <c r="B439" s="182" t="s">
        <v>243</v>
      </c>
      <c r="C439" s="172" t="s">
        <v>102</v>
      </c>
      <c r="D439" s="172" t="s">
        <v>102</v>
      </c>
      <c r="E439" s="172" t="s">
        <v>102</v>
      </c>
      <c r="F439" s="172" t="s">
        <v>102</v>
      </c>
    </row>
    <row r="440" spans="1:6">
      <c r="A440" s="202">
        <v>41</v>
      </c>
      <c r="B440" s="182" t="s">
        <v>244</v>
      </c>
      <c r="C440" s="172" t="s">
        <v>102</v>
      </c>
      <c r="D440" s="172" t="s">
        <v>102</v>
      </c>
      <c r="E440" s="172" t="s">
        <v>102</v>
      </c>
      <c r="F440" s="172" t="s">
        <v>102</v>
      </c>
    </row>
    <row r="441" spans="1:6">
      <c r="A441" s="199">
        <v>411</v>
      </c>
      <c r="B441" s="182" t="s">
        <v>245</v>
      </c>
      <c r="C441" s="172" t="s">
        <v>102</v>
      </c>
      <c r="D441" s="172" t="s">
        <v>102</v>
      </c>
      <c r="E441" s="172" t="s">
        <v>102</v>
      </c>
      <c r="F441" s="172" t="s">
        <v>102</v>
      </c>
    </row>
    <row r="442" spans="1:6">
      <c r="A442" s="202">
        <v>4111</v>
      </c>
      <c r="B442" s="182" t="s">
        <v>129</v>
      </c>
      <c r="C442" s="172" t="s">
        <v>102</v>
      </c>
      <c r="D442" s="172" t="s">
        <v>102</v>
      </c>
      <c r="E442" s="172" t="s">
        <v>102</v>
      </c>
      <c r="F442" s="172" t="s">
        <v>102</v>
      </c>
    </row>
    <row r="443" spans="1:6">
      <c r="A443" s="202">
        <v>41111</v>
      </c>
      <c r="B443" s="182" t="s">
        <v>246</v>
      </c>
      <c r="C443" s="172" t="s">
        <v>102</v>
      </c>
      <c r="D443" s="172" t="s">
        <v>102</v>
      </c>
      <c r="E443" s="172" t="s">
        <v>102</v>
      </c>
      <c r="F443" s="172" t="s">
        <v>102</v>
      </c>
    </row>
    <row r="444" spans="1:6">
      <c r="A444" s="211">
        <v>41112</v>
      </c>
      <c r="B444" s="110" t="s">
        <v>247</v>
      </c>
      <c r="C444" s="172" t="s">
        <v>102</v>
      </c>
      <c r="D444" s="172" t="s">
        <v>102</v>
      </c>
      <c r="E444" s="172" t="s">
        <v>102</v>
      </c>
      <c r="F444" s="172" t="s">
        <v>102</v>
      </c>
    </row>
    <row r="445" spans="1:6">
      <c r="A445" s="211">
        <v>41113</v>
      </c>
      <c r="B445" s="110" t="s">
        <v>248</v>
      </c>
      <c r="C445" s="172" t="s">
        <v>102</v>
      </c>
      <c r="D445" s="172" t="s">
        <v>102</v>
      </c>
      <c r="E445" s="172" t="s">
        <v>102</v>
      </c>
      <c r="F445" s="172" t="s">
        <v>102</v>
      </c>
    </row>
    <row r="446" spans="1:6">
      <c r="A446" s="211">
        <v>4112</v>
      </c>
      <c r="B446" s="110" t="s">
        <v>135</v>
      </c>
      <c r="C446" s="172" t="s">
        <v>102</v>
      </c>
      <c r="D446" s="172" t="s">
        <v>102</v>
      </c>
      <c r="E446" s="172" t="s">
        <v>102</v>
      </c>
      <c r="F446" s="172" t="s">
        <v>102</v>
      </c>
    </row>
    <row r="447" spans="1:6">
      <c r="A447" s="202">
        <v>41121</v>
      </c>
      <c r="B447" s="182" t="s">
        <v>246</v>
      </c>
      <c r="C447" s="172" t="s">
        <v>102</v>
      </c>
      <c r="D447" s="172" t="s">
        <v>102</v>
      </c>
      <c r="E447" s="172" t="s">
        <v>102</v>
      </c>
      <c r="F447" s="172" t="s">
        <v>102</v>
      </c>
    </row>
    <row r="448" spans="1:6">
      <c r="A448" s="211">
        <v>41122</v>
      </c>
      <c r="B448" s="110" t="s">
        <v>247</v>
      </c>
      <c r="C448" s="172" t="s">
        <v>102</v>
      </c>
      <c r="D448" s="172" t="s">
        <v>102</v>
      </c>
      <c r="E448" s="172" t="s">
        <v>102</v>
      </c>
      <c r="F448" s="172" t="s">
        <v>102</v>
      </c>
    </row>
    <row r="449" spans="1:6">
      <c r="A449" s="211">
        <v>41123</v>
      </c>
      <c r="B449" s="110" t="s">
        <v>248</v>
      </c>
      <c r="C449" s="172" t="s">
        <v>102</v>
      </c>
      <c r="D449" s="172" t="s">
        <v>102</v>
      </c>
      <c r="E449" s="172" t="s">
        <v>102</v>
      </c>
      <c r="F449" s="172" t="s">
        <v>102</v>
      </c>
    </row>
    <row r="450" spans="1:6">
      <c r="A450" s="211">
        <v>412</v>
      </c>
      <c r="B450" s="110" t="s">
        <v>249</v>
      </c>
      <c r="C450" s="172" t="s">
        <v>102</v>
      </c>
      <c r="D450" s="172" t="s">
        <v>102</v>
      </c>
      <c r="E450" s="172" t="s">
        <v>102</v>
      </c>
      <c r="F450" s="172" t="s">
        <v>102</v>
      </c>
    </row>
    <row r="451" spans="1:6">
      <c r="A451" s="202">
        <v>4121</v>
      </c>
      <c r="B451" s="182" t="s">
        <v>129</v>
      </c>
      <c r="C451" s="172" t="s">
        <v>102</v>
      </c>
      <c r="D451" s="172" t="s">
        <v>102</v>
      </c>
      <c r="E451" s="172" t="s">
        <v>102</v>
      </c>
      <c r="F451" s="172" t="s">
        <v>102</v>
      </c>
    </row>
    <row r="452" spans="1:6">
      <c r="A452" s="202">
        <v>41211</v>
      </c>
      <c r="B452" s="182" t="s">
        <v>250</v>
      </c>
      <c r="C452" s="172" t="s">
        <v>102</v>
      </c>
      <c r="D452" s="172" t="s">
        <v>102</v>
      </c>
      <c r="E452" s="172" t="s">
        <v>102</v>
      </c>
      <c r="F452" s="172" t="s">
        <v>102</v>
      </c>
    </row>
    <row r="453" spans="1:6">
      <c r="A453" s="211">
        <v>41212</v>
      </c>
      <c r="B453" s="110" t="s">
        <v>154</v>
      </c>
      <c r="C453" s="172" t="s">
        <v>102</v>
      </c>
      <c r="D453" s="172" t="s">
        <v>102</v>
      </c>
      <c r="E453" s="172" t="s">
        <v>102</v>
      </c>
      <c r="F453" s="172" t="s">
        <v>102</v>
      </c>
    </row>
    <row r="454" spans="1:6">
      <c r="A454" s="211">
        <v>41213</v>
      </c>
      <c r="B454" s="110" t="s">
        <v>251</v>
      </c>
      <c r="C454" s="172" t="s">
        <v>102</v>
      </c>
      <c r="D454" s="172" t="s">
        <v>102</v>
      </c>
      <c r="E454" s="172" t="s">
        <v>102</v>
      </c>
      <c r="F454" s="172" t="s">
        <v>102</v>
      </c>
    </row>
    <row r="455" spans="1:6">
      <c r="A455" s="211">
        <v>41214</v>
      </c>
      <c r="B455" s="110" t="s">
        <v>252</v>
      </c>
      <c r="C455" s="172" t="s">
        <v>102</v>
      </c>
      <c r="D455" s="172" t="s">
        <v>102</v>
      </c>
      <c r="E455" s="172" t="s">
        <v>102</v>
      </c>
      <c r="F455" s="172" t="s">
        <v>102</v>
      </c>
    </row>
    <row r="456" spans="1:6">
      <c r="A456" s="211">
        <v>41215</v>
      </c>
      <c r="B456" s="110" t="s">
        <v>253</v>
      </c>
      <c r="C456" s="172" t="s">
        <v>102</v>
      </c>
      <c r="D456" s="172" t="s">
        <v>102</v>
      </c>
      <c r="E456" s="172" t="s">
        <v>102</v>
      </c>
      <c r="F456" s="172" t="s">
        <v>102</v>
      </c>
    </row>
    <row r="457" spans="1:6">
      <c r="A457" s="211">
        <v>41216</v>
      </c>
      <c r="B457" s="110" t="s">
        <v>254</v>
      </c>
      <c r="C457" s="172" t="s">
        <v>102</v>
      </c>
      <c r="D457" s="172" t="s">
        <v>102</v>
      </c>
      <c r="E457" s="172" t="s">
        <v>102</v>
      </c>
      <c r="F457" s="172" t="s">
        <v>102</v>
      </c>
    </row>
    <row r="458" spans="1:6">
      <c r="A458" s="211">
        <v>41217</v>
      </c>
      <c r="B458" s="110" t="s">
        <v>255</v>
      </c>
      <c r="C458" s="172" t="s">
        <v>102</v>
      </c>
      <c r="D458" s="172" t="s">
        <v>102</v>
      </c>
      <c r="E458" s="172" t="s">
        <v>102</v>
      </c>
      <c r="F458" s="172" t="s">
        <v>102</v>
      </c>
    </row>
    <row r="459" spans="1:6">
      <c r="A459" s="211">
        <v>4122</v>
      </c>
      <c r="B459" s="110" t="s">
        <v>135</v>
      </c>
      <c r="C459" s="172" t="s">
        <v>102</v>
      </c>
      <c r="D459" s="172" t="s">
        <v>102</v>
      </c>
      <c r="E459" s="172" t="s">
        <v>102</v>
      </c>
      <c r="F459" s="172" t="s">
        <v>102</v>
      </c>
    </row>
    <row r="460" spans="1:6">
      <c r="A460" s="202">
        <v>41221</v>
      </c>
      <c r="B460" s="182" t="s">
        <v>256</v>
      </c>
      <c r="C460" s="172" t="s">
        <v>102</v>
      </c>
      <c r="D460" s="172" t="s">
        <v>102</v>
      </c>
      <c r="E460" s="172" t="s">
        <v>102</v>
      </c>
      <c r="F460" s="172" t="s">
        <v>102</v>
      </c>
    </row>
    <row r="461" spans="1:6">
      <c r="A461" s="211">
        <v>41222</v>
      </c>
      <c r="B461" s="110" t="s">
        <v>257</v>
      </c>
      <c r="C461" s="172" t="s">
        <v>102</v>
      </c>
      <c r="D461" s="172" t="s">
        <v>102</v>
      </c>
      <c r="E461" s="172" t="s">
        <v>102</v>
      </c>
      <c r="F461" s="172" t="s">
        <v>102</v>
      </c>
    </row>
    <row r="462" spans="1:6">
      <c r="A462" s="211">
        <v>41223</v>
      </c>
      <c r="B462" s="110" t="s">
        <v>258</v>
      </c>
      <c r="C462" s="172" t="s">
        <v>102</v>
      </c>
      <c r="D462" s="172" t="s">
        <v>102</v>
      </c>
      <c r="E462" s="172" t="s">
        <v>102</v>
      </c>
      <c r="F462" s="172" t="s">
        <v>102</v>
      </c>
    </row>
    <row r="463" spans="1:6">
      <c r="A463" s="211">
        <v>41224</v>
      </c>
      <c r="B463" s="110" t="s">
        <v>259</v>
      </c>
      <c r="C463" s="172" t="s">
        <v>102</v>
      </c>
      <c r="D463" s="172" t="s">
        <v>102</v>
      </c>
      <c r="E463" s="172" t="s">
        <v>102</v>
      </c>
      <c r="F463" s="172" t="s">
        <v>102</v>
      </c>
    </row>
    <row r="464" spans="1:6">
      <c r="A464" s="211">
        <v>41225</v>
      </c>
      <c r="B464" s="110" t="s">
        <v>691</v>
      </c>
      <c r="C464" s="172" t="s">
        <v>102</v>
      </c>
      <c r="D464" s="172" t="s">
        <v>102</v>
      </c>
      <c r="E464" s="172" t="s">
        <v>102</v>
      </c>
      <c r="F464" s="172" t="s">
        <v>102</v>
      </c>
    </row>
    <row r="465" spans="1:6">
      <c r="A465" s="211">
        <v>413</v>
      </c>
      <c r="B465" s="102" t="s">
        <v>262</v>
      </c>
      <c r="C465" s="172" t="s">
        <v>102</v>
      </c>
      <c r="D465" s="172" t="s">
        <v>102</v>
      </c>
      <c r="E465" s="172" t="s">
        <v>102</v>
      </c>
      <c r="F465" s="172" t="s">
        <v>102</v>
      </c>
    </row>
    <row r="466" spans="1:6">
      <c r="A466" s="202">
        <v>41310</v>
      </c>
      <c r="B466" s="182" t="s">
        <v>263</v>
      </c>
      <c r="C466" s="172" t="s">
        <v>102</v>
      </c>
      <c r="D466" s="172" t="s">
        <v>102</v>
      </c>
      <c r="E466" s="172" t="s">
        <v>102</v>
      </c>
      <c r="F466" s="172" t="s">
        <v>102</v>
      </c>
    </row>
    <row r="467" spans="1:6">
      <c r="A467" s="109">
        <v>413101</v>
      </c>
      <c r="B467" s="110" t="s">
        <v>573</v>
      </c>
      <c r="C467" s="172" t="s">
        <v>102</v>
      </c>
      <c r="D467" s="172" t="s">
        <v>102</v>
      </c>
      <c r="E467" s="172" t="s">
        <v>102</v>
      </c>
      <c r="F467" s="172" t="s">
        <v>102</v>
      </c>
    </row>
    <row r="468" spans="1:6">
      <c r="A468" s="214">
        <v>413102</v>
      </c>
      <c r="B468" s="190" t="s">
        <v>574</v>
      </c>
      <c r="C468" s="172" t="s">
        <v>102</v>
      </c>
      <c r="D468" s="172" t="s">
        <v>102</v>
      </c>
      <c r="E468" s="172" t="s">
        <v>102</v>
      </c>
      <c r="F468" s="172" t="s">
        <v>102</v>
      </c>
    </row>
    <row r="469" spans="1:6">
      <c r="A469" s="214">
        <v>413103</v>
      </c>
      <c r="B469" s="190" t="s">
        <v>575</v>
      </c>
      <c r="C469" s="172" t="s">
        <v>102</v>
      </c>
      <c r="D469" s="172" t="s">
        <v>102</v>
      </c>
      <c r="E469" s="172" t="s">
        <v>102</v>
      </c>
      <c r="F469" s="172" t="s">
        <v>102</v>
      </c>
    </row>
    <row r="470" spans="1:6">
      <c r="A470" s="214">
        <v>413104</v>
      </c>
      <c r="B470" s="190" t="s">
        <v>576</v>
      </c>
      <c r="C470" s="172" t="s">
        <v>102</v>
      </c>
      <c r="D470" s="172" t="s">
        <v>102</v>
      </c>
      <c r="E470" s="172" t="s">
        <v>102</v>
      </c>
      <c r="F470" s="172" t="s">
        <v>102</v>
      </c>
    </row>
    <row r="471" spans="1:6">
      <c r="A471" s="214">
        <v>41320</v>
      </c>
      <c r="B471" s="190" t="s">
        <v>264</v>
      </c>
      <c r="C471" s="172" t="s">
        <v>102</v>
      </c>
      <c r="D471" s="172" t="s">
        <v>102</v>
      </c>
      <c r="E471" s="172" t="s">
        <v>102</v>
      </c>
      <c r="F471" s="172" t="s">
        <v>102</v>
      </c>
    </row>
    <row r="472" spans="1:6">
      <c r="A472" s="211">
        <v>413201</v>
      </c>
      <c r="B472" s="110" t="s">
        <v>577</v>
      </c>
      <c r="C472" s="172" t="s">
        <v>102</v>
      </c>
      <c r="D472" s="172" t="s">
        <v>102</v>
      </c>
      <c r="E472" s="172" t="s">
        <v>102</v>
      </c>
      <c r="F472" s="172" t="s">
        <v>102</v>
      </c>
    </row>
    <row r="473" spans="1:6">
      <c r="A473" s="108">
        <v>413202</v>
      </c>
      <c r="B473" s="102" t="s">
        <v>578</v>
      </c>
      <c r="C473" s="172" t="s">
        <v>102</v>
      </c>
      <c r="D473" s="172" t="s">
        <v>102</v>
      </c>
      <c r="E473" s="172" t="s">
        <v>102</v>
      </c>
      <c r="F473" s="172" t="s">
        <v>102</v>
      </c>
    </row>
    <row r="474" spans="1:6">
      <c r="A474" s="108">
        <v>413203</v>
      </c>
      <c r="B474" s="102" t="s">
        <v>579</v>
      </c>
      <c r="C474" s="172" t="s">
        <v>102</v>
      </c>
      <c r="D474" s="172" t="s">
        <v>102</v>
      </c>
      <c r="E474" s="172" t="s">
        <v>102</v>
      </c>
      <c r="F474" s="172" t="s">
        <v>102</v>
      </c>
    </row>
    <row r="475" spans="1:6">
      <c r="A475" s="108">
        <v>413204</v>
      </c>
      <c r="B475" s="102" t="s">
        <v>580</v>
      </c>
      <c r="C475" s="172" t="s">
        <v>102</v>
      </c>
      <c r="D475" s="172" t="s">
        <v>102</v>
      </c>
      <c r="E475" s="172" t="s">
        <v>102</v>
      </c>
      <c r="F475" s="172" t="s">
        <v>102</v>
      </c>
    </row>
    <row r="476" spans="1:6">
      <c r="A476" s="108">
        <v>413205</v>
      </c>
      <c r="B476" s="102" t="s">
        <v>581</v>
      </c>
      <c r="C476" s="172" t="s">
        <v>102</v>
      </c>
      <c r="D476" s="172" t="s">
        <v>102</v>
      </c>
      <c r="E476" s="172" t="s">
        <v>102</v>
      </c>
      <c r="F476" s="172" t="s">
        <v>102</v>
      </c>
    </row>
    <row r="477" spans="1:6">
      <c r="A477" s="108">
        <v>413206</v>
      </c>
      <c r="B477" s="102" t="s">
        <v>582</v>
      </c>
      <c r="C477" s="172" t="s">
        <v>102</v>
      </c>
      <c r="D477" s="172" t="s">
        <v>102</v>
      </c>
      <c r="E477" s="172" t="s">
        <v>102</v>
      </c>
      <c r="F477" s="172" t="s">
        <v>102</v>
      </c>
    </row>
    <row r="478" spans="1:6">
      <c r="A478" s="108">
        <v>413207</v>
      </c>
      <c r="B478" s="102" t="s">
        <v>583</v>
      </c>
      <c r="C478" s="172" t="s">
        <v>102</v>
      </c>
      <c r="D478" s="172" t="s">
        <v>102</v>
      </c>
      <c r="E478" s="172" t="s">
        <v>102</v>
      </c>
      <c r="F478" s="172" t="s">
        <v>102</v>
      </c>
    </row>
    <row r="479" spans="1:6">
      <c r="A479" s="108">
        <v>413208</v>
      </c>
      <c r="B479" s="102" t="s">
        <v>584</v>
      </c>
      <c r="C479" s="172" t="s">
        <v>102</v>
      </c>
      <c r="D479" s="172" t="s">
        <v>102</v>
      </c>
      <c r="E479" s="172" t="s">
        <v>102</v>
      </c>
      <c r="F479" s="172" t="s">
        <v>102</v>
      </c>
    </row>
    <row r="480" spans="1:6">
      <c r="A480" s="108">
        <v>413209</v>
      </c>
      <c r="B480" s="102" t="s">
        <v>585</v>
      </c>
      <c r="C480" s="172" t="s">
        <v>102</v>
      </c>
      <c r="D480" s="172" t="s">
        <v>102</v>
      </c>
      <c r="E480" s="172" t="s">
        <v>102</v>
      </c>
      <c r="F480" s="172" t="s">
        <v>102</v>
      </c>
    </row>
    <row r="481" spans="1:6">
      <c r="A481" s="108">
        <v>413210</v>
      </c>
      <c r="B481" s="102" t="s">
        <v>586</v>
      </c>
      <c r="C481" s="172" t="s">
        <v>102</v>
      </c>
      <c r="D481" s="172" t="s">
        <v>102</v>
      </c>
      <c r="E481" s="172" t="s">
        <v>102</v>
      </c>
      <c r="F481" s="172" t="s">
        <v>102</v>
      </c>
    </row>
    <row r="482" spans="1:6">
      <c r="A482" s="108">
        <v>413211</v>
      </c>
      <c r="B482" s="102" t="s">
        <v>587</v>
      </c>
      <c r="C482" s="172" t="s">
        <v>102</v>
      </c>
      <c r="D482" s="172" t="s">
        <v>102</v>
      </c>
      <c r="E482" s="172" t="s">
        <v>102</v>
      </c>
      <c r="F482" s="172" t="s">
        <v>102</v>
      </c>
    </row>
    <row r="483" spans="1:6">
      <c r="A483" s="108">
        <v>413212</v>
      </c>
      <c r="B483" s="102" t="s">
        <v>588</v>
      </c>
      <c r="C483" s="172" t="s">
        <v>102</v>
      </c>
      <c r="D483" s="172" t="s">
        <v>102</v>
      </c>
      <c r="E483" s="172" t="s">
        <v>102</v>
      </c>
      <c r="F483" s="172" t="s">
        <v>102</v>
      </c>
    </row>
    <row r="484" spans="1:6">
      <c r="A484" s="108">
        <v>413213</v>
      </c>
      <c r="B484" s="102" t="s">
        <v>589</v>
      </c>
      <c r="C484" s="172" t="s">
        <v>102</v>
      </c>
      <c r="D484" s="172" t="s">
        <v>102</v>
      </c>
      <c r="E484" s="172" t="s">
        <v>102</v>
      </c>
      <c r="F484" s="172" t="s">
        <v>102</v>
      </c>
    </row>
    <row r="485" spans="1:6">
      <c r="A485" s="108">
        <v>41330</v>
      </c>
      <c r="B485" s="102" t="s">
        <v>265</v>
      </c>
      <c r="C485" s="172" t="s">
        <v>102</v>
      </c>
      <c r="D485" s="172" t="s">
        <v>102</v>
      </c>
      <c r="E485" s="172" t="s">
        <v>102</v>
      </c>
      <c r="F485" s="172" t="s">
        <v>102</v>
      </c>
    </row>
    <row r="486" spans="1:6">
      <c r="A486" s="211">
        <v>41340</v>
      </c>
      <c r="B486" s="110" t="s">
        <v>266</v>
      </c>
      <c r="C486" s="172" t="s">
        <v>102</v>
      </c>
      <c r="D486" s="172" t="s">
        <v>102</v>
      </c>
      <c r="E486" s="172" t="s">
        <v>102</v>
      </c>
      <c r="F486" s="172" t="s">
        <v>102</v>
      </c>
    </row>
    <row r="487" spans="1:6">
      <c r="A487" s="211">
        <v>41350</v>
      </c>
      <c r="B487" s="110" t="s">
        <v>267</v>
      </c>
      <c r="C487" s="172" t="s">
        <v>102</v>
      </c>
      <c r="D487" s="172" t="s">
        <v>102</v>
      </c>
      <c r="E487" s="172" t="s">
        <v>102</v>
      </c>
      <c r="F487" s="172" t="s">
        <v>102</v>
      </c>
    </row>
    <row r="488" spans="1:6">
      <c r="A488" s="211">
        <v>4136</v>
      </c>
      <c r="B488" s="110" t="s">
        <v>639</v>
      </c>
      <c r="C488" s="172" t="s">
        <v>102</v>
      </c>
      <c r="D488" s="172" t="s">
        <v>102</v>
      </c>
      <c r="E488" s="172" t="s">
        <v>102</v>
      </c>
      <c r="F488" s="172" t="s">
        <v>102</v>
      </c>
    </row>
    <row r="489" spans="1:6">
      <c r="A489" s="202">
        <v>41361</v>
      </c>
      <c r="B489" s="182" t="s">
        <v>268</v>
      </c>
      <c r="C489" s="172" t="s">
        <v>102</v>
      </c>
      <c r="D489" s="172" t="s">
        <v>102</v>
      </c>
      <c r="E489" s="172" t="s">
        <v>102</v>
      </c>
      <c r="F489" s="172" t="s">
        <v>102</v>
      </c>
    </row>
    <row r="490" spans="1:6">
      <c r="A490" s="211">
        <v>41362</v>
      </c>
      <c r="B490" s="110" t="s">
        <v>269</v>
      </c>
      <c r="C490" s="172" t="s">
        <v>102</v>
      </c>
      <c r="D490" s="172" t="s">
        <v>102</v>
      </c>
      <c r="E490" s="172" t="s">
        <v>102</v>
      </c>
      <c r="F490" s="172" t="s">
        <v>102</v>
      </c>
    </row>
    <row r="491" spans="1:6">
      <c r="A491" s="211">
        <v>41363</v>
      </c>
      <c r="B491" s="110" t="s">
        <v>653</v>
      </c>
      <c r="C491" s="172" t="s">
        <v>102</v>
      </c>
      <c r="D491" s="172" t="s">
        <v>102</v>
      </c>
      <c r="E491" s="172" t="s">
        <v>102</v>
      </c>
      <c r="F491" s="172" t="s">
        <v>102</v>
      </c>
    </row>
    <row r="492" spans="1:6">
      <c r="A492" s="211">
        <v>41364</v>
      </c>
      <c r="B492" s="101" t="s">
        <v>679</v>
      </c>
      <c r="C492" s="172" t="s">
        <v>102</v>
      </c>
      <c r="D492" s="172" t="s">
        <v>102</v>
      </c>
      <c r="E492" s="172" t="s">
        <v>102</v>
      </c>
      <c r="F492" s="172" t="s">
        <v>102</v>
      </c>
    </row>
    <row r="493" spans="1:6">
      <c r="A493" s="211">
        <v>41365</v>
      </c>
      <c r="B493" s="102" t="s">
        <v>680</v>
      </c>
      <c r="C493" s="172" t="s">
        <v>102</v>
      </c>
      <c r="D493" s="172" t="s">
        <v>102</v>
      </c>
      <c r="E493" s="172" t="s">
        <v>102</v>
      </c>
      <c r="F493" s="172" t="s">
        <v>102</v>
      </c>
    </row>
    <row r="494" spans="1:6">
      <c r="A494" s="211">
        <v>41366</v>
      </c>
      <c r="B494" s="102" t="s">
        <v>681</v>
      </c>
      <c r="C494" s="172" t="s">
        <v>102</v>
      </c>
      <c r="D494" s="172" t="s">
        <v>102</v>
      </c>
      <c r="E494" s="172" t="s">
        <v>102</v>
      </c>
      <c r="F494" s="172" t="s">
        <v>102</v>
      </c>
    </row>
    <row r="495" spans="1:6">
      <c r="A495" s="211">
        <v>414</v>
      </c>
      <c r="B495" s="102" t="s">
        <v>270</v>
      </c>
      <c r="C495" s="172" t="s">
        <v>102</v>
      </c>
      <c r="D495" s="172" t="s">
        <v>102</v>
      </c>
      <c r="E495" s="172" t="s">
        <v>102</v>
      </c>
      <c r="F495" s="172" t="s">
        <v>102</v>
      </c>
    </row>
    <row r="496" spans="1:6">
      <c r="A496" s="202">
        <v>41410</v>
      </c>
      <c r="B496" s="182" t="s">
        <v>271</v>
      </c>
      <c r="C496" s="172" t="s">
        <v>102</v>
      </c>
      <c r="D496" s="172" t="s">
        <v>102</v>
      </c>
      <c r="E496" s="172" t="s">
        <v>102</v>
      </c>
      <c r="F496" s="172" t="s">
        <v>102</v>
      </c>
    </row>
    <row r="497" spans="1:6">
      <c r="A497" s="211">
        <v>41420</v>
      </c>
      <c r="B497" s="110" t="s">
        <v>272</v>
      </c>
      <c r="C497" s="172" t="s">
        <v>102</v>
      </c>
      <c r="D497" s="172" t="s">
        <v>102</v>
      </c>
      <c r="E497" s="172" t="s">
        <v>102</v>
      </c>
      <c r="F497" s="172" t="s">
        <v>102</v>
      </c>
    </row>
    <row r="498" spans="1:6">
      <c r="A498" s="211">
        <v>41430</v>
      </c>
      <c r="B498" s="110" t="s">
        <v>273</v>
      </c>
      <c r="C498" s="172" t="s">
        <v>102</v>
      </c>
      <c r="D498" s="172" t="s">
        <v>102</v>
      </c>
      <c r="E498" s="172" t="s">
        <v>102</v>
      </c>
      <c r="F498" s="172" t="s">
        <v>102</v>
      </c>
    </row>
    <row r="499" spans="1:6">
      <c r="A499" s="211">
        <v>41440</v>
      </c>
      <c r="B499" s="110" t="s">
        <v>274</v>
      </c>
      <c r="C499" s="172" t="s">
        <v>102</v>
      </c>
      <c r="D499" s="172" t="s">
        <v>102</v>
      </c>
      <c r="E499" s="172" t="s">
        <v>102</v>
      </c>
      <c r="F499" s="172" t="s">
        <v>102</v>
      </c>
    </row>
    <row r="500" spans="1:6">
      <c r="A500" s="211">
        <v>41450</v>
      </c>
      <c r="B500" s="110" t="s">
        <v>275</v>
      </c>
      <c r="C500" s="172" t="s">
        <v>102</v>
      </c>
      <c r="D500" s="172" t="s">
        <v>102</v>
      </c>
      <c r="E500" s="172" t="s">
        <v>102</v>
      </c>
      <c r="F500" s="172" t="s">
        <v>102</v>
      </c>
    </row>
    <row r="501" spans="1:6">
      <c r="A501" s="211">
        <v>42</v>
      </c>
      <c r="B501" s="110" t="s">
        <v>276</v>
      </c>
      <c r="C501" s="172" t="s">
        <v>102</v>
      </c>
      <c r="D501" s="172" t="s">
        <v>102</v>
      </c>
      <c r="E501" s="172" t="s">
        <v>102</v>
      </c>
      <c r="F501" s="172" t="s">
        <v>102</v>
      </c>
    </row>
    <row r="502" spans="1:6">
      <c r="A502" s="199">
        <v>421</v>
      </c>
      <c r="B502" s="182" t="s">
        <v>277</v>
      </c>
      <c r="C502" s="172" t="s">
        <v>102</v>
      </c>
      <c r="D502" s="172" t="s">
        <v>102</v>
      </c>
      <c r="E502" s="172" t="s">
        <v>102</v>
      </c>
      <c r="F502" s="172" t="s">
        <v>102</v>
      </c>
    </row>
    <row r="503" spans="1:6">
      <c r="A503" s="202">
        <v>4211</v>
      </c>
      <c r="B503" s="182" t="s">
        <v>129</v>
      </c>
      <c r="C503" s="172" t="s">
        <v>102</v>
      </c>
      <c r="D503" s="172" t="s">
        <v>102</v>
      </c>
      <c r="E503" s="172" t="s">
        <v>102</v>
      </c>
      <c r="F503" s="172" t="s">
        <v>102</v>
      </c>
    </row>
    <row r="504" spans="1:6">
      <c r="A504" s="202">
        <v>42111</v>
      </c>
      <c r="B504" s="182" t="s">
        <v>246</v>
      </c>
      <c r="C504" s="172" t="s">
        <v>102</v>
      </c>
      <c r="D504" s="172" t="s">
        <v>102</v>
      </c>
      <c r="E504" s="172" t="s">
        <v>102</v>
      </c>
      <c r="F504" s="172" t="s">
        <v>102</v>
      </c>
    </row>
    <row r="505" spans="1:6">
      <c r="A505" s="109">
        <v>42112</v>
      </c>
      <c r="B505" s="110" t="s">
        <v>247</v>
      </c>
      <c r="C505" s="172" t="s">
        <v>102</v>
      </c>
      <c r="D505" s="172" t="s">
        <v>102</v>
      </c>
      <c r="E505" s="172" t="s">
        <v>102</v>
      </c>
      <c r="F505" s="172" t="s">
        <v>102</v>
      </c>
    </row>
    <row r="506" spans="1:6">
      <c r="A506" s="109">
        <v>42113</v>
      </c>
      <c r="B506" s="110" t="s">
        <v>248</v>
      </c>
      <c r="C506" s="172" t="s">
        <v>102</v>
      </c>
      <c r="D506" s="172" t="s">
        <v>102</v>
      </c>
      <c r="E506" s="172" t="s">
        <v>102</v>
      </c>
      <c r="F506" s="172" t="s">
        <v>102</v>
      </c>
    </row>
    <row r="507" spans="1:6">
      <c r="A507" s="109">
        <v>4212</v>
      </c>
      <c r="B507" s="110" t="s">
        <v>135</v>
      </c>
      <c r="C507" s="172" t="s">
        <v>102</v>
      </c>
      <c r="D507" s="172" t="s">
        <v>102</v>
      </c>
      <c r="E507" s="172" t="s">
        <v>102</v>
      </c>
      <c r="F507" s="172" t="s">
        <v>102</v>
      </c>
    </row>
    <row r="508" spans="1:6">
      <c r="A508" s="215">
        <v>42121</v>
      </c>
      <c r="B508" s="188" t="s">
        <v>246</v>
      </c>
      <c r="C508" s="172" t="s">
        <v>102</v>
      </c>
      <c r="D508" s="172" t="s">
        <v>102</v>
      </c>
      <c r="E508" s="172" t="s">
        <v>102</v>
      </c>
      <c r="F508" s="172" t="s">
        <v>102</v>
      </c>
    </row>
    <row r="509" spans="1:6">
      <c r="A509" s="109">
        <v>42122</v>
      </c>
      <c r="B509" s="110" t="s">
        <v>247</v>
      </c>
      <c r="C509" s="172" t="s">
        <v>102</v>
      </c>
      <c r="D509" s="172" t="s">
        <v>102</v>
      </c>
      <c r="E509" s="172" t="s">
        <v>102</v>
      </c>
      <c r="F509" s="172" t="s">
        <v>102</v>
      </c>
    </row>
    <row r="510" spans="1:6">
      <c r="A510" s="109">
        <v>42123</v>
      </c>
      <c r="B510" s="110" t="s">
        <v>248</v>
      </c>
      <c r="C510" s="172" t="s">
        <v>102</v>
      </c>
      <c r="D510" s="172" t="s">
        <v>102</v>
      </c>
      <c r="E510" s="172" t="s">
        <v>102</v>
      </c>
      <c r="F510" s="172" t="s">
        <v>102</v>
      </c>
    </row>
    <row r="511" spans="1:6">
      <c r="A511" s="109">
        <v>422</v>
      </c>
      <c r="B511" s="110" t="s">
        <v>213</v>
      </c>
      <c r="C511" s="172" t="s">
        <v>102</v>
      </c>
      <c r="D511" s="172" t="s">
        <v>102</v>
      </c>
      <c r="E511" s="172" t="s">
        <v>102</v>
      </c>
      <c r="F511" s="172" t="s">
        <v>102</v>
      </c>
    </row>
    <row r="512" spans="1:6">
      <c r="A512" s="202">
        <v>4221</v>
      </c>
      <c r="B512" s="182" t="s">
        <v>129</v>
      </c>
      <c r="C512" s="172" t="s">
        <v>102</v>
      </c>
      <c r="D512" s="172" t="s">
        <v>102</v>
      </c>
      <c r="E512" s="172" t="s">
        <v>102</v>
      </c>
      <c r="F512" s="172" t="s">
        <v>102</v>
      </c>
    </row>
    <row r="513" spans="1:6">
      <c r="A513" s="202">
        <v>42211</v>
      </c>
      <c r="B513" s="182" t="s">
        <v>250</v>
      </c>
      <c r="C513" s="172" t="s">
        <v>102</v>
      </c>
      <c r="D513" s="172" t="s">
        <v>102</v>
      </c>
      <c r="E513" s="172" t="s">
        <v>102</v>
      </c>
      <c r="F513" s="172" t="s">
        <v>102</v>
      </c>
    </row>
    <row r="514" spans="1:6">
      <c r="A514" s="211">
        <v>42212</v>
      </c>
      <c r="B514" s="110" t="s">
        <v>278</v>
      </c>
      <c r="C514" s="172" t="s">
        <v>102</v>
      </c>
      <c r="D514" s="172" t="s">
        <v>102</v>
      </c>
      <c r="E514" s="172" t="s">
        <v>102</v>
      </c>
      <c r="F514" s="172" t="s">
        <v>102</v>
      </c>
    </row>
    <row r="515" spans="1:6">
      <c r="A515" s="211">
        <v>42213</v>
      </c>
      <c r="B515" s="110" t="s">
        <v>251</v>
      </c>
      <c r="C515" s="172" t="s">
        <v>102</v>
      </c>
      <c r="D515" s="172" t="s">
        <v>102</v>
      </c>
      <c r="E515" s="172" t="s">
        <v>102</v>
      </c>
      <c r="F515" s="172" t="s">
        <v>102</v>
      </c>
    </row>
    <row r="516" spans="1:6">
      <c r="A516" s="211">
        <v>42214</v>
      </c>
      <c r="B516" s="110" t="s">
        <v>252</v>
      </c>
      <c r="C516" s="172" t="s">
        <v>102</v>
      </c>
      <c r="D516" s="172" t="s">
        <v>102</v>
      </c>
      <c r="E516" s="172" t="s">
        <v>102</v>
      </c>
      <c r="F516" s="172" t="s">
        <v>102</v>
      </c>
    </row>
    <row r="517" spans="1:6">
      <c r="A517" s="211">
        <v>42215</v>
      </c>
      <c r="B517" s="110" t="s">
        <v>253</v>
      </c>
      <c r="C517" s="172" t="s">
        <v>102</v>
      </c>
      <c r="D517" s="172" t="s">
        <v>102</v>
      </c>
      <c r="E517" s="172" t="s">
        <v>102</v>
      </c>
      <c r="F517" s="172" t="s">
        <v>102</v>
      </c>
    </row>
    <row r="518" spans="1:6">
      <c r="A518" s="211">
        <v>42216</v>
      </c>
      <c r="B518" s="110" t="s">
        <v>254</v>
      </c>
      <c r="C518" s="172" t="s">
        <v>102</v>
      </c>
      <c r="D518" s="172" t="s">
        <v>102</v>
      </c>
      <c r="E518" s="172" t="s">
        <v>102</v>
      </c>
      <c r="F518" s="172" t="s">
        <v>102</v>
      </c>
    </row>
    <row r="519" spans="1:6">
      <c r="A519" s="211">
        <v>42217</v>
      </c>
      <c r="B519" s="110" t="s">
        <v>255</v>
      </c>
      <c r="C519" s="172" t="s">
        <v>102</v>
      </c>
      <c r="D519" s="172" t="s">
        <v>102</v>
      </c>
      <c r="E519" s="172" t="s">
        <v>102</v>
      </c>
      <c r="F519" s="172" t="s">
        <v>102</v>
      </c>
    </row>
    <row r="520" spans="1:6">
      <c r="A520" s="211">
        <v>4222</v>
      </c>
      <c r="B520" s="110" t="s">
        <v>135</v>
      </c>
      <c r="C520" s="172" t="s">
        <v>102</v>
      </c>
      <c r="D520" s="172" t="s">
        <v>102</v>
      </c>
      <c r="E520" s="172" t="s">
        <v>102</v>
      </c>
      <c r="F520" s="172" t="s">
        <v>102</v>
      </c>
    </row>
    <row r="521" spans="1:6">
      <c r="A521" s="202">
        <v>42221</v>
      </c>
      <c r="B521" s="182" t="s">
        <v>279</v>
      </c>
      <c r="C521" s="172" t="s">
        <v>102</v>
      </c>
      <c r="D521" s="172" t="s">
        <v>102</v>
      </c>
      <c r="E521" s="172" t="s">
        <v>102</v>
      </c>
      <c r="F521" s="172" t="s">
        <v>102</v>
      </c>
    </row>
    <row r="522" spans="1:6">
      <c r="A522" s="211">
        <v>42222</v>
      </c>
      <c r="B522" s="110" t="s">
        <v>280</v>
      </c>
      <c r="C522" s="172" t="s">
        <v>102</v>
      </c>
      <c r="D522" s="172" t="s">
        <v>102</v>
      </c>
      <c r="E522" s="172" t="s">
        <v>102</v>
      </c>
      <c r="F522" s="172" t="s">
        <v>102</v>
      </c>
    </row>
    <row r="523" spans="1:6">
      <c r="A523" s="211">
        <v>42223</v>
      </c>
      <c r="B523" s="110" t="s">
        <v>258</v>
      </c>
      <c r="C523" s="172" t="s">
        <v>102</v>
      </c>
      <c r="D523" s="172" t="s">
        <v>102</v>
      </c>
      <c r="E523" s="172" t="s">
        <v>102</v>
      </c>
      <c r="F523" s="172" t="s">
        <v>102</v>
      </c>
    </row>
    <row r="524" spans="1:6">
      <c r="A524" s="211">
        <v>42224</v>
      </c>
      <c r="B524" s="110" t="s">
        <v>259</v>
      </c>
      <c r="C524" s="172" t="s">
        <v>102</v>
      </c>
      <c r="D524" s="172" t="s">
        <v>102</v>
      </c>
      <c r="E524" s="172" t="s">
        <v>102</v>
      </c>
      <c r="F524" s="172" t="s">
        <v>102</v>
      </c>
    </row>
    <row r="525" spans="1:6">
      <c r="A525" s="211">
        <v>42225</v>
      </c>
      <c r="B525" s="110" t="s">
        <v>260</v>
      </c>
      <c r="C525" s="172" t="s">
        <v>102</v>
      </c>
      <c r="D525" s="172" t="s">
        <v>102</v>
      </c>
      <c r="E525" s="172" t="s">
        <v>102</v>
      </c>
      <c r="F525" s="172" t="s">
        <v>102</v>
      </c>
    </row>
    <row r="526" spans="1:6">
      <c r="A526" s="211">
        <v>42226</v>
      </c>
      <c r="B526" s="110" t="s">
        <v>261</v>
      </c>
      <c r="C526" s="172" t="s">
        <v>102</v>
      </c>
      <c r="D526" s="172" t="s">
        <v>102</v>
      </c>
      <c r="E526" s="172" t="s">
        <v>102</v>
      </c>
      <c r="F526" s="172" t="s">
        <v>102</v>
      </c>
    </row>
    <row r="527" spans="1:6">
      <c r="A527" s="211">
        <v>42227</v>
      </c>
      <c r="B527" s="110" t="s">
        <v>627</v>
      </c>
      <c r="C527" s="172" t="s">
        <v>102</v>
      </c>
      <c r="D527" s="172" t="s">
        <v>102</v>
      </c>
      <c r="E527" s="172" t="s">
        <v>102</v>
      </c>
      <c r="F527" s="172" t="s">
        <v>102</v>
      </c>
    </row>
    <row r="528" spans="1:6">
      <c r="A528" s="161">
        <v>42228</v>
      </c>
      <c r="B528" s="191" t="s">
        <v>682</v>
      </c>
      <c r="C528" s="172" t="s">
        <v>102</v>
      </c>
      <c r="D528" s="172" t="s">
        <v>102</v>
      </c>
      <c r="E528" s="172" t="s">
        <v>102</v>
      </c>
      <c r="F528" s="172" t="s">
        <v>102</v>
      </c>
    </row>
    <row r="529" spans="1:6">
      <c r="A529" s="216">
        <v>42229</v>
      </c>
      <c r="B529" s="193" t="s">
        <v>683</v>
      </c>
      <c r="C529" s="172" t="s">
        <v>102</v>
      </c>
      <c r="D529" s="172" t="s">
        <v>102</v>
      </c>
      <c r="E529" s="172" t="s">
        <v>102</v>
      </c>
      <c r="F529" s="172" t="s">
        <v>102</v>
      </c>
    </row>
    <row r="530" spans="1:6">
      <c r="A530" s="161">
        <v>42230</v>
      </c>
      <c r="B530" s="193" t="s">
        <v>684</v>
      </c>
      <c r="C530" s="172" t="s">
        <v>102</v>
      </c>
      <c r="D530" s="172" t="s">
        <v>102</v>
      </c>
      <c r="E530" s="172" t="s">
        <v>102</v>
      </c>
      <c r="F530" s="172" t="s">
        <v>102</v>
      </c>
    </row>
    <row r="531" spans="1:6">
      <c r="A531" s="161">
        <v>42231</v>
      </c>
      <c r="B531" s="193" t="s">
        <v>654</v>
      </c>
      <c r="C531" s="172" t="s">
        <v>102</v>
      </c>
      <c r="D531" s="172" t="s">
        <v>102</v>
      </c>
      <c r="E531" s="172" t="s">
        <v>102</v>
      </c>
      <c r="F531" s="172" t="s">
        <v>102</v>
      </c>
    </row>
    <row r="532" spans="1:6">
      <c r="A532" s="217">
        <v>5</v>
      </c>
      <c r="B532" s="193" t="s">
        <v>281</v>
      </c>
      <c r="C532" s="172" t="s">
        <v>102</v>
      </c>
      <c r="D532" s="172" t="s">
        <v>102</v>
      </c>
      <c r="E532" s="172" t="s">
        <v>102</v>
      </c>
      <c r="F532" s="172" t="s">
        <v>102</v>
      </c>
    </row>
    <row r="533" spans="1:6">
      <c r="A533" s="202">
        <v>51</v>
      </c>
      <c r="B533" s="182" t="s">
        <v>282</v>
      </c>
      <c r="C533" s="172" t="s">
        <v>102</v>
      </c>
      <c r="D533" s="172" t="s">
        <v>102</v>
      </c>
      <c r="E533" s="172" t="s">
        <v>102</v>
      </c>
      <c r="F533" s="172" t="s">
        <v>102</v>
      </c>
    </row>
    <row r="534" spans="1:6">
      <c r="A534" s="199">
        <v>511</v>
      </c>
      <c r="B534" s="182" t="s">
        <v>638</v>
      </c>
      <c r="C534" s="172" t="s">
        <v>102</v>
      </c>
      <c r="D534" s="172" t="s">
        <v>102</v>
      </c>
      <c r="E534" s="172" t="s">
        <v>102</v>
      </c>
      <c r="F534" s="172" t="s">
        <v>102</v>
      </c>
    </row>
    <row r="535" spans="1:6">
      <c r="A535" s="218">
        <v>51101</v>
      </c>
      <c r="B535" s="195" t="s">
        <v>685</v>
      </c>
      <c r="C535" s="172" t="s">
        <v>102</v>
      </c>
      <c r="D535" s="172" t="s">
        <v>102</v>
      </c>
      <c r="E535" s="172" t="s">
        <v>102</v>
      </c>
      <c r="F535" s="172" t="s">
        <v>102</v>
      </c>
    </row>
    <row r="536" spans="1:6">
      <c r="A536" s="109">
        <v>51102</v>
      </c>
      <c r="B536" s="102" t="s">
        <v>686</v>
      </c>
      <c r="C536" s="172" t="s">
        <v>102</v>
      </c>
      <c r="D536" s="172" t="s">
        <v>102</v>
      </c>
      <c r="E536" s="172" t="s">
        <v>102</v>
      </c>
      <c r="F536" s="172" t="s">
        <v>102</v>
      </c>
    </row>
    <row r="537" spans="1:6">
      <c r="A537" s="109">
        <v>51103</v>
      </c>
      <c r="B537" s="102" t="s">
        <v>687</v>
      </c>
      <c r="C537" s="172" t="s">
        <v>102</v>
      </c>
      <c r="D537" s="172" t="s">
        <v>102</v>
      </c>
      <c r="E537" s="172" t="s">
        <v>102</v>
      </c>
      <c r="F537" s="172" t="s">
        <v>102</v>
      </c>
    </row>
    <row r="538" spans="1:6">
      <c r="A538" s="109">
        <v>51104</v>
      </c>
      <c r="B538" s="102" t="s">
        <v>688</v>
      </c>
      <c r="C538" s="172" t="s">
        <v>102</v>
      </c>
      <c r="D538" s="172" t="s">
        <v>102</v>
      </c>
      <c r="E538" s="172" t="s">
        <v>102</v>
      </c>
      <c r="F538" s="172" t="s">
        <v>102</v>
      </c>
    </row>
    <row r="539" spans="1:6">
      <c r="A539" s="109">
        <v>51105</v>
      </c>
      <c r="B539" s="102" t="s">
        <v>689</v>
      </c>
      <c r="C539" s="172" t="s">
        <v>102</v>
      </c>
      <c r="D539" s="172" t="s">
        <v>102</v>
      </c>
      <c r="E539" s="172" t="s">
        <v>102</v>
      </c>
      <c r="F539" s="172" t="s">
        <v>102</v>
      </c>
    </row>
    <row r="540" spans="1:6">
      <c r="A540" s="109">
        <v>51106</v>
      </c>
      <c r="B540" s="102" t="s">
        <v>690</v>
      </c>
      <c r="C540" s="172" t="s">
        <v>102</v>
      </c>
      <c r="D540" s="172" t="s">
        <v>102</v>
      </c>
      <c r="E540" s="172" t="s">
        <v>102</v>
      </c>
      <c r="F540" s="172" t="s">
        <v>102</v>
      </c>
    </row>
    <row r="541" spans="1:6">
      <c r="A541" s="109">
        <v>512</v>
      </c>
      <c r="B541" s="102" t="s">
        <v>283</v>
      </c>
      <c r="C541" s="172" t="s">
        <v>102</v>
      </c>
      <c r="D541" s="172" t="s">
        <v>102</v>
      </c>
      <c r="E541" s="172" t="s">
        <v>102</v>
      </c>
      <c r="F541" s="172" t="s">
        <v>102</v>
      </c>
    </row>
    <row r="542" spans="1:6">
      <c r="A542" s="202">
        <v>51210</v>
      </c>
      <c r="B542" s="182" t="s">
        <v>284</v>
      </c>
      <c r="C542" s="172" t="s">
        <v>102</v>
      </c>
      <c r="D542" s="172" t="s">
        <v>102</v>
      </c>
      <c r="E542" s="172" t="s">
        <v>102</v>
      </c>
      <c r="F542" s="172" t="s">
        <v>102</v>
      </c>
    </row>
    <row r="543" spans="1:6">
      <c r="A543" s="211">
        <v>51220</v>
      </c>
      <c r="B543" s="110" t="s">
        <v>285</v>
      </c>
      <c r="C543" s="172" t="s">
        <v>102</v>
      </c>
      <c r="D543" s="172" t="s">
        <v>102</v>
      </c>
      <c r="E543" s="172" t="s">
        <v>102</v>
      </c>
      <c r="F543" s="172" t="s">
        <v>102</v>
      </c>
    </row>
    <row r="544" spans="1:6">
      <c r="A544" s="211">
        <v>51230</v>
      </c>
      <c r="B544" s="110" t="s">
        <v>286</v>
      </c>
      <c r="C544" s="172" t="s">
        <v>102</v>
      </c>
      <c r="D544" s="172" t="s">
        <v>102</v>
      </c>
      <c r="E544" s="172" t="s">
        <v>102</v>
      </c>
      <c r="F544" s="172" t="s">
        <v>102</v>
      </c>
    </row>
    <row r="545" spans="1:6">
      <c r="A545" s="211">
        <v>51300</v>
      </c>
      <c r="B545" s="110" t="s">
        <v>287</v>
      </c>
      <c r="C545" s="172" t="s">
        <v>102</v>
      </c>
      <c r="D545" s="172" t="s">
        <v>102</v>
      </c>
      <c r="E545" s="172" t="s">
        <v>102</v>
      </c>
      <c r="F545" s="172" t="s">
        <v>102</v>
      </c>
    </row>
    <row r="546" spans="1:6">
      <c r="A546" s="211">
        <v>51400</v>
      </c>
      <c r="B546" s="110" t="s">
        <v>290</v>
      </c>
      <c r="C546" s="172" t="s">
        <v>102</v>
      </c>
      <c r="D546" s="172" t="s">
        <v>102</v>
      </c>
      <c r="E546" s="172" t="s">
        <v>102</v>
      </c>
      <c r="F546" s="172" t="s">
        <v>102</v>
      </c>
    </row>
    <row r="547" spans="1:6">
      <c r="A547" s="107">
        <v>51500</v>
      </c>
      <c r="B547" s="102" t="s">
        <v>288</v>
      </c>
      <c r="C547" s="172" t="s">
        <v>102</v>
      </c>
      <c r="D547" s="172" t="s">
        <v>102</v>
      </c>
      <c r="E547" s="172" t="s">
        <v>102</v>
      </c>
      <c r="F547" s="172" t="s">
        <v>102</v>
      </c>
    </row>
    <row r="548" spans="1:6">
      <c r="A548" s="211">
        <v>51500</v>
      </c>
      <c r="B548" s="110" t="s">
        <v>288</v>
      </c>
      <c r="C548" s="172" t="s">
        <v>102</v>
      </c>
      <c r="D548" s="172" t="s">
        <v>102</v>
      </c>
      <c r="E548" s="172" t="s">
        <v>102</v>
      </c>
      <c r="F548" s="172" t="s">
        <v>102</v>
      </c>
    </row>
    <row r="549" spans="1:6">
      <c r="A549" s="211">
        <v>51600</v>
      </c>
      <c r="B549" s="110" t="s">
        <v>289</v>
      </c>
      <c r="C549" s="172"/>
      <c r="D549" s="172"/>
      <c r="E549" s="172"/>
      <c r="F549" s="172"/>
    </row>
  </sheetData>
  <autoFilter ref="A4:B5"/>
  <mergeCells count="5">
    <mergeCell ref="A2:F2"/>
    <mergeCell ref="C4:D4"/>
    <mergeCell ref="E4:F4"/>
    <mergeCell ref="B4:B5"/>
    <mergeCell ref="A4:A5"/>
  </mergeCells>
  <pageMargins bottom="0.3" footer="0.3" header="0.3" left="0.25" right="0.25" top="0.36"/>
  <pageSetup fitToHeight="0" orientation="portrait" paperSize="9" r:id="rId1" scale="58"/>
</worksheet>
</file>

<file path=xl/worksheets/sheet1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H557"/>
  <sheetViews>
    <sheetView workbookViewId="0" zoomScale="80" zoomScaleNormal="80">
      <selection activeCell="BP170" sqref="BP170"/>
    </sheetView>
  </sheetViews>
  <sheetFormatPr defaultRowHeight="12.75"/>
  <cols>
    <col min="1" max="1" bestFit="true" customWidth="true" style="196" width="12.5703125" collapsed="false"/>
    <col min="2" max="2" customWidth="true" style="89" width="79.42578125" collapsed="false"/>
    <col min="3" max="3" customWidth="true" style="85" width="21.28515625" collapsed="false"/>
    <col min="4" max="4" customWidth="true" style="85" width="18.42578125" collapsed="false"/>
    <col min="5" max="5" customWidth="true" style="85" width="17.28515625" collapsed="false"/>
    <col min="6" max="6" customWidth="true" style="85" width="19.140625" collapsed="false"/>
    <col min="7" max="7" customWidth="true" style="85" width="18.0" collapsed="false"/>
    <col min="8" max="8" customWidth="true" style="85" width="15.5703125" collapsed="false"/>
    <col min="9" max="16384" style="85" width="9.140625" collapsed="false"/>
  </cols>
  <sheetData>
    <row r="1" spans="1:8">
      <c r="A1" s="164" t="s">
        <v>102</v>
      </c>
      <c r="B1" s="165" t="s">
        <v>102</v>
      </c>
      <c r="C1" s="166" t="s">
        <v>102</v>
      </c>
      <c r="D1" s="166" t="s">
        <v>102</v>
      </c>
      <c r="E1" s="166" t="s">
        <v>102</v>
      </c>
      <c r="F1" s="166" t="s">
        <v>102</v>
      </c>
      <c r="G1" s="166" t="s">
        <v>102</v>
      </c>
      <c r="H1" s="166" t="s">
        <v>102</v>
      </c>
    </row>
    <row r="2" spans="1:8">
      <c r="A2" s="164" t="s">
        <v>102</v>
      </c>
      <c r="B2" s="165" t="s">
        <v>102</v>
      </c>
      <c r="C2" s="166" t="s">
        <v>102</v>
      </c>
      <c r="D2" s="166" t="s">
        <v>102</v>
      </c>
      <c r="E2" s="166" t="s">
        <v>102</v>
      </c>
      <c r="F2" s="166" t="s">
        <v>102</v>
      </c>
      <c r="G2" s="166" t="s">
        <v>102</v>
      </c>
      <c r="H2" s="166" t="s">
        <v>102</v>
      </c>
    </row>
    <row r="3" spans="1:8">
      <c r="A3" s="2048" t="s">
        <v>91</v>
      </c>
      <c r="B3" s="2048" t="s">
        <v>102</v>
      </c>
      <c r="C3" s="2048" t="s">
        <v>102</v>
      </c>
      <c r="D3" s="2048" t="s">
        <v>102</v>
      </c>
      <c r="E3" s="2048" t="s">
        <v>102</v>
      </c>
      <c r="F3" s="2048" t="s">
        <v>102</v>
      </c>
      <c r="G3" s="2048" t="s">
        <v>102</v>
      </c>
      <c r="H3" s="2048" t="s">
        <v>102</v>
      </c>
    </row>
    <row r="4" spans="1:8">
      <c r="A4" s="167" t="s">
        <v>102</v>
      </c>
      <c r="B4" s="168" t="s">
        <v>102</v>
      </c>
      <c r="C4" s="169" t="s">
        <v>102</v>
      </c>
      <c r="D4" s="169" t="s">
        <v>102</v>
      </c>
      <c r="E4" s="169" t="s">
        <v>102</v>
      </c>
      <c r="F4" s="169" t="s">
        <v>102</v>
      </c>
      <c r="G4" s="169" t="s">
        <v>102</v>
      </c>
      <c r="H4" s="169" t="s">
        <v>102</v>
      </c>
    </row>
    <row r="5" spans="1:8">
      <c r="A5" s="2206" t="s">
        <v>64</v>
      </c>
      <c r="B5" s="2205" t="s">
        <v>78</v>
      </c>
      <c r="C5" s="2205" t="s">
        <v>29</v>
      </c>
      <c r="D5" s="2189" t="s">
        <v>32</v>
      </c>
      <c r="E5" s="2204" t="s">
        <v>92</v>
      </c>
      <c r="F5" s="2204" t="s">
        <v>102</v>
      </c>
      <c r="G5" s="2204" t="s">
        <v>95</v>
      </c>
      <c r="H5" s="2204" t="s">
        <v>102</v>
      </c>
    </row>
    <row ht="25.5" r="6" spans="1:8">
      <c r="A6" s="2206" t="s">
        <v>102</v>
      </c>
      <c r="B6" s="2205" t="s">
        <v>102</v>
      </c>
      <c r="C6" s="2205" t="s">
        <v>102</v>
      </c>
      <c r="D6" s="2189" t="s">
        <v>102</v>
      </c>
      <c r="E6" s="170" t="s">
        <v>93</v>
      </c>
      <c r="F6" s="170" t="s">
        <v>94</v>
      </c>
      <c r="G6" s="170" t="s">
        <v>67</v>
      </c>
      <c r="H6" s="170" t="s">
        <v>96</v>
      </c>
    </row>
    <row r="7" spans="1:8">
      <c r="A7" s="171">
        <v>1</v>
      </c>
      <c r="B7" s="134" t="s">
        <v>3701</v>
      </c>
      <c r="C7" s="172">
        <v>7519270321</v>
      </c>
      <c r="D7" s="172">
        <v>7737199411</v>
      </c>
      <c r="E7" s="172">
        <v>0</v>
      </c>
      <c r="F7" s="172" t="s">
        <v>102</v>
      </c>
      <c r="G7" s="172" t="s">
        <v>102</v>
      </c>
      <c r="H7" s="172">
        <v>7525562411</v>
      </c>
    </row>
    <row r="8" spans="1:8">
      <c r="A8" s="171">
        <v>12</v>
      </c>
      <c r="B8" s="134" t="s">
        <v>3702</v>
      </c>
      <c r="C8" s="172">
        <v>0</v>
      </c>
      <c r="D8" s="172">
        <v>12364590</v>
      </c>
      <c r="E8" s="172">
        <v>0</v>
      </c>
      <c r="F8" s="172" t="s">
        <v>102</v>
      </c>
      <c r="G8" s="172" t="s">
        <v>102</v>
      </c>
      <c r="H8" s="172">
        <v>11394590</v>
      </c>
    </row>
    <row r="9" spans="1:8">
      <c r="A9" s="171">
        <v>120</v>
      </c>
      <c r="B9" s="134" t="s">
        <v>3703</v>
      </c>
      <c r="C9" s="172">
        <v>0</v>
      </c>
      <c r="D9" s="172">
        <v>12364590</v>
      </c>
      <c r="E9" s="172">
        <v>0</v>
      </c>
      <c r="F9" s="172" t="s">
        <v>102</v>
      </c>
      <c r="G9" s="172" t="s">
        <v>102</v>
      </c>
      <c r="H9" s="172">
        <v>11394590</v>
      </c>
    </row>
    <row r="10" spans="1:8">
      <c r="A10" s="173">
        <v>120004</v>
      </c>
      <c r="B10" s="174" t="s">
        <v>3704</v>
      </c>
      <c r="C10" s="172">
        <v>0</v>
      </c>
      <c r="D10" s="172">
        <v>12364590</v>
      </c>
      <c r="E10" s="172">
        <v>0</v>
      </c>
      <c r="F10" s="172" t="s">
        <v>102</v>
      </c>
      <c r="G10" s="172" t="s">
        <v>102</v>
      </c>
      <c r="H10" s="172">
        <v>11394590</v>
      </c>
    </row>
    <row r="11" spans="1:8">
      <c r="A11" s="173">
        <v>1200042</v>
      </c>
      <c r="B11" s="174" t="s">
        <v>3683</v>
      </c>
      <c r="C11" s="172">
        <v>0</v>
      </c>
      <c r="D11" s="172">
        <v>12364590</v>
      </c>
      <c r="E11" s="172">
        <v>0</v>
      </c>
      <c r="F11" s="172" t="s">
        <v>102</v>
      </c>
      <c r="G11" s="172" t="s">
        <v>102</v>
      </c>
      <c r="H11" s="172">
        <v>11394590</v>
      </c>
    </row>
    <row r="12" spans="1:8">
      <c r="A12" s="173">
        <v>13</v>
      </c>
      <c r="B12" s="174" t="s">
        <v>3705</v>
      </c>
      <c r="C12" s="172">
        <v>7518667821</v>
      </c>
      <c r="D12" s="172">
        <v>7724834821</v>
      </c>
      <c r="E12" s="172">
        <v>0</v>
      </c>
      <c r="F12" s="172" t="s">
        <v>102</v>
      </c>
      <c r="G12" s="172" t="s">
        <v>102</v>
      </c>
      <c r="H12" s="172">
        <v>7514167821</v>
      </c>
    </row>
    <row r="13" spans="1:8">
      <c r="A13" s="173">
        <v>1310</v>
      </c>
      <c r="B13" s="174" t="s">
        <v>3706</v>
      </c>
      <c r="C13" s="172">
        <v>0</v>
      </c>
      <c r="D13" s="172">
        <v>210667000</v>
      </c>
      <c r="E13" s="172">
        <v>0</v>
      </c>
      <c r="F13" s="172" t="s">
        <v>102</v>
      </c>
      <c r="G13" s="172" t="s">
        <v>102</v>
      </c>
      <c r="H13" s="172">
        <v>0</v>
      </c>
    </row>
    <row r="14" spans="1:8">
      <c r="A14" s="173">
        <v>131001</v>
      </c>
      <c r="B14" s="175" t="s">
        <v>3707</v>
      </c>
      <c r="C14" s="172">
        <v>0</v>
      </c>
      <c r="D14" s="172">
        <v>210667000</v>
      </c>
      <c r="E14" s="172">
        <v>0</v>
      </c>
      <c r="F14" s="172" t="s">
        <v>102</v>
      </c>
      <c r="G14" s="172" t="s">
        <v>102</v>
      </c>
      <c r="H14" s="172">
        <v>0</v>
      </c>
    </row>
    <row r="15" spans="1:8">
      <c r="A15" s="173">
        <v>1311</v>
      </c>
      <c r="B15" s="174" t="s">
        <v>3708</v>
      </c>
      <c r="C15" s="172">
        <v>7518667821</v>
      </c>
      <c r="D15" s="172">
        <v>7514167821</v>
      </c>
      <c r="E15" s="172">
        <v>0</v>
      </c>
      <c r="F15" s="172" t="s">
        <v>102</v>
      </c>
      <c r="G15" s="172" t="s">
        <v>102</v>
      </c>
      <c r="H15" s="172">
        <v>7514167821</v>
      </c>
    </row>
    <row r="16" spans="1:8">
      <c r="A16" s="173">
        <v>131101</v>
      </c>
      <c r="B16" s="174" t="s">
        <v>3709</v>
      </c>
      <c r="C16" s="172">
        <v>83358902</v>
      </c>
      <c r="D16" s="172">
        <v>83358902</v>
      </c>
      <c r="E16" s="172">
        <v>0</v>
      </c>
      <c r="F16" s="172" t="s">
        <v>102</v>
      </c>
      <c r="G16" s="172" t="s">
        <v>102</v>
      </c>
      <c r="H16" s="172">
        <v>83358902</v>
      </c>
    </row>
    <row r="17" spans="1:8">
      <c r="A17" s="173">
        <v>1312104</v>
      </c>
      <c r="B17" s="174" t="s">
        <v>3710</v>
      </c>
      <c r="C17" s="172">
        <v>7430808919</v>
      </c>
      <c r="D17" s="172">
        <v>7430808919</v>
      </c>
      <c r="E17" s="172">
        <v>0</v>
      </c>
      <c r="F17" s="172" t="s">
        <v>102</v>
      </c>
      <c r="G17" s="172" t="s">
        <v>102</v>
      </c>
      <c r="H17" s="172">
        <v>7430808919</v>
      </c>
    </row>
    <row ht="25.5" r="18" spans="1:8">
      <c r="A18" s="171">
        <v>131105</v>
      </c>
      <c r="B18" s="134" t="s">
        <v>3761</v>
      </c>
      <c r="C18" s="172">
        <v>4500000</v>
      </c>
      <c r="D18" s="172">
        <v>0</v>
      </c>
      <c r="E18" s="172">
        <v>0</v>
      </c>
      <c r="F18" s="172" t="s">
        <v>102</v>
      </c>
      <c r="G18" s="172" t="s">
        <v>102</v>
      </c>
      <c r="H18" s="172">
        <v>0</v>
      </c>
    </row>
    <row r="19" spans="1:8">
      <c r="A19" s="173">
        <v>14</v>
      </c>
      <c r="B19" s="174" t="s">
        <v>3762</v>
      </c>
      <c r="C19" s="172">
        <v>602500</v>
      </c>
      <c r="D19" s="172">
        <v>0</v>
      </c>
      <c r="E19" s="172">
        <v>0</v>
      </c>
      <c r="F19" s="172" t="s">
        <v>102</v>
      </c>
      <c r="G19" s="172" t="s">
        <v>102</v>
      </c>
      <c r="H19" s="172">
        <v>0</v>
      </c>
    </row>
    <row r="20" spans="1:8">
      <c r="A20" s="171">
        <v>1400</v>
      </c>
      <c r="B20" s="134" t="s">
        <v>3763</v>
      </c>
      <c r="C20" s="172">
        <v>602500</v>
      </c>
      <c r="D20" s="172">
        <v>0</v>
      </c>
      <c r="E20" s="172">
        <v>0</v>
      </c>
      <c r="F20" s="172" t="s">
        <v>102</v>
      </c>
      <c r="G20" s="172" t="s">
        <v>102</v>
      </c>
      <c r="H20" s="172">
        <v>0</v>
      </c>
    </row>
    <row r="21" spans="1:8">
      <c r="A21" s="176">
        <v>140020</v>
      </c>
      <c r="B21" s="174" t="s">
        <v>3764</v>
      </c>
      <c r="C21" s="172">
        <v>602500</v>
      </c>
      <c r="D21" s="172">
        <v>0</v>
      </c>
      <c r="E21" s="172">
        <v>0</v>
      </c>
      <c r="F21" s="172" t="s">
        <v>102</v>
      </c>
      <c r="G21" s="172" t="s">
        <v>102</v>
      </c>
      <c r="H21" s="172">
        <v>0</v>
      </c>
    </row>
    <row r="22" spans="1:8">
      <c r="A22" s="171">
        <v>2</v>
      </c>
      <c r="B22" s="134" t="s">
        <v>3626</v>
      </c>
      <c r="C22" s="172">
        <v>7723674821</v>
      </c>
      <c r="D22" s="172">
        <v>0</v>
      </c>
      <c r="E22" s="172">
        <v>7737199411</v>
      </c>
      <c r="F22" s="172" t="s">
        <v>102</v>
      </c>
      <c r="G22" s="172" t="s">
        <v>102</v>
      </c>
      <c r="H22" s="172">
        <v>7525562411</v>
      </c>
    </row>
    <row r="23" spans="1:8">
      <c r="A23" s="173">
        <v>21</v>
      </c>
      <c r="B23" s="174" t="s">
        <v>3627</v>
      </c>
      <c r="C23" s="172">
        <v>7723674821</v>
      </c>
      <c r="D23" s="172">
        <v>0</v>
      </c>
      <c r="E23" s="172">
        <v>7737199411</v>
      </c>
      <c r="F23" s="172" t="s">
        <v>102</v>
      </c>
      <c r="G23" s="172" t="s">
        <v>102</v>
      </c>
      <c r="H23" s="172">
        <v>7525562411</v>
      </c>
    </row>
    <row r="24" spans="1:8">
      <c r="A24" s="171">
        <v>210</v>
      </c>
      <c r="B24" s="134" t="s">
        <v>3628</v>
      </c>
      <c r="C24" s="172">
        <v>7677454442</v>
      </c>
      <c r="D24" s="172">
        <v>0</v>
      </c>
      <c r="E24" s="172">
        <v>7351160619.3100004</v>
      </c>
      <c r="F24" s="172" t="s">
        <v>102</v>
      </c>
      <c r="G24" s="172" t="s">
        <v>102</v>
      </c>
      <c r="H24" s="172">
        <v>7149594376.9399996</v>
      </c>
    </row>
    <row r="25" spans="1:8">
      <c r="A25" s="173">
        <v>2101</v>
      </c>
      <c r="B25" s="174" t="s">
        <v>3629</v>
      </c>
      <c r="C25" s="172">
        <v>321346274</v>
      </c>
      <c r="D25" s="172">
        <v>0</v>
      </c>
      <c r="E25" s="172">
        <v>283199422.95999998</v>
      </c>
      <c r="F25" s="172" t="s">
        <v>102</v>
      </c>
      <c r="G25" s="172" t="s">
        <v>102</v>
      </c>
      <c r="H25" s="172">
        <v>138270319.96000001</v>
      </c>
    </row>
    <row r="26" spans="1:8">
      <c r="A26" s="171">
        <v>210101</v>
      </c>
      <c r="B26" s="134" t="s">
        <v>623</v>
      </c>
      <c r="C26" s="172">
        <v>244082355</v>
      </c>
      <c r="D26" s="172">
        <v>0</v>
      </c>
      <c r="E26" s="172">
        <v>216541274.96000001</v>
      </c>
      <c r="F26" s="172" t="s">
        <v>102</v>
      </c>
      <c r="G26" s="172" t="s">
        <v>102</v>
      </c>
      <c r="H26" s="172">
        <v>119004274.95999999</v>
      </c>
    </row>
    <row r="27" spans="1:8">
      <c r="A27" s="173">
        <v>210102</v>
      </c>
      <c r="B27" s="174" t="s">
        <v>3630</v>
      </c>
      <c r="C27" s="172">
        <v>36660800</v>
      </c>
      <c r="D27" s="172">
        <v>0</v>
      </c>
      <c r="E27" s="172">
        <v>34271520</v>
      </c>
      <c r="F27" s="172" t="s">
        <v>102</v>
      </c>
      <c r="G27" s="172" t="s">
        <v>102</v>
      </c>
      <c r="H27" s="172">
        <v>0</v>
      </c>
    </row>
    <row r="28" spans="1:8">
      <c r="A28" s="173">
        <v>210103</v>
      </c>
      <c r="B28" s="174" t="s">
        <v>3631</v>
      </c>
      <c r="C28" s="172">
        <v>40603119</v>
      </c>
      <c r="D28" s="172">
        <v>0</v>
      </c>
      <c r="E28" s="172">
        <v>32386628</v>
      </c>
      <c r="F28" s="172" t="s">
        <v>102</v>
      </c>
      <c r="G28" s="172" t="s">
        <v>102</v>
      </c>
      <c r="H28" s="172">
        <v>19266045</v>
      </c>
    </row>
    <row r="29" spans="1:8">
      <c r="A29" s="173">
        <v>2102</v>
      </c>
      <c r="B29" s="174" t="s">
        <v>3632</v>
      </c>
      <c r="C29" s="172">
        <v>36081695</v>
      </c>
      <c r="D29" s="172">
        <v>0</v>
      </c>
      <c r="E29" s="172">
        <v>32145283.07</v>
      </c>
      <c r="F29" s="172" t="s">
        <v>102</v>
      </c>
      <c r="G29" s="172" t="s">
        <v>102</v>
      </c>
      <c r="H29" s="172">
        <v>15827083.779999999</v>
      </c>
    </row>
    <row r="30" spans="1:8">
      <c r="A30" s="173">
        <v>210201</v>
      </c>
      <c r="B30" s="174" t="s">
        <v>3633</v>
      </c>
      <c r="C30" s="172">
        <v>30147795</v>
      </c>
      <c r="D30" s="172">
        <v>0</v>
      </c>
      <c r="E30" s="172">
        <v>21125969.620000001</v>
      </c>
      <c r="F30" s="172" t="s">
        <v>102</v>
      </c>
      <c r="G30" s="172" t="s">
        <v>102</v>
      </c>
      <c r="H30" s="172">
        <v>10288900.09</v>
      </c>
    </row>
    <row r="31" spans="1:8">
      <c r="A31" s="173">
        <v>210202</v>
      </c>
      <c r="B31" s="174" t="s">
        <v>3634</v>
      </c>
      <c r="C31" s="172">
        <v>1483500</v>
      </c>
      <c r="D31" s="172">
        <v>0</v>
      </c>
      <c r="E31" s="172">
        <v>2691123.69</v>
      </c>
      <c r="F31" s="172" t="s">
        <v>102</v>
      </c>
      <c r="G31" s="172" t="s">
        <v>102</v>
      </c>
      <c r="H31" s="172">
        <v>1387874.5</v>
      </c>
    </row>
    <row r="32" spans="1:8">
      <c r="A32" s="171">
        <v>210203</v>
      </c>
      <c r="B32" s="134" t="s">
        <v>3635</v>
      </c>
      <c r="C32" s="172">
        <v>1186800</v>
      </c>
      <c r="D32" s="172">
        <v>0</v>
      </c>
      <c r="E32" s="172">
        <v>2215240.34</v>
      </c>
      <c r="F32" s="172" t="s">
        <v>102</v>
      </c>
      <c r="G32" s="172" t="s">
        <v>102</v>
      </c>
      <c r="H32" s="172">
        <v>1096988.5900000001</v>
      </c>
    </row>
    <row r="33" spans="1:8">
      <c r="A33" s="173">
        <v>210204</v>
      </c>
      <c r="B33" s="174" t="s">
        <v>3636</v>
      </c>
      <c r="C33" s="172">
        <v>296700</v>
      </c>
      <c r="D33" s="172">
        <v>0</v>
      </c>
      <c r="E33" s="172">
        <v>555506.57999999996</v>
      </c>
      <c r="F33" s="172" t="s">
        <v>102</v>
      </c>
      <c r="G33" s="172" t="s">
        <v>102</v>
      </c>
      <c r="H33" s="172">
        <v>277576.14</v>
      </c>
    </row>
    <row r="34" spans="1:8">
      <c r="A34" s="173">
        <v>210205</v>
      </c>
      <c r="B34" s="174" t="s">
        <v>3637</v>
      </c>
      <c r="C34" s="172">
        <v>2966900</v>
      </c>
      <c r="D34" s="172">
        <v>0</v>
      </c>
      <c r="E34" s="172">
        <v>5557442.8399999999</v>
      </c>
      <c r="F34" s="172" t="s">
        <v>102</v>
      </c>
      <c r="G34" s="172" t="s">
        <v>102</v>
      </c>
      <c r="H34" s="172">
        <v>2775744.46</v>
      </c>
    </row>
    <row r="35" spans="1:8">
      <c r="A35" s="173">
        <v>2103</v>
      </c>
      <c r="B35" s="174" t="s">
        <v>3638</v>
      </c>
      <c r="C35" s="172">
        <v>17860800</v>
      </c>
      <c r="D35" s="172">
        <v>0</v>
      </c>
      <c r="E35" s="172">
        <v>17859070</v>
      </c>
      <c r="F35" s="172" t="s">
        <v>102</v>
      </c>
      <c r="G35" s="172" t="s">
        <v>102</v>
      </c>
      <c r="H35" s="172">
        <v>7002300</v>
      </c>
    </row>
    <row r="36" spans="1:8">
      <c r="A36" s="173">
        <v>210301</v>
      </c>
      <c r="B36" s="174" t="s">
        <v>3639</v>
      </c>
      <c r="C36" s="172">
        <v>5452800</v>
      </c>
      <c r="D36" s="172">
        <v>0</v>
      </c>
      <c r="E36" s="172">
        <v>5452800</v>
      </c>
      <c r="F36" s="172" t="s">
        <v>102</v>
      </c>
      <c r="G36" s="172" t="s">
        <v>102</v>
      </c>
      <c r="H36" s="172">
        <v>600000</v>
      </c>
    </row>
    <row r="37" spans="1:8">
      <c r="A37" s="173">
        <v>210302</v>
      </c>
      <c r="B37" s="174" t="s">
        <v>3640</v>
      </c>
      <c r="C37" s="172">
        <v>12408000</v>
      </c>
      <c r="D37" s="172">
        <v>0</v>
      </c>
      <c r="E37" s="172">
        <v>12406270</v>
      </c>
      <c r="F37" s="172" t="s">
        <v>102</v>
      </c>
      <c r="G37" s="172" t="s">
        <v>102</v>
      </c>
      <c r="H37" s="172">
        <v>6402300</v>
      </c>
    </row>
    <row r="38" spans="1:8">
      <c r="A38" s="157">
        <v>2104</v>
      </c>
      <c r="B38" s="134" t="s">
        <v>3641</v>
      </c>
      <c r="C38" s="172">
        <v>40565114</v>
      </c>
      <c r="D38" s="172">
        <v>0</v>
      </c>
      <c r="E38" s="172">
        <v>41262687.280000001</v>
      </c>
      <c r="F38" s="172" t="s">
        <v>102</v>
      </c>
      <c r="G38" s="172" t="s">
        <v>102</v>
      </c>
      <c r="H38" s="172">
        <v>21017241.199999999</v>
      </c>
    </row>
    <row r="39" spans="1:8">
      <c r="A39" s="173">
        <v>210401</v>
      </c>
      <c r="B39" s="174" t="s">
        <v>3642</v>
      </c>
      <c r="C39" s="172">
        <v>10852700</v>
      </c>
      <c r="D39" s="172">
        <v>0</v>
      </c>
      <c r="E39" s="172">
        <v>11821800</v>
      </c>
      <c r="F39" s="172" t="s">
        <v>102</v>
      </c>
      <c r="G39" s="172" t="s">
        <v>102</v>
      </c>
      <c r="H39" s="172">
        <v>4706800</v>
      </c>
    </row>
    <row r="40" spans="1:8">
      <c r="A40" s="173">
        <v>210402</v>
      </c>
      <c r="B40" s="174" t="s">
        <v>3643</v>
      </c>
      <c r="C40" s="172">
        <v>11115954</v>
      </c>
      <c r="D40" s="172">
        <v>0</v>
      </c>
      <c r="E40" s="172">
        <v>10975100</v>
      </c>
      <c r="F40" s="172" t="s">
        <v>102</v>
      </c>
      <c r="G40" s="172" t="s">
        <v>102</v>
      </c>
      <c r="H40" s="172">
        <v>4058000</v>
      </c>
    </row>
    <row r="41" spans="1:8">
      <c r="A41" s="173">
        <v>210403</v>
      </c>
      <c r="B41" s="174" t="s">
        <v>3644</v>
      </c>
      <c r="C41" s="172">
        <v>9088860</v>
      </c>
      <c r="D41" s="172">
        <v>0</v>
      </c>
      <c r="E41" s="172">
        <v>8973241.2799999993</v>
      </c>
      <c r="F41" s="172" t="s">
        <v>102</v>
      </c>
      <c r="G41" s="172" t="s">
        <v>102</v>
      </c>
      <c r="H41" s="172">
        <v>4183895.2</v>
      </c>
    </row>
    <row r="42" spans="1:8">
      <c r="A42" s="171">
        <v>210404</v>
      </c>
      <c r="B42" s="134" t="s">
        <v>3672</v>
      </c>
      <c r="C42" s="172">
        <v>7400000</v>
      </c>
      <c r="D42" s="172">
        <v>0</v>
      </c>
      <c r="E42" s="172">
        <v>7386890</v>
      </c>
      <c r="F42" s="172" t="s">
        <v>102</v>
      </c>
      <c r="G42" s="172" t="s">
        <v>102</v>
      </c>
      <c r="H42" s="172">
        <v>7386890</v>
      </c>
    </row>
    <row r="43" spans="1:8">
      <c r="A43" s="173">
        <v>210406</v>
      </c>
      <c r="B43" s="174" t="s">
        <v>3645</v>
      </c>
      <c r="C43" s="172">
        <v>2107600</v>
      </c>
      <c r="D43" s="172">
        <v>0</v>
      </c>
      <c r="E43" s="172">
        <v>2105656</v>
      </c>
      <c r="F43" s="172" t="s">
        <v>102</v>
      </c>
      <c r="G43" s="172" t="s">
        <v>102</v>
      </c>
      <c r="H43" s="172">
        <v>681656</v>
      </c>
    </row>
    <row r="44" spans="1:8">
      <c r="A44" s="173">
        <v>2105</v>
      </c>
      <c r="B44" s="174" t="s">
        <v>3646</v>
      </c>
      <c r="C44" s="172">
        <v>5228600</v>
      </c>
      <c r="D44" s="172">
        <v>0</v>
      </c>
      <c r="E44" s="172">
        <v>5218400</v>
      </c>
      <c r="F44" s="172" t="s">
        <v>102</v>
      </c>
      <c r="G44" s="172" t="s">
        <v>102</v>
      </c>
      <c r="H44" s="172">
        <v>2377400</v>
      </c>
    </row>
    <row r="45" spans="1:8">
      <c r="A45" s="173">
        <v>210503</v>
      </c>
      <c r="B45" s="174" t="s">
        <v>3647</v>
      </c>
      <c r="C45" s="172">
        <v>5228600</v>
      </c>
      <c r="D45" s="172">
        <v>0</v>
      </c>
      <c r="E45" s="172">
        <v>5218400</v>
      </c>
      <c r="F45" s="172" t="s">
        <v>102</v>
      </c>
      <c r="G45" s="172" t="s">
        <v>102</v>
      </c>
      <c r="H45" s="172">
        <v>2377400</v>
      </c>
    </row>
    <row r="46" spans="1:8">
      <c r="A46" s="173">
        <v>2106</v>
      </c>
      <c r="B46" s="174" t="s">
        <v>3648</v>
      </c>
      <c r="C46" s="172">
        <v>56540520</v>
      </c>
      <c r="D46" s="172">
        <v>0</v>
      </c>
      <c r="E46" s="172">
        <v>56266100</v>
      </c>
      <c r="F46" s="172" t="s">
        <v>102</v>
      </c>
      <c r="G46" s="172" t="s">
        <v>102</v>
      </c>
      <c r="H46" s="172">
        <v>54906100</v>
      </c>
    </row>
    <row r="47" spans="1:8">
      <c r="A47" s="173">
        <v>210601</v>
      </c>
      <c r="B47" s="174" t="s">
        <v>3714</v>
      </c>
      <c r="C47" s="172">
        <v>45393169</v>
      </c>
      <c r="D47" s="172">
        <v>0</v>
      </c>
      <c r="E47" s="172">
        <v>45390900</v>
      </c>
      <c r="F47" s="172" t="s">
        <v>102</v>
      </c>
      <c r="G47" s="172" t="s">
        <v>102</v>
      </c>
      <c r="H47" s="172">
        <v>45390900</v>
      </c>
    </row>
    <row r="48" spans="1:8">
      <c r="A48" s="173">
        <v>210603</v>
      </c>
      <c r="B48" s="174" t="s">
        <v>3649</v>
      </c>
      <c r="C48" s="172">
        <v>2006600</v>
      </c>
      <c r="D48" s="172">
        <v>0</v>
      </c>
      <c r="E48" s="172">
        <v>1941000</v>
      </c>
      <c r="F48" s="172" t="s">
        <v>102</v>
      </c>
      <c r="G48" s="172" t="s">
        <v>102</v>
      </c>
      <c r="H48" s="172">
        <v>581000</v>
      </c>
    </row>
    <row r="49" spans="1:8">
      <c r="A49" s="173">
        <v>210604</v>
      </c>
      <c r="B49" s="174" t="s">
        <v>3677</v>
      </c>
      <c r="C49" s="172">
        <v>9140751</v>
      </c>
      <c r="D49" s="172">
        <v>0</v>
      </c>
      <c r="E49" s="172">
        <v>8934200</v>
      </c>
      <c r="F49" s="172" t="s">
        <v>102</v>
      </c>
      <c r="G49" s="172" t="s">
        <v>102</v>
      </c>
      <c r="H49" s="172">
        <v>8934200</v>
      </c>
    </row>
    <row r="50" spans="1:8">
      <c r="A50" s="173">
        <v>2107</v>
      </c>
      <c r="B50" s="174" t="s">
        <v>3650</v>
      </c>
      <c r="C50" s="172">
        <v>225606326</v>
      </c>
      <c r="D50" s="172">
        <v>0</v>
      </c>
      <c r="E50" s="172">
        <v>225600191</v>
      </c>
      <c r="F50" s="172" t="s">
        <v>102</v>
      </c>
      <c r="G50" s="172" t="s">
        <v>102</v>
      </c>
      <c r="H50" s="172">
        <v>222168367</v>
      </c>
    </row>
    <row r="51" spans="1:8">
      <c r="A51" s="171">
        <v>210701</v>
      </c>
      <c r="B51" s="134" t="s">
        <v>3678</v>
      </c>
      <c r="C51" s="172">
        <v>79908250</v>
      </c>
      <c r="D51" s="172">
        <v>0</v>
      </c>
      <c r="E51" s="172">
        <v>79908250</v>
      </c>
      <c r="F51" s="172" t="s">
        <v>102</v>
      </c>
      <c r="G51" s="172" t="s">
        <v>102</v>
      </c>
      <c r="H51" s="172">
        <v>79908250</v>
      </c>
    </row>
    <row r="52" spans="1:8">
      <c r="A52" s="173">
        <v>210702</v>
      </c>
      <c r="B52" s="174" t="s">
        <v>3651</v>
      </c>
      <c r="C52" s="172">
        <v>145698076</v>
      </c>
      <c r="D52" s="172">
        <v>0</v>
      </c>
      <c r="E52" s="172">
        <v>145691941</v>
      </c>
      <c r="F52" s="172" t="s">
        <v>102</v>
      </c>
      <c r="G52" s="172" t="s">
        <v>102</v>
      </c>
      <c r="H52" s="172">
        <v>142260117</v>
      </c>
    </row>
    <row r="53" spans="1:8">
      <c r="A53" s="171">
        <v>2108</v>
      </c>
      <c r="B53" s="134" t="s">
        <v>3652</v>
      </c>
      <c r="C53" s="172">
        <v>6974225113</v>
      </c>
      <c r="D53" s="172">
        <v>0</v>
      </c>
      <c r="E53" s="172">
        <v>6689609465</v>
      </c>
      <c r="F53" s="172" t="s">
        <v>102</v>
      </c>
      <c r="G53" s="172" t="s">
        <v>102</v>
      </c>
      <c r="H53" s="172">
        <v>6688025565</v>
      </c>
    </row>
    <row r="54" spans="1:8">
      <c r="A54" s="173">
        <v>210801</v>
      </c>
      <c r="B54" s="174" t="s">
        <v>3680</v>
      </c>
      <c r="C54" s="172">
        <v>6969246343</v>
      </c>
      <c r="D54" s="172">
        <v>0</v>
      </c>
      <c r="E54" s="172">
        <v>6686115795</v>
      </c>
      <c r="F54" s="172" t="s">
        <v>102</v>
      </c>
      <c r="G54" s="172" t="s">
        <v>102</v>
      </c>
      <c r="H54" s="172">
        <v>6686115795</v>
      </c>
    </row>
    <row r="55" spans="1:8">
      <c r="A55" s="173">
        <v>210802</v>
      </c>
      <c r="B55" s="174" t="s">
        <v>3653</v>
      </c>
      <c r="C55" s="172">
        <v>1485000</v>
      </c>
      <c r="D55" s="172">
        <v>0</v>
      </c>
      <c r="E55" s="172">
        <v>0</v>
      </c>
      <c r="F55" s="172" t="s">
        <v>102</v>
      </c>
      <c r="G55" s="172" t="s">
        <v>102</v>
      </c>
      <c r="H55" s="172">
        <v>0</v>
      </c>
    </row>
    <row r="56" spans="1:8">
      <c r="A56" s="171">
        <v>210803</v>
      </c>
      <c r="B56" s="134" t="s">
        <v>3654</v>
      </c>
      <c r="C56" s="172">
        <v>2701770</v>
      </c>
      <c r="D56" s="172">
        <v>0</v>
      </c>
      <c r="E56" s="172">
        <v>2701770</v>
      </c>
      <c r="F56" s="172" t="s">
        <v>102</v>
      </c>
      <c r="G56" s="172" t="s">
        <v>102</v>
      </c>
      <c r="H56" s="172">
        <v>1909770</v>
      </c>
    </row>
    <row r="57" spans="1:8">
      <c r="A57" s="171">
        <v>210804</v>
      </c>
      <c r="B57" s="134" t="s">
        <v>3655</v>
      </c>
      <c r="C57" s="172">
        <v>633600</v>
      </c>
      <c r="D57" s="172">
        <v>0</v>
      </c>
      <c r="E57" s="172">
        <v>633500</v>
      </c>
      <c r="F57" s="172" t="s">
        <v>102</v>
      </c>
      <c r="G57" s="172" t="s">
        <v>102</v>
      </c>
      <c r="H57" s="172">
        <v>0</v>
      </c>
    </row>
    <row r="58" spans="1:8">
      <c r="A58" s="173">
        <v>210805</v>
      </c>
      <c r="B58" s="174" t="s">
        <v>3656</v>
      </c>
      <c r="C58" s="172">
        <v>158400</v>
      </c>
      <c r="D58" s="172">
        <v>0</v>
      </c>
      <c r="E58" s="172">
        <v>158400</v>
      </c>
      <c r="F58" s="172" t="s">
        <v>102</v>
      </c>
      <c r="G58" s="172" t="s">
        <v>102</v>
      </c>
      <c r="H58" s="172">
        <v>0</v>
      </c>
    </row>
    <row r="59" spans="1:8">
      <c r="A59" s="173">
        <v>2109</v>
      </c>
      <c r="B59" s="174" t="s">
        <v>3657</v>
      </c>
      <c r="C59" s="172">
        <v>42620379</v>
      </c>
      <c r="D59" s="172">
        <v>0</v>
      </c>
      <c r="E59" s="172">
        <v>40454490</v>
      </c>
      <c r="F59" s="172" t="s">
        <v>102</v>
      </c>
      <c r="G59" s="172" t="s">
        <v>102</v>
      </c>
      <c r="H59" s="172">
        <v>38971170</v>
      </c>
    </row>
    <row r="60" spans="1:8">
      <c r="A60" s="173">
        <v>210901</v>
      </c>
      <c r="B60" s="174" t="s">
        <v>3657</v>
      </c>
      <c r="C60" s="172">
        <v>42410379</v>
      </c>
      <c r="D60" s="172">
        <v>0</v>
      </c>
      <c r="E60" s="172">
        <v>40254490</v>
      </c>
      <c r="F60" s="172" t="s">
        <v>102</v>
      </c>
      <c r="G60" s="172" t="s">
        <v>102</v>
      </c>
      <c r="H60" s="172">
        <v>38771170</v>
      </c>
    </row>
    <row r="61" spans="1:8">
      <c r="A61" s="173">
        <v>21090102</v>
      </c>
      <c r="B61" s="174" t="s">
        <v>3657</v>
      </c>
      <c r="C61" s="172">
        <v>42410379</v>
      </c>
      <c r="D61" s="172">
        <v>0</v>
      </c>
      <c r="E61" s="172">
        <v>40254490</v>
      </c>
      <c r="F61" s="172" t="s">
        <v>102</v>
      </c>
      <c r="G61" s="172" t="s">
        <v>102</v>
      </c>
      <c r="H61" s="172">
        <v>38771170</v>
      </c>
    </row>
    <row r="62" spans="1:8">
      <c r="A62" s="173">
        <v>210902</v>
      </c>
      <c r="B62" s="174" t="s">
        <v>3681</v>
      </c>
      <c r="C62" s="172">
        <v>210000</v>
      </c>
      <c r="D62" s="172">
        <v>0</v>
      </c>
      <c r="E62" s="172">
        <v>200000</v>
      </c>
      <c r="F62" s="172" t="s">
        <v>102</v>
      </c>
      <c r="G62" s="172" t="s">
        <v>102</v>
      </c>
      <c r="H62" s="172">
        <v>200000</v>
      </c>
    </row>
    <row r="63" spans="1:8">
      <c r="A63" s="173">
        <v>213</v>
      </c>
      <c r="B63" s="174" t="s">
        <v>3658</v>
      </c>
      <c r="C63" s="172">
        <v>3600000</v>
      </c>
      <c r="D63" s="172">
        <v>0</v>
      </c>
      <c r="E63" s="172">
        <v>345584301.69</v>
      </c>
      <c r="F63" s="172" t="s">
        <v>102</v>
      </c>
      <c r="G63" s="172" t="s">
        <v>102</v>
      </c>
      <c r="H63" s="172">
        <v>336996864.06</v>
      </c>
    </row>
    <row r="64" spans="1:8">
      <c r="A64" s="173">
        <v>2132</v>
      </c>
      <c r="B64" s="174" t="s">
        <v>3659</v>
      </c>
      <c r="C64" s="172">
        <v>3600000</v>
      </c>
      <c r="D64" s="172">
        <v>0</v>
      </c>
      <c r="E64" s="172">
        <v>3600000</v>
      </c>
      <c r="F64" s="172" t="s">
        <v>102</v>
      </c>
      <c r="G64" s="172" t="s">
        <v>102</v>
      </c>
      <c r="H64" s="172">
        <v>0</v>
      </c>
    </row>
    <row r="65" spans="1:8">
      <c r="A65" s="173">
        <v>213209</v>
      </c>
      <c r="B65" s="174" t="s">
        <v>3717</v>
      </c>
      <c r="C65" s="172">
        <v>3600000</v>
      </c>
      <c r="D65" s="172">
        <v>0</v>
      </c>
      <c r="E65" s="172">
        <v>3600000</v>
      </c>
      <c r="F65" s="172" t="s">
        <v>102</v>
      </c>
      <c r="G65" s="172" t="s">
        <v>102</v>
      </c>
      <c r="H65" s="172">
        <v>0</v>
      </c>
    </row>
    <row r="66" spans="1:8">
      <c r="A66" s="173">
        <v>2133</v>
      </c>
      <c r="B66" s="174" t="s">
        <v>3718</v>
      </c>
      <c r="C66" s="172">
        <v>0</v>
      </c>
      <c r="D66" s="172">
        <v>0</v>
      </c>
      <c r="E66" s="172">
        <v>341984301.69</v>
      </c>
      <c r="F66" s="172" t="s">
        <v>102</v>
      </c>
      <c r="G66" s="172" t="s">
        <v>102</v>
      </c>
      <c r="H66" s="172">
        <v>336996864.06</v>
      </c>
    </row>
    <row r="67" spans="1:8">
      <c r="A67" s="173">
        <v>213303</v>
      </c>
      <c r="B67" s="174" t="s">
        <v>3719</v>
      </c>
      <c r="C67" s="172">
        <v>0</v>
      </c>
      <c r="D67" s="172">
        <v>0</v>
      </c>
      <c r="E67" s="172">
        <v>341984301.69</v>
      </c>
      <c r="F67" s="172" t="s">
        <v>102</v>
      </c>
      <c r="G67" s="172" t="s">
        <v>102</v>
      </c>
      <c r="H67" s="172">
        <v>336996864.06</v>
      </c>
    </row>
    <row r="68" spans="1:8">
      <c r="A68" s="173">
        <v>312113</v>
      </c>
      <c r="B68" s="174" t="s">
        <v>3730</v>
      </c>
      <c r="C68" s="172">
        <v>0</v>
      </c>
      <c r="D68" s="172">
        <v>0</v>
      </c>
      <c r="E68" s="172">
        <v>0</v>
      </c>
      <c r="F68" s="172" t="s">
        <v>102</v>
      </c>
      <c r="G68" s="172" t="s">
        <v>102</v>
      </c>
      <c r="H68" s="172">
        <v>0</v>
      </c>
    </row>
    <row r="69" spans="1:8">
      <c r="A69" s="171">
        <v>118101</v>
      </c>
      <c r="B69" s="134" t="s">
        <v>1093</v>
      </c>
      <c r="C69" s="172" t="s">
        <v>102</v>
      </c>
      <c r="D69" s="172" t="s">
        <v>102</v>
      </c>
      <c r="E69" s="172" t="s">
        <v>102</v>
      </c>
      <c r="F69" s="172" t="s">
        <v>102</v>
      </c>
      <c r="G69" s="172" t="s">
        <v>102</v>
      </c>
      <c r="H69" s="172" t="s">
        <v>102</v>
      </c>
    </row>
    <row r="70" spans="1:8">
      <c r="A70" s="173">
        <v>118102</v>
      </c>
      <c r="B70" s="174" t="s">
        <v>1094</v>
      </c>
      <c r="C70" s="172" t="s">
        <v>102</v>
      </c>
      <c r="D70" s="172" t="s">
        <v>102</v>
      </c>
      <c r="E70" s="172" t="s">
        <v>102</v>
      </c>
      <c r="F70" s="172" t="s">
        <v>102</v>
      </c>
      <c r="G70" s="172" t="s">
        <v>102</v>
      </c>
      <c r="H70" s="172" t="s">
        <v>102</v>
      </c>
    </row>
    <row r="71" spans="1:8">
      <c r="A71" s="173">
        <v>1182</v>
      </c>
      <c r="B71" s="174" t="s">
        <v>1095</v>
      </c>
      <c r="C71" s="172" t="s">
        <v>102</v>
      </c>
      <c r="D71" s="172" t="s">
        <v>102</v>
      </c>
      <c r="E71" s="172" t="s">
        <v>102</v>
      </c>
      <c r="F71" s="172" t="s">
        <v>102</v>
      </c>
      <c r="G71" s="172" t="s">
        <v>102</v>
      </c>
      <c r="H71" s="172" t="s">
        <v>102</v>
      </c>
    </row>
    <row r="72" spans="1:8">
      <c r="A72" s="171">
        <v>118201</v>
      </c>
      <c r="B72" s="134" t="s">
        <v>1096</v>
      </c>
      <c r="C72" s="172" t="s">
        <v>102</v>
      </c>
      <c r="D72" s="172" t="s">
        <v>102</v>
      </c>
      <c r="E72" s="172" t="s">
        <v>102</v>
      </c>
      <c r="F72" s="172" t="s">
        <v>102</v>
      </c>
      <c r="G72" s="172" t="s">
        <v>102</v>
      </c>
      <c r="H72" s="172" t="s">
        <v>102</v>
      </c>
    </row>
    <row r="73" spans="1:8">
      <c r="A73" s="173">
        <v>118202</v>
      </c>
      <c r="B73" s="174" t="s">
        <v>1097</v>
      </c>
      <c r="C73" s="172" t="s">
        <v>102</v>
      </c>
      <c r="D73" s="172" t="s">
        <v>102</v>
      </c>
      <c r="E73" s="172" t="s">
        <v>102</v>
      </c>
      <c r="F73" s="172" t="s">
        <v>102</v>
      </c>
      <c r="G73" s="172" t="s">
        <v>102</v>
      </c>
      <c r="H73" s="172" t="s">
        <v>102</v>
      </c>
    </row>
    <row r="74" spans="1:8">
      <c r="A74" s="173">
        <v>118203</v>
      </c>
      <c r="B74" s="174" t="s">
        <v>1098</v>
      </c>
      <c r="C74" s="172" t="s">
        <v>102</v>
      </c>
      <c r="D74" s="172" t="s">
        <v>102</v>
      </c>
      <c r="E74" s="172" t="s">
        <v>102</v>
      </c>
      <c r="F74" s="172" t="s">
        <v>102</v>
      </c>
      <c r="G74" s="172" t="s">
        <v>102</v>
      </c>
      <c r="H74" s="172" t="s">
        <v>102</v>
      </c>
    </row>
    <row r="75" spans="1:8">
      <c r="A75" s="173">
        <v>118204</v>
      </c>
      <c r="B75" s="174" t="s">
        <v>1099</v>
      </c>
      <c r="C75" s="172" t="s">
        <v>102</v>
      </c>
      <c r="D75" s="172" t="s">
        <v>102</v>
      </c>
      <c r="E75" s="172" t="s">
        <v>102</v>
      </c>
      <c r="F75" s="172" t="s">
        <v>102</v>
      </c>
      <c r="G75" s="172" t="s">
        <v>102</v>
      </c>
      <c r="H75" s="172" t="s">
        <v>102</v>
      </c>
    </row>
    <row r="76" spans="1:8">
      <c r="A76" s="173">
        <v>1183</v>
      </c>
      <c r="B76" s="174" t="s">
        <v>1100</v>
      </c>
      <c r="C76" s="172" t="s">
        <v>102</v>
      </c>
      <c r="D76" s="172" t="s">
        <v>102</v>
      </c>
      <c r="E76" s="172" t="s">
        <v>102</v>
      </c>
      <c r="F76" s="172" t="s">
        <v>102</v>
      </c>
      <c r="G76" s="172" t="s">
        <v>102</v>
      </c>
      <c r="H76" s="172" t="s">
        <v>102</v>
      </c>
    </row>
    <row r="77" spans="1:8">
      <c r="A77" s="171">
        <v>118301</v>
      </c>
      <c r="B77" s="134" t="s">
        <v>295</v>
      </c>
      <c r="C77" s="172" t="s">
        <v>102</v>
      </c>
      <c r="D77" s="172" t="s">
        <v>102</v>
      </c>
      <c r="E77" s="172" t="s">
        <v>102</v>
      </c>
      <c r="F77" s="172" t="s">
        <v>102</v>
      </c>
      <c r="G77" s="172" t="s">
        <v>102</v>
      </c>
      <c r="H77" s="172" t="s">
        <v>102</v>
      </c>
    </row>
    <row r="78" spans="1:8">
      <c r="A78" s="173">
        <v>118302</v>
      </c>
      <c r="B78" s="174" t="s">
        <v>297</v>
      </c>
      <c r="C78" s="172" t="s">
        <v>102</v>
      </c>
      <c r="D78" s="172" t="s">
        <v>102</v>
      </c>
      <c r="E78" s="172" t="s">
        <v>102</v>
      </c>
      <c r="F78" s="172" t="s">
        <v>102</v>
      </c>
      <c r="G78" s="172" t="s">
        <v>102</v>
      </c>
      <c r="H78" s="172" t="s">
        <v>102</v>
      </c>
    </row>
    <row r="79" spans="1:8">
      <c r="A79" s="173">
        <v>118303</v>
      </c>
      <c r="B79" s="174" t="s">
        <v>298</v>
      </c>
      <c r="C79" s="172" t="s">
        <v>102</v>
      </c>
      <c r="D79" s="172" t="s">
        <v>102</v>
      </c>
      <c r="E79" s="172" t="s">
        <v>102</v>
      </c>
      <c r="F79" s="172" t="s">
        <v>102</v>
      </c>
      <c r="G79" s="172" t="s">
        <v>102</v>
      </c>
      <c r="H79" s="172" t="s">
        <v>102</v>
      </c>
    </row>
    <row r="80" spans="1:8">
      <c r="A80" s="173">
        <v>118304</v>
      </c>
      <c r="B80" s="174" t="s">
        <v>299</v>
      </c>
      <c r="C80" s="172" t="s">
        <v>102</v>
      </c>
      <c r="D80" s="172" t="s">
        <v>102</v>
      </c>
      <c r="E80" s="172" t="s">
        <v>102</v>
      </c>
      <c r="F80" s="172" t="s">
        <v>102</v>
      </c>
      <c r="G80" s="172" t="s">
        <v>102</v>
      </c>
      <c r="H80" s="172" t="s">
        <v>102</v>
      </c>
    </row>
    <row r="81" spans="1:8">
      <c r="A81" s="173">
        <v>12</v>
      </c>
      <c r="B81" s="174" t="s">
        <v>300</v>
      </c>
      <c r="C81" s="172" t="s">
        <v>102</v>
      </c>
      <c r="D81" s="172" t="s">
        <v>102</v>
      </c>
      <c r="E81" s="172" t="s">
        <v>102</v>
      </c>
      <c r="F81" s="172" t="s">
        <v>102</v>
      </c>
      <c r="G81" s="172" t="s">
        <v>102</v>
      </c>
      <c r="H81" s="172" t="s">
        <v>102</v>
      </c>
    </row>
    <row r="82" spans="1:8">
      <c r="A82" s="171">
        <v>120</v>
      </c>
      <c r="B82" s="134" t="s">
        <v>301</v>
      </c>
      <c r="C82" s="172" t="s">
        <v>102</v>
      </c>
      <c r="D82" s="172" t="s">
        <v>102</v>
      </c>
      <c r="E82" s="172" t="s">
        <v>102</v>
      </c>
      <c r="F82" s="172" t="s">
        <v>102</v>
      </c>
      <c r="G82" s="172" t="s">
        <v>102</v>
      </c>
      <c r="H82" s="172" t="s">
        <v>102</v>
      </c>
    </row>
    <row r="83" spans="1:8">
      <c r="A83" s="171">
        <v>120001</v>
      </c>
      <c r="B83" s="134" t="s">
        <v>1101</v>
      </c>
      <c r="C83" s="172" t="s">
        <v>102</v>
      </c>
      <c r="D83" s="172" t="s">
        <v>102</v>
      </c>
      <c r="E83" s="172" t="s">
        <v>102</v>
      </c>
      <c r="F83" s="172" t="s">
        <v>102</v>
      </c>
      <c r="G83" s="172" t="s">
        <v>102</v>
      </c>
      <c r="H83" s="172" t="s">
        <v>102</v>
      </c>
    </row>
    <row r="84" spans="1:8">
      <c r="A84" s="173">
        <v>120002</v>
      </c>
      <c r="B84" s="174" t="s">
        <v>1102</v>
      </c>
      <c r="C84" s="172" t="s">
        <v>102</v>
      </c>
      <c r="D84" s="172" t="s">
        <v>102</v>
      </c>
      <c r="E84" s="172" t="s">
        <v>102</v>
      </c>
      <c r="F84" s="172" t="s">
        <v>102</v>
      </c>
      <c r="G84" s="172" t="s">
        <v>102</v>
      </c>
      <c r="H84" s="172" t="s">
        <v>102</v>
      </c>
    </row>
    <row r="85" spans="1:8">
      <c r="A85" s="173">
        <v>120003</v>
      </c>
      <c r="B85" s="174" t="s">
        <v>1103</v>
      </c>
      <c r="C85" s="172" t="s">
        <v>102</v>
      </c>
      <c r="D85" s="172" t="s">
        <v>102</v>
      </c>
      <c r="E85" s="172" t="s">
        <v>102</v>
      </c>
      <c r="F85" s="172" t="s">
        <v>102</v>
      </c>
      <c r="G85" s="172" t="s">
        <v>102</v>
      </c>
      <c r="H85" s="172" t="s">
        <v>102</v>
      </c>
    </row>
    <row r="86" spans="1:8">
      <c r="A86" s="173">
        <v>120004</v>
      </c>
      <c r="B86" s="174" t="s">
        <v>1104</v>
      </c>
      <c r="C86" s="172" t="s">
        <v>102</v>
      </c>
      <c r="D86" s="172" t="s">
        <v>102</v>
      </c>
      <c r="E86" s="172" t="s">
        <v>102</v>
      </c>
      <c r="F86" s="172" t="s">
        <v>102</v>
      </c>
      <c r="G86" s="172" t="s">
        <v>102</v>
      </c>
      <c r="H86" s="172" t="s">
        <v>102</v>
      </c>
    </row>
    <row r="87" spans="1:8">
      <c r="A87" s="173">
        <v>1200041</v>
      </c>
      <c r="B87" s="134" t="s">
        <v>1105</v>
      </c>
      <c r="C87" s="172" t="s">
        <v>102</v>
      </c>
      <c r="D87" s="172" t="s">
        <v>102</v>
      </c>
      <c r="E87" s="172" t="s">
        <v>102</v>
      </c>
      <c r="F87" s="172" t="s">
        <v>102</v>
      </c>
      <c r="G87" s="172" t="s">
        <v>102</v>
      </c>
      <c r="H87" s="172" t="s">
        <v>102</v>
      </c>
    </row>
    <row r="88" spans="1:8">
      <c r="A88" s="173">
        <v>1200042</v>
      </c>
      <c r="B88" s="174" t="s">
        <v>1106</v>
      </c>
      <c r="C88" s="172" t="s">
        <v>102</v>
      </c>
      <c r="D88" s="172" t="s">
        <v>102</v>
      </c>
      <c r="E88" s="172" t="s">
        <v>102</v>
      </c>
      <c r="F88" s="172" t="s">
        <v>102</v>
      </c>
      <c r="G88" s="172" t="s">
        <v>102</v>
      </c>
      <c r="H88" s="172" t="s">
        <v>102</v>
      </c>
    </row>
    <row r="89" spans="1:8">
      <c r="A89" s="173">
        <v>1200043</v>
      </c>
      <c r="B89" s="174" t="s">
        <v>1107</v>
      </c>
      <c r="C89" s="172" t="s">
        <v>102</v>
      </c>
      <c r="D89" s="172" t="s">
        <v>102</v>
      </c>
      <c r="E89" s="172" t="s">
        <v>102</v>
      </c>
      <c r="F89" s="172" t="s">
        <v>102</v>
      </c>
      <c r="G89" s="172" t="s">
        <v>102</v>
      </c>
      <c r="H89" s="172" t="s">
        <v>102</v>
      </c>
    </row>
    <row r="90" spans="1:8">
      <c r="A90" s="173">
        <v>1200044</v>
      </c>
      <c r="B90" s="174" t="s">
        <v>877</v>
      </c>
      <c r="C90" s="172" t="s">
        <v>102</v>
      </c>
      <c r="D90" s="172" t="s">
        <v>102</v>
      </c>
      <c r="E90" s="172" t="s">
        <v>102</v>
      </c>
      <c r="F90" s="172" t="s">
        <v>102</v>
      </c>
      <c r="G90" s="172" t="s">
        <v>102</v>
      </c>
      <c r="H90" s="172" t="s">
        <v>102</v>
      </c>
    </row>
    <row r="91" spans="1:8">
      <c r="A91" s="173">
        <v>120005</v>
      </c>
      <c r="B91" s="174" t="s">
        <v>879</v>
      </c>
      <c r="C91" s="172" t="s">
        <v>102</v>
      </c>
      <c r="D91" s="172" t="s">
        <v>102</v>
      </c>
      <c r="E91" s="172" t="s">
        <v>102</v>
      </c>
      <c r="F91" s="172" t="s">
        <v>102</v>
      </c>
      <c r="G91" s="172" t="s">
        <v>102</v>
      </c>
      <c r="H91" s="172" t="s">
        <v>102</v>
      </c>
    </row>
    <row r="92" spans="1:8">
      <c r="A92" s="173">
        <v>120006</v>
      </c>
      <c r="B92" s="174" t="s">
        <v>880</v>
      </c>
      <c r="C92" s="172" t="s">
        <v>102</v>
      </c>
      <c r="D92" s="172" t="s">
        <v>102</v>
      </c>
      <c r="E92" s="172" t="s">
        <v>102</v>
      </c>
      <c r="F92" s="172" t="s">
        <v>102</v>
      </c>
      <c r="G92" s="172" t="s">
        <v>102</v>
      </c>
      <c r="H92" s="172" t="s">
        <v>102</v>
      </c>
    </row>
    <row r="93" spans="1:8">
      <c r="A93" s="173">
        <v>120007</v>
      </c>
      <c r="B93" s="174" t="s">
        <v>881</v>
      </c>
      <c r="C93" s="172" t="s">
        <v>102</v>
      </c>
      <c r="D93" s="172" t="s">
        <v>102</v>
      </c>
      <c r="E93" s="172" t="s">
        <v>102</v>
      </c>
      <c r="F93" s="172" t="s">
        <v>102</v>
      </c>
      <c r="G93" s="172" t="s">
        <v>102</v>
      </c>
      <c r="H93" s="172" t="s">
        <v>102</v>
      </c>
    </row>
    <row r="94" spans="1:8">
      <c r="A94" s="173">
        <v>120008</v>
      </c>
      <c r="B94" s="174" t="s">
        <v>882</v>
      </c>
      <c r="C94" s="172" t="s">
        <v>102</v>
      </c>
      <c r="D94" s="172" t="s">
        <v>102</v>
      </c>
      <c r="E94" s="172" t="s">
        <v>102</v>
      </c>
      <c r="F94" s="172" t="s">
        <v>102</v>
      </c>
      <c r="G94" s="172" t="s">
        <v>102</v>
      </c>
      <c r="H94" s="172" t="s">
        <v>102</v>
      </c>
    </row>
    <row r="95" spans="1:8">
      <c r="A95" s="173">
        <v>120009</v>
      </c>
      <c r="B95" s="174" t="s">
        <v>883</v>
      </c>
      <c r="C95" s="172" t="s">
        <v>102</v>
      </c>
      <c r="D95" s="172" t="s">
        <v>102</v>
      </c>
      <c r="E95" s="172" t="s">
        <v>102</v>
      </c>
      <c r="F95" s="172" t="s">
        <v>102</v>
      </c>
      <c r="G95" s="172" t="s">
        <v>102</v>
      </c>
      <c r="H95" s="172" t="s">
        <v>102</v>
      </c>
    </row>
    <row r="96" spans="1:8">
      <c r="A96" s="173">
        <v>120013</v>
      </c>
      <c r="B96" s="174" t="s">
        <v>1108</v>
      </c>
      <c r="C96" s="172" t="s">
        <v>102</v>
      </c>
      <c r="D96" s="172" t="s">
        <v>102</v>
      </c>
      <c r="E96" s="172" t="s">
        <v>102</v>
      </c>
      <c r="F96" s="172" t="s">
        <v>102</v>
      </c>
      <c r="G96" s="172" t="s">
        <v>102</v>
      </c>
      <c r="H96" s="172" t="s">
        <v>102</v>
      </c>
    </row>
    <row r="97" spans="1:8">
      <c r="A97" s="177">
        <v>120014</v>
      </c>
      <c r="B97" s="174" t="s">
        <v>1109</v>
      </c>
      <c r="C97" s="172" t="s">
        <v>102</v>
      </c>
      <c r="D97" s="172" t="s">
        <v>102</v>
      </c>
      <c r="E97" s="172" t="s">
        <v>102</v>
      </c>
      <c r="F97" s="172" t="s">
        <v>102</v>
      </c>
      <c r="G97" s="172" t="s">
        <v>102</v>
      </c>
      <c r="H97" s="172" t="s">
        <v>102</v>
      </c>
    </row>
    <row r="98" spans="1:8">
      <c r="A98" s="177">
        <v>120015</v>
      </c>
      <c r="B98" s="174" t="s">
        <v>1110</v>
      </c>
      <c r="C98" s="172" t="s">
        <v>102</v>
      </c>
      <c r="D98" s="172" t="s">
        <v>102</v>
      </c>
      <c r="E98" s="172" t="s">
        <v>102</v>
      </c>
      <c r="F98" s="172" t="s">
        <v>102</v>
      </c>
      <c r="G98" s="172" t="s">
        <v>102</v>
      </c>
      <c r="H98" s="172" t="s">
        <v>102</v>
      </c>
    </row>
    <row r="99" spans="1:8">
      <c r="A99" s="177">
        <v>120016</v>
      </c>
      <c r="B99" s="174" t="s">
        <v>1111</v>
      </c>
      <c r="C99" s="172" t="s">
        <v>102</v>
      </c>
      <c r="D99" s="172" t="s">
        <v>102</v>
      </c>
      <c r="E99" s="172" t="s">
        <v>102</v>
      </c>
      <c r="F99" s="172" t="s">
        <v>102</v>
      </c>
      <c r="G99" s="172" t="s">
        <v>102</v>
      </c>
      <c r="H99" s="172" t="s">
        <v>102</v>
      </c>
    </row>
    <row r="100" spans="1:8">
      <c r="A100" s="177">
        <v>121</v>
      </c>
      <c r="B100" s="174" t="s">
        <v>884</v>
      </c>
      <c r="C100" s="172" t="s">
        <v>102</v>
      </c>
      <c r="D100" s="172" t="s">
        <v>102</v>
      </c>
      <c r="E100" s="172" t="s">
        <v>102</v>
      </c>
      <c r="F100" s="172" t="s">
        <v>102</v>
      </c>
      <c r="G100" s="172" t="s">
        <v>102</v>
      </c>
      <c r="H100" s="172" t="s">
        <v>102</v>
      </c>
    </row>
    <row r="101" spans="1:8">
      <c r="A101" s="171">
        <v>121001</v>
      </c>
      <c r="B101" s="134" t="s">
        <v>1112</v>
      </c>
      <c r="C101" s="172" t="s">
        <v>102</v>
      </c>
      <c r="D101" s="172" t="s">
        <v>102</v>
      </c>
      <c r="E101" s="172" t="s">
        <v>102</v>
      </c>
      <c r="F101" s="172" t="s">
        <v>102</v>
      </c>
      <c r="G101" s="172" t="s">
        <v>102</v>
      </c>
      <c r="H101" s="172" t="s">
        <v>102</v>
      </c>
    </row>
    <row r="102" spans="1:8">
      <c r="A102" s="173">
        <v>121002</v>
      </c>
      <c r="B102" s="174" t="s">
        <v>1113</v>
      </c>
      <c r="C102" s="172" t="s">
        <v>102</v>
      </c>
      <c r="D102" s="172" t="s">
        <v>102</v>
      </c>
      <c r="E102" s="172" t="s">
        <v>102</v>
      </c>
      <c r="F102" s="172" t="s">
        <v>102</v>
      </c>
      <c r="G102" s="172" t="s">
        <v>102</v>
      </c>
      <c r="H102" s="172" t="s">
        <v>102</v>
      </c>
    </row>
    <row r="103" spans="1:8">
      <c r="A103" s="173">
        <v>122</v>
      </c>
      <c r="B103" s="174" t="s">
        <v>1114</v>
      </c>
      <c r="C103" s="172" t="s">
        <v>102</v>
      </c>
      <c r="D103" s="172" t="s">
        <v>102</v>
      </c>
      <c r="E103" s="172" t="s">
        <v>102</v>
      </c>
      <c r="F103" s="172" t="s">
        <v>102</v>
      </c>
      <c r="G103" s="172" t="s">
        <v>102</v>
      </c>
      <c r="H103" s="172" t="s">
        <v>102</v>
      </c>
    </row>
    <row r="104" spans="1:8">
      <c r="A104" s="171">
        <v>122001</v>
      </c>
      <c r="B104" s="134" t="s">
        <v>1115</v>
      </c>
      <c r="C104" s="172" t="s">
        <v>102</v>
      </c>
      <c r="D104" s="172" t="s">
        <v>102</v>
      </c>
      <c r="E104" s="172" t="s">
        <v>102</v>
      </c>
      <c r="F104" s="172" t="s">
        <v>102</v>
      </c>
      <c r="G104" s="172" t="s">
        <v>102</v>
      </c>
      <c r="H104" s="172" t="s">
        <v>102</v>
      </c>
    </row>
    <row r="105" spans="1:8">
      <c r="A105" s="173">
        <v>122002</v>
      </c>
      <c r="B105" s="174" t="s">
        <v>1116</v>
      </c>
      <c r="C105" s="172" t="s">
        <v>102</v>
      </c>
      <c r="D105" s="172" t="s">
        <v>102</v>
      </c>
      <c r="E105" s="172" t="s">
        <v>102</v>
      </c>
      <c r="F105" s="172" t="s">
        <v>102</v>
      </c>
      <c r="G105" s="172" t="s">
        <v>102</v>
      </c>
      <c r="H105" s="172" t="s">
        <v>102</v>
      </c>
    </row>
    <row r="106" spans="1:8">
      <c r="A106" s="173">
        <v>123</v>
      </c>
      <c r="B106" s="174" t="s">
        <v>1117</v>
      </c>
      <c r="C106" s="172" t="s">
        <v>102</v>
      </c>
      <c r="D106" s="172" t="s">
        <v>102</v>
      </c>
      <c r="E106" s="172" t="s">
        <v>102</v>
      </c>
      <c r="F106" s="172" t="s">
        <v>102</v>
      </c>
      <c r="G106" s="172" t="s">
        <v>102</v>
      </c>
      <c r="H106" s="172" t="s">
        <v>102</v>
      </c>
    </row>
    <row r="107" spans="1:8">
      <c r="A107" s="171">
        <v>123001</v>
      </c>
      <c r="B107" s="134" t="s">
        <v>1118</v>
      </c>
      <c r="C107" s="172" t="s">
        <v>102</v>
      </c>
      <c r="D107" s="172" t="s">
        <v>102</v>
      </c>
      <c r="E107" s="172" t="s">
        <v>102</v>
      </c>
      <c r="F107" s="172" t="s">
        <v>102</v>
      </c>
      <c r="G107" s="172" t="s">
        <v>102</v>
      </c>
      <c r="H107" s="172" t="s">
        <v>102</v>
      </c>
    </row>
    <row r="108" spans="1:8">
      <c r="A108" s="173">
        <v>123002</v>
      </c>
      <c r="B108" s="174" t="s">
        <v>1119</v>
      </c>
      <c r="C108" s="172" t="s">
        <v>102</v>
      </c>
      <c r="D108" s="172" t="s">
        <v>102</v>
      </c>
      <c r="E108" s="172" t="s">
        <v>102</v>
      </c>
      <c r="F108" s="172" t="s">
        <v>102</v>
      </c>
      <c r="G108" s="172" t="s">
        <v>102</v>
      </c>
      <c r="H108" s="172" t="s">
        <v>102</v>
      </c>
    </row>
    <row r="109" spans="1:8">
      <c r="A109" s="173">
        <v>123003</v>
      </c>
      <c r="B109" s="174" t="s">
        <v>1120</v>
      </c>
      <c r="C109" s="172" t="s">
        <v>102</v>
      </c>
      <c r="D109" s="172" t="s">
        <v>102</v>
      </c>
      <c r="E109" s="172" t="s">
        <v>102</v>
      </c>
      <c r="F109" s="172" t="s">
        <v>102</v>
      </c>
      <c r="G109" s="172" t="s">
        <v>102</v>
      </c>
      <c r="H109" s="172" t="s">
        <v>102</v>
      </c>
    </row>
    <row r="110" spans="1:8">
      <c r="A110" s="173">
        <v>123004</v>
      </c>
      <c r="B110" s="174" t="s">
        <v>1121</v>
      </c>
      <c r="C110" s="172" t="s">
        <v>102</v>
      </c>
      <c r="D110" s="172" t="s">
        <v>102</v>
      </c>
      <c r="E110" s="172" t="s">
        <v>102</v>
      </c>
      <c r="F110" s="172" t="s">
        <v>102</v>
      </c>
      <c r="G110" s="172" t="s">
        <v>102</v>
      </c>
      <c r="H110" s="172" t="s">
        <v>102</v>
      </c>
    </row>
    <row r="111" spans="1:8">
      <c r="A111" s="173">
        <v>4</v>
      </c>
      <c r="B111" s="174" t="s">
        <v>1085</v>
      </c>
      <c r="C111" s="172" t="s">
        <v>102</v>
      </c>
      <c r="D111" s="172" t="s">
        <v>102</v>
      </c>
      <c r="E111" s="172" t="s">
        <v>102</v>
      </c>
      <c r="F111" s="172" t="s">
        <v>102</v>
      </c>
      <c r="G111" s="172" t="s">
        <v>102</v>
      </c>
      <c r="H111" s="172" t="s">
        <v>102</v>
      </c>
    </row>
    <row r="112" spans="1:8">
      <c r="A112" s="178">
        <v>140001</v>
      </c>
      <c r="B112" s="134" t="s">
        <v>462</v>
      </c>
      <c r="C112" s="172" t="s">
        <v>102</v>
      </c>
      <c r="D112" s="172" t="s">
        <v>102</v>
      </c>
      <c r="E112" s="172" t="s">
        <v>102</v>
      </c>
      <c r="F112" s="172" t="s">
        <v>102</v>
      </c>
      <c r="G112" s="172" t="s">
        <v>102</v>
      </c>
      <c r="H112" s="172" t="s">
        <v>102</v>
      </c>
    </row>
    <row r="113" spans="1:8">
      <c r="A113" s="173">
        <v>140002</v>
      </c>
      <c r="B113" s="174" t="s">
        <v>463</v>
      </c>
      <c r="C113" s="172" t="s">
        <v>102</v>
      </c>
      <c r="D113" s="172" t="s">
        <v>102</v>
      </c>
      <c r="E113" s="172" t="s">
        <v>102</v>
      </c>
      <c r="F113" s="172" t="s">
        <v>102</v>
      </c>
      <c r="G113" s="172" t="s">
        <v>102</v>
      </c>
      <c r="H113" s="172" t="s">
        <v>102</v>
      </c>
    </row>
    <row r="114" spans="1:8">
      <c r="A114" s="173">
        <v>140003</v>
      </c>
      <c r="B114" s="174" t="s">
        <v>464</v>
      </c>
      <c r="C114" s="172" t="s">
        <v>102</v>
      </c>
      <c r="D114" s="172" t="s">
        <v>102</v>
      </c>
      <c r="E114" s="172" t="s">
        <v>102</v>
      </c>
      <c r="F114" s="172" t="s">
        <v>102</v>
      </c>
      <c r="G114" s="172" t="s">
        <v>102</v>
      </c>
      <c r="H114" s="172" t="s">
        <v>102</v>
      </c>
    </row>
    <row r="115" spans="1:8">
      <c r="A115" s="173">
        <v>140004</v>
      </c>
      <c r="B115" s="174" t="s">
        <v>446</v>
      </c>
      <c r="C115" s="172" t="s">
        <v>102</v>
      </c>
      <c r="D115" s="172" t="s">
        <v>102</v>
      </c>
      <c r="E115" s="172" t="s">
        <v>102</v>
      </c>
      <c r="F115" s="172" t="s">
        <v>102</v>
      </c>
      <c r="G115" s="172" t="s">
        <v>102</v>
      </c>
      <c r="H115" s="172" t="s">
        <v>102</v>
      </c>
    </row>
    <row r="116" spans="1:8">
      <c r="A116" s="173">
        <v>140005</v>
      </c>
      <c r="B116" s="174" t="s">
        <v>640</v>
      </c>
      <c r="C116" s="172" t="s">
        <v>102</v>
      </c>
      <c r="D116" s="172" t="s">
        <v>102</v>
      </c>
      <c r="E116" s="172" t="s">
        <v>102</v>
      </c>
      <c r="F116" s="172" t="s">
        <v>102</v>
      </c>
      <c r="G116" s="172" t="s">
        <v>102</v>
      </c>
      <c r="H116" s="172" t="s">
        <v>102</v>
      </c>
    </row>
    <row r="117" spans="1:8">
      <c r="A117" s="173">
        <v>140006</v>
      </c>
      <c r="B117" s="174" t="s">
        <v>641</v>
      </c>
      <c r="C117" s="172" t="s">
        <v>102</v>
      </c>
      <c r="D117" s="172" t="s">
        <v>102</v>
      </c>
      <c r="E117" s="172" t="s">
        <v>102</v>
      </c>
      <c r="F117" s="172" t="s">
        <v>102</v>
      </c>
      <c r="G117" s="172" t="s">
        <v>102</v>
      </c>
      <c r="H117" s="172" t="s">
        <v>102</v>
      </c>
    </row>
    <row r="118" spans="1:8">
      <c r="A118" s="173">
        <v>140007</v>
      </c>
      <c r="B118" s="174" t="s">
        <v>642</v>
      </c>
      <c r="C118" s="172" t="s">
        <v>102</v>
      </c>
      <c r="D118" s="172" t="s">
        <v>102</v>
      </c>
      <c r="E118" s="172" t="s">
        <v>102</v>
      </c>
      <c r="F118" s="172" t="s">
        <v>102</v>
      </c>
      <c r="G118" s="172" t="s">
        <v>102</v>
      </c>
      <c r="H118" s="172" t="s">
        <v>102</v>
      </c>
    </row>
    <row r="119" spans="1:8">
      <c r="A119" s="177">
        <v>140008</v>
      </c>
      <c r="B119" s="174" t="s">
        <v>643</v>
      </c>
      <c r="C119" s="172" t="s">
        <v>102</v>
      </c>
      <c r="D119" s="172" t="s">
        <v>102</v>
      </c>
      <c r="E119" s="172" t="s">
        <v>102</v>
      </c>
      <c r="F119" s="172" t="s">
        <v>102</v>
      </c>
      <c r="G119" s="172" t="s">
        <v>102</v>
      </c>
      <c r="H119" s="172" t="s">
        <v>102</v>
      </c>
    </row>
    <row r="120" spans="1:8">
      <c r="A120" s="177">
        <v>124</v>
      </c>
      <c r="B120" s="174" t="s">
        <v>1122</v>
      </c>
      <c r="C120" s="172" t="s">
        <v>102</v>
      </c>
      <c r="D120" s="172" t="s">
        <v>102</v>
      </c>
      <c r="E120" s="172" t="s">
        <v>102</v>
      </c>
      <c r="F120" s="172" t="s">
        <v>102</v>
      </c>
      <c r="G120" s="172" t="s">
        <v>102</v>
      </c>
      <c r="H120" s="172" t="s">
        <v>102</v>
      </c>
    </row>
    <row r="121" spans="1:8">
      <c r="A121" s="178">
        <v>141001</v>
      </c>
      <c r="B121" s="134" t="s">
        <v>1123</v>
      </c>
      <c r="C121" s="172" t="s">
        <v>102</v>
      </c>
      <c r="D121" s="172" t="s">
        <v>102</v>
      </c>
      <c r="E121" s="172" t="s">
        <v>102</v>
      </c>
      <c r="F121" s="172" t="s">
        <v>102</v>
      </c>
      <c r="G121" s="172" t="s">
        <v>102</v>
      </c>
      <c r="H121" s="172" t="s">
        <v>102</v>
      </c>
    </row>
    <row r="122" spans="1:8">
      <c r="A122" s="177">
        <v>13</v>
      </c>
      <c r="B122" s="174" t="s">
        <v>887</v>
      </c>
      <c r="C122" s="172" t="s">
        <v>102</v>
      </c>
      <c r="D122" s="172" t="s">
        <v>102</v>
      </c>
      <c r="E122" s="172" t="s">
        <v>102</v>
      </c>
      <c r="F122" s="172" t="s">
        <v>102</v>
      </c>
      <c r="G122" s="172" t="s">
        <v>102</v>
      </c>
      <c r="H122" s="172" t="s">
        <v>102</v>
      </c>
    </row>
    <row r="123" spans="1:8">
      <c r="A123" s="171">
        <v>1310</v>
      </c>
      <c r="B123" s="134" t="s">
        <v>1124</v>
      </c>
      <c r="C123" s="172" t="s">
        <v>102</v>
      </c>
      <c r="D123" s="172" t="s">
        <v>102</v>
      </c>
      <c r="E123" s="172" t="s">
        <v>102</v>
      </c>
      <c r="F123" s="172" t="s">
        <v>102</v>
      </c>
      <c r="G123" s="172" t="s">
        <v>102</v>
      </c>
      <c r="H123" s="172" t="s">
        <v>102</v>
      </c>
    </row>
    <row r="124" spans="1:8">
      <c r="A124" s="171">
        <v>131001</v>
      </c>
      <c r="B124" s="134" t="s">
        <v>1125</v>
      </c>
      <c r="C124" s="172" t="s">
        <v>102</v>
      </c>
      <c r="D124" s="172" t="s">
        <v>102</v>
      </c>
      <c r="E124" s="172" t="s">
        <v>102</v>
      </c>
      <c r="F124" s="172" t="s">
        <v>102</v>
      </c>
      <c r="G124" s="172" t="s">
        <v>102</v>
      </c>
      <c r="H124" s="172" t="s">
        <v>102</v>
      </c>
    </row>
    <row r="125" spans="1:8">
      <c r="A125" s="173">
        <v>131002</v>
      </c>
      <c r="B125" s="174" t="s">
        <v>1126</v>
      </c>
      <c r="C125" s="172" t="s">
        <v>102</v>
      </c>
      <c r="D125" s="172" t="s">
        <v>102</v>
      </c>
      <c r="E125" s="172" t="s">
        <v>102</v>
      </c>
      <c r="F125" s="172" t="s">
        <v>102</v>
      </c>
      <c r="G125" s="172" t="s">
        <v>102</v>
      </c>
      <c r="H125" s="172" t="s">
        <v>102</v>
      </c>
    </row>
    <row r="126" spans="1:8">
      <c r="A126" s="173">
        <v>131003</v>
      </c>
      <c r="B126" s="174" t="s">
        <v>1127</v>
      </c>
      <c r="C126" s="172" t="s">
        <v>102</v>
      </c>
      <c r="D126" s="172" t="s">
        <v>102</v>
      </c>
      <c r="E126" s="172" t="s">
        <v>102</v>
      </c>
      <c r="F126" s="172" t="s">
        <v>102</v>
      </c>
      <c r="G126" s="172" t="s">
        <v>102</v>
      </c>
      <c r="H126" s="172" t="s">
        <v>102</v>
      </c>
    </row>
    <row r="127" spans="1:8">
      <c r="A127" s="173">
        <v>131004</v>
      </c>
      <c r="B127" s="174" t="s">
        <v>1128</v>
      </c>
      <c r="C127" s="172" t="s">
        <v>102</v>
      </c>
      <c r="D127" s="172" t="s">
        <v>102</v>
      </c>
      <c r="E127" s="172" t="s">
        <v>102</v>
      </c>
      <c r="F127" s="172" t="s">
        <v>102</v>
      </c>
      <c r="G127" s="172" t="s">
        <v>102</v>
      </c>
      <c r="H127" s="172" t="s">
        <v>102</v>
      </c>
    </row>
    <row r="128" spans="1:8">
      <c r="A128" s="173">
        <v>131005</v>
      </c>
      <c r="B128" s="174" t="s">
        <v>1129</v>
      </c>
      <c r="C128" s="172" t="s">
        <v>102</v>
      </c>
      <c r="D128" s="172" t="s">
        <v>102</v>
      </c>
      <c r="E128" s="172" t="s">
        <v>102</v>
      </c>
      <c r="F128" s="172" t="s">
        <v>102</v>
      </c>
      <c r="G128" s="172" t="s">
        <v>102</v>
      </c>
      <c r="H128" s="172" t="s">
        <v>102</v>
      </c>
    </row>
    <row r="129" spans="1:8">
      <c r="A129" s="173">
        <v>131006</v>
      </c>
      <c r="B129" s="174" t="s">
        <v>1130</v>
      </c>
      <c r="C129" s="172" t="s">
        <v>102</v>
      </c>
      <c r="D129" s="172" t="s">
        <v>102</v>
      </c>
      <c r="E129" s="172" t="s">
        <v>102</v>
      </c>
      <c r="F129" s="172" t="s">
        <v>102</v>
      </c>
      <c r="G129" s="172" t="s">
        <v>102</v>
      </c>
      <c r="H129" s="172" t="s">
        <v>102</v>
      </c>
    </row>
    <row r="130" spans="1:8">
      <c r="A130" s="173">
        <v>131007</v>
      </c>
      <c r="B130" s="174" t="s">
        <v>1131</v>
      </c>
      <c r="C130" s="172" t="s">
        <v>102</v>
      </c>
      <c r="D130" s="172" t="s">
        <v>102</v>
      </c>
      <c r="E130" s="172" t="s">
        <v>102</v>
      </c>
      <c r="F130" s="172" t="s">
        <v>102</v>
      </c>
      <c r="G130" s="172" t="s">
        <v>102</v>
      </c>
      <c r="H130" s="172" t="s">
        <v>102</v>
      </c>
    </row>
    <row r="131" spans="1:8">
      <c r="A131" s="173">
        <v>131008</v>
      </c>
      <c r="B131" s="174" t="s">
        <v>1132</v>
      </c>
      <c r="C131" s="172" t="s">
        <v>102</v>
      </c>
      <c r="D131" s="172" t="s">
        <v>102</v>
      </c>
      <c r="E131" s="172" t="s">
        <v>102</v>
      </c>
      <c r="F131" s="172" t="s">
        <v>102</v>
      </c>
      <c r="G131" s="172" t="s">
        <v>102</v>
      </c>
      <c r="H131" s="172" t="s">
        <v>102</v>
      </c>
    </row>
    <row r="132" spans="1:8">
      <c r="A132" s="173">
        <v>131009</v>
      </c>
      <c r="B132" s="174" t="s">
        <v>1133</v>
      </c>
      <c r="C132" s="172" t="s">
        <v>102</v>
      </c>
      <c r="D132" s="172" t="s">
        <v>102</v>
      </c>
      <c r="E132" s="172" t="s">
        <v>102</v>
      </c>
      <c r="F132" s="172" t="s">
        <v>102</v>
      </c>
      <c r="G132" s="172" t="s">
        <v>102</v>
      </c>
      <c r="H132" s="172" t="s">
        <v>102</v>
      </c>
    </row>
    <row r="133" spans="1:8">
      <c r="A133" s="173">
        <v>1311</v>
      </c>
      <c r="B133" s="174" t="s">
        <v>1134</v>
      </c>
      <c r="C133" s="172" t="s">
        <v>102</v>
      </c>
      <c r="D133" s="172" t="s">
        <v>102</v>
      </c>
      <c r="E133" s="172" t="s">
        <v>102</v>
      </c>
      <c r="F133" s="172" t="s">
        <v>102</v>
      </c>
      <c r="G133" s="172" t="s">
        <v>102</v>
      </c>
      <c r="H133" s="172" t="s">
        <v>102</v>
      </c>
    </row>
    <row r="134" spans="1:8">
      <c r="A134" s="171">
        <v>131101</v>
      </c>
      <c r="B134" s="134" t="s">
        <v>1135</v>
      </c>
      <c r="C134" s="172" t="s">
        <v>102</v>
      </c>
      <c r="D134" s="172" t="s">
        <v>102</v>
      </c>
      <c r="E134" s="172" t="s">
        <v>102</v>
      </c>
      <c r="F134" s="172" t="s">
        <v>102</v>
      </c>
      <c r="G134" s="172" t="s">
        <v>102</v>
      </c>
      <c r="H134" s="172" t="s">
        <v>102</v>
      </c>
    </row>
    <row ht="25.5" r="135" spans="1:8">
      <c r="A135" s="173">
        <v>131102</v>
      </c>
      <c r="B135" s="174" t="s">
        <v>1136</v>
      </c>
      <c r="C135" s="172" t="s">
        <v>102</v>
      </c>
      <c r="D135" s="172" t="s">
        <v>102</v>
      </c>
      <c r="E135" s="172" t="s">
        <v>102</v>
      </c>
      <c r="F135" s="172" t="s">
        <v>102</v>
      </c>
      <c r="G135" s="172" t="s">
        <v>102</v>
      </c>
      <c r="H135" s="172" t="s">
        <v>102</v>
      </c>
    </row>
    <row ht="25.5" r="136" spans="1:8">
      <c r="A136" s="173">
        <v>131103</v>
      </c>
      <c r="B136" s="174" t="s">
        <v>1137</v>
      </c>
      <c r="C136" s="172" t="s">
        <v>102</v>
      </c>
      <c r="D136" s="172" t="s">
        <v>102</v>
      </c>
      <c r="E136" s="172" t="s">
        <v>102</v>
      </c>
      <c r="F136" s="172" t="s">
        <v>102</v>
      </c>
      <c r="G136" s="172" t="s">
        <v>102</v>
      </c>
      <c r="H136" s="172" t="s">
        <v>102</v>
      </c>
    </row>
    <row ht="25.5" r="137" spans="1:8">
      <c r="A137" s="173">
        <v>131104</v>
      </c>
      <c r="B137" s="174" t="s">
        <v>1138</v>
      </c>
      <c r="C137" s="172" t="s">
        <v>102</v>
      </c>
      <c r="D137" s="172" t="s">
        <v>102</v>
      </c>
      <c r="E137" s="172" t="s">
        <v>102</v>
      </c>
      <c r="F137" s="172" t="s">
        <v>102</v>
      </c>
      <c r="G137" s="172" t="s">
        <v>102</v>
      </c>
      <c r="H137" s="172" t="s">
        <v>102</v>
      </c>
    </row>
    <row ht="25.5" r="138" spans="1:8">
      <c r="A138" s="173">
        <v>131105</v>
      </c>
      <c r="B138" s="174" t="s">
        <v>1139</v>
      </c>
      <c r="C138" s="172" t="s">
        <v>102</v>
      </c>
      <c r="D138" s="172" t="s">
        <v>102</v>
      </c>
      <c r="E138" s="172" t="s">
        <v>102</v>
      </c>
      <c r="F138" s="172" t="s">
        <v>102</v>
      </c>
      <c r="G138" s="172" t="s">
        <v>102</v>
      </c>
      <c r="H138" s="172" t="s">
        <v>102</v>
      </c>
    </row>
    <row r="139" spans="1:8">
      <c r="A139" s="173">
        <v>131106</v>
      </c>
      <c r="B139" s="174" t="s">
        <v>1140</v>
      </c>
      <c r="C139" s="172" t="s">
        <v>102</v>
      </c>
      <c r="D139" s="172" t="s">
        <v>102</v>
      </c>
      <c r="E139" s="172" t="s">
        <v>102</v>
      </c>
      <c r="F139" s="172" t="s">
        <v>102</v>
      </c>
      <c r="G139" s="172" t="s">
        <v>102</v>
      </c>
      <c r="H139" s="172" t="s">
        <v>102</v>
      </c>
    </row>
    <row r="140" spans="1:8">
      <c r="A140" s="173">
        <v>1320</v>
      </c>
      <c r="B140" s="174" t="s">
        <v>1141</v>
      </c>
      <c r="C140" s="172" t="s">
        <v>102</v>
      </c>
      <c r="D140" s="172" t="s">
        <v>102</v>
      </c>
      <c r="E140" s="172" t="s">
        <v>102</v>
      </c>
      <c r="F140" s="172" t="s">
        <v>102</v>
      </c>
      <c r="G140" s="172" t="s">
        <v>102</v>
      </c>
      <c r="H140" s="172" t="s">
        <v>102</v>
      </c>
    </row>
    <row r="141" spans="1:8">
      <c r="A141" s="171">
        <v>132001</v>
      </c>
      <c r="B141" s="134" t="s">
        <v>1142</v>
      </c>
      <c r="C141" s="172" t="s">
        <v>102</v>
      </c>
      <c r="D141" s="172" t="s">
        <v>102</v>
      </c>
      <c r="E141" s="172" t="s">
        <v>102</v>
      </c>
      <c r="F141" s="172" t="s">
        <v>102</v>
      </c>
      <c r="G141" s="172" t="s">
        <v>102</v>
      </c>
      <c r="H141" s="172" t="s">
        <v>102</v>
      </c>
    </row>
    <row r="142" spans="1:8">
      <c r="A142" s="173">
        <v>132002</v>
      </c>
      <c r="B142" s="174" t="s">
        <v>1126</v>
      </c>
      <c r="C142" s="172" t="s">
        <v>102</v>
      </c>
      <c r="D142" s="172" t="s">
        <v>102</v>
      </c>
      <c r="E142" s="172" t="s">
        <v>102</v>
      </c>
      <c r="F142" s="172" t="s">
        <v>102</v>
      </c>
      <c r="G142" s="172" t="s">
        <v>102</v>
      </c>
      <c r="H142" s="172" t="s">
        <v>102</v>
      </c>
    </row>
    <row ht="25.5" r="143" spans="1:8">
      <c r="A143" s="173">
        <v>132003</v>
      </c>
      <c r="B143" s="174" t="s">
        <v>1143</v>
      </c>
      <c r="C143" s="172" t="s">
        <v>102</v>
      </c>
      <c r="D143" s="172" t="s">
        <v>102</v>
      </c>
      <c r="E143" s="172" t="s">
        <v>102</v>
      </c>
      <c r="F143" s="172" t="s">
        <v>102</v>
      </c>
      <c r="G143" s="172" t="s">
        <v>102</v>
      </c>
      <c r="H143" s="172" t="s">
        <v>102</v>
      </c>
    </row>
    <row r="144" spans="1:8">
      <c r="A144" s="173">
        <v>132004</v>
      </c>
      <c r="B144" s="174" t="s">
        <v>1144</v>
      </c>
      <c r="C144" s="172" t="s">
        <v>102</v>
      </c>
      <c r="D144" s="172" t="s">
        <v>102</v>
      </c>
      <c r="E144" s="172" t="s">
        <v>102</v>
      </c>
      <c r="F144" s="172" t="s">
        <v>102</v>
      </c>
      <c r="G144" s="172" t="s">
        <v>102</v>
      </c>
      <c r="H144" s="172" t="s">
        <v>102</v>
      </c>
    </row>
    <row r="145" spans="1:8">
      <c r="A145" s="173">
        <v>132005</v>
      </c>
      <c r="B145" s="174" t="s">
        <v>1145</v>
      </c>
      <c r="C145" s="172" t="s">
        <v>102</v>
      </c>
      <c r="D145" s="172" t="s">
        <v>102</v>
      </c>
      <c r="E145" s="172" t="s">
        <v>102</v>
      </c>
      <c r="F145" s="172" t="s">
        <v>102</v>
      </c>
      <c r="G145" s="172" t="s">
        <v>102</v>
      </c>
      <c r="H145" s="172" t="s">
        <v>102</v>
      </c>
    </row>
    <row r="146" spans="1:8">
      <c r="A146" s="173">
        <v>132006</v>
      </c>
      <c r="B146" s="174" t="s">
        <v>1146</v>
      </c>
      <c r="C146" s="172" t="s">
        <v>102</v>
      </c>
      <c r="D146" s="172" t="s">
        <v>102</v>
      </c>
      <c r="E146" s="172" t="s">
        <v>102</v>
      </c>
      <c r="F146" s="172" t="s">
        <v>102</v>
      </c>
      <c r="G146" s="172" t="s">
        <v>102</v>
      </c>
      <c r="H146" s="172" t="s">
        <v>102</v>
      </c>
    </row>
    <row r="147" spans="1:8">
      <c r="A147" s="173">
        <v>132007</v>
      </c>
      <c r="B147" s="174" t="s">
        <v>1147</v>
      </c>
      <c r="C147" s="172" t="s">
        <v>102</v>
      </c>
      <c r="D147" s="172" t="s">
        <v>102</v>
      </c>
      <c r="E147" s="172" t="s">
        <v>102</v>
      </c>
      <c r="F147" s="172" t="s">
        <v>102</v>
      </c>
      <c r="G147" s="172" t="s">
        <v>102</v>
      </c>
      <c r="H147" s="172" t="s">
        <v>102</v>
      </c>
    </row>
    <row r="148" spans="1:8">
      <c r="A148" s="173">
        <v>1330</v>
      </c>
      <c r="B148" s="174" t="s">
        <v>1148</v>
      </c>
      <c r="C148" s="172" t="s">
        <v>102</v>
      </c>
      <c r="D148" s="172" t="s">
        <v>102</v>
      </c>
      <c r="E148" s="172" t="s">
        <v>102</v>
      </c>
      <c r="F148" s="172" t="s">
        <v>102</v>
      </c>
      <c r="G148" s="172" t="s">
        <v>102</v>
      </c>
      <c r="H148" s="172" t="s">
        <v>102</v>
      </c>
    </row>
    <row r="149" spans="1:8">
      <c r="A149" s="171">
        <v>133001</v>
      </c>
      <c r="B149" s="134" t="s">
        <v>1125</v>
      </c>
      <c r="C149" s="172" t="s">
        <v>102</v>
      </c>
      <c r="D149" s="172" t="s">
        <v>102</v>
      </c>
      <c r="E149" s="172" t="s">
        <v>102</v>
      </c>
      <c r="F149" s="172" t="s">
        <v>102</v>
      </c>
      <c r="G149" s="172" t="s">
        <v>102</v>
      </c>
      <c r="H149" s="172" t="s">
        <v>102</v>
      </c>
    </row>
    <row r="150" spans="1:8">
      <c r="A150" s="173">
        <v>133002</v>
      </c>
      <c r="B150" s="174" t="s">
        <v>1127</v>
      </c>
      <c r="C150" s="172" t="s">
        <v>102</v>
      </c>
      <c r="D150" s="172" t="s">
        <v>102</v>
      </c>
      <c r="E150" s="172" t="s">
        <v>102</v>
      </c>
      <c r="F150" s="172" t="s">
        <v>102</v>
      </c>
      <c r="G150" s="172" t="s">
        <v>102</v>
      </c>
      <c r="H150" s="172" t="s">
        <v>102</v>
      </c>
    </row>
    <row r="151" spans="1:8">
      <c r="A151" s="173">
        <v>133003</v>
      </c>
      <c r="B151" s="174" t="s">
        <v>1149</v>
      </c>
      <c r="C151" s="172" t="s">
        <v>102</v>
      </c>
      <c r="D151" s="172" t="s">
        <v>102</v>
      </c>
      <c r="E151" s="172" t="s">
        <v>102</v>
      </c>
      <c r="F151" s="172" t="s">
        <v>102</v>
      </c>
      <c r="G151" s="172" t="s">
        <v>102</v>
      </c>
      <c r="H151" s="172" t="s">
        <v>102</v>
      </c>
    </row>
    <row r="152" spans="1:8">
      <c r="A152" s="173">
        <v>133004</v>
      </c>
      <c r="B152" s="174" t="s">
        <v>1150</v>
      </c>
      <c r="C152" s="172" t="s">
        <v>102</v>
      </c>
      <c r="D152" s="172" t="s">
        <v>102</v>
      </c>
      <c r="E152" s="172" t="s">
        <v>102</v>
      </c>
      <c r="F152" s="172" t="s">
        <v>102</v>
      </c>
      <c r="G152" s="172" t="s">
        <v>102</v>
      </c>
      <c r="H152" s="172" t="s">
        <v>102</v>
      </c>
    </row>
    <row r="153" spans="1:8">
      <c r="A153" s="173">
        <v>133005</v>
      </c>
      <c r="B153" s="174" t="s">
        <v>1151</v>
      </c>
      <c r="C153" s="172" t="s">
        <v>102</v>
      </c>
      <c r="D153" s="172" t="s">
        <v>102</v>
      </c>
      <c r="E153" s="172" t="s">
        <v>102</v>
      </c>
      <c r="F153" s="172" t="s">
        <v>102</v>
      </c>
      <c r="G153" s="172" t="s">
        <v>102</v>
      </c>
      <c r="H153" s="172" t="s">
        <v>102</v>
      </c>
    </row>
    <row r="154" spans="1:8">
      <c r="A154" s="173">
        <v>1340</v>
      </c>
      <c r="B154" s="174" t="s">
        <v>1152</v>
      </c>
      <c r="C154" s="172" t="s">
        <v>102</v>
      </c>
      <c r="D154" s="172" t="s">
        <v>102</v>
      </c>
      <c r="E154" s="172" t="s">
        <v>102</v>
      </c>
      <c r="F154" s="172" t="s">
        <v>102</v>
      </c>
      <c r="G154" s="172" t="s">
        <v>102</v>
      </c>
      <c r="H154" s="172" t="s">
        <v>102</v>
      </c>
    </row>
    <row r="155" spans="1:8">
      <c r="A155" s="171">
        <v>134001</v>
      </c>
      <c r="B155" s="134" t="s">
        <v>1153</v>
      </c>
      <c r="C155" s="172" t="s">
        <v>102</v>
      </c>
      <c r="D155" s="172" t="s">
        <v>102</v>
      </c>
      <c r="E155" s="172" t="s">
        <v>102</v>
      </c>
      <c r="F155" s="172" t="s">
        <v>102</v>
      </c>
      <c r="G155" s="172" t="s">
        <v>102</v>
      </c>
      <c r="H155" s="172" t="s">
        <v>102</v>
      </c>
    </row>
    <row r="156" spans="1:8">
      <c r="A156" s="173">
        <v>134002</v>
      </c>
      <c r="B156" s="174" t="s">
        <v>1154</v>
      </c>
      <c r="C156" s="172" t="s">
        <v>102</v>
      </c>
      <c r="D156" s="172" t="s">
        <v>102</v>
      </c>
      <c r="E156" s="172" t="s">
        <v>102</v>
      </c>
      <c r="F156" s="172" t="s">
        <v>102</v>
      </c>
      <c r="G156" s="172" t="s">
        <v>102</v>
      </c>
      <c r="H156" s="172" t="s">
        <v>102</v>
      </c>
    </row>
    <row r="157" spans="1:8">
      <c r="A157" s="173">
        <v>134003</v>
      </c>
      <c r="B157" s="174" t="s">
        <v>1155</v>
      </c>
      <c r="C157" s="172" t="s">
        <v>102</v>
      </c>
      <c r="D157" s="172" t="s">
        <v>102</v>
      </c>
      <c r="E157" s="172" t="s">
        <v>102</v>
      </c>
      <c r="F157" s="172" t="s">
        <v>102</v>
      </c>
      <c r="G157" s="172" t="s">
        <v>102</v>
      </c>
      <c r="H157" s="172" t="s">
        <v>102</v>
      </c>
    </row>
    <row r="158" spans="1:8">
      <c r="A158" s="173">
        <v>14</v>
      </c>
      <c r="B158" s="174" t="s">
        <v>625</v>
      </c>
      <c r="C158" s="172" t="s">
        <v>102</v>
      </c>
      <c r="D158" s="172" t="s">
        <v>102</v>
      </c>
      <c r="E158" s="172" t="s">
        <v>102</v>
      </c>
      <c r="F158" s="172" t="s">
        <v>102</v>
      </c>
      <c r="G158" s="172" t="s">
        <v>102</v>
      </c>
      <c r="H158" s="172" t="s">
        <v>102</v>
      </c>
    </row>
    <row r="159" spans="1:8">
      <c r="A159" s="179">
        <v>145004</v>
      </c>
      <c r="B159" s="180" t="s">
        <v>1064</v>
      </c>
      <c r="C159" s="172" t="s">
        <v>102</v>
      </c>
      <c r="D159" s="172" t="s">
        <v>102</v>
      </c>
      <c r="E159" s="172" t="s">
        <v>102</v>
      </c>
      <c r="F159" s="172" t="s">
        <v>102</v>
      </c>
      <c r="G159" s="172" t="s">
        <v>102</v>
      </c>
      <c r="H159" s="172" t="s">
        <v>102</v>
      </c>
    </row>
    <row r="160" spans="1:8">
      <c r="A160" s="177">
        <v>145005</v>
      </c>
      <c r="B160" s="174" t="s">
        <v>1065</v>
      </c>
      <c r="C160" s="172" t="s">
        <v>102</v>
      </c>
      <c r="D160" s="172" t="s">
        <v>102</v>
      </c>
      <c r="E160" s="172" t="s">
        <v>102</v>
      </c>
      <c r="F160" s="172" t="s">
        <v>102</v>
      </c>
      <c r="G160" s="172" t="s">
        <v>102</v>
      </c>
      <c r="H160" s="172" t="s">
        <v>102</v>
      </c>
    </row>
    <row r="161" spans="1:8">
      <c r="A161" s="173">
        <v>145006</v>
      </c>
      <c r="B161" s="174" t="s">
        <v>1066</v>
      </c>
      <c r="C161" s="172" t="s">
        <v>102</v>
      </c>
      <c r="D161" s="172" t="s">
        <v>102</v>
      </c>
      <c r="E161" s="172" t="s">
        <v>102</v>
      </c>
      <c r="F161" s="172" t="s">
        <v>102</v>
      </c>
      <c r="G161" s="172" t="s">
        <v>102</v>
      </c>
      <c r="H161" s="172" t="s">
        <v>102</v>
      </c>
    </row>
    <row r="162" spans="1:8">
      <c r="A162" s="173">
        <v>145007</v>
      </c>
      <c r="B162" s="174" t="s">
        <v>1067</v>
      </c>
      <c r="C162" s="172" t="s">
        <v>102</v>
      </c>
      <c r="D162" s="172" t="s">
        <v>102</v>
      </c>
      <c r="E162" s="172" t="s">
        <v>102</v>
      </c>
      <c r="F162" s="172" t="s">
        <v>102</v>
      </c>
      <c r="G162" s="172" t="s">
        <v>102</v>
      </c>
      <c r="H162" s="172" t="s">
        <v>102</v>
      </c>
    </row>
    <row r="163" spans="1:8">
      <c r="A163" s="177">
        <v>145008</v>
      </c>
      <c r="B163" s="174" t="s">
        <v>1068</v>
      </c>
      <c r="C163" s="172" t="s">
        <v>102</v>
      </c>
      <c r="D163" s="172" t="s">
        <v>102</v>
      </c>
      <c r="E163" s="172" t="s">
        <v>102</v>
      </c>
      <c r="F163" s="172" t="s">
        <v>102</v>
      </c>
      <c r="G163" s="172" t="s">
        <v>102</v>
      </c>
      <c r="H163" s="172" t="s">
        <v>102</v>
      </c>
    </row>
    <row r="164" spans="1:8">
      <c r="A164" s="173">
        <v>145009</v>
      </c>
      <c r="B164" s="174" t="s">
        <v>1069</v>
      </c>
      <c r="C164" s="172" t="s">
        <v>102</v>
      </c>
      <c r="D164" s="172" t="s">
        <v>102</v>
      </c>
      <c r="E164" s="172" t="s">
        <v>102</v>
      </c>
      <c r="F164" s="172" t="s">
        <v>102</v>
      </c>
      <c r="G164" s="172" t="s">
        <v>102</v>
      </c>
      <c r="H164" s="172" t="s">
        <v>102</v>
      </c>
    </row>
    <row r="165" spans="1:8">
      <c r="A165" s="173">
        <v>2</v>
      </c>
      <c r="B165" s="174" t="s">
        <v>1087</v>
      </c>
      <c r="C165" s="172" t="s">
        <v>102</v>
      </c>
      <c r="D165" s="172" t="s">
        <v>102</v>
      </c>
      <c r="E165" s="172" t="s">
        <v>102</v>
      </c>
      <c r="F165" s="172" t="s">
        <v>102</v>
      </c>
      <c r="G165" s="172" t="s">
        <v>102</v>
      </c>
      <c r="H165" s="172" t="s">
        <v>102</v>
      </c>
    </row>
    <row r="166" spans="1:8">
      <c r="A166" s="178">
        <v>21</v>
      </c>
      <c r="B166" s="134" t="s">
        <v>330</v>
      </c>
      <c r="C166" s="172" t="s">
        <v>102</v>
      </c>
      <c r="D166" s="172" t="s">
        <v>102</v>
      </c>
      <c r="E166" s="172" t="s">
        <v>102</v>
      </c>
      <c r="F166" s="172" t="s">
        <v>102</v>
      </c>
      <c r="G166" s="172" t="s">
        <v>102</v>
      </c>
      <c r="H166" s="172" t="s">
        <v>102</v>
      </c>
    </row>
    <row r="167" spans="1:8">
      <c r="A167" s="171">
        <v>210</v>
      </c>
      <c r="B167" s="134" t="s">
        <v>332</v>
      </c>
      <c r="C167" s="172" t="s">
        <v>102</v>
      </c>
      <c r="D167" s="172" t="s">
        <v>102</v>
      </c>
      <c r="E167" s="172" t="s">
        <v>102</v>
      </c>
      <c r="F167" s="172" t="s">
        <v>102</v>
      </c>
      <c r="G167" s="172" t="s">
        <v>102</v>
      </c>
      <c r="H167" s="172" t="s">
        <v>102</v>
      </c>
    </row>
    <row r="168" spans="1:8">
      <c r="A168" s="171">
        <v>2101</v>
      </c>
      <c r="B168" s="134" t="s">
        <v>922</v>
      </c>
      <c r="C168" s="172" t="s">
        <v>102</v>
      </c>
      <c r="D168" s="172" t="s">
        <v>102</v>
      </c>
      <c r="E168" s="172" t="s">
        <v>102</v>
      </c>
      <c r="F168" s="172" t="s">
        <v>102</v>
      </c>
      <c r="G168" s="172" t="s">
        <v>102</v>
      </c>
      <c r="H168" s="172" t="s">
        <v>102</v>
      </c>
    </row>
    <row r="169" spans="1:8">
      <c r="A169" s="171">
        <v>210101</v>
      </c>
      <c r="B169" s="134" t="s">
        <v>1174</v>
      </c>
      <c r="C169" s="172" t="s">
        <v>102</v>
      </c>
      <c r="D169" s="172" t="s">
        <v>102</v>
      </c>
      <c r="E169" s="172" t="s">
        <v>102</v>
      </c>
      <c r="F169" s="172" t="s">
        <v>102</v>
      </c>
      <c r="G169" s="172" t="s">
        <v>102</v>
      </c>
      <c r="H169" s="172" t="s">
        <v>102</v>
      </c>
    </row>
    <row r="170" spans="1:8">
      <c r="A170" s="173">
        <v>210102</v>
      </c>
      <c r="B170" s="174" t="s">
        <v>1173</v>
      </c>
      <c r="C170" s="172" t="s">
        <v>102</v>
      </c>
      <c r="D170" s="172" t="s">
        <v>102</v>
      </c>
      <c r="E170" s="172" t="s">
        <v>102</v>
      </c>
      <c r="F170" s="172" t="s">
        <v>102</v>
      </c>
      <c r="G170" s="172" t="s">
        <v>102</v>
      </c>
      <c r="H170" s="172" t="s">
        <v>102</v>
      </c>
    </row>
    <row r="171" spans="1:8">
      <c r="A171" s="173">
        <v>210103</v>
      </c>
      <c r="B171" s="174" t="s">
        <v>1172</v>
      </c>
      <c r="C171" s="172" t="s">
        <v>102</v>
      </c>
      <c r="D171" s="172" t="s">
        <v>102</v>
      </c>
      <c r="E171" s="172" t="s">
        <v>102</v>
      </c>
      <c r="F171" s="172" t="s">
        <v>102</v>
      </c>
      <c r="G171" s="172" t="s">
        <v>102</v>
      </c>
      <c r="H171" s="172" t="s">
        <v>102</v>
      </c>
    </row>
    <row r="172" spans="1:8">
      <c r="A172" s="173">
        <v>210104</v>
      </c>
      <c r="B172" s="174" t="s">
        <v>1171</v>
      </c>
      <c r="C172" s="172" t="s">
        <v>102</v>
      </c>
      <c r="D172" s="172" t="s">
        <v>102</v>
      </c>
      <c r="E172" s="172" t="s">
        <v>102</v>
      </c>
      <c r="F172" s="172" t="s">
        <v>102</v>
      </c>
      <c r="G172" s="172" t="s">
        <v>102</v>
      </c>
      <c r="H172" s="172" t="s">
        <v>102</v>
      </c>
    </row>
    <row r="173" spans="1:8">
      <c r="A173" s="173">
        <v>210105</v>
      </c>
      <c r="B173" s="174" t="s">
        <v>1170</v>
      </c>
      <c r="C173" s="172" t="s">
        <v>102</v>
      </c>
      <c r="D173" s="172" t="s">
        <v>102</v>
      </c>
      <c r="E173" s="172" t="s">
        <v>102</v>
      </c>
      <c r="F173" s="172" t="s">
        <v>102</v>
      </c>
      <c r="G173" s="172" t="s">
        <v>102</v>
      </c>
      <c r="H173" s="172" t="s">
        <v>102</v>
      </c>
    </row>
    <row r="174" spans="1:8">
      <c r="A174" s="173">
        <v>210106</v>
      </c>
      <c r="B174" s="174" t="s">
        <v>1169</v>
      </c>
      <c r="C174" s="172" t="s">
        <v>102</v>
      </c>
      <c r="D174" s="172" t="s">
        <v>102</v>
      </c>
      <c r="E174" s="172" t="s">
        <v>102</v>
      </c>
      <c r="F174" s="172" t="s">
        <v>102</v>
      </c>
      <c r="G174" s="172" t="s">
        <v>102</v>
      </c>
      <c r="H174" s="172" t="s">
        <v>102</v>
      </c>
    </row>
    <row r="175" spans="1:8">
      <c r="A175" s="173">
        <v>2102</v>
      </c>
      <c r="B175" s="174" t="s">
        <v>1168</v>
      </c>
      <c r="C175" s="172" t="s">
        <v>102</v>
      </c>
      <c r="D175" s="172" t="s">
        <v>102</v>
      </c>
      <c r="E175" s="172" t="s">
        <v>102</v>
      </c>
      <c r="F175" s="172" t="s">
        <v>102</v>
      </c>
      <c r="G175" s="172" t="s">
        <v>102</v>
      </c>
      <c r="H175" s="172" t="s">
        <v>102</v>
      </c>
    </row>
    <row r="176" spans="1:8">
      <c r="A176" s="171">
        <v>210201</v>
      </c>
      <c r="B176" s="134" t="s">
        <v>931</v>
      </c>
      <c r="C176" s="172" t="s">
        <v>102</v>
      </c>
      <c r="D176" s="172" t="s">
        <v>102</v>
      </c>
      <c r="E176" s="172" t="s">
        <v>102</v>
      </c>
      <c r="F176" s="172" t="s">
        <v>102</v>
      </c>
      <c r="G176" s="172" t="s">
        <v>102</v>
      </c>
      <c r="H176" s="172" t="s">
        <v>102</v>
      </c>
    </row>
    <row r="177" spans="1:8">
      <c r="A177" s="173">
        <v>210202</v>
      </c>
      <c r="B177" s="174" t="s">
        <v>932</v>
      </c>
      <c r="C177" s="172" t="s">
        <v>102</v>
      </c>
      <c r="D177" s="172" t="s">
        <v>102</v>
      </c>
      <c r="E177" s="172" t="s">
        <v>102</v>
      </c>
      <c r="F177" s="172" t="s">
        <v>102</v>
      </c>
      <c r="G177" s="172" t="s">
        <v>102</v>
      </c>
      <c r="H177" s="172" t="s">
        <v>102</v>
      </c>
    </row>
    <row r="178" spans="1:8">
      <c r="A178" s="173">
        <v>210203</v>
      </c>
      <c r="B178" s="174" t="s">
        <v>933</v>
      </c>
      <c r="C178" s="172" t="s">
        <v>102</v>
      </c>
      <c r="D178" s="172" t="s">
        <v>102</v>
      </c>
      <c r="E178" s="172" t="s">
        <v>102</v>
      </c>
      <c r="F178" s="172" t="s">
        <v>102</v>
      </c>
      <c r="G178" s="172" t="s">
        <v>102</v>
      </c>
      <c r="H178" s="172" t="s">
        <v>102</v>
      </c>
    </row>
    <row r="179" spans="1:8">
      <c r="A179" s="173">
        <v>210204</v>
      </c>
      <c r="B179" s="174" t="s">
        <v>934</v>
      </c>
      <c r="C179" s="172" t="s">
        <v>102</v>
      </c>
      <c r="D179" s="172" t="s">
        <v>102</v>
      </c>
      <c r="E179" s="172" t="s">
        <v>102</v>
      </c>
      <c r="F179" s="172" t="s">
        <v>102</v>
      </c>
      <c r="G179" s="172" t="s">
        <v>102</v>
      </c>
      <c r="H179" s="172" t="s">
        <v>102</v>
      </c>
    </row>
    <row r="180" spans="1:8">
      <c r="A180" s="173">
        <v>210205</v>
      </c>
      <c r="B180" s="174" t="s">
        <v>935</v>
      </c>
      <c r="C180" s="172" t="s">
        <v>102</v>
      </c>
      <c r="D180" s="172" t="s">
        <v>102</v>
      </c>
      <c r="E180" s="172" t="s">
        <v>102</v>
      </c>
      <c r="F180" s="172" t="s">
        <v>102</v>
      </c>
      <c r="G180" s="172" t="s">
        <v>102</v>
      </c>
      <c r="H180" s="172" t="s">
        <v>102</v>
      </c>
    </row>
    <row r="181" spans="1:8">
      <c r="A181" s="173">
        <v>210206</v>
      </c>
      <c r="B181" s="174" t="s">
        <v>1056</v>
      </c>
      <c r="C181" s="172" t="s">
        <v>102</v>
      </c>
      <c r="D181" s="172" t="s">
        <v>102</v>
      </c>
      <c r="E181" s="172" t="s">
        <v>102</v>
      </c>
      <c r="F181" s="172" t="s">
        <v>102</v>
      </c>
      <c r="G181" s="172" t="s">
        <v>102</v>
      </c>
      <c r="H181" s="172" t="s">
        <v>102</v>
      </c>
    </row>
    <row r="182" spans="1:8">
      <c r="A182" s="173">
        <v>2103</v>
      </c>
      <c r="B182" s="174" t="s">
        <v>929</v>
      </c>
      <c r="C182" s="172" t="s">
        <v>102</v>
      </c>
      <c r="D182" s="172" t="s">
        <v>102</v>
      </c>
      <c r="E182" s="172" t="s">
        <v>102</v>
      </c>
      <c r="F182" s="172" t="s">
        <v>102</v>
      </c>
      <c r="G182" s="172" t="s">
        <v>102</v>
      </c>
      <c r="H182" s="172" t="s">
        <v>102</v>
      </c>
    </row>
    <row r="183" spans="1:8">
      <c r="A183" s="171">
        <v>210301</v>
      </c>
      <c r="B183" s="134" t="s">
        <v>1167</v>
      </c>
      <c r="C183" s="172" t="s">
        <v>102</v>
      </c>
      <c r="D183" s="172" t="s">
        <v>102</v>
      </c>
      <c r="E183" s="172" t="s">
        <v>102</v>
      </c>
      <c r="F183" s="172" t="s">
        <v>102</v>
      </c>
      <c r="G183" s="172" t="s">
        <v>102</v>
      </c>
      <c r="H183" s="172" t="s">
        <v>102</v>
      </c>
    </row>
    <row r="184" spans="1:8">
      <c r="A184" s="173">
        <v>210302</v>
      </c>
      <c r="B184" s="174" t="s">
        <v>1166</v>
      </c>
      <c r="C184" s="172" t="s">
        <v>102</v>
      </c>
      <c r="D184" s="172" t="s">
        <v>102</v>
      </c>
      <c r="E184" s="172" t="s">
        <v>102</v>
      </c>
      <c r="F184" s="172" t="s">
        <v>102</v>
      </c>
      <c r="G184" s="172" t="s">
        <v>102</v>
      </c>
      <c r="H184" s="172" t="s">
        <v>102</v>
      </c>
    </row>
    <row r="185" spans="1:8">
      <c r="A185" s="173">
        <v>210303</v>
      </c>
      <c r="B185" s="174" t="s">
        <v>1165</v>
      </c>
      <c r="C185" s="172" t="s">
        <v>102</v>
      </c>
      <c r="D185" s="172" t="s">
        <v>102</v>
      </c>
      <c r="E185" s="172" t="s">
        <v>102</v>
      </c>
      <c r="F185" s="172" t="s">
        <v>102</v>
      </c>
      <c r="G185" s="172" t="s">
        <v>102</v>
      </c>
      <c r="H185" s="172" t="s">
        <v>102</v>
      </c>
    </row>
    <row r="186" spans="1:8">
      <c r="A186" s="173">
        <v>210304</v>
      </c>
      <c r="B186" s="174" t="s">
        <v>1164</v>
      </c>
      <c r="C186" s="172" t="s">
        <v>102</v>
      </c>
      <c r="D186" s="172" t="s">
        <v>102</v>
      </c>
      <c r="E186" s="172" t="s">
        <v>102</v>
      </c>
      <c r="F186" s="172" t="s">
        <v>102</v>
      </c>
      <c r="G186" s="172" t="s">
        <v>102</v>
      </c>
      <c r="H186" s="172" t="s">
        <v>102</v>
      </c>
    </row>
    <row r="187" spans="1:8">
      <c r="A187" s="173">
        <v>210305</v>
      </c>
      <c r="B187" s="174" t="s">
        <v>1163</v>
      </c>
      <c r="C187" s="172" t="s">
        <v>102</v>
      </c>
      <c r="D187" s="172" t="s">
        <v>102</v>
      </c>
      <c r="E187" s="172" t="s">
        <v>102</v>
      </c>
      <c r="F187" s="172" t="s">
        <v>102</v>
      </c>
      <c r="G187" s="172" t="s">
        <v>102</v>
      </c>
      <c r="H187" s="172" t="s">
        <v>102</v>
      </c>
    </row>
    <row r="188" spans="1:8">
      <c r="A188" s="173">
        <v>2104</v>
      </c>
      <c r="B188" s="174" t="s">
        <v>930</v>
      </c>
      <c r="C188" s="172" t="s">
        <v>102</v>
      </c>
      <c r="D188" s="172" t="s">
        <v>102</v>
      </c>
      <c r="E188" s="172" t="s">
        <v>102</v>
      </c>
      <c r="F188" s="172" t="s">
        <v>102</v>
      </c>
      <c r="G188" s="172" t="s">
        <v>102</v>
      </c>
      <c r="H188" s="172" t="s">
        <v>102</v>
      </c>
    </row>
    <row r="189" spans="1:8">
      <c r="A189" s="171">
        <v>210401</v>
      </c>
      <c r="B189" s="134" t="s">
        <v>1162</v>
      </c>
      <c r="C189" s="172" t="s">
        <v>102</v>
      </c>
      <c r="D189" s="172" t="s">
        <v>102</v>
      </c>
      <c r="E189" s="172" t="s">
        <v>102</v>
      </c>
      <c r="F189" s="172" t="s">
        <v>102</v>
      </c>
      <c r="G189" s="172" t="s">
        <v>102</v>
      </c>
      <c r="H189" s="172" t="s">
        <v>102</v>
      </c>
    </row>
    <row r="190" spans="1:8">
      <c r="A190" s="173">
        <v>210402</v>
      </c>
      <c r="B190" s="174" t="s">
        <v>1161</v>
      </c>
      <c r="C190" s="172" t="s">
        <v>102</v>
      </c>
      <c r="D190" s="172" t="s">
        <v>102</v>
      </c>
      <c r="E190" s="172" t="s">
        <v>102</v>
      </c>
      <c r="F190" s="172" t="s">
        <v>102</v>
      </c>
      <c r="G190" s="172" t="s">
        <v>102</v>
      </c>
      <c r="H190" s="172" t="s">
        <v>102</v>
      </c>
    </row>
    <row r="191" spans="1:8">
      <c r="A191" s="173">
        <v>210403</v>
      </c>
      <c r="B191" s="174" t="s">
        <v>1160</v>
      </c>
      <c r="C191" s="172" t="s">
        <v>102</v>
      </c>
      <c r="D191" s="172" t="s">
        <v>102</v>
      </c>
      <c r="E191" s="172" t="s">
        <v>102</v>
      </c>
      <c r="F191" s="172" t="s">
        <v>102</v>
      </c>
      <c r="G191" s="172" t="s">
        <v>102</v>
      </c>
      <c r="H191" s="172" t="s">
        <v>102</v>
      </c>
    </row>
    <row r="192" spans="1:8">
      <c r="A192" s="173">
        <v>210404</v>
      </c>
      <c r="B192" s="174" t="s">
        <v>1159</v>
      </c>
      <c r="C192" s="172" t="s">
        <v>102</v>
      </c>
      <c r="D192" s="172" t="s">
        <v>102</v>
      </c>
      <c r="E192" s="172" t="s">
        <v>102</v>
      </c>
      <c r="F192" s="172" t="s">
        <v>102</v>
      </c>
      <c r="G192" s="172" t="s">
        <v>102</v>
      </c>
      <c r="H192" s="172" t="s">
        <v>102</v>
      </c>
    </row>
    <row r="193" spans="1:8">
      <c r="A193" s="173">
        <v>210405</v>
      </c>
      <c r="B193" s="174" t="s">
        <v>1158</v>
      </c>
      <c r="C193" s="172" t="s">
        <v>102</v>
      </c>
      <c r="D193" s="172" t="s">
        <v>102</v>
      </c>
      <c r="E193" s="172" t="s">
        <v>102</v>
      </c>
      <c r="F193" s="172" t="s">
        <v>102</v>
      </c>
      <c r="G193" s="172" t="s">
        <v>102</v>
      </c>
      <c r="H193" s="172" t="s">
        <v>102</v>
      </c>
    </row>
    <row r="194" spans="1:8">
      <c r="A194" s="173">
        <v>210406</v>
      </c>
      <c r="B194" s="174" t="s">
        <v>1157</v>
      </c>
      <c r="C194" s="172" t="s">
        <v>102</v>
      </c>
      <c r="D194" s="172" t="s">
        <v>102</v>
      </c>
      <c r="E194" s="172" t="s">
        <v>102</v>
      </c>
      <c r="F194" s="172" t="s">
        <v>102</v>
      </c>
      <c r="G194" s="172" t="s">
        <v>102</v>
      </c>
      <c r="H194" s="172" t="s">
        <v>102</v>
      </c>
    </row>
    <row r="195" spans="1:8">
      <c r="A195" s="173">
        <v>210407</v>
      </c>
      <c r="B195" s="174" t="s">
        <v>1156</v>
      </c>
      <c r="C195" s="172" t="s">
        <v>102</v>
      </c>
      <c r="D195" s="172" t="s">
        <v>102</v>
      </c>
      <c r="E195" s="172" t="s">
        <v>102</v>
      </c>
      <c r="F195" s="172" t="s">
        <v>102</v>
      </c>
      <c r="G195" s="172" t="s">
        <v>102</v>
      </c>
      <c r="H195" s="172" t="s">
        <v>102</v>
      </c>
    </row>
    <row r="196" spans="1:8">
      <c r="A196" s="173">
        <v>210408</v>
      </c>
      <c r="B196" s="174" t="s">
        <v>946</v>
      </c>
      <c r="C196" s="172" t="s">
        <v>102</v>
      </c>
      <c r="D196" s="172" t="s">
        <v>102</v>
      </c>
      <c r="E196" s="172" t="s">
        <v>102</v>
      </c>
      <c r="F196" s="172" t="s">
        <v>102</v>
      </c>
      <c r="G196" s="172" t="s">
        <v>102</v>
      </c>
      <c r="H196" s="172" t="s">
        <v>102</v>
      </c>
    </row>
    <row r="197" spans="1:8">
      <c r="A197" s="173">
        <v>210409</v>
      </c>
      <c r="B197" s="174" t="s">
        <v>1058</v>
      </c>
      <c r="C197" s="172" t="s">
        <v>102</v>
      </c>
      <c r="D197" s="172" t="s">
        <v>102</v>
      </c>
      <c r="E197" s="172" t="s">
        <v>102</v>
      </c>
      <c r="F197" s="172" t="s">
        <v>102</v>
      </c>
      <c r="G197" s="172" t="s">
        <v>102</v>
      </c>
      <c r="H197" s="172" t="s">
        <v>102</v>
      </c>
    </row>
    <row r="198" spans="1:8">
      <c r="A198" s="177">
        <v>210410</v>
      </c>
      <c r="B198" s="174" t="s">
        <v>1050</v>
      </c>
      <c r="C198" s="172" t="s">
        <v>102</v>
      </c>
      <c r="D198" s="172" t="s">
        <v>102</v>
      </c>
      <c r="E198" s="172" t="s">
        <v>102</v>
      </c>
      <c r="F198" s="172" t="s">
        <v>102</v>
      </c>
      <c r="G198" s="172" t="s">
        <v>102</v>
      </c>
      <c r="H198" s="172" t="s">
        <v>102</v>
      </c>
    </row>
    <row r="199" spans="1:8">
      <c r="A199" s="177">
        <v>2105</v>
      </c>
      <c r="B199" s="174" t="s">
        <v>354</v>
      </c>
      <c r="C199" s="172" t="s">
        <v>102</v>
      </c>
      <c r="D199" s="172" t="s">
        <v>102</v>
      </c>
      <c r="E199" s="172" t="s">
        <v>102</v>
      </c>
      <c r="F199" s="172" t="s">
        <v>102</v>
      </c>
      <c r="G199" s="172" t="s">
        <v>102</v>
      </c>
      <c r="H199" s="172" t="s">
        <v>102</v>
      </c>
    </row>
    <row r="200" spans="1:8">
      <c r="A200" s="171">
        <v>210501</v>
      </c>
      <c r="B200" s="134" t="s">
        <v>355</v>
      </c>
      <c r="C200" s="172" t="s">
        <v>102</v>
      </c>
      <c r="D200" s="172" t="s">
        <v>102</v>
      </c>
      <c r="E200" s="172" t="s">
        <v>102</v>
      </c>
      <c r="F200" s="172" t="s">
        <v>102</v>
      </c>
      <c r="G200" s="172" t="s">
        <v>102</v>
      </c>
      <c r="H200" s="172" t="s">
        <v>102</v>
      </c>
    </row>
    <row r="201" spans="1:8">
      <c r="A201" s="173">
        <v>210502</v>
      </c>
      <c r="B201" s="174" t="s">
        <v>356</v>
      </c>
      <c r="C201" s="172" t="s">
        <v>102</v>
      </c>
      <c r="D201" s="172" t="s">
        <v>102</v>
      </c>
      <c r="E201" s="172" t="s">
        <v>102</v>
      </c>
      <c r="F201" s="172" t="s">
        <v>102</v>
      </c>
      <c r="G201" s="172" t="s">
        <v>102</v>
      </c>
      <c r="H201" s="172" t="s">
        <v>102</v>
      </c>
    </row>
    <row r="202" spans="1:8">
      <c r="A202" s="173">
        <v>210503</v>
      </c>
      <c r="B202" s="174" t="s">
        <v>357</v>
      </c>
      <c r="C202" s="172" t="s">
        <v>102</v>
      </c>
      <c r="D202" s="172" t="s">
        <v>102</v>
      </c>
      <c r="E202" s="172" t="s">
        <v>102</v>
      </c>
      <c r="F202" s="172" t="s">
        <v>102</v>
      </c>
      <c r="G202" s="172" t="s">
        <v>102</v>
      </c>
      <c r="H202" s="172" t="s">
        <v>102</v>
      </c>
    </row>
    <row r="203" spans="1:8">
      <c r="A203" s="173">
        <v>2106</v>
      </c>
      <c r="B203" s="174" t="s">
        <v>358</v>
      </c>
      <c r="C203" s="172" t="s">
        <v>102</v>
      </c>
      <c r="D203" s="172" t="s">
        <v>102</v>
      </c>
      <c r="E203" s="172" t="s">
        <v>102</v>
      </c>
      <c r="F203" s="172" t="s">
        <v>102</v>
      </c>
      <c r="G203" s="172" t="s">
        <v>102</v>
      </c>
      <c r="H203" s="172" t="s">
        <v>102</v>
      </c>
    </row>
    <row r="204" spans="1:8">
      <c r="A204" s="171">
        <v>210601</v>
      </c>
      <c r="B204" s="134" t="s">
        <v>359</v>
      </c>
      <c r="C204" s="172" t="s">
        <v>102</v>
      </c>
      <c r="D204" s="172" t="s">
        <v>102</v>
      </c>
      <c r="E204" s="172" t="s">
        <v>102</v>
      </c>
      <c r="F204" s="172" t="s">
        <v>102</v>
      </c>
      <c r="G204" s="172" t="s">
        <v>102</v>
      </c>
      <c r="H204" s="172" t="s">
        <v>102</v>
      </c>
    </row>
    <row r="205" spans="1:8">
      <c r="A205" s="173">
        <v>210602</v>
      </c>
      <c r="B205" s="174" t="s">
        <v>360</v>
      </c>
      <c r="C205" s="172" t="s">
        <v>102</v>
      </c>
      <c r="D205" s="172" t="s">
        <v>102</v>
      </c>
      <c r="E205" s="172" t="s">
        <v>102</v>
      </c>
      <c r="F205" s="172" t="s">
        <v>102</v>
      </c>
      <c r="G205" s="172" t="s">
        <v>102</v>
      </c>
      <c r="H205" s="172" t="s">
        <v>102</v>
      </c>
    </row>
    <row r="206" spans="1:8">
      <c r="A206" s="173">
        <v>210603</v>
      </c>
      <c r="B206" s="174" t="s">
        <v>361</v>
      </c>
      <c r="C206" s="172" t="s">
        <v>102</v>
      </c>
      <c r="D206" s="172" t="s">
        <v>102</v>
      </c>
      <c r="E206" s="172" t="s">
        <v>102</v>
      </c>
      <c r="F206" s="172" t="s">
        <v>102</v>
      </c>
      <c r="G206" s="172" t="s">
        <v>102</v>
      </c>
      <c r="H206" s="172" t="s">
        <v>102</v>
      </c>
    </row>
    <row r="207" spans="1:8">
      <c r="A207" s="173">
        <v>210604</v>
      </c>
      <c r="B207" s="174" t="s">
        <v>362</v>
      </c>
      <c r="C207" s="172" t="s">
        <v>102</v>
      </c>
      <c r="D207" s="172" t="s">
        <v>102</v>
      </c>
      <c r="E207" s="172" t="s">
        <v>102</v>
      </c>
      <c r="F207" s="172" t="s">
        <v>102</v>
      </c>
      <c r="G207" s="172" t="s">
        <v>102</v>
      </c>
      <c r="H207" s="172" t="s">
        <v>102</v>
      </c>
    </row>
    <row r="208" spans="1:8">
      <c r="A208" s="173">
        <v>2107</v>
      </c>
      <c r="B208" s="174" t="s">
        <v>363</v>
      </c>
      <c r="C208" s="172" t="s">
        <v>102</v>
      </c>
      <c r="D208" s="172" t="s">
        <v>102</v>
      </c>
      <c r="E208" s="172" t="s">
        <v>102</v>
      </c>
      <c r="F208" s="172" t="s">
        <v>102</v>
      </c>
      <c r="G208" s="172" t="s">
        <v>102</v>
      </c>
      <c r="H208" s="172" t="s">
        <v>102</v>
      </c>
    </row>
    <row r="209" spans="1:8">
      <c r="A209" s="178">
        <v>210701</v>
      </c>
      <c r="B209" s="134" t="s">
        <v>364</v>
      </c>
      <c r="C209" s="172" t="s">
        <v>102</v>
      </c>
      <c r="D209" s="172" t="s">
        <v>102</v>
      </c>
      <c r="E209" s="172" t="s">
        <v>102</v>
      </c>
      <c r="F209" s="172" t="s">
        <v>102</v>
      </c>
      <c r="G209" s="172" t="s">
        <v>102</v>
      </c>
      <c r="H209" s="172" t="s">
        <v>102</v>
      </c>
    </row>
    <row r="210" spans="1:8">
      <c r="A210" s="173">
        <v>210702</v>
      </c>
      <c r="B210" s="174" t="s">
        <v>365</v>
      </c>
      <c r="C210" s="172" t="s">
        <v>102</v>
      </c>
      <c r="D210" s="172" t="s">
        <v>102</v>
      </c>
      <c r="E210" s="172" t="s">
        <v>102</v>
      </c>
      <c r="F210" s="172" t="s">
        <v>102</v>
      </c>
      <c r="G210" s="172" t="s">
        <v>102</v>
      </c>
      <c r="H210" s="172" t="s">
        <v>102</v>
      </c>
    </row>
    <row r="211" spans="1:8">
      <c r="A211" s="173">
        <v>210703</v>
      </c>
      <c r="B211" s="174" t="s">
        <v>366</v>
      </c>
      <c r="C211" s="172" t="s">
        <v>102</v>
      </c>
      <c r="D211" s="172" t="s">
        <v>102</v>
      </c>
      <c r="E211" s="172" t="s">
        <v>102</v>
      </c>
      <c r="F211" s="172" t="s">
        <v>102</v>
      </c>
      <c r="G211" s="172" t="s">
        <v>102</v>
      </c>
      <c r="H211" s="172" t="s">
        <v>102</v>
      </c>
    </row>
    <row r="212" spans="1:8">
      <c r="A212" s="173">
        <v>2108</v>
      </c>
      <c r="B212" s="174" t="s">
        <v>367</v>
      </c>
      <c r="C212" s="172" t="s">
        <v>102</v>
      </c>
      <c r="D212" s="172" t="s">
        <v>102</v>
      </c>
      <c r="E212" s="172" t="s">
        <v>102</v>
      </c>
      <c r="F212" s="172" t="s">
        <v>102</v>
      </c>
      <c r="G212" s="172" t="s">
        <v>102</v>
      </c>
      <c r="H212" s="172" t="s">
        <v>102</v>
      </c>
    </row>
    <row ht="25.5" r="213" spans="1:8">
      <c r="A213" s="171">
        <v>210801</v>
      </c>
      <c r="B213" s="134" t="s">
        <v>368</v>
      </c>
      <c r="C213" s="172" t="s">
        <v>102</v>
      </c>
      <c r="D213" s="172" t="s">
        <v>102</v>
      </c>
      <c r="E213" s="172" t="s">
        <v>102</v>
      </c>
      <c r="F213" s="172" t="s">
        <v>102</v>
      </c>
      <c r="G213" s="172" t="s">
        <v>102</v>
      </c>
      <c r="H213" s="172" t="s">
        <v>102</v>
      </c>
    </row>
    <row r="214" spans="1:8">
      <c r="A214" s="173">
        <v>210802</v>
      </c>
      <c r="B214" s="174" t="s">
        <v>456</v>
      </c>
      <c r="C214" s="172" t="s">
        <v>102</v>
      </c>
      <c r="D214" s="172" t="s">
        <v>102</v>
      </c>
      <c r="E214" s="172" t="s">
        <v>102</v>
      </c>
      <c r="F214" s="172" t="s">
        <v>102</v>
      </c>
      <c r="G214" s="172" t="s">
        <v>102</v>
      </c>
      <c r="H214" s="172" t="s">
        <v>102</v>
      </c>
    </row>
    <row r="215" spans="1:8">
      <c r="A215" s="173">
        <v>210803</v>
      </c>
      <c r="B215" s="174" t="s">
        <v>369</v>
      </c>
      <c r="C215" s="172" t="s">
        <v>102</v>
      </c>
      <c r="D215" s="172" t="s">
        <v>102</v>
      </c>
      <c r="E215" s="172" t="s">
        <v>102</v>
      </c>
      <c r="F215" s="172" t="s">
        <v>102</v>
      </c>
      <c r="G215" s="172" t="s">
        <v>102</v>
      </c>
      <c r="H215" s="172" t="s">
        <v>102</v>
      </c>
    </row>
    <row r="216" spans="1:8">
      <c r="A216" s="173">
        <v>210804</v>
      </c>
      <c r="B216" s="174" t="s">
        <v>370</v>
      </c>
      <c r="C216" s="172" t="s">
        <v>102</v>
      </c>
      <c r="D216" s="172" t="s">
        <v>102</v>
      </c>
      <c r="E216" s="172" t="s">
        <v>102</v>
      </c>
      <c r="F216" s="172" t="s">
        <v>102</v>
      </c>
      <c r="G216" s="172" t="s">
        <v>102</v>
      </c>
      <c r="H216" s="172" t="s">
        <v>102</v>
      </c>
    </row>
    <row r="217" spans="1:8">
      <c r="A217" s="173">
        <v>210805</v>
      </c>
      <c r="B217" s="174" t="s">
        <v>371</v>
      </c>
      <c r="C217" s="172" t="s">
        <v>102</v>
      </c>
      <c r="D217" s="172" t="s">
        <v>102</v>
      </c>
      <c r="E217" s="172" t="s">
        <v>102</v>
      </c>
      <c r="F217" s="172" t="s">
        <v>102</v>
      </c>
      <c r="G217" s="172" t="s">
        <v>102</v>
      </c>
      <c r="H217" s="172" t="s">
        <v>102</v>
      </c>
    </row>
    <row r="218" spans="1:8">
      <c r="A218" s="173">
        <v>210806</v>
      </c>
      <c r="B218" s="174" t="s">
        <v>372</v>
      </c>
      <c r="C218" s="172" t="s">
        <v>102</v>
      </c>
      <c r="D218" s="172" t="s">
        <v>102</v>
      </c>
      <c r="E218" s="172" t="s">
        <v>102</v>
      </c>
      <c r="F218" s="172" t="s">
        <v>102</v>
      </c>
      <c r="G218" s="172" t="s">
        <v>102</v>
      </c>
      <c r="H218" s="172" t="s">
        <v>102</v>
      </c>
    </row>
    <row r="219" spans="1:8">
      <c r="A219" s="173">
        <v>210807</v>
      </c>
      <c r="B219" s="174" t="s">
        <v>457</v>
      </c>
      <c r="C219" s="172" t="s">
        <v>102</v>
      </c>
      <c r="D219" s="172" t="s">
        <v>102</v>
      </c>
      <c r="E219" s="172" t="s">
        <v>102</v>
      </c>
      <c r="F219" s="172" t="s">
        <v>102</v>
      </c>
      <c r="G219" s="172" t="s">
        <v>102</v>
      </c>
      <c r="H219" s="172" t="s">
        <v>102</v>
      </c>
    </row>
    <row r="220" spans="1:8">
      <c r="A220" s="173">
        <v>210808</v>
      </c>
      <c r="B220" s="174" t="s">
        <v>374</v>
      </c>
      <c r="C220" s="172" t="s">
        <v>102</v>
      </c>
      <c r="D220" s="172" t="s">
        <v>102</v>
      </c>
      <c r="E220" s="172" t="s">
        <v>102</v>
      </c>
      <c r="F220" s="172" t="s">
        <v>102</v>
      </c>
      <c r="G220" s="172" t="s">
        <v>102</v>
      </c>
      <c r="H220" s="172" t="s">
        <v>102</v>
      </c>
    </row>
    <row r="221" spans="1:8">
      <c r="A221" s="173">
        <v>210809</v>
      </c>
      <c r="B221" s="174" t="s">
        <v>376</v>
      </c>
      <c r="C221" s="172" t="s">
        <v>102</v>
      </c>
      <c r="D221" s="172" t="s">
        <v>102</v>
      </c>
      <c r="E221" s="172" t="s">
        <v>102</v>
      </c>
      <c r="F221" s="172" t="s">
        <v>102</v>
      </c>
      <c r="G221" s="172" t="s">
        <v>102</v>
      </c>
      <c r="H221" s="172" t="s">
        <v>102</v>
      </c>
    </row>
    <row r="222" spans="1:8">
      <c r="A222" s="173">
        <v>210815</v>
      </c>
      <c r="B222" s="174" t="s">
        <v>657</v>
      </c>
      <c r="C222" s="172" t="s">
        <v>102</v>
      </c>
      <c r="D222" s="172" t="s">
        <v>102</v>
      </c>
      <c r="E222" s="172" t="s">
        <v>102</v>
      </c>
      <c r="F222" s="172" t="s">
        <v>102</v>
      </c>
      <c r="G222" s="172" t="s">
        <v>102</v>
      </c>
      <c r="H222" s="172" t="s">
        <v>102</v>
      </c>
    </row>
    <row r="223" spans="1:8">
      <c r="A223" s="177">
        <v>210816</v>
      </c>
      <c r="B223" s="174" t="s">
        <v>658</v>
      </c>
      <c r="C223" s="172" t="s">
        <v>102</v>
      </c>
      <c r="D223" s="172" t="s">
        <v>102</v>
      </c>
      <c r="E223" s="172" t="s">
        <v>102</v>
      </c>
      <c r="F223" s="172" t="s">
        <v>102</v>
      </c>
      <c r="G223" s="172" t="s">
        <v>102</v>
      </c>
      <c r="H223" s="172" t="s">
        <v>102</v>
      </c>
    </row>
    <row r="224" spans="1:8">
      <c r="A224" s="177">
        <v>210817</v>
      </c>
      <c r="B224" s="174" t="s">
        <v>659</v>
      </c>
      <c r="C224" s="172" t="s">
        <v>102</v>
      </c>
      <c r="D224" s="172" t="s">
        <v>102</v>
      </c>
      <c r="E224" s="172" t="s">
        <v>102</v>
      </c>
      <c r="F224" s="172" t="s">
        <v>102</v>
      </c>
      <c r="G224" s="172" t="s">
        <v>102</v>
      </c>
      <c r="H224" s="172" t="s">
        <v>102</v>
      </c>
    </row>
    <row r="225" spans="1:8">
      <c r="A225" s="177">
        <v>210818</v>
      </c>
      <c r="B225" s="174" t="s">
        <v>660</v>
      </c>
      <c r="C225" s="172" t="s">
        <v>102</v>
      </c>
      <c r="D225" s="172" t="s">
        <v>102</v>
      </c>
      <c r="E225" s="172" t="s">
        <v>102</v>
      </c>
      <c r="F225" s="172" t="s">
        <v>102</v>
      </c>
      <c r="G225" s="172" t="s">
        <v>102</v>
      </c>
      <c r="H225" s="172" t="s">
        <v>102</v>
      </c>
    </row>
    <row r="226" spans="1:8">
      <c r="A226" s="177">
        <v>2109</v>
      </c>
      <c r="B226" s="174" t="s">
        <v>378</v>
      </c>
      <c r="C226" s="172" t="s">
        <v>102</v>
      </c>
      <c r="D226" s="172" t="s">
        <v>102</v>
      </c>
      <c r="E226" s="172" t="s">
        <v>102</v>
      </c>
      <c r="F226" s="172" t="s">
        <v>102</v>
      </c>
      <c r="G226" s="172" t="s">
        <v>102</v>
      </c>
      <c r="H226" s="172" t="s">
        <v>102</v>
      </c>
    </row>
    <row r="227" spans="1:8">
      <c r="A227" s="171">
        <v>210901</v>
      </c>
      <c r="B227" s="134" t="s">
        <v>380</v>
      </c>
      <c r="C227" s="172" t="s">
        <v>102</v>
      </c>
      <c r="D227" s="172" t="s">
        <v>102</v>
      </c>
      <c r="E227" s="172" t="s">
        <v>102</v>
      </c>
      <c r="F227" s="172" t="s">
        <v>102</v>
      </c>
      <c r="G227" s="172" t="s">
        <v>102</v>
      </c>
      <c r="H227" s="172" t="s">
        <v>102</v>
      </c>
    </row>
    <row r="228" spans="1:8">
      <c r="A228" s="173">
        <v>210902</v>
      </c>
      <c r="B228" s="174" t="s">
        <v>458</v>
      </c>
      <c r="C228" s="172" t="s">
        <v>102</v>
      </c>
      <c r="D228" s="172" t="s">
        <v>102</v>
      </c>
      <c r="E228" s="172" t="s">
        <v>102</v>
      </c>
      <c r="F228" s="172" t="s">
        <v>102</v>
      </c>
      <c r="G228" s="172" t="s">
        <v>102</v>
      </c>
      <c r="H228" s="172" t="s">
        <v>102</v>
      </c>
    </row>
    <row r="229" spans="1:8">
      <c r="A229" s="173">
        <v>211</v>
      </c>
      <c r="B229" s="174" t="s">
        <v>383</v>
      </c>
      <c r="C229" s="172" t="s">
        <v>102</v>
      </c>
      <c r="D229" s="172" t="s">
        <v>102</v>
      </c>
      <c r="E229" s="172" t="s">
        <v>102</v>
      </c>
      <c r="F229" s="172" t="s">
        <v>102</v>
      </c>
      <c r="G229" s="172" t="s">
        <v>102</v>
      </c>
      <c r="H229" s="172" t="s">
        <v>102</v>
      </c>
    </row>
    <row r="230" spans="1:8">
      <c r="A230" s="171">
        <v>2111</v>
      </c>
      <c r="B230" s="134" t="s">
        <v>385</v>
      </c>
      <c r="C230" s="172" t="s">
        <v>102</v>
      </c>
      <c r="D230" s="172" t="s">
        <v>102</v>
      </c>
      <c r="E230" s="172" t="s">
        <v>102</v>
      </c>
      <c r="F230" s="172" t="s">
        <v>102</v>
      </c>
      <c r="G230" s="172" t="s">
        <v>102</v>
      </c>
      <c r="H230" s="172" t="s">
        <v>102</v>
      </c>
    </row>
    <row r="231" spans="1:8">
      <c r="A231" s="171">
        <v>211101</v>
      </c>
      <c r="B231" s="134" t="s">
        <v>387</v>
      </c>
      <c r="C231" s="172" t="s">
        <v>102</v>
      </c>
      <c r="D231" s="172" t="s">
        <v>102</v>
      </c>
      <c r="E231" s="172" t="s">
        <v>102</v>
      </c>
      <c r="F231" s="172" t="s">
        <v>102</v>
      </c>
      <c r="G231" s="172" t="s">
        <v>102</v>
      </c>
      <c r="H231" s="172" t="s">
        <v>102</v>
      </c>
    </row>
    <row r="232" spans="1:8">
      <c r="A232" s="173">
        <v>2112</v>
      </c>
      <c r="B232" s="174" t="s">
        <v>389</v>
      </c>
      <c r="C232" s="172" t="s">
        <v>102</v>
      </c>
      <c r="D232" s="172" t="s">
        <v>102</v>
      </c>
      <c r="E232" s="172" t="s">
        <v>102</v>
      </c>
      <c r="F232" s="172" t="s">
        <v>102</v>
      </c>
      <c r="G232" s="172" t="s">
        <v>102</v>
      </c>
      <c r="H232" s="172" t="s">
        <v>102</v>
      </c>
    </row>
    <row r="233" spans="1:8">
      <c r="A233" s="171">
        <v>211201</v>
      </c>
      <c r="B233" s="134" t="s">
        <v>391</v>
      </c>
      <c r="C233" s="172" t="s">
        <v>102</v>
      </c>
      <c r="D233" s="172" t="s">
        <v>102</v>
      </c>
      <c r="E233" s="172" t="s">
        <v>102</v>
      </c>
      <c r="F233" s="172" t="s">
        <v>102</v>
      </c>
      <c r="G233" s="172" t="s">
        <v>102</v>
      </c>
      <c r="H233" s="172" t="s">
        <v>102</v>
      </c>
    </row>
    <row r="234" spans="1:8">
      <c r="A234" s="173">
        <v>212</v>
      </c>
      <c r="B234" s="174" t="s">
        <v>393</v>
      </c>
      <c r="C234" s="172" t="s">
        <v>102</v>
      </c>
      <c r="D234" s="172" t="s">
        <v>102</v>
      </c>
      <c r="E234" s="172" t="s">
        <v>102</v>
      </c>
      <c r="F234" s="172" t="s">
        <v>102</v>
      </c>
      <c r="G234" s="172" t="s">
        <v>102</v>
      </c>
      <c r="H234" s="172" t="s">
        <v>102</v>
      </c>
    </row>
    <row r="235" spans="1:8">
      <c r="A235" s="171">
        <v>2121</v>
      </c>
      <c r="B235" s="134" t="s">
        <v>395</v>
      </c>
      <c r="C235" s="172" t="s">
        <v>102</v>
      </c>
      <c r="D235" s="172" t="s">
        <v>102</v>
      </c>
      <c r="E235" s="172" t="s">
        <v>102</v>
      </c>
      <c r="F235" s="172" t="s">
        <v>102</v>
      </c>
      <c r="G235" s="172" t="s">
        <v>102</v>
      </c>
      <c r="H235" s="172" t="s">
        <v>102</v>
      </c>
    </row>
    <row r="236" spans="1:8">
      <c r="A236" s="171">
        <v>212101</v>
      </c>
      <c r="B236" s="134" t="s">
        <v>397</v>
      </c>
      <c r="C236" s="172" t="s">
        <v>102</v>
      </c>
      <c r="D236" s="172" t="s">
        <v>102</v>
      </c>
      <c r="E236" s="172" t="s">
        <v>102</v>
      </c>
      <c r="F236" s="172" t="s">
        <v>102</v>
      </c>
      <c r="G236" s="172" t="s">
        <v>102</v>
      </c>
      <c r="H236" s="172" t="s">
        <v>102</v>
      </c>
    </row>
    <row r="237" spans="1:8">
      <c r="A237" s="173">
        <v>2122</v>
      </c>
      <c r="B237" s="174" t="s">
        <v>399</v>
      </c>
      <c r="C237" s="172" t="s">
        <v>102</v>
      </c>
      <c r="D237" s="172" t="s">
        <v>102</v>
      </c>
      <c r="E237" s="172" t="s">
        <v>102</v>
      </c>
      <c r="F237" s="172" t="s">
        <v>102</v>
      </c>
      <c r="G237" s="172" t="s">
        <v>102</v>
      </c>
      <c r="H237" s="172" t="s">
        <v>102</v>
      </c>
    </row>
    <row r="238" spans="1:8">
      <c r="A238" s="171">
        <v>212201</v>
      </c>
      <c r="B238" s="134" t="s">
        <v>401</v>
      </c>
      <c r="C238" s="172" t="s">
        <v>102</v>
      </c>
      <c r="D238" s="172" t="s">
        <v>102</v>
      </c>
      <c r="E238" s="172" t="s">
        <v>102</v>
      </c>
      <c r="F238" s="172" t="s">
        <v>102</v>
      </c>
      <c r="G238" s="172" t="s">
        <v>102</v>
      </c>
      <c r="H238" s="172" t="s">
        <v>102</v>
      </c>
    </row>
    <row r="239" spans="1:8">
      <c r="A239" s="173">
        <v>213</v>
      </c>
      <c r="B239" s="174" t="s">
        <v>403</v>
      </c>
      <c r="C239" s="172" t="s">
        <v>102</v>
      </c>
      <c r="D239" s="172" t="s">
        <v>102</v>
      </c>
      <c r="E239" s="172" t="s">
        <v>102</v>
      </c>
      <c r="F239" s="172" t="s">
        <v>102</v>
      </c>
      <c r="G239" s="172" t="s">
        <v>102</v>
      </c>
      <c r="H239" s="172" t="s">
        <v>102</v>
      </c>
    </row>
    <row r="240" spans="1:8">
      <c r="A240" s="171">
        <v>2131</v>
      </c>
      <c r="B240" s="134" t="s">
        <v>405</v>
      </c>
      <c r="C240" s="172" t="s">
        <v>102</v>
      </c>
      <c r="D240" s="172" t="s">
        <v>102</v>
      </c>
      <c r="E240" s="172" t="s">
        <v>102</v>
      </c>
      <c r="F240" s="172" t="s">
        <v>102</v>
      </c>
      <c r="G240" s="172" t="s">
        <v>102</v>
      </c>
      <c r="H240" s="172" t="s">
        <v>102</v>
      </c>
    </row>
    <row r="241" spans="1:8">
      <c r="A241" s="171">
        <v>213101</v>
      </c>
      <c r="B241" s="134" t="s">
        <v>407</v>
      </c>
      <c r="C241" s="172" t="s">
        <v>102</v>
      </c>
      <c r="D241" s="172" t="s">
        <v>102</v>
      </c>
      <c r="E241" s="172" t="s">
        <v>102</v>
      </c>
      <c r="F241" s="172" t="s">
        <v>102</v>
      </c>
      <c r="G241" s="172" t="s">
        <v>102</v>
      </c>
      <c r="H241" s="172" t="s">
        <v>102</v>
      </c>
    </row>
    <row r="242" spans="1:8">
      <c r="A242" s="173">
        <v>213102</v>
      </c>
      <c r="B242" s="174" t="s">
        <v>409</v>
      </c>
      <c r="C242" s="172" t="s">
        <v>102</v>
      </c>
      <c r="D242" s="172" t="s">
        <v>102</v>
      </c>
      <c r="E242" s="172" t="s">
        <v>102</v>
      </c>
      <c r="F242" s="172" t="s">
        <v>102</v>
      </c>
      <c r="G242" s="172" t="s">
        <v>102</v>
      </c>
      <c r="H242" s="172" t="s">
        <v>102</v>
      </c>
    </row>
    <row r="243" spans="1:8">
      <c r="A243" s="173">
        <v>2132</v>
      </c>
      <c r="B243" s="174" t="s">
        <v>411</v>
      </c>
      <c r="C243" s="172" t="s">
        <v>102</v>
      </c>
      <c r="D243" s="172" t="s">
        <v>102</v>
      </c>
      <c r="E243" s="172" t="s">
        <v>102</v>
      </c>
      <c r="F243" s="172" t="s">
        <v>102</v>
      </c>
      <c r="G243" s="172" t="s">
        <v>102</v>
      </c>
      <c r="H243" s="172" t="s">
        <v>102</v>
      </c>
    </row>
    <row r="244" spans="1:8">
      <c r="A244" s="171">
        <v>213202</v>
      </c>
      <c r="B244" s="134" t="s">
        <v>413</v>
      </c>
      <c r="C244" s="172" t="s">
        <v>102</v>
      </c>
      <c r="D244" s="172" t="s">
        <v>102</v>
      </c>
      <c r="E244" s="172" t="s">
        <v>102</v>
      </c>
      <c r="F244" s="172" t="s">
        <v>102</v>
      </c>
      <c r="G244" s="172" t="s">
        <v>102</v>
      </c>
      <c r="H244" s="172" t="s">
        <v>102</v>
      </c>
    </row>
    <row r="245" spans="1:8">
      <c r="A245" s="173">
        <v>213203</v>
      </c>
      <c r="B245" s="174" t="s">
        <v>415</v>
      </c>
      <c r="C245" s="172" t="s">
        <v>102</v>
      </c>
      <c r="D245" s="172" t="s">
        <v>102</v>
      </c>
      <c r="E245" s="172" t="s">
        <v>102</v>
      </c>
      <c r="F245" s="172" t="s">
        <v>102</v>
      </c>
      <c r="G245" s="172" t="s">
        <v>102</v>
      </c>
      <c r="H245" s="172" t="s">
        <v>102</v>
      </c>
    </row>
    <row r="246" spans="1:8">
      <c r="A246" s="173">
        <v>213204</v>
      </c>
      <c r="B246" s="174" t="s">
        <v>459</v>
      </c>
      <c r="C246" s="172" t="s">
        <v>102</v>
      </c>
      <c r="D246" s="172" t="s">
        <v>102</v>
      </c>
      <c r="E246" s="172" t="s">
        <v>102</v>
      </c>
      <c r="F246" s="172" t="s">
        <v>102</v>
      </c>
      <c r="G246" s="172" t="s">
        <v>102</v>
      </c>
      <c r="H246" s="172" t="s">
        <v>102</v>
      </c>
    </row>
    <row r="247" spans="1:8">
      <c r="A247" s="173">
        <v>213205</v>
      </c>
      <c r="B247" s="174" t="s">
        <v>418</v>
      </c>
      <c r="C247" s="172" t="s">
        <v>102</v>
      </c>
      <c r="D247" s="172" t="s">
        <v>102</v>
      </c>
      <c r="E247" s="172" t="s">
        <v>102</v>
      </c>
      <c r="F247" s="172" t="s">
        <v>102</v>
      </c>
      <c r="G247" s="172" t="s">
        <v>102</v>
      </c>
      <c r="H247" s="172" t="s">
        <v>102</v>
      </c>
    </row>
    <row r="248" spans="1:8">
      <c r="A248" s="173">
        <v>213206</v>
      </c>
      <c r="B248" s="174" t="s">
        <v>420</v>
      </c>
      <c r="C248" s="172" t="s">
        <v>102</v>
      </c>
      <c r="D248" s="172" t="s">
        <v>102</v>
      </c>
      <c r="E248" s="172" t="s">
        <v>102</v>
      </c>
      <c r="F248" s="172" t="s">
        <v>102</v>
      </c>
      <c r="G248" s="172" t="s">
        <v>102</v>
      </c>
      <c r="H248" s="172" t="s">
        <v>102</v>
      </c>
    </row>
    <row r="249" spans="1:8">
      <c r="A249" s="173">
        <v>213207</v>
      </c>
      <c r="B249" s="174" t="s">
        <v>422</v>
      </c>
      <c r="C249" s="172" t="s">
        <v>102</v>
      </c>
      <c r="D249" s="172" t="s">
        <v>102</v>
      </c>
      <c r="E249" s="172" t="s">
        <v>102</v>
      </c>
      <c r="F249" s="172" t="s">
        <v>102</v>
      </c>
      <c r="G249" s="172" t="s">
        <v>102</v>
      </c>
      <c r="H249" s="172" t="s">
        <v>102</v>
      </c>
    </row>
    <row ht="25.5" r="250" spans="1:8">
      <c r="A250" s="173">
        <v>213208</v>
      </c>
      <c r="B250" s="174" t="s">
        <v>460</v>
      </c>
      <c r="C250" s="172" t="s">
        <v>102</v>
      </c>
      <c r="D250" s="172" t="s">
        <v>102</v>
      </c>
      <c r="E250" s="172" t="s">
        <v>102</v>
      </c>
      <c r="F250" s="172" t="s">
        <v>102</v>
      </c>
      <c r="G250" s="172" t="s">
        <v>102</v>
      </c>
      <c r="H250" s="172" t="s">
        <v>102</v>
      </c>
    </row>
    <row r="251" spans="1:8">
      <c r="A251" s="173">
        <v>213209</v>
      </c>
      <c r="B251" s="174" t="s">
        <v>461</v>
      </c>
      <c r="C251" s="172" t="s">
        <v>102</v>
      </c>
      <c r="D251" s="172" t="s">
        <v>102</v>
      </c>
      <c r="E251" s="172" t="s">
        <v>102</v>
      </c>
      <c r="F251" s="172" t="s">
        <v>102</v>
      </c>
      <c r="G251" s="172" t="s">
        <v>102</v>
      </c>
      <c r="H251" s="172" t="s">
        <v>102</v>
      </c>
    </row>
    <row r="252" spans="1:8">
      <c r="A252" s="173">
        <v>2133</v>
      </c>
      <c r="B252" s="174" t="s">
        <v>425</v>
      </c>
      <c r="C252" s="172" t="s">
        <v>102</v>
      </c>
      <c r="D252" s="172" t="s">
        <v>102</v>
      </c>
      <c r="E252" s="172" t="s">
        <v>102</v>
      </c>
      <c r="F252" s="172" t="s">
        <v>102</v>
      </c>
      <c r="G252" s="172" t="s">
        <v>102</v>
      </c>
      <c r="H252" s="172" t="s">
        <v>102</v>
      </c>
    </row>
    <row r="253" spans="1:8">
      <c r="A253" s="171">
        <v>213301</v>
      </c>
      <c r="B253" s="134" t="s">
        <v>310</v>
      </c>
      <c r="C253" s="172" t="s">
        <v>102</v>
      </c>
      <c r="D253" s="172" t="s">
        <v>102</v>
      </c>
      <c r="E253" s="172" t="s">
        <v>102</v>
      </c>
      <c r="F253" s="172" t="s">
        <v>102</v>
      </c>
      <c r="G253" s="172" t="s">
        <v>102</v>
      </c>
      <c r="H253" s="172" t="s">
        <v>102</v>
      </c>
    </row>
    <row r="254" spans="1:8">
      <c r="A254" s="173">
        <v>213302</v>
      </c>
      <c r="B254" s="174" t="s">
        <v>426</v>
      </c>
      <c r="C254" s="172" t="s">
        <v>102</v>
      </c>
      <c r="D254" s="172" t="s">
        <v>102</v>
      </c>
      <c r="E254" s="172" t="s">
        <v>102</v>
      </c>
      <c r="F254" s="172" t="s">
        <v>102</v>
      </c>
      <c r="G254" s="172" t="s">
        <v>102</v>
      </c>
      <c r="H254" s="172" t="s">
        <v>102</v>
      </c>
    </row>
    <row r="255" spans="1:8">
      <c r="A255" s="173">
        <v>213303</v>
      </c>
      <c r="B255" s="174" t="s">
        <v>311</v>
      </c>
      <c r="C255" s="172" t="s">
        <v>102</v>
      </c>
      <c r="D255" s="172" t="s">
        <v>102</v>
      </c>
      <c r="E255" s="172" t="s">
        <v>102</v>
      </c>
      <c r="F255" s="172" t="s">
        <v>102</v>
      </c>
      <c r="G255" s="172" t="s">
        <v>102</v>
      </c>
      <c r="H255" s="172" t="s">
        <v>102</v>
      </c>
    </row>
    <row r="256" spans="1:8">
      <c r="A256" s="173">
        <v>213304</v>
      </c>
      <c r="B256" s="174" t="s">
        <v>323</v>
      </c>
      <c r="C256" s="172" t="s">
        <v>102</v>
      </c>
      <c r="D256" s="172" t="s">
        <v>102</v>
      </c>
      <c r="E256" s="172" t="s">
        <v>102</v>
      </c>
      <c r="F256" s="172" t="s">
        <v>102</v>
      </c>
      <c r="G256" s="172" t="s">
        <v>102</v>
      </c>
      <c r="H256" s="172" t="s">
        <v>102</v>
      </c>
    </row>
    <row r="257" spans="1:8">
      <c r="A257" s="173">
        <v>2134</v>
      </c>
      <c r="B257" s="174" t="s">
        <v>427</v>
      </c>
      <c r="C257" s="172" t="s">
        <v>102</v>
      </c>
      <c r="D257" s="172" t="s">
        <v>102</v>
      </c>
      <c r="E257" s="172" t="s">
        <v>102</v>
      </c>
      <c r="F257" s="172" t="s">
        <v>102</v>
      </c>
      <c r="G257" s="172" t="s">
        <v>102</v>
      </c>
      <c r="H257" s="172" t="s">
        <v>102</v>
      </c>
    </row>
    <row r="258" spans="1:8">
      <c r="A258" s="171">
        <v>213401</v>
      </c>
      <c r="B258" s="134" t="s">
        <v>428</v>
      </c>
      <c r="C258" s="172" t="s">
        <v>102</v>
      </c>
      <c r="D258" s="172" t="s">
        <v>102</v>
      </c>
      <c r="E258" s="172" t="s">
        <v>102</v>
      </c>
      <c r="F258" s="172" t="s">
        <v>102</v>
      </c>
      <c r="G258" s="172" t="s">
        <v>102</v>
      </c>
      <c r="H258" s="172" t="s">
        <v>102</v>
      </c>
    </row>
    <row r="259" spans="1:8">
      <c r="A259" s="173">
        <v>213402</v>
      </c>
      <c r="B259" s="174" t="s">
        <v>429</v>
      </c>
      <c r="C259" s="172" t="s">
        <v>102</v>
      </c>
      <c r="D259" s="172" t="s">
        <v>102</v>
      </c>
      <c r="E259" s="172" t="s">
        <v>102</v>
      </c>
      <c r="F259" s="172" t="s">
        <v>102</v>
      </c>
      <c r="G259" s="172" t="s">
        <v>102</v>
      </c>
      <c r="H259" s="172" t="s">
        <v>102</v>
      </c>
    </row>
    <row r="260" spans="1:8">
      <c r="A260" s="173">
        <v>213403</v>
      </c>
      <c r="B260" s="174" t="s">
        <v>311</v>
      </c>
      <c r="C260" s="172" t="s">
        <v>102</v>
      </c>
      <c r="D260" s="172" t="s">
        <v>102</v>
      </c>
      <c r="E260" s="172" t="s">
        <v>102</v>
      </c>
      <c r="F260" s="172" t="s">
        <v>102</v>
      </c>
      <c r="G260" s="172" t="s">
        <v>102</v>
      </c>
      <c r="H260" s="172" t="s">
        <v>102</v>
      </c>
    </row>
    <row r="261" spans="1:8">
      <c r="A261" s="173">
        <v>213404</v>
      </c>
      <c r="B261" s="174" t="s">
        <v>323</v>
      </c>
      <c r="C261" s="172" t="s">
        <v>102</v>
      </c>
      <c r="D261" s="172" t="s">
        <v>102</v>
      </c>
      <c r="E261" s="172" t="s">
        <v>102</v>
      </c>
      <c r="F261" s="172" t="s">
        <v>102</v>
      </c>
      <c r="G261" s="172" t="s">
        <v>102</v>
      </c>
      <c r="H261" s="172" t="s">
        <v>102</v>
      </c>
    </row>
    <row r="262" spans="1:8">
      <c r="A262" s="173">
        <v>2135</v>
      </c>
      <c r="B262" s="174" t="s">
        <v>430</v>
      </c>
      <c r="C262" s="172" t="s">
        <v>102</v>
      </c>
      <c r="D262" s="172" t="s">
        <v>102</v>
      </c>
      <c r="E262" s="172" t="s">
        <v>102</v>
      </c>
      <c r="F262" s="172" t="s">
        <v>102</v>
      </c>
      <c r="G262" s="172" t="s">
        <v>102</v>
      </c>
      <c r="H262" s="172" t="s">
        <v>102</v>
      </c>
    </row>
    <row r="263" spans="1:8">
      <c r="A263" s="171">
        <v>213501</v>
      </c>
      <c r="B263" s="134" t="s">
        <v>310</v>
      </c>
      <c r="C263" s="172" t="s">
        <v>102</v>
      </c>
      <c r="D263" s="172" t="s">
        <v>102</v>
      </c>
      <c r="E263" s="172" t="s">
        <v>102</v>
      </c>
      <c r="F263" s="172" t="s">
        <v>102</v>
      </c>
      <c r="G263" s="172" t="s">
        <v>102</v>
      </c>
      <c r="H263" s="172" t="s">
        <v>102</v>
      </c>
    </row>
    <row r="264" spans="1:8">
      <c r="A264" s="173">
        <v>213502</v>
      </c>
      <c r="B264" s="174" t="s">
        <v>426</v>
      </c>
      <c r="C264" s="172" t="s">
        <v>102</v>
      </c>
      <c r="D264" s="172" t="s">
        <v>102</v>
      </c>
      <c r="E264" s="172" t="s">
        <v>102</v>
      </c>
      <c r="F264" s="172" t="s">
        <v>102</v>
      </c>
      <c r="G264" s="172" t="s">
        <v>102</v>
      </c>
      <c r="H264" s="172" t="s">
        <v>102</v>
      </c>
    </row>
    <row r="265" spans="1:8">
      <c r="A265" s="173">
        <v>213503</v>
      </c>
      <c r="B265" s="174" t="s">
        <v>311</v>
      </c>
      <c r="C265" s="172" t="s">
        <v>102</v>
      </c>
      <c r="D265" s="172" t="s">
        <v>102</v>
      </c>
      <c r="E265" s="172" t="s">
        <v>102</v>
      </c>
      <c r="F265" s="172" t="s">
        <v>102</v>
      </c>
      <c r="G265" s="172" t="s">
        <v>102</v>
      </c>
      <c r="H265" s="172" t="s">
        <v>102</v>
      </c>
    </row>
    <row r="266" spans="1:8">
      <c r="A266" s="173">
        <v>213504</v>
      </c>
      <c r="B266" s="174" t="s">
        <v>323</v>
      </c>
      <c r="C266" s="172" t="s">
        <v>102</v>
      </c>
      <c r="D266" s="172" t="s">
        <v>102</v>
      </c>
      <c r="E266" s="172" t="s">
        <v>102</v>
      </c>
      <c r="F266" s="172" t="s">
        <v>102</v>
      </c>
      <c r="G266" s="172" t="s">
        <v>102</v>
      </c>
      <c r="H266" s="172" t="s">
        <v>102</v>
      </c>
    </row>
    <row r="267" spans="1:8">
      <c r="A267" s="173">
        <v>213505</v>
      </c>
      <c r="B267" s="174" t="s">
        <v>324</v>
      </c>
      <c r="C267" s="172" t="s">
        <v>102</v>
      </c>
      <c r="D267" s="172" t="s">
        <v>102</v>
      </c>
      <c r="E267" s="172" t="s">
        <v>102</v>
      </c>
      <c r="F267" s="172" t="s">
        <v>102</v>
      </c>
      <c r="G267" s="172" t="s">
        <v>102</v>
      </c>
      <c r="H267" s="172" t="s">
        <v>102</v>
      </c>
    </row>
    <row r="268" spans="1:8">
      <c r="A268" s="173">
        <v>22</v>
      </c>
      <c r="B268" s="174" t="s">
        <v>432</v>
      </c>
      <c r="C268" s="172" t="s">
        <v>102</v>
      </c>
      <c r="D268" s="172" t="s">
        <v>102</v>
      </c>
      <c r="E268" s="172" t="s">
        <v>102</v>
      </c>
      <c r="F268" s="172" t="s">
        <v>102</v>
      </c>
      <c r="G268" s="172" t="s">
        <v>102</v>
      </c>
      <c r="H268" s="172" t="s">
        <v>102</v>
      </c>
    </row>
    <row r="269" spans="1:8">
      <c r="A269" s="171">
        <v>2200</v>
      </c>
      <c r="B269" s="134" t="s">
        <v>1070</v>
      </c>
      <c r="C269" s="172" t="s">
        <v>102</v>
      </c>
      <c r="D269" s="172" t="s">
        <v>102</v>
      </c>
      <c r="E269" s="172" t="s">
        <v>102</v>
      </c>
      <c r="F269" s="172" t="s">
        <v>102</v>
      </c>
      <c r="G269" s="172" t="s">
        <v>102</v>
      </c>
      <c r="H269" s="172" t="s">
        <v>102</v>
      </c>
    </row>
    <row r="270" spans="1:8">
      <c r="A270" s="171">
        <v>220001</v>
      </c>
      <c r="B270" s="134" t="s">
        <v>1071</v>
      </c>
      <c r="C270" s="172" t="s">
        <v>102</v>
      </c>
      <c r="D270" s="172" t="s">
        <v>102</v>
      </c>
      <c r="E270" s="172" t="s">
        <v>102</v>
      </c>
      <c r="F270" s="172" t="s">
        <v>102</v>
      </c>
      <c r="G270" s="172" t="s">
        <v>102</v>
      </c>
      <c r="H270" s="172" t="s">
        <v>102</v>
      </c>
    </row>
    <row r="271" spans="1:8">
      <c r="A271" s="173">
        <v>221001</v>
      </c>
      <c r="B271" s="174" t="s">
        <v>1072</v>
      </c>
      <c r="C271" s="172" t="s">
        <v>102</v>
      </c>
      <c r="D271" s="172" t="s">
        <v>102</v>
      </c>
      <c r="E271" s="172" t="s">
        <v>102</v>
      </c>
      <c r="F271" s="172" t="s">
        <v>102</v>
      </c>
      <c r="G271" s="172" t="s">
        <v>102</v>
      </c>
      <c r="H271" s="172" t="s">
        <v>102</v>
      </c>
    </row>
    <row r="272" spans="1:8">
      <c r="A272" s="173">
        <v>222001</v>
      </c>
      <c r="B272" s="174" t="s">
        <v>1073</v>
      </c>
      <c r="C272" s="172" t="s">
        <v>102</v>
      </c>
      <c r="D272" s="172" t="s">
        <v>102</v>
      </c>
      <c r="E272" s="172" t="s">
        <v>102</v>
      </c>
      <c r="F272" s="172" t="s">
        <v>102</v>
      </c>
      <c r="G272" s="172" t="s">
        <v>102</v>
      </c>
      <c r="H272" s="172" t="s">
        <v>102</v>
      </c>
    </row>
    <row r="273" spans="1:8">
      <c r="A273" s="173">
        <v>223001</v>
      </c>
      <c r="B273" s="174" t="s">
        <v>1074</v>
      </c>
      <c r="C273" s="172" t="s">
        <v>102</v>
      </c>
      <c r="D273" s="172" t="s">
        <v>102</v>
      </c>
      <c r="E273" s="172" t="s">
        <v>102</v>
      </c>
      <c r="F273" s="172" t="s">
        <v>102</v>
      </c>
      <c r="G273" s="172" t="s">
        <v>102</v>
      </c>
      <c r="H273" s="172" t="s">
        <v>102</v>
      </c>
    </row>
    <row r="274" spans="1:8">
      <c r="A274" s="173">
        <v>224001</v>
      </c>
      <c r="B274" s="174" t="s">
        <v>1075</v>
      </c>
      <c r="C274" s="172" t="s">
        <v>102</v>
      </c>
      <c r="D274" s="172" t="s">
        <v>102</v>
      </c>
      <c r="E274" s="172" t="s">
        <v>102</v>
      </c>
      <c r="F274" s="172" t="s">
        <v>102</v>
      </c>
      <c r="G274" s="172" t="s">
        <v>102</v>
      </c>
      <c r="H274" s="172" t="s">
        <v>102</v>
      </c>
    </row>
    <row r="275" spans="1:8">
      <c r="A275" s="173">
        <v>225101</v>
      </c>
      <c r="B275" s="174" t="s">
        <v>1077</v>
      </c>
      <c r="C275" s="172" t="s">
        <v>102</v>
      </c>
      <c r="D275" s="172" t="s">
        <v>102</v>
      </c>
      <c r="E275" s="172" t="s">
        <v>102</v>
      </c>
      <c r="F275" s="172" t="s">
        <v>102</v>
      </c>
      <c r="G275" s="172" t="s">
        <v>102</v>
      </c>
      <c r="H275" s="172" t="s">
        <v>102</v>
      </c>
    </row>
    <row r="276" spans="1:8">
      <c r="A276" s="177">
        <v>225102</v>
      </c>
      <c r="B276" s="174" t="s">
        <v>1078</v>
      </c>
      <c r="C276" s="172" t="s">
        <v>102</v>
      </c>
      <c r="D276" s="172" t="s">
        <v>102</v>
      </c>
      <c r="E276" s="172" t="s">
        <v>102</v>
      </c>
      <c r="F276" s="172" t="s">
        <v>102</v>
      </c>
      <c r="G276" s="172" t="s">
        <v>102</v>
      </c>
      <c r="H276" s="172" t="s">
        <v>102</v>
      </c>
    </row>
    <row r="277" spans="1:8">
      <c r="A277" s="177">
        <v>225103</v>
      </c>
      <c r="B277" s="174" t="s">
        <v>1079</v>
      </c>
      <c r="C277" s="172" t="s">
        <v>102</v>
      </c>
      <c r="D277" s="172" t="s">
        <v>102</v>
      </c>
      <c r="E277" s="172" t="s">
        <v>102</v>
      </c>
      <c r="F277" s="172" t="s">
        <v>102</v>
      </c>
      <c r="G277" s="172" t="s">
        <v>102</v>
      </c>
      <c r="H277" s="172" t="s">
        <v>102</v>
      </c>
    </row>
    <row r="278" spans="1:8">
      <c r="A278" s="177">
        <v>225104</v>
      </c>
      <c r="B278" s="174" t="s">
        <v>1080</v>
      </c>
      <c r="C278" s="172" t="s">
        <v>102</v>
      </c>
      <c r="D278" s="172" t="s">
        <v>102</v>
      </c>
      <c r="E278" s="172" t="s">
        <v>102</v>
      </c>
      <c r="F278" s="172" t="s">
        <v>102</v>
      </c>
      <c r="G278" s="172" t="s">
        <v>102</v>
      </c>
      <c r="H278" s="172" t="s">
        <v>102</v>
      </c>
    </row>
    <row r="279" spans="1:8">
      <c r="A279" s="177">
        <v>225105</v>
      </c>
      <c r="B279" s="174" t="s">
        <v>1081</v>
      </c>
      <c r="C279" s="172" t="s">
        <v>102</v>
      </c>
      <c r="D279" s="172" t="s">
        <v>102</v>
      </c>
      <c r="E279" s="172" t="s">
        <v>102</v>
      </c>
      <c r="F279" s="172" t="s">
        <v>102</v>
      </c>
      <c r="G279" s="172" t="s">
        <v>102</v>
      </c>
      <c r="H279" s="172" t="s">
        <v>102</v>
      </c>
    </row>
    <row r="280" spans="1:8">
      <c r="A280" s="177">
        <v>225106</v>
      </c>
      <c r="B280" s="174" t="s">
        <v>1076</v>
      </c>
      <c r="C280" s="172" t="s">
        <v>102</v>
      </c>
      <c r="D280" s="172" t="s">
        <v>102</v>
      </c>
      <c r="E280" s="172" t="s">
        <v>102</v>
      </c>
      <c r="F280" s="172" t="s">
        <v>102</v>
      </c>
      <c r="G280" s="172" t="s">
        <v>102</v>
      </c>
      <c r="H280" s="172" t="s">
        <v>102</v>
      </c>
    </row>
    <row r="281" spans="1:8">
      <c r="A281" s="177">
        <v>2260</v>
      </c>
      <c r="B281" s="174" t="s">
        <v>1021</v>
      </c>
      <c r="C281" s="172" t="s">
        <v>102</v>
      </c>
      <c r="D281" s="172" t="s">
        <v>102</v>
      </c>
      <c r="E281" s="172" t="s">
        <v>102</v>
      </c>
      <c r="F281" s="172" t="s">
        <v>102</v>
      </c>
      <c r="G281" s="172" t="s">
        <v>102</v>
      </c>
      <c r="H281" s="172" t="s">
        <v>102</v>
      </c>
    </row>
    <row r="282" spans="1:8">
      <c r="A282" s="171">
        <v>226001</v>
      </c>
      <c r="B282" s="134" t="s">
        <v>1082</v>
      </c>
      <c r="C282" s="172" t="s">
        <v>102</v>
      </c>
      <c r="D282" s="172" t="s">
        <v>102</v>
      </c>
      <c r="E282" s="172" t="s">
        <v>102</v>
      </c>
      <c r="F282" s="172" t="s">
        <v>102</v>
      </c>
      <c r="G282" s="172" t="s">
        <v>102</v>
      </c>
      <c r="H282" s="172" t="s">
        <v>102</v>
      </c>
    </row>
    <row r="283" spans="1:8">
      <c r="A283" s="179">
        <v>23</v>
      </c>
      <c r="B283" s="175" t="s">
        <v>466</v>
      </c>
      <c r="C283" s="172" t="s">
        <v>102</v>
      </c>
      <c r="D283" s="172" t="s">
        <v>102</v>
      </c>
      <c r="E283" s="172" t="s">
        <v>102</v>
      </c>
      <c r="F283" s="172" t="s">
        <v>102</v>
      </c>
      <c r="G283" s="172" t="s">
        <v>102</v>
      </c>
      <c r="H283" s="172" t="s">
        <v>102</v>
      </c>
    </row>
    <row r="284" spans="1:8">
      <c r="A284" s="171">
        <v>230001</v>
      </c>
      <c r="B284" s="134" t="s">
        <v>468</v>
      </c>
      <c r="C284" s="172" t="s">
        <v>102</v>
      </c>
      <c r="D284" s="172" t="s">
        <v>102</v>
      </c>
      <c r="E284" s="172" t="s">
        <v>102</v>
      </c>
      <c r="F284" s="172" t="s">
        <v>102</v>
      </c>
      <c r="G284" s="172" t="s">
        <v>102</v>
      </c>
      <c r="H284" s="172" t="s">
        <v>102</v>
      </c>
    </row>
    <row r="285" spans="1:8">
      <c r="A285" s="173">
        <v>231001</v>
      </c>
      <c r="B285" s="174" t="s">
        <v>470</v>
      </c>
      <c r="C285" s="172" t="s">
        <v>102</v>
      </c>
      <c r="D285" s="172" t="s">
        <v>102</v>
      </c>
      <c r="E285" s="172" t="s">
        <v>102</v>
      </c>
      <c r="F285" s="172" t="s">
        <v>102</v>
      </c>
      <c r="G285" s="172" t="s">
        <v>102</v>
      </c>
      <c r="H285" s="172" t="s">
        <v>102</v>
      </c>
    </row>
    <row r="286" spans="1:8">
      <c r="A286" s="173">
        <v>232001</v>
      </c>
      <c r="B286" s="174" t="s">
        <v>472</v>
      </c>
      <c r="C286" s="172" t="s">
        <v>102</v>
      </c>
      <c r="D286" s="172" t="s">
        <v>102</v>
      </c>
      <c r="E286" s="172" t="s">
        <v>102</v>
      </c>
      <c r="F286" s="172" t="s">
        <v>102</v>
      </c>
      <c r="G286" s="172" t="s">
        <v>102</v>
      </c>
      <c r="H286" s="172" t="s">
        <v>102</v>
      </c>
    </row>
    <row r="287" spans="1:8">
      <c r="A287" s="173">
        <v>24</v>
      </c>
      <c r="B287" s="174" t="s">
        <v>473</v>
      </c>
      <c r="C287" s="172" t="s">
        <v>102</v>
      </c>
      <c r="D287" s="172" t="s">
        <v>102</v>
      </c>
      <c r="E287" s="172" t="s">
        <v>102</v>
      </c>
      <c r="F287" s="172" t="s">
        <v>102</v>
      </c>
      <c r="G287" s="172" t="s">
        <v>102</v>
      </c>
      <c r="H287" s="172" t="s">
        <v>102</v>
      </c>
    </row>
    <row r="288" spans="1:8">
      <c r="A288" s="171">
        <v>240001</v>
      </c>
      <c r="B288" s="134" t="s">
        <v>474</v>
      </c>
      <c r="C288" s="172" t="s">
        <v>102</v>
      </c>
      <c r="D288" s="172" t="s">
        <v>102</v>
      </c>
      <c r="E288" s="172" t="s">
        <v>102</v>
      </c>
      <c r="F288" s="172" t="s">
        <v>102</v>
      </c>
      <c r="G288" s="172" t="s">
        <v>102</v>
      </c>
      <c r="H288" s="172" t="s">
        <v>102</v>
      </c>
    </row>
    <row r="289" spans="1:8">
      <c r="A289" s="173">
        <v>241001</v>
      </c>
      <c r="B289" s="174" t="s">
        <v>475</v>
      </c>
      <c r="C289" s="172" t="s">
        <v>102</v>
      </c>
      <c r="D289" s="172" t="s">
        <v>102</v>
      </c>
      <c r="E289" s="172" t="s">
        <v>102</v>
      </c>
      <c r="F289" s="172" t="s">
        <v>102</v>
      </c>
      <c r="G289" s="172" t="s">
        <v>102</v>
      </c>
      <c r="H289" s="172" t="s">
        <v>102</v>
      </c>
    </row>
    <row r="290" spans="1:8">
      <c r="A290" s="173">
        <v>242001</v>
      </c>
      <c r="B290" s="174" t="s">
        <v>476</v>
      </c>
      <c r="C290" s="172" t="s">
        <v>102</v>
      </c>
      <c r="D290" s="172" t="s">
        <v>102</v>
      </c>
      <c r="E290" s="172" t="s">
        <v>102</v>
      </c>
      <c r="F290" s="172" t="s">
        <v>102</v>
      </c>
      <c r="G290" s="172" t="s">
        <v>102</v>
      </c>
      <c r="H290" s="172" t="s">
        <v>102</v>
      </c>
    </row>
    <row r="291" spans="1:8">
      <c r="A291" s="173">
        <v>25</v>
      </c>
      <c r="B291" s="174" t="s">
        <v>644</v>
      </c>
      <c r="C291" s="172" t="s">
        <v>102</v>
      </c>
      <c r="D291" s="172" t="s">
        <v>102</v>
      </c>
      <c r="E291" s="172" t="s">
        <v>102</v>
      </c>
      <c r="F291" s="172" t="s">
        <v>102</v>
      </c>
      <c r="G291" s="172" t="s">
        <v>102</v>
      </c>
      <c r="H291" s="172" t="s">
        <v>102</v>
      </c>
    </row>
    <row r="292" spans="1:8">
      <c r="A292" s="179">
        <v>250001</v>
      </c>
      <c r="B292" s="180" t="s">
        <v>477</v>
      </c>
      <c r="C292" s="172" t="s">
        <v>102</v>
      </c>
      <c r="D292" s="172" t="s">
        <v>102</v>
      </c>
      <c r="E292" s="172" t="s">
        <v>102</v>
      </c>
      <c r="F292" s="172" t="s">
        <v>102</v>
      </c>
      <c r="G292" s="172" t="s">
        <v>102</v>
      </c>
      <c r="H292" s="172" t="s">
        <v>102</v>
      </c>
    </row>
    <row r="293" spans="1:8">
      <c r="A293" s="173">
        <v>250002</v>
      </c>
      <c r="B293" s="174" t="s">
        <v>645</v>
      </c>
      <c r="C293" s="172" t="s">
        <v>102</v>
      </c>
      <c r="D293" s="172" t="s">
        <v>102</v>
      </c>
      <c r="E293" s="172" t="s">
        <v>102</v>
      </c>
      <c r="F293" s="172" t="s">
        <v>102</v>
      </c>
      <c r="G293" s="172" t="s">
        <v>102</v>
      </c>
      <c r="H293" s="172" t="s">
        <v>102</v>
      </c>
    </row>
    <row r="294" spans="1:8">
      <c r="A294" s="173">
        <v>250003</v>
      </c>
      <c r="B294" s="174" t="s">
        <v>646</v>
      </c>
      <c r="C294" s="172" t="s">
        <v>102</v>
      </c>
      <c r="D294" s="172" t="s">
        <v>102</v>
      </c>
      <c r="E294" s="172" t="s">
        <v>102</v>
      </c>
      <c r="F294" s="172" t="s">
        <v>102</v>
      </c>
      <c r="G294" s="172" t="s">
        <v>102</v>
      </c>
      <c r="H294" s="172" t="s">
        <v>102</v>
      </c>
    </row>
    <row r="295" spans="1:8">
      <c r="A295" s="173">
        <v>250004</v>
      </c>
      <c r="B295" s="174" t="s">
        <v>647</v>
      </c>
      <c r="C295" s="172" t="s">
        <v>102</v>
      </c>
      <c r="D295" s="172" t="s">
        <v>102</v>
      </c>
      <c r="E295" s="172" t="s">
        <v>102</v>
      </c>
      <c r="F295" s="172" t="s">
        <v>102</v>
      </c>
      <c r="G295" s="172" t="s">
        <v>102</v>
      </c>
      <c r="H295" s="172" t="s">
        <v>102</v>
      </c>
    </row>
    <row r="296" spans="1:8">
      <c r="A296" s="173">
        <v>250005</v>
      </c>
      <c r="B296" s="174" t="s">
        <v>648</v>
      </c>
      <c r="C296" s="172" t="s">
        <v>102</v>
      </c>
      <c r="D296" s="172" t="s">
        <v>102</v>
      </c>
      <c r="E296" s="172" t="s">
        <v>102</v>
      </c>
      <c r="F296" s="172" t="s">
        <v>102</v>
      </c>
      <c r="G296" s="172" t="s">
        <v>102</v>
      </c>
      <c r="H296" s="172" t="s">
        <v>102</v>
      </c>
    </row>
    <row r="297" spans="1:8">
      <c r="A297" s="173">
        <v>1</v>
      </c>
      <c r="B297" s="174" t="s">
        <v>121</v>
      </c>
      <c r="C297" s="172" t="s">
        <v>102</v>
      </c>
      <c r="D297" s="172" t="s">
        <v>102</v>
      </c>
      <c r="E297" s="172" t="s">
        <v>102</v>
      </c>
      <c r="F297" s="172" t="s">
        <v>102</v>
      </c>
      <c r="G297" s="172" t="s">
        <v>102</v>
      </c>
      <c r="H297" s="172" t="s">
        <v>102</v>
      </c>
    </row>
    <row r="298" spans="1:8">
      <c r="A298" s="181">
        <v>31</v>
      </c>
      <c r="B298" s="182" t="s">
        <v>123</v>
      </c>
      <c r="C298" s="172" t="s">
        <v>102</v>
      </c>
      <c r="D298" s="172" t="s">
        <v>102</v>
      </c>
      <c r="E298" s="172" t="s">
        <v>102</v>
      </c>
      <c r="F298" s="172" t="s">
        <v>102</v>
      </c>
      <c r="G298" s="172" t="s">
        <v>102</v>
      </c>
      <c r="H298" s="172" t="s">
        <v>102</v>
      </c>
    </row>
    <row r="299" spans="1:8">
      <c r="A299" s="183">
        <v>311</v>
      </c>
      <c r="B299" s="182" t="s">
        <v>124</v>
      </c>
      <c r="C299" s="172" t="s">
        <v>102</v>
      </c>
      <c r="D299" s="172" t="s">
        <v>102</v>
      </c>
      <c r="E299" s="172" t="s">
        <v>102</v>
      </c>
      <c r="F299" s="172" t="s">
        <v>102</v>
      </c>
      <c r="G299" s="172" t="s">
        <v>102</v>
      </c>
      <c r="H299" s="172" t="s">
        <v>102</v>
      </c>
    </row>
    <row r="300" spans="1:8">
      <c r="A300" s="181">
        <v>31110</v>
      </c>
      <c r="B300" s="182" t="s">
        <v>125</v>
      </c>
      <c r="C300" s="172" t="s">
        <v>102</v>
      </c>
      <c r="D300" s="172" t="s">
        <v>102</v>
      </c>
      <c r="E300" s="172" t="s">
        <v>102</v>
      </c>
      <c r="F300" s="172" t="s">
        <v>102</v>
      </c>
      <c r="G300" s="172" t="s">
        <v>102</v>
      </c>
      <c r="H300" s="172" t="s">
        <v>102</v>
      </c>
    </row>
    <row r="301" spans="1:8">
      <c r="A301" s="184">
        <v>31120</v>
      </c>
      <c r="B301" s="110" t="s">
        <v>126</v>
      </c>
      <c r="C301" s="172" t="s">
        <v>102</v>
      </c>
      <c r="D301" s="172" t="s">
        <v>102</v>
      </c>
      <c r="E301" s="172" t="s">
        <v>102</v>
      </c>
      <c r="F301" s="172" t="s">
        <v>102</v>
      </c>
      <c r="G301" s="172" t="s">
        <v>102</v>
      </c>
      <c r="H301" s="172" t="s">
        <v>102</v>
      </c>
    </row>
    <row r="302" spans="1:8">
      <c r="A302" s="184">
        <v>31130</v>
      </c>
      <c r="B302" s="110" t="s">
        <v>127</v>
      </c>
      <c r="C302" s="172" t="s">
        <v>102</v>
      </c>
      <c r="D302" s="172" t="s">
        <v>102</v>
      </c>
      <c r="E302" s="172" t="s">
        <v>102</v>
      </c>
      <c r="F302" s="172" t="s">
        <v>102</v>
      </c>
      <c r="G302" s="172" t="s">
        <v>102</v>
      </c>
      <c r="H302" s="172" t="s">
        <v>102</v>
      </c>
    </row>
    <row r="303" spans="1:8">
      <c r="A303" s="184">
        <v>31140</v>
      </c>
      <c r="B303" s="110" t="s">
        <v>656</v>
      </c>
      <c r="C303" s="172" t="s">
        <v>102</v>
      </c>
      <c r="D303" s="172" t="s">
        <v>102</v>
      </c>
      <c r="E303" s="172" t="s">
        <v>102</v>
      </c>
      <c r="F303" s="172" t="s">
        <v>102</v>
      </c>
      <c r="G303" s="172" t="s">
        <v>102</v>
      </c>
      <c r="H303" s="172" t="s">
        <v>102</v>
      </c>
    </row>
    <row r="304" spans="1:8">
      <c r="A304" s="177">
        <v>312</v>
      </c>
      <c r="B304" s="102" t="s">
        <v>128</v>
      </c>
      <c r="C304" s="172" t="s">
        <v>102</v>
      </c>
      <c r="D304" s="172" t="s">
        <v>102</v>
      </c>
      <c r="E304" s="172" t="s">
        <v>102</v>
      </c>
      <c r="F304" s="172" t="s">
        <v>102</v>
      </c>
      <c r="G304" s="172" t="s">
        <v>102</v>
      </c>
      <c r="H304" s="172" t="s">
        <v>102</v>
      </c>
    </row>
    <row r="305" spans="1:8">
      <c r="A305" s="181">
        <v>3121</v>
      </c>
      <c r="B305" s="182" t="s">
        <v>129</v>
      </c>
      <c r="C305" s="172" t="s">
        <v>102</v>
      </c>
      <c r="D305" s="172" t="s">
        <v>102</v>
      </c>
      <c r="E305" s="172" t="s">
        <v>102</v>
      </c>
      <c r="F305" s="172" t="s">
        <v>102</v>
      </c>
      <c r="G305" s="172" t="s">
        <v>102</v>
      </c>
      <c r="H305" s="172" t="s">
        <v>102</v>
      </c>
    </row>
    <row r="306" spans="1:8">
      <c r="A306" s="181">
        <v>31211</v>
      </c>
      <c r="B306" s="182" t="s">
        <v>130</v>
      </c>
      <c r="C306" s="172" t="s">
        <v>102</v>
      </c>
      <c r="D306" s="172" t="s">
        <v>102</v>
      </c>
      <c r="E306" s="172" t="s">
        <v>102</v>
      </c>
      <c r="F306" s="172" t="s">
        <v>102</v>
      </c>
      <c r="G306" s="172" t="s">
        <v>102</v>
      </c>
      <c r="H306" s="172" t="s">
        <v>102</v>
      </c>
    </row>
    <row r="307" spans="1:8">
      <c r="A307" s="184">
        <v>31212</v>
      </c>
      <c r="B307" s="110" t="s">
        <v>131</v>
      </c>
      <c r="C307" s="172" t="s">
        <v>102</v>
      </c>
      <c r="D307" s="172" t="s">
        <v>102</v>
      </c>
      <c r="E307" s="172" t="s">
        <v>102</v>
      </c>
      <c r="F307" s="172" t="s">
        <v>102</v>
      </c>
      <c r="G307" s="172" t="s">
        <v>102</v>
      </c>
      <c r="H307" s="172" t="s">
        <v>102</v>
      </c>
    </row>
    <row r="308" spans="1:8">
      <c r="A308" s="184">
        <v>31213</v>
      </c>
      <c r="B308" s="110" t="s">
        <v>132</v>
      </c>
      <c r="C308" s="172" t="s">
        <v>102</v>
      </c>
      <c r="D308" s="172" t="s">
        <v>102</v>
      </c>
      <c r="E308" s="172" t="s">
        <v>102</v>
      </c>
      <c r="F308" s="172" t="s">
        <v>102</v>
      </c>
      <c r="G308" s="172" t="s">
        <v>102</v>
      </c>
      <c r="H308" s="172" t="s">
        <v>102</v>
      </c>
    </row>
    <row r="309" spans="1:8">
      <c r="A309" s="184">
        <v>31214</v>
      </c>
      <c r="B309" s="110" t="s">
        <v>133</v>
      </c>
      <c r="C309" s="172" t="s">
        <v>102</v>
      </c>
      <c r="D309" s="172" t="s">
        <v>102</v>
      </c>
      <c r="E309" s="172" t="s">
        <v>102</v>
      </c>
      <c r="F309" s="172" t="s">
        <v>102</v>
      </c>
      <c r="G309" s="172" t="s">
        <v>102</v>
      </c>
      <c r="H309" s="172" t="s">
        <v>102</v>
      </c>
    </row>
    <row r="310" spans="1:8">
      <c r="A310" s="184">
        <v>31215</v>
      </c>
      <c r="B310" s="110" t="s">
        <v>134</v>
      </c>
      <c r="C310" s="172" t="s">
        <v>102</v>
      </c>
      <c r="D310" s="172" t="s">
        <v>102</v>
      </c>
      <c r="E310" s="172" t="s">
        <v>102</v>
      </c>
      <c r="F310" s="172" t="s">
        <v>102</v>
      </c>
      <c r="G310" s="172" t="s">
        <v>102</v>
      </c>
      <c r="H310" s="172" t="s">
        <v>102</v>
      </c>
    </row>
    <row r="311" spans="1:8">
      <c r="A311" s="184">
        <v>31216</v>
      </c>
      <c r="B311" s="110" t="s">
        <v>655</v>
      </c>
      <c r="C311" s="172" t="s">
        <v>102</v>
      </c>
      <c r="D311" s="172" t="s">
        <v>102</v>
      </c>
      <c r="E311" s="172" t="s">
        <v>102</v>
      </c>
      <c r="F311" s="172" t="s">
        <v>102</v>
      </c>
      <c r="G311" s="172" t="s">
        <v>102</v>
      </c>
      <c r="H311" s="172" t="s">
        <v>102</v>
      </c>
    </row>
    <row r="312" spans="1:8">
      <c r="A312" s="177">
        <v>3122</v>
      </c>
      <c r="B312" s="102" t="s">
        <v>135</v>
      </c>
      <c r="C312" s="172" t="s">
        <v>102</v>
      </c>
      <c r="D312" s="172" t="s">
        <v>102</v>
      </c>
      <c r="E312" s="172" t="s">
        <v>102</v>
      </c>
      <c r="F312" s="172" t="s">
        <v>102</v>
      </c>
      <c r="G312" s="172" t="s">
        <v>102</v>
      </c>
      <c r="H312" s="172" t="s">
        <v>102</v>
      </c>
    </row>
    <row r="313" spans="1:8">
      <c r="A313" s="181">
        <v>31221</v>
      </c>
      <c r="B313" s="182" t="s">
        <v>130</v>
      </c>
      <c r="C313" s="172" t="s">
        <v>102</v>
      </c>
      <c r="D313" s="172" t="s">
        <v>102</v>
      </c>
      <c r="E313" s="172" t="s">
        <v>102</v>
      </c>
      <c r="F313" s="172" t="s">
        <v>102</v>
      </c>
      <c r="G313" s="172" t="s">
        <v>102</v>
      </c>
      <c r="H313" s="172" t="s">
        <v>102</v>
      </c>
    </row>
    <row r="314" spans="1:8">
      <c r="A314" s="184">
        <v>31222</v>
      </c>
      <c r="B314" s="110" t="s">
        <v>136</v>
      </c>
      <c r="C314" s="172" t="s">
        <v>102</v>
      </c>
      <c r="D314" s="172" t="s">
        <v>102</v>
      </c>
      <c r="E314" s="172" t="s">
        <v>102</v>
      </c>
      <c r="F314" s="172" t="s">
        <v>102</v>
      </c>
      <c r="G314" s="172" t="s">
        <v>102</v>
      </c>
      <c r="H314" s="172" t="s">
        <v>102</v>
      </c>
    </row>
    <row r="315" spans="1:8">
      <c r="A315" s="184">
        <v>31223</v>
      </c>
      <c r="B315" s="110" t="s">
        <v>132</v>
      </c>
      <c r="C315" s="172" t="s">
        <v>102</v>
      </c>
      <c r="D315" s="172" t="s">
        <v>102</v>
      </c>
      <c r="E315" s="172" t="s">
        <v>102</v>
      </c>
      <c r="F315" s="172" t="s">
        <v>102</v>
      </c>
      <c r="G315" s="172" t="s">
        <v>102</v>
      </c>
      <c r="H315" s="172" t="s">
        <v>102</v>
      </c>
    </row>
    <row r="316" spans="1:8">
      <c r="A316" s="184">
        <v>31224</v>
      </c>
      <c r="B316" s="110" t="s">
        <v>133</v>
      </c>
      <c r="C316" s="172" t="s">
        <v>102</v>
      </c>
      <c r="D316" s="172" t="s">
        <v>102</v>
      </c>
      <c r="E316" s="172" t="s">
        <v>102</v>
      </c>
      <c r="F316" s="172" t="s">
        <v>102</v>
      </c>
      <c r="G316" s="172" t="s">
        <v>102</v>
      </c>
      <c r="H316" s="172" t="s">
        <v>102</v>
      </c>
    </row>
    <row r="317" spans="1:8">
      <c r="A317" s="184">
        <v>31400</v>
      </c>
      <c r="B317" s="110" t="s">
        <v>137</v>
      </c>
      <c r="C317" s="172" t="s">
        <v>102</v>
      </c>
      <c r="D317" s="172" t="s">
        <v>102</v>
      </c>
      <c r="E317" s="172" t="s">
        <v>102</v>
      </c>
      <c r="F317" s="172" t="s">
        <v>102</v>
      </c>
      <c r="G317" s="172" t="s">
        <v>102</v>
      </c>
      <c r="H317" s="172" t="s">
        <v>102</v>
      </c>
    </row>
    <row r="318" spans="1:8">
      <c r="A318" s="184">
        <v>31500</v>
      </c>
      <c r="B318" s="110" t="s">
        <v>138</v>
      </c>
      <c r="C318" s="172" t="s">
        <v>102</v>
      </c>
      <c r="D318" s="172" t="s">
        <v>102</v>
      </c>
      <c r="E318" s="172" t="s">
        <v>102</v>
      </c>
      <c r="F318" s="172" t="s">
        <v>102</v>
      </c>
      <c r="G318" s="172" t="s">
        <v>102</v>
      </c>
      <c r="H318" s="172" t="s">
        <v>102</v>
      </c>
    </row>
    <row r="319" spans="1:8">
      <c r="A319" s="184">
        <v>32</v>
      </c>
      <c r="B319" s="110" t="s">
        <v>140</v>
      </c>
      <c r="C319" s="172" t="s">
        <v>102</v>
      </c>
      <c r="D319" s="172" t="s">
        <v>102</v>
      </c>
      <c r="E319" s="172" t="s">
        <v>102</v>
      </c>
      <c r="F319" s="172" t="s">
        <v>102</v>
      </c>
      <c r="G319" s="172" t="s">
        <v>102</v>
      </c>
      <c r="H319" s="172" t="s">
        <v>102</v>
      </c>
    </row>
    <row r="320" spans="1:8">
      <c r="A320" s="183">
        <v>321</v>
      </c>
      <c r="B320" s="182" t="s">
        <v>141</v>
      </c>
      <c r="C320" s="172" t="s">
        <v>102</v>
      </c>
      <c r="D320" s="172" t="s">
        <v>102</v>
      </c>
      <c r="E320" s="172" t="s">
        <v>102</v>
      </c>
      <c r="F320" s="172" t="s">
        <v>102</v>
      </c>
      <c r="G320" s="172" t="s">
        <v>102</v>
      </c>
      <c r="H320" s="172" t="s">
        <v>102</v>
      </c>
    </row>
    <row r="321" spans="1:8">
      <c r="A321" s="181">
        <v>32110</v>
      </c>
      <c r="B321" s="182" t="s">
        <v>125</v>
      </c>
      <c r="C321" s="172" t="s">
        <v>102</v>
      </c>
      <c r="D321" s="172" t="s">
        <v>102</v>
      </c>
      <c r="E321" s="172" t="s">
        <v>102</v>
      </c>
      <c r="F321" s="172" t="s">
        <v>102</v>
      </c>
      <c r="G321" s="172" t="s">
        <v>102</v>
      </c>
      <c r="H321" s="172" t="s">
        <v>102</v>
      </c>
    </row>
    <row r="322" spans="1:8">
      <c r="A322" s="184">
        <v>32120</v>
      </c>
      <c r="B322" s="110" t="s">
        <v>126</v>
      </c>
      <c r="C322" s="172" t="s">
        <v>102</v>
      </c>
      <c r="D322" s="172" t="s">
        <v>102</v>
      </c>
      <c r="E322" s="172" t="s">
        <v>102</v>
      </c>
      <c r="F322" s="172" t="s">
        <v>102</v>
      </c>
      <c r="G322" s="172" t="s">
        <v>102</v>
      </c>
      <c r="H322" s="172" t="s">
        <v>102</v>
      </c>
    </row>
    <row r="323" spans="1:8">
      <c r="A323" s="184">
        <v>33</v>
      </c>
      <c r="B323" s="110" t="s">
        <v>143</v>
      </c>
      <c r="C323" s="172" t="s">
        <v>102</v>
      </c>
      <c r="D323" s="172" t="s">
        <v>102</v>
      </c>
      <c r="E323" s="172" t="s">
        <v>102</v>
      </c>
      <c r="F323" s="172" t="s">
        <v>102</v>
      </c>
      <c r="G323" s="172" t="s">
        <v>102</v>
      </c>
      <c r="H323" s="172" t="s">
        <v>102</v>
      </c>
    </row>
    <row r="324" spans="1:8">
      <c r="A324" s="183">
        <v>33100</v>
      </c>
      <c r="B324" s="182" t="s">
        <v>144</v>
      </c>
      <c r="C324" s="172" t="s">
        <v>102</v>
      </c>
      <c r="D324" s="172" t="s">
        <v>102</v>
      </c>
      <c r="E324" s="172" t="s">
        <v>102</v>
      </c>
      <c r="F324" s="172" t="s">
        <v>102</v>
      </c>
      <c r="G324" s="172" t="s">
        <v>102</v>
      </c>
      <c r="H324" s="172" t="s">
        <v>102</v>
      </c>
    </row>
    <row r="325" spans="1:8">
      <c r="A325" s="184">
        <v>33200</v>
      </c>
      <c r="B325" s="110" t="s">
        <v>145</v>
      </c>
      <c r="C325" s="172" t="s">
        <v>102</v>
      </c>
      <c r="D325" s="172" t="s">
        <v>102</v>
      </c>
      <c r="E325" s="172" t="s">
        <v>102</v>
      </c>
      <c r="F325" s="172" t="s">
        <v>102</v>
      </c>
      <c r="G325" s="172" t="s">
        <v>102</v>
      </c>
      <c r="H325" s="172" t="s">
        <v>102</v>
      </c>
    </row>
    <row r="326" spans="1:8">
      <c r="A326" s="184">
        <v>33300</v>
      </c>
      <c r="B326" s="110" t="s">
        <v>146</v>
      </c>
      <c r="C326" s="172" t="s">
        <v>102</v>
      </c>
      <c r="D326" s="172" t="s">
        <v>102</v>
      </c>
      <c r="E326" s="172" t="s">
        <v>102</v>
      </c>
      <c r="F326" s="172" t="s">
        <v>102</v>
      </c>
      <c r="G326" s="172" t="s">
        <v>102</v>
      </c>
      <c r="H326" s="172" t="s">
        <v>102</v>
      </c>
    </row>
    <row r="327" spans="1:8">
      <c r="A327" s="184">
        <v>33400</v>
      </c>
      <c r="B327" s="110" t="s">
        <v>147</v>
      </c>
      <c r="C327" s="172" t="s">
        <v>102</v>
      </c>
      <c r="D327" s="172" t="s">
        <v>102</v>
      </c>
      <c r="E327" s="172" t="s">
        <v>102</v>
      </c>
      <c r="F327" s="172" t="s">
        <v>102</v>
      </c>
      <c r="G327" s="172" t="s">
        <v>102</v>
      </c>
      <c r="H327" s="172" t="s">
        <v>102</v>
      </c>
    </row>
    <row r="328" spans="1:8">
      <c r="A328" s="184">
        <v>33401</v>
      </c>
      <c r="B328" s="110" t="s">
        <v>634</v>
      </c>
      <c r="C328" s="172" t="s">
        <v>102</v>
      </c>
      <c r="D328" s="172" t="s">
        <v>102</v>
      </c>
      <c r="E328" s="172" t="s">
        <v>102</v>
      </c>
      <c r="F328" s="172" t="s">
        <v>102</v>
      </c>
      <c r="G328" s="172" t="s">
        <v>102</v>
      </c>
      <c r="H328" s="172" t="s">
        <v>102</v>
      </c>
    </row>
    <row r="329" spans="1:8">
      <c r="A329" s="185">
        <v>33402</v>
      </c>
      <c r="B329" s="110" t="s">
        <v>635</v>
      </c>
      <c r="C329" s="172" t="s">
        <v>102</v>
      </c>
      <c r="D329" s="172" t="s">
        <v>102</v>
      </c>
      <c r="E329" s="172" t="s">
        <v>102</v>
      </c>
      <c r="F329" s="172" t="s">
        <v>102</v>
      </c>
      <c r="G329" s="172" t="s">
        <v>102</v>
      </c>
      <c r="H329" s="172" t="s">
        <v>102</v>
      </c>
    </row>
    <row r="330" spans="1:8">
      <c r="A330" s="185">
        <v>335</v>
      </c>
      <c r="B330" s="110" t="s">
        <v>148</v>
      </c>
      <c r="C330" s="172" t="s">
        <v>102</v>
      </c>
      <c r="D330" s="172" t="s">
        <v>102</v>
      </c>
      <c r="E330" s="172" t="s">
        <v>102</v>
      </c>
      <c r="F330" s="172" t="s">
        <v>102</v>
      </c>
      <c r="G330" s="172" t="s">
        <v>102</v>
      </c>
      <c r="H330" s="172" t="s">
        <v>102</v>
      </c>
    </row>
    <row r="331" spans="1:8">
      <c r="A331" s="181">
        <v>33510</v>
      </c>
      <c r="B331" s="182" t="s">
        <v>149</v>
      </c>
      <c r="C331" s="172" t="s">
        <v>102</v>
      </c>
      <c r="D331" s="172" t="s">
        <v>102</v>
      </c>
      <c r="E331" s="172" t="s">
        <v>102</v>
      </c>
      <c r="F331" s="172" t="s">
        <v>102</v>
      </c>
      <c r="G331" s="172" t="s">
        <v>102</v>
      </c>
      <c r="H331" s="172" t="s">
        <v>102</v>
      </c>
    </row>
    <row r="332" spans="1:8">
      <c r="A332" s="185">
        <v>335101</v>
      </c>
      <c r="B332" s="110" t="s">
        <v>560</v>
      </c>
      <c r="C332" s="172" t="s">
        <v>102</v>
      </c>
      <c r="D332" s="172" t="s">
        <v>102</v>
      </c>
      <c r="E332" s="172" t="s">
        <v>102</v>
      </c>
      <c r="F332" s="172" t="s">
        <v>102</v>
      </c>
      <c r="G332" s="172" t="s">
        <v>102</v>
      </c>
      <c r="H332" s="172" t="s">
        <v>102</v>
      </c>
    </row>
    <row r="333" spans="1:8">
      <c r="A333" s="176">
        <v>335102</v>
      </c>
      <c r="B333" s="102" t="s">
        <v>561</v>
      </c>
      <c r="C333" s="172" t="s">
        <v>102</v>
      </c>
      <c r="D333" s="172" t="s">
        <v>102</v>
      </c>
      <c r="E333" s="172" t="s">
        <v>102</v>
      </c>
      <c r="F333" s="172" t="s">
        <v>102</v>
      </c>
      <c r="G333" s="172" t="s">
        <v>102</v>
      </c>
      <c r="H333" s="172" t="s">
        <v>102</v>
      </c>
    </row>
    <row r="334" spans="1:8">
      <c r="A334" s="176">
        <v>335103</v>
      </c>
      <c r="B334" s="102" t="s">
        <v>562</v>
      </c>
      <c r="C334" s="172" t="s">
        <v>102</v>
      </c>
      <c r="D334" s="172" t="s">
        <v>102</v>
      </c>
      <c r="E334" s="172" t="s">
        <v>102</v>
      </c>
      <c r="F334" s="172" t="s">
        <v>102</v>
      </c>
      <c r="G334" s="172" t="s">
        <v>102</v>
      </c>
      <c r="H334" s="172" t="s">
        <v>102</v>
      </c>
    </row>
    <row r="335" spans="1:8">
      <c r="A335" s="176">
        <v>335104</v>
      </c>
      <c r="B335" s="102" t="s">
        <v>563</v>
      </c>
      <c r="C335" s="172" t="s">
        <v>102</v>
      </c>
      <c r="D335" s="172" t="s">
        <v>102</v>
      </c>
      <c r="E335" s="172" t="s">
        <v>102</v>
      </c>
      <c r="F335" s="172" t="s">
        <v>102</v>
      </c>
      <c r="G335" s="172" t="s">
        <v>102</v>
      </c>
      <c r="H335" s="172" t="s">
        <v>102</v>
      </c>
    </row>
    <row r="336" spans="1:8">
      <c r="A336" s="176">
        <v>335105</v>
      </c>
      <c r="B336" s="102" t="s">
        <v>564</v>
      </c>
      <c r="C336" s="172" t="s">
        <v>102</v>
      </c>
      <c r="D336" s="172" t="s">
        <v>102</v>
      </c>
      <c r="E336" s="172" t="s">
        <v>102</v>
      </c>
      <c r="F336" s="172" t="s">
        <v>102</v>
      </c>
      <c r="G336" s="172" t="s">
        <v>102</v>
      </c>
      <c r="H336" s="172" t="s">
        <v>102</v>
      </c>
    </row>
    <row r="337" spans="1:8">
      <c r="A337" s="176">
        <v>335106</v>
      </c>
      <c r="B337" s="102" t="s">
        <v>565</v>
      </c>
      <c r="C337" s="172" t="s">
        <v>102</v>
      </c>
      <c r="D337" s="172" t="s">
        <v>102</v>
      </c>
      <c r="E337" s="172" t="s">
        <v>102</v>
      </c>
      <c r="F337" s="172" t="s">
        <v>102</v>
      </c>
      <c r="G337" s="172" t="s">
        <v>102</v>
      </c>
      <c r="H337" s="172" t="s">
        <v>102</v>
      </c>
    </row>
    <row r="338" spans="1:8">
      <c r="A338" s="176">
        <v>335107</v>
      </c>
      <c r="B338" s="102" t="s">
        <v>566</v>
      </c>
      <c r="C338" s="172" t="s">
        <v>102</v>
      </c>
      <c r="D338" s="172" t="s">
        <v>102</v>
      </c>
      <c r="E338" s="172" t="s">
        <v>102</v>
      </c>
      <c r="F338" s="172" t="s">
        <v>102</v>
      </c>
      <c r="G338" s="172" t="s">
        <v>102</v>
      </c>
      <c r="H338" s="172" t="s">
        <v>102</v>
      </c>
    </row>
    <row r="339" spans="1:8">
      <c r="A339" s="176">
        <v>335108</v>
      </c>
      <c r="B339" s="102" t="s">
        <v>567</v>
      </c>
      <c r="C339" s="172" t="s">
        <v>102</v>
      </c>
      <c r="D339" s="172" t="s">
        <v>102</v>
      </c>
      <c r="E339" s="172" t="s">
        <v>102</v>
      </c>
      <c r="F339" s="172" t="s">
        <v>102</v>
      </c>
      <c r="G339" s="172" t="s">
        <v>102</v>
      </c>
      <c r="H339" s="172" t="s">
        <v>102</v>
      </c>
    </row>
    <row r="340" spans="1:8">
      <c r="A340" s="176">
        <v>335109</v>
      </c>
      <c r="B340" s="102" t="s">
        <v>568</v>
      </c>
      <c r="C340" s="172" t="s">
        <v>102</v>
      </c>
      <c r="D340" s="172" t="s">
        <v>102</v>
      </c>
      <c r="E340" s="172" t="s">
        <v>102</v>
      </c>
      <c r="F340" s="172" t="s">
        <v>102</v>
      </c>
      <c r="G340" s="172" t="s">
        <v>102</v>
      </c>
      <c r="H340" s="172" t="s">
        <v>102</v>
      </c>
    </row>
    <row r="341" spans="1:8">
      <c r="A341" s="176">
        <v>335110</v>
      </c>
      <c r="B341" s="102" t="s">
        <v>569</v>
      </c>
      <c r="C341" s="172" t="s">
        <v>102</v>
      </c>
      <c r="D341" s="172" t="s">
        <v>102</v>
      </c>
      <c r="E341" s="172" t="s">
        <v>102</v>
      </c>
      <c r="F341" s="172" t="s">
        <v>102</v>
      </c>
      <c r="G341" s="172" t="s">
        <v>102</v>
      </c>
      <c r="H341" s="172" t="s">
        <v>102</v>
      </c>
    </row>
    <row r="342" spans="1:8">
      <c r="A342" s="176">
        <v>335111</v>
      </c>
      <c r="B342" s="102" t="s">
        <v>570</v>
      </c>
      <c r="C342" s="172" t="s">
        <v>102</v>
      </c>
      <c r="D342" s="172" t="s">
        <v>102</v>
      </c>
      <c r="E342" s="172" t="s">
        <v>102</v>
      </c>
      <c r="F342" s="172" t="s">
        <v>102</v>
      </c>
      <c r="G342" s="172" t="s">
        <v>102</v>
      </c>
      <c r="H342" s="172" t="s">
        <v>102</v>
      </c>
    </row>
    <row r="343" spans="1:8">
      <c r="A343" s="176">
        <v>335112</v>
      </c>
      <c r="B343" s="102" t="s">
        <v>571</v>
      </c>
      <c r="C343" s="172" t="s">
        <v>102</v>
      </c>
      <c r="D343" s="172" t="s">
        <v>102</v>
      </c>
      <c r="E343" s="172" t="s">
        <v>102</v>
      </c>
      <c r="F343" s="172" t="s">
        <v>102</v>
      </c>
      <c r="G343" s="172" t="s">
        <v>102</v>
      </c>
      <c r="H343" s="172" t="s">
        <v>102</v>
      </c>
    </row>
    <row r="344" spans="1:8">
      <c r="A344" s="176">
        <v>335113</v>
      </c>
      <c r="B344" s="102" t="s">
        <v>572</v>
      </c>
      <c r="C344" s="172" t="s">
        <v>102</v>
      </c>
      <c r="D344" s="172" t="s">
        <v>102</v>
      </c>
      <c r="E344" s="172" t="s">
        <v>102</v>
      </c>
      <c r="F344" s="172" t="s">
        <v>102</v>
      </c>
      <c r="G344" s="172" t="s">
        <v>102</v>
      </c>
      <c r="H344" s="172" t="s">
        <v>102</v>
      </c>
    </row>
    <row r="345" spans="1:8">
      <c r="A345" s="176">
        <v>33520</v>
      </c>
      <c r="B345" s="102" t="s">
        <v>150</v>
      </c>
      <c r="C345" s="172" t="s">
        <v>102</v>
      </c>
      <c r="D345" s="172" t="s">
        <v>102</v>
      </c>
      <c r="E345" s="172" t="s">
        <v>102</v>
      </c>
      <c r="F345" s="172" t="s">
        <v>102</v>
      </c>
      <c r="G345" s="172" t="s">
        <v>102</v>
      </c>
      <c r="H345" s="172" t="s">
        <v>102</v>
      </c>
    </row>
    <row r="346" spans="1:8">
      <c r="A346" s="184">
        <v>336</v>
      </c>
      <c r="B346" s="110" t="s">
        <v>151</v>
      </c>
      <c r="C346" s="172" t="s">
        <v>102</v>
      </c>
      <c r="D346" s="172" t="s">
        <v>102</v>
      </c>
      <c r="E346" s="172" t="s">
        <v>102</v>
      </c>
      <c r="F346" s="172" t="s">
        <v>102</v>
      </c>
      <c r="G346" s="172" t="s">
        <v>102</v>
      </c>
      <c r="H346" s="172" t="s">
        <v>102</v>
      </c>
    </row>
    <row r="347" spans="1:8">
      <c r="A347" s="181">
        <v>3361</v>
      </c>
      <c r="B347" s="182" t="s">
        <v>152</v>
      </c>
      <c r="C347" s="172" t="s">
        <v>102</v>
      </c>
      <c r="D347" s="172" t="s">
        <v>102</v>
      </c>
      <c r="E347" s="172" t="s">
        <v>102</v>
      </c>
      <c r="F347" s="172" t="s">
        <v>102</v>
      </c>
      <c r="G347" s="172" t="s">
        <v>102</v>
      </c>
      <c r="H347" s="172" t="s">
        <v>102</v>
      </c>
    </row>
    <row r="348" spans="1:8">
      <c r="A348" s="181">
        <v>33611</v>
      </c>
      <c r="B348" s="182" t="s">
        <v>153</v>
      </c>
      <c r="C348" s="172" t="s">
        <v>102</v>
      </c>
      <c r="D348" s="172" t="s">
        <v>102</v>
      </c>
      <c r="E348" s="172" t="s">
        <v>102</v>
      </c>
      <c r="F348" s="172" t="s">
        <v>102</v>
      </c>
      <c r="G348" s="172" t="s">
        <v>102</v>
      </c>
      <c r="H348" s="172" t="s">
        <v>102</v>
      </c>
    </row>
    <row r="349" spans="1:8">
      <c r="A349" s="184">
        <v>33612</v>
      </c>
      <c r="B349" s="110" t="s">
        <v>154</v>
      </c>
      <c r="C349" s="172" t="s">
        <v>102</v>
      </c>
      <c r="D349" s="172" t="s">
        <v>102</v>
      </c>
      <c r="E349" s="172" t="s">
        <v>102</v>
      </c>
      <c r="F349" s="172" t="s">
        <v>102</v>
      </c>
      <c r="G349" s="172" t="s">
        <v>102</v>
      </c>
      <c r="H349" s="172" t="s">
        <v>102</v>
      </c>
    </row>
    <row r="350" spans="1:8">
      <c r="A350" s="184">
        <v>33613</v>
      </c>
      <c r="B350" s="110" t="s">
        <v>155</v>
      </c>
      <c r="C350" s="172" t="s">
        <v>102</v>
      </c>
      <c r="D350" s="172" t="s">
        <v>102</v>
      </c>
      <c r="E350" s="172" t="s">
        <v>102</v>
      </c>
      <c r="F350" s="172" t="s">
        <v>102</v>
      </c>
      <c r="G350" s="172" t="s">
        <v>102</v>
      </c>
      <c r="H350" s="172" t="s">
        <v>102</v>
      </c>
    </row>
    <row r="351" spans="1:8">
      <c r="A351" s="184">
        <v>33614</v>
      </c>
      <c r="B351" s="110" t="s">
        <v>156</v>
      </c>
      <c r="C351" s="172" t="s">
        <v>102</v>
      </c>
      <c r="D351" s="172" t="s">
        <v>102</v>
      </c>
      <c r="E351" s="172" t="s">
        <v>102</v>
      </c>
      <c r="F351" s="172" t="s">
        <v>102</v>
      </c>
      <c r="G351" s="172" t="s">
        <v>102</v>
      </c>
      <c r="H351" s="172" t="s">
        <v>102</v>
      </c>
    </row>
    <row r="352" spans="1:8">
      <c r="A352" s="184">
        <v>33615</v>
      </c>
      <c r="B352" s="110" t="s">
        <v>157</v>
      </c>
      <c r="C352" s="172" t="s">
        <v>102</v>
      </c>
      <c r="D352" s="172" t="s">
        <v>102</v>
      </c>
      <c r="E352" s="172" t="s">
        <v>102</v>
      </c>
      <c r="F352" s="172" t="s">
        <v>102</v>
      </c>
      <c r="G352" s="172" t="s">
        <v>102</v>
      </c>
      <c r="H352" s="172" t="s">
        <v>102</v>
      </c>
    </row>
    <row r="353" spans="1:8">
      <c r="A353" s="184">
        <v>3362</v>
      </c>
      <c r="B353" s="110" t="s">
        <v>158</v>
      </c>
      <c r="C353" s="172" t="s">
        <v>102</v>
      </c>
      <c r="D353" s="172" t="s">
        <v>102</v>
      </c>
      <c r="E353" s="172" t="s">
        <v>102</v>
      </c>
      <c r="F353" s="172" t="s">
        <v>102</v>
      </c>
      <c r="G353" s="172" t="s">
        <v>102</v>
      </c>
      <c r="H353" s="172" t="s">
        <v>102</v>
      </c>
    </row>
    <row r="354" spans="1:8">
      <c r="A354" s="181">
        <v>33621</v>
      </c>
      <c r="B354" s="182" t="s">
        <v>153</v>
      </c>
      <c r="C354" s="172" t="s">
        <v>102</v>
      </c>
      <c r="D354" s="172" t="s">
        <v>102</v>
      </c>
      <c r="E354" s="172" t="s">
        <v>102</v>
      </c>
      <c r="F354" s="172" t="s">
        <v>102</v>
      </c>
      <c r="G354" s="172" t="s">
        <v>102</v>
      </c>
      <c r="H354" s="172" t="s">
        <v>102</v>
      </c>
    </row>
    <row r="355" spans="1:8">
      <c r="A355" s="184">
        <v>33622</v>
      </c>
      <c r="B355" s="110" t="s">
        <v>156</v>
      </c>
      <c r="C355" s="172" t="s">
        <v>102</v>
      </c>
      <c r="D355" s="172" t="s">
        <v>102</v>
      </c>
      <c r="E355" s="172" t="s">
        <v>102</v>
      </c>
      <c r="F355" s="172" t="s">
        <v>102</v>
      </c>
      <c r="G355" s="172" t="s">
        <v>102</v>
      </c>
      <c r="H355" s="172" t="s">
        <v>102</v>
      </c>
    </row>
    <row r="356" spans="1:8">
      <c r="A356" s="184">
        <v>33623</v>
      </c>
      <c r="B356" s="110" t="s">
        <v>157</v>
      </c>
      <c r="C356" s="172" t="s">
        <v>102</v>
      </c>
      <c r="D356" s="172" t="s">
        <v>102</v>
      </c>
      <c r="E356" s="172" t="s">
        <v>102</v>
      </c>
      <c r="F356" s="172" t="s">
        <v>102</v>
      </c>
      <c r="G356" s="172" t="s">
        <v>102</v>
      </c>
      <c r="H356" s="172" t="s">
        <v>102</v>
      </c>
    </row>
    <row r="357" spans="1:8">
      <c r="A357" s="184">
        <v>34</v>
      </c>
      <c r="B357" s="110" t="s">
        <v>160</v>
      </c>
      <c r="C357" s="172" t="s">
        <v>102</v>
      </c>
      <c r="D357" s="172" t="s">
        <v>102</v>
      </c>
      <c r="E357" s="172" t="s">
        <v>102</v>
      </c>
      <c r="F357" s="172" t="s">
        <v>102</v>
      </c>
      <c r="G357" s="172" t="s">
        <v>102</v>
      </c>
      <c r="H357" s="172" t="s">
        <v>102</v>
      </c>
    </row>
    <row r="358" spans="1:8">
      <c r="A358" s="183">
        <v>34100</v>
      </c>
      <c r="B358" s="182" t="s">
        <v>161</v>
      </c>
      <c r="C358" s="172" t="s">
        <v>102</v>
      </c>
      <c r="D358" s="172" t="s">
        <v>102</v>
      </c>
      <c r="E358" s="172" t="s">
        <v>102</v>
      </c>
      <c r="F358" s="172" t="s">
        <v>102</v>
      </c>
      <c r="G358" s="172" t="s">
        <v>102</v>
      </c>
      <c r="H358" s="172" t="s">
        <v>102</v>
      </c>
    </row>
    <row r="359" spans="1:8">
      <c r="A359" s="184">
        <v>34200</v>
      </c>
      <c r="B359" s="110" t="s">
        <v>162</v>
      </c>
      <c r="C359" s="172" t="s">
        <v>102</v>
      </c>
      <c r="D359" s="172" t="s">
        <v>102</v>
      </c>
      <c r="E359" s="172" t="s">
        <v>102</v>
      </c>
      <c r="F359" s="172" t="s">
        <v>102</v>
      </c>
      <c r="G359" s="172" t="s">
        <v>102</v>
      </c>
      <c r="H359" s="172" t="s">
        <v>102</v>
      </c>
    </row>
    <row r="360" spans="1:8">
      <c r="A360" s="184">
        <v>34300</v>
      </c>
      <c r="B360" s="110" t="s">
        <v>163</v>
      </c>
      <c r="C360" s="172" t="s">
        <v>102</v>
      </c>
      <c r="D360" s="172" t="s">
        <v>102</v>
      </c>
      <c r="E360" s="172" t="s">
        <v>102</v>
      </c>
      <c r="F360" s="172" t="s">
        <v>102</v>
      </c>
      <c r="G360" s="172" t="s">
        <v>102</v>
      </c>
      <c r="H360" s="172" t="s">
        <v>102</v>
      </c>
    </row>
    <row r="361" spans="1:8">
      <c r="A361" s="184">
        <v>34400</v>
      </c>
      <c r="B361" s="110" t="s">
        <v>164</v>
      </c>
      <c r="C361" s="172" t="s">
        <v>102</v>
      </c>
      <c r="D361" s="172" t="s">
        <v>102</v>
      </c>
      <c r="E361" s="172" t="s">
        <v>102</v>
      </c>
      <c r="F361" s="172" t="s">
        <v>102</v>
      </c>
      <c r="G361" s="172" t="s">
        <v>102</v>
      </c>
      <c r="H361" s="172" t="s">
        <v>102</v>
      </c>
    </row>
    <row r="362" spans="1:8">
      <c r="A362" s="184">
        <v>34500</v>
      </c>
      <c r="B362" s="110" t="s">
        <v>165</v>
      </c>
      <c r="C362" s="172" t="s">
        <v>102</v>
      </c>
      <c r="D362" s="172" t="s">
        <v>102</v>
      </c>
      <c r="E362" s="172" t="s">
        <v>102</v>
      </c>
      <c r="F362" s="172" t="s">
        <v>102</v>
      </c>
      <c r="G362" s="172" t="s">
        <v>102</v>
      </c>
      <c r="H362" s="172" t="s">
        <v>102</v>
      </c>
    </row>
    <row r="363" spans="1:8">
      <c r="A363" s="184">
        <v>34600</v>
      </c>
      <c r="B363" s="110" t="s">
        <v>166</v>
      </c>
      <c r="C363" s="172" t="s">
        <v>102</v>
      </c>
      <c r="D363" s="172" t="s">
        <v>102</v>
      </c>
      <c r="E363" s="172" t="s">
        <v>102</v>
      </c>
      <c r="F363" s="172" t="s">
        <v>102</v>
      </c>
      <c r="G363" s="172" t="s">
        <v>102</v>
      </c>
      <c r="H363" s="172" t="s">
        <v>102</v>
      </c>
    </row>
    <row r="364" spans="1:8">
      <c r="A364" s="184">
        <v>3471</v>
      </c>
      <c r="B364" s="110" t="s">
        <v>167</v>
      </c>
      <c r="C364" s="172" t="s">
        <v>102</v>
      </c>
      <c r="D364" s="172" t="s">
        <v>102</v>
      </c>
      <c r="E364" s="172" t="s">
        <v>102</v>
      </c>
      <c r="F364" s="172" t="s">
        <v>102</v>
      </c>
      <c r="G364" s="172" t="s">
        <v>102</v>
      </c>
      <c r="H364" s="172" t="s">
        <v>102</v>
      </c>
    </row>
    <row r="365" spans="1:8">
      <c r="A365" s="181">
        <v>34711</v>
      </c>
      <c r="B365" s="182" t="s">
        <v>168</v>
      </c>
      <c r="C365" s="172" t="s">
        <v>102</v>
      </c>
      <c r="D365" s="172" t="s">
        <v>102</v>
      </c>
      <c r="E365" s="172" t="s">
        <v>102</v>
      </c>
      <c r="F365" s="172" t="s">
        <v>102</v>
      </c>
      <c r="G365" s="172" t="s">
        <v>102</v>
      </c>
      <c r="H365" s="172" t="s">
        <v>102</v>
      </c>
    </row>
    <row r="366" spans="1:8">
      <c r="A366" s="184">
        <v>34712</v>
      </c>
      <c r="B366" s="110" t="s">
        <v>169</v>
      </c>
      <c r="C366" s="172" t="s">
        <v>102</v>
      </c>
      <c r="D366" s="172" t="s">
        <v>102</v>
      </c>
      <c r="E366" s="172" t="s">
        <v>102</v>
      </c>
      <c r="F366" s="172" t="s">
        <v>102</v>
      </c>
      <c r="G366" s="172" t="s">
        <v>102</v>
      </c>
      <c r="H366" s="172" t="s">
        <v>102</v>
      </c>
    </row>
    <row r="367" spans="1:8">
      <c r="A367" s="184">
        <v>34713</v>
      </c>
      <c r="B367" s="110" t="s">
        <v>170</v>
      </c>
      <c r="C367" s="172" t="s">
        <v>102</v>
      </c>
      <c r="D367" s="172" t="s">
        <v>102</v>
      </c>
      <c r="E367" s="172" t="s">
        <v>102</v>
      </c>
      <c r="F367" s="172" t="s">
        <v>102</v>
      </c>
      <c r="G367" s="172" t="s">
        <v>102</v>
      </c>
      <c r="H367" s="172" t="s">
        <v>102</v>
      </c>
    </row>
    <row r="368" spans="1:8">
      <c r="A368" s="184">
        <v>34714</v>
      </c>
      <c r="B368" s="110" t="s">
        <v>171</v>
      </c>
      <c r="C368" s="172" t="s">
        <v>102</v>
      </c>
      <c r="D368" s="172" t="s">
        <v>102</v>
      </c>
      <c r="E368" s="172" t="s">
        <v>102</v>
      </c>
      <c r="F368" s="172" t="s">
        <v>102</v>
      </c>
      <c r="G368" s="172" t="s">
        <v>102</v>
      </c>
      <c r="H368" s="172" t="s">
        <v>102</v>
      </c>
    </row>
    <row r="369" spans="1:8">
      <c r="A369" s="184">
        <v>35</v>
      </c>
      <c r="B369" s="110" t="s">
        <v>173</v>
      </c>
      <c r="C369" s="172" t="s">
        <v>102</v>
      </c>
      <c r="D369" s="172" t="s">
        <v>102</v>
      </c>
      <c r="E369" s="172" t="s">
        <v>102</v>
      </c>
      <c r="F369" s="172" t="s">
        <v>102</v>
      </c>
      <c r="G369" s="172" t="s">
        <v>102</v>
      </c>
      <c r="H369" s="172" t="s">
        <v>102</v>
      </c>
    </row>
    <row r="370" spans="1:8">
      <c r="A370" s="183">
        <v>351</v>
      </c>
      <c r="B370" s="182" t="s">
        <v>448</v>
      </c>
      <c r="C370" s="172" t="s">
        <v>102</v>
      </c>
      <c r="D370" s="172" t="s">
        <v>102</v>
      </c>
      <c r="E370" s="172" t="s">
        <v>102</v>
      </c>
      <c r="F370" s="172" t="s">
        <v>102</v>
      </c>
      <c r="G370" s="172" t="s">
        <v>102</v>
      </c>
      <c r="H370" s="172" t="s">
        <v>102</v>
      </c>
    </row>
    <row r="371" spans="1:8">
      <c r="A371" s="181">
        <v>35110</v>
      </c>
      <c r="B371" s="182" t="s">
        <v>175</v>
      </c>
      <c r="C371" s="172" t="s">
        <v>102</v>
      </c>
      <c r="D371" s="172" t="s">
        <v>102</v>
      </c>
      <c r="E371" s="172" t="s">
        <v>102</v>
      </c>
      <c r="F371" s="172" t="s">
        <v>102</v>
      </c>
      <c r="G371" s="172" t="s">
        <v>102</v>
      </c>
      <c r="H371" s="172" t="s">
        <v>102</v>
      </c>
    </row>
    <row r="372" spans="1:8">
      <c r="A372" s="184">
        <v>35130</v>
      </c>
      <c r="B372" s="110" t="s">
        <v>177</v>
      </c>
      <c r="C372" s="172" t="s">
        <v>102</v>
      </c>
      <c r="D372" s="172" t="s">
        <v>102</v>
      </c>
      <c r="E372" s="172" t="s">
        <v>102</v>
      </c>
      <c r="F372" s="172" t="s">
        <v>102</v>
      </c>
      <c r="G372" s="172" t="s">
        <v>102</v>
      </c>
      <c r="H372" s="172" t="s">
        <v>102</v>
      </c>
    </row>
    <row r="373" spans="1:8">
      <c r="A373" s="184">
        <v>35200</v>
      </c>
      <c r="B373" s="110" t="s">
        <v>179</v>
      </c>
      <c r="C373" s="172" t="s">
        <v>102</v>
      </c>
      <c r="D373" s="172" t="s">
        <v>102</v>
      </c>
      <c r="E373" s="172" t="s">
        <v>102</v>
      </c>
      <c r="F373" s="172" t="s">
        <v>102</v>
      </c>
      <c r="G373" s="172" t="s">
        <v>102</v>
      </c>
      <c r="H373" s="172" t="s">
        <v>102</v>
      </c>
    </row>
    <row r="374" spans="1:8">
      <c r="A374" s="184">
        <v>35300</v>
      </c>
      <c r="B374" s="110" t="s">
        <v>181</v>
      </c>
      <c r="C374" s="172" t="s">
        <v>102</v>
      </c>
      <c r="D374" s="172" t="s">
        <v>102</v>
      </c>
      <c r="E374" s="172" t="s">
        <v>102</v>
      </c>
      <c r="F374" s="172" t="s">
        <v>102</v>
      </c>
      <c r="G374" s="172" t="s">
        <v>102</v>
      </c>
      <c r="H374" s="172" t="s">
        <v>102</v>
      </c>
    </row>
    <row r="375" spans="1:8">
      <c r="A375" s="184">
        <v>354</v>
      </c>
      <c r="B375" s="110" t="s">
        <v>182</v>
      </c>
      <c r="C375" s="172" t="s">
        <v>102</v>
      </c>
      <c r="D375" s="172" t="s">
        <v>102</v>
      </c>
      <c r="E375" s="172" t="s">
        <v>102</v>
      </c>
      <c r="F375" s="172" t="s">
        <v>102</v>
      </c>
      <c r="G375" s="172" t="s">
        <v>102</v>
      </c>
      <c r="H375" s="172" t="s">
        <v>102</v>
      </c>
    </row>
    <row r="376" spans="1:8">
      <c r="A376" s="181">
        <v>35410</v>
      </c>
      <c r="B376" s="182" t="s">
        <v>184</v>
      </c>
      <c r="C376" s="172" t="s">
        <v>102</v>
      </c>
      <c r="D376" s="172" t="s">
        <v>102</v>
      </c>
      <c r="E376" s="172" t="s">
        <v>102</v>
      </c>
      <c r="F376" s="172" t="s">
        <v>102</v>
      </c>
      <c r="G376" s="172" t="s">
        <v>102</v>
      </c>
      <c r="H376" s="172" t="s">
        <v>102</v>
      </c>
    </row>
    <row r="377" spans="1:8">
      <c r="A377" s="184">
        <v>35420</v>
      </c>
      <c r="B377" s="110" t="s">
        <v>186</v>
      </c>
      <c r="C377" s="172" t="s">
        <v>102</v>
      </c>
      <c r="D377" s="172" t="s">
        <v>102</v>
      </c>
      <c r="E377" s="172" t="s">
        <v>102</v>
      </c>
      <c r="F377" s="172" t="s">
        <v>102</v>
      </c>
      <c r="G377" s="172" t="s">
        <v>102</v>
      </c>
      <c r="H377" s="172" t="s">
        <v>102</v>
      </c>
    </row>
    <row r="378" spans="1:8">
      <c r="A378" s="184">
        <v>35430</v>
      </c>
      <c r="B378" s="110" t="s">
        <v>188</v>
      </c>
      <c r="C378" s="172" t="s">
        <v>102</v>
      </c>
      <c r="D378" s="172" t="s">
        <v>102</v>
      </c>
      <c r="E378" s="172" t="s">
        <v>102</v>
      </c>
      <c r="F378" s="172" t="s">
        <v>102</v>
      </c>
      <c r="G378" s="172" t="s">
        <v>102</v>
      </c>
      <c r="H378" s="172" t="s">
        <v>102</v>
      </c>
    </row>
    <row r="379" spans="1:8">
      <c r="A379" s="184">
        <v>35440</v>
      </c>
      <c r="B379" s="110" t="s">
        <v>190</v>
      </c>
      <c r="C379" s="172" t="s">
        <v>102</v>
      </c>
      <c r="D379" s="172" t="s">
        <v>102</v>
      </c>
      <c r="E379" s="172" t="s">
        <v>102</v>
      </c>
      <c r="F379" s="172" t="s">
        <v>102</v>
      </c>
      <c r="G379" s="172" t="s">
        <v>102</v>
      </c>
      <c r="H379" s="172" t="s">
        <v>102</v>
      </c>
    </row>
    <row r="380" spans="1:8">
      <c r="A380" s="184">
        <v>35450</v>
      </c>
      <c r="B380" s="110" t="s">
        <v>192</v>
      </c>
      <c r="C380" s="172" t="s">
        <v>102</v>
      </c>
      <c r="D380" s="172" t="s">
        <v>102</v>
      </c>
      <c r="E380" s="172" t="s">
        <v>102</v>
      </c>
      <c r="F380" s="172" t="s">
        <v>102</v>
      </c>
      <c r="G380" s="172" t="s">
        <v>102</v>
      </c>
      <c r="H380" s="172" t="s">
        <v>102</v>
      </c>
    </row>
    <row r="381" spans="1:8">
      <c r="A381" s="184">
        <v>35460</v>
      </c>
      <c r="B381" s="110" t="s">
        <v>194</v>
      </c>
      <c r="C381" s="172" t="s">
        <v>102</v>
      </c>
      <c r="D381" s="172" t="s">
        <v>102</v>
      </c>
      <c r="E381" s="172" t="s">
        <v>102</v>
      </c>
      <c r="F381" s="172" t="s">
        <v>102</v>
      </c>
      <c r="G381" s="172" t="s">
        <v>102</v>
      </c>
      <c r="H381" s="172" t="s">
        <v>102</v>
      </c>
    </row>
    <row r="382" spans="1:8">
      <c r="A382" s="184">
        <v>35470</v>
      </c>
      <c r="B382" s="110" t="s">
        <v>196</v>
      </c>
      <c r="C382" s="172" t="s">
        <v>102</v>
      </c>
      <c r="D382" s="172" t="s">
        <v>102</v>
      </c>
      <c r="E382" s="172" t="s">
        <v>102</v>
      </c>
      <c r="F382" s="172" t="s">
        <v>102</v>
      </c>
      <c r="G382" s="172" t="s">
        <v>102</v>
      </c>
      <c r="H382" s="172" t="s">
        <v>102</v>
      </c>
    </row>
    <row r="383" spans="1:8">
      <c r="A383" s="184">
        <v>35500</v>
      </c>
      <c r="B383" s="110" t="s">
        <v>198</v>
      </c>
      <c r="C383" s="172" t="s">
        <v>102</v>
      </c>
      <c r="D383" s="172" t="s">
        <v>102</v>
      </c>
      <c r="E383" s="172" t="s">
        <v>102</v>
      </c>
      <c r="F383" s="172" t="s">
        <v>102</v>
      </c>
      <c r="G383" s="172" t="s">
        <v>102</v>
      </c>
      <c r="H383" s="172" t="s">
        <v>102</v>
      </c>
    </row>
    <row r="384" spans="1:8">
      <c r="A384" s="184">
        <v>35600</v>
      </c>
      <c r="B384" s="110" t="s">
        <v>200</v>
      </c>
      <c r="C384" s="172" t="s">
        <v>102</v>
      </c>
      <c r="D384" s="172" t="s">
        <v>102</v>
      </c>
      <c r="E384" s="172" t="s">
        <v>102</v>
      </c>
      <c r="F384" s="172" t="s">
        <v>102</v>
      </c>
      <c r="G384" s="172" t="s">
        <v>102</v>
      </c>
      <c r="H384" s="172" t="s">
        <v>102</v>
      </c>
    </row>
    <row r="385" spans="1:8">
      <c r="A385" s="184">
        <v>36</v>
      </c>
      <c r="B385" s="110" t="s">
        <v>202</v>
      </c>
      <c r="C385" s="172" t="s">
        <v>102</v>
      </c>
      <c r="D385" s="172" t="s">
        <v>102</v>
      </c>
      <c r="E385" s="172" t="s">
        <v>102</v>
      </c>
      <c r="F385" s="172" t="s">
        <v>102</v>
      </c>
      <c r="G385" s="172" t="s">
        <v>102</v>
      </c>
      <c r="H385" s="172" t="s">
        <v>102</v>
      </c>
    </row>
    <row r="386" spans="1:8">
      <c r="A386" s="183">
        <v>36100</v>
      </c>
      <c r="B386" s="182" t="s">
        <v>203</v>
      </c>
      <c r="C386" s="172" t="s">
        <v>102</v>
      </c>
      <c r="D386" s="172" t="s">
        <v>102</v>
      </c>
      <c r="E386" s="172" t="s">
        <v>102</v>
      </c>
      <c r="F386" s="172" t="s">
        <v>102</v>
      </c>
      <c r="G386" s="172" t="s">
        <v>102</v>
      </c>
      <c r="H386" s="172" t="s">
        <v>102</v>
      </c>
    </row>
    <row r="387" spans="1:8">
      <c r="A387" s="184">
        <v>36200</v>
      </c>
      <c r="B387" s="110" t="s">
        <v>204</v>
      </c>
      <c r="C387" s="172" t="s">
        <v>102</v>
      </c>
      <c r="D387" s="172" t="s">
        <v>102</v>
      </c>
      <c r="E387" s="172" t="s">
        <v>102</v>
      </c>
      <c r="F387" s="172" t="s">
        <v>102</v>
      </c>
      <c r="G387" s="172" t="s">
        <v>102</v>
      </c>
      <c r="H387" s="172" t="s">
        <v>102</v>
      </c>
    </row>
    <row r="388" spans="1:8">
      <c r="A388" s="184">
        <v>36300</v>
      </c>
      <c r="B388" s="110" t="s">
        <v>205</v>
      </c>
      <c r="C388" s="172" t="s">
        <v>102</v>
      </c>
      <c r="D388" s="172" t="s">
        <v>102</v>
      </c>
      <c r="E388" s="172" t="s">
        <v>102</v>
      </c>
      <c r="F388" s="172" t="s">
        <v>102</v>
      </c>
      <c r="G388" s="172" t="s">
        <v>102</v>
      </c>
      <c r="H388" s="172" t="s">
        <v>102</v>
      </c>
    </row>
    <row r="389" spans="1:8">
      <c r="A389" s="184">
        <v>36400</v>
      </c>
      <c r="B389" s="110" t="s">
        <v>206</v>
      </c>
      <c r="C389" s="172" t="s">
        <v>102</v>
      </c>
      <c r="D389" s="172" t="s">
        <v>102</v>
      </c>
      <c r="E389" s="172" t="s">
        <v>102</v>
      </c>
      <c r="F389" s="172" t="s">
        <v>102</v>
      </c>
      <c r="G389" s="172" t="s">
        <v>102</v>
      </c>
      <c r="H389" s="172" t="s">
        <v>102</v>
      </c>
    </row>
    <row r="390" spans="1:8">
      <c r="A390" s="184">
        <v>36500</v>
      </c>
      <c r="B390" s="110" t="s">
        <v>207</v>
      </c>
      <c r="C390" s="172" t="s">
        <v>102</v>
      </c>
      <c r="D390" s="172" t="s">
        <v>102</v>
      </c>
      <c r="E390" s="172" t="s">
        <v>102</v>
      </c>
      <c r="F390" s="172" t="s">
        <v>102</v>
      </c>
      <c r="G390" s="172" t="s">
        <v>102</v>
      </c>
      <c r="H390" s="172" t="s">
        <v>102</v>
      </c>
    </row>
    <row r="391" spans="1:8">
      <c r="A391" s="184">
        <v>36600</v>
      </c>
      <c r="B391" s="110" t="s">
        <v>208</v>
      </c>
      <c r="C391" s="172" t="s">
        <v>102</v>
      </c>
      <c r="D391" s="172" t="s">
        <v>102</v>
      </c>
      <c r="E391" s="172" t="s">
        <v>102</v>
      </c>
      <c r="F391" s="172" t="s">
        <v>102</v>
      </c>
      <c r="G391" s="172" t="s">
        <v>102</v>
      </c>
      <c r="H391" s="172" t="s">
        <v>102</v>
      </c>
    </row>
    <row r="392" spans="1:8">
      <c r="A392" s="184">
        <v>36700</v>
      </c>
      <c r="B392" s="110" t="s">
        <v>636</v>
      </c>
      <c r="C392" s="172" t="s">
        <v>102</v>
      </c>
      <c r="D392" s="172" t="s">
        <v>102</v>
      </c>
      <c r="E392" s="172" t="s">
        <v>102</v>
      </c>
      <c r="F392" s="172" t="s">
        <v>102</v>
      </c>
      <c r="G392" s="172" t="s">
        <v>102</v>
      </c>
      <c r="H392" s="172" t="s">
        <v>102</v>
      </c>
    </row>
    <row r="393" spans="1:8">
      <c r="A393" s="184">
        <v>36800</v>
      </c>
      <c r="B393" s="110" t="s">
        <v>637</v>
      </c>
      <c r="C393" s="172" t="s">
        <v>102</v>
      </c>
      <c r="D393" s="172" t="s">
        <v>102</v>
      </c>
      <c r="E393" s="172" t="s">
        <v>102</v>
      </c>
      <c r="F393" s="172" t="s">
        <v>102</v>
      </c>
      <c r="G393" s="172" t="s">
        <v>102</v>
      </c>
      <c r="H393" s="172" t="s">
        <v>102</v>
      </c>
    </row>
    <row r="394" spans="1:8">
      <c r="A394" s="184">
        <v>36900</v>
      </c>
      <c r="B394" s="110" t="s">
        <v>793</v>
      </c>
      <c r="C394" s="172" t="s">
        <v>102</v>
      </c>
      <c r="D394" s="172" t="s">
        <v>102</v>
      </c>
      <c r="E394" s="172" t="s">
        <v>102</v>
      </c>
      <c r="F394" s="172" t="s">
        <v>102</v>
      </c>
      <c r="G394" s="172" t="s">
        <v>102</v>
      </c>
      <c r="H394" s="172" t="s">
        <v>102</v>
      </c>
    </row>
    <row r="395" spans="1:8">
      <c r="A395" s="184">
        <v>2</v>
      </c>
      <c r="B395" s="110" t="s">
        <v>209</v>
      </c>
      <c r="C395" s="172" t="s">
        <v>102</v>
      </c>
      <c r="D395" s="172" t="s">
        <v>102</v>
      </c>
      <c r="E395" s="172" t="s">
        <v>102</v>
      </c>
      <c r="F395" s="172" t="s">
        <v>102</v>
      </c>
      <c r="G395" s="172" t="s">
        <v>102</v>
      </c>
      <c r="H395" s="172" t="s">
        <v>102</v>
      </c>
    </row>
    <row r="396" spans="1:8">
      <c r="A396" s="181">
        <v>37</v>
      </c>
      <c r="B396" s="182" t="s">
        <v>211</v>
      </c>
      <c r="C396" s="172" t="s">
        <v>102</v>
      </c>
      <c r="D396" s="172" t="s">
        <v>102</v>
      </c>
      <c r="E396" s="172" t="s">
        <v>102</v>
      </c>
      <c r="F396" s="172" t="s">
        <v>102</v>
      </c>
      <c r="G396" s="172" t="s">
        <v>102</v>
      </c>
      <c r="H396" s="172" t="s">
        <v>102</v>
      </c>
    </row>
    <row r="397" spans="1:8">
      <c r="A397" s="183">
        <v>371</v>
      </c>
      <c r="B397" s="182" t="s">
        <v>212</v>
      </c>
      <c r="C397" s="172" t="s">
        <v>102</v>
      </c>
      <c r="D397" s="172" t="s">
        <v>102</v>
      </c>
      <c r="E397" s="172" t="s">
        <v>102</v>
      </c>
      <c r="F397" s="172" t="s">
        <v>102</v>
      </c>
      <c r="G397" s="172" t="s">
        <v>102</v>
      </c>
      <c r="H397" s="172" t="s">
        <v>102</v>
      </c>
    </row>
    <row r="398" spans="1:8">
      <c r="A398" s="181">
        <v>37110</v>
      </c>
      <c r="B398" s="182" t="s">
        <v>125</v>
      </c>
      <c r="C398" s="172" t="s">
        <v>102</v>
      </c>
      <c r="D398" s="172" t="s">
        <v>102</v>
      </c>
      <c r="E398" s="172" t="s">
        <v>102</v>
      </c>
      <c r="F398" s="172" t="s">
        <v>102</v>
      </c>
      <c r="G398" s="172" t="s">
        <v>102</v>
      </c>
      <c r="H398" s="172" t="s">
        <v>102</v>
      </c>
    </row>
    <row r="399" spans="1:8">
      <c r="A399" s="184">
        <v>37120</v>
      </c>
      <c r="B399" s="110" t="s">
        <v>126</v>
      </c>
      <c r="C399" s="172" t="s">
        <v>102</v>
      </c>
      <c r="D399" s="172" t="s">
        <v>102</v>
      </c>
      <c r="E399" s="172" t="s">
        <v>102</v>
      </c>
      <c r="F399" s="172" t="s">
        <v>102</v>
      </c>
      <c r="G399" s="172" t="s">
        <v>102</v>
      </c>
      <c r="H399" s="172" t="s">
        <v>102</v>
      </c>
    </row>
    <row r="400" spans="1:8">
      <c r="A400" s="184">
        <v>372</v>
      </c>
      <c r="B400" s="110" t="s">
        <v>141</v>
      </c>
      <c r="C400" s="172" t="s">
        <v>102</v>
      </c>
      <c r="D400" s="172" t="s">
        <v>102</v>
      </c>
      <c r="E400" s="172" t="s">
        <v>102</v>
      </c>
      <c r="F400" s="172" t="s">
        <v>102</v>
      </c>
      <c r="G400" s="172" t="s">
        <v>102</v>
      </c>
      <c r="H400" s="172" t="s">
        <v>102</v>
      </c>
    </row>
    <row r="401" spans="1:8">
      <c r="A401" s="181">
        <v>37210</v>
      </c>
      <c r="B401" s="182" t="s">
        <v>125</v>
      </c>
      <c r="C401" s="172" t="s">
        <v>102</v>
      </c>
      <c r="D401" s="172" t="s">
        <v>102</v>
      </c>
      <c r="E401" s="172" t="s">
        <v>102</v>
      </c>
      <c r="F401" s="172" t="s">
        <v>102</v>
      </c>
      <c r="G401" s="172" t="s">
        <v>102</v>
      </c>
      <c r="H401" s="172" t="s">
        <v>102</v>
      </c>
    </row>
    <row r="402" spans="1:8">
      <c r="A402" s="184">
        <v>37220</v>
      </c>
      <c r="B402" s="110" t="s">
        <v>126</v>
      </c>
      <c r="C402" s="172" t="s">
        <v>102</v>
      </c>
      <c r="D402" s="172" t="s">
        <v>102</v>
      </c>
      <c r="E402" s="172" t="s">
        <v>102</v>
      </c>
      <c r="F402" s="172" t="s">
        <v>102</v>
      </c>
      <c r="G402" s="172" t="s">
        <v>102</v>
      </c>
      <c r="H402" s="172" t="s">
        <v>102</v>
      </c>
    </row>
    <row r="403" spans="1:8">
      <c r="A403" s="184">
        <v>373</v>
      </c>
      <c r="B403" s="110" t="s">
        <v>213</v>
      </c>
      <c r="C403" s="172" t="s">
        <v>102</v>
      </c>
      <c r="D403" s="172" t="s">
        <v>102</v>
      </c>
      <c r="E403" s="172" t="s">
        <v>102</v>
      </c>
      <c r="F403" s="172" t="s">
        <v>102</v>
      </c>
      <c r="G403" s="172" t="s">
        <v>102</v>
      </c>
      <c r="H403" s="172" t="s">
        <v>102</v>
      </c>
    </row>
    <row r="404" spans="1:8">
      <c r="A404" s="181">
        <v>3731</v>
      </c>
      <c r="B404" s="182" t="s">
        <v>152</v>
      </c>
      <c r="C404" s="172" t="s">
        <v>102</v>
      </c>
      <c r="D404" s="172" t="s">
        <v>102</v>
      </c>
      <c r="E404" s="172" t="s">
        <v>102</v>
      </c>
      <c r="F404" s="172" t="s">
        <v>102</v>
      </c>
      <c r="G404" s="172" t="s">
        <v>102</v>
      </c>
      <c r="H404" s="172" t="s">
        <v>102</v>
      </c>
    </row>
    <row r="405" spans="1:8">
      <c r="A405" s="181">
        <v>37311</v>
      </c>
      <c r="B405" s="182" t="s">
        <v>153</v>
      </c>
      <c r="C405" s="172" t="s">
        <v>102</v>
      </c>
      <c r="D405" s="172" t="s">
        <v>102</v>
      </c>
      <c r="E405" s="172" t="s">
        <v>102</v>
      </c>
      <c r="F405" s="172" t="s">
        <v>102</v>
      </c>
      <c r="G405" s="172" t="s">
        <v>102</v>
      </c>
      <c r="H405" s="172" t="s">
        <v>102</v>
      </c>
    </row>
    <row r="406" spans="1:8">
      <c r="A406" s="185">
        <v>37312</v>
      </c>
      <c r="B406" s="110" t="s">
        <v>154</v>
      </c>
      <c r="C406" s="172" t="s">
        <v>102</v>
      </c>
      <c r="D406" s="172" t="s">
        <v>102</v>
      </c>
      <c r="E406" s="172" t="s">
        <v>102</v>
      </c>
      <c r="F406" s="172" t="s">
        <v>102</v>
      </c>
      <c r="G406" s="172" t="s">
        <v>102</v>
      </c>
      <c r="H406" s="172" t="s">
        <v>102</v>
      </c>
    </row>
    <row r="407" spans="1:8">
      <c r="A407" s="184">
        <v>37313</v>
      </c>
      <c r="B407" s="110" t="s">
        <v>155</v>
      </c>
      <c r="C407" s="172" t="s">
        <v>102</v>
      </c>
      <c r="D407" s="172" t="s">
        <v>102</v>
      </c>
      <c r="E407" s="172" t="s">
        <v>102</v>
      </c>
      <c r="F407" s="172" t="s">
        <v>102</v>
      </c>
      <c r="G407" s="172" t="s">
        <v>102</v>
      </c>
      <c r="H407" s="172" t="s">
        <v>102</v>
      </c>
    </row>
    <row r="408" spans="1:8">
      <c r="A408" s="184">
        <v>37314</v>
      </c>
      <c r="B408" s="110" t="s">
        <v>156</v>
      </c>
      <c r="C408" s="172" t="s">
        <v>102</v>
      </c>
      <c r="D408" s="172" t="s">
        <v>102</v>
      </c>
      <c r="E408" s="172" t="s">
        <v>102</v>
      </c>
      <c r="F408" s="172" t="s">
        <v>102</v>
      </c>
      <c r="G408" s="172" t="s">
        <v>102</v>
      </c>
      <c r="H408" s="172" t="s">
        <v>102</v>
      </c>
    </row>
    <row r="409" spans="1:8">
      <c r="A409" s="184">
        <v>37315</v>
      </c>
      <c r="B409" s="110" t="s">
        <v>157</v>
      </c>
      <c r="C409" s="172" t="s">
        <v>102</v>
      </c>
      <c r="D409" s="172" t="s">
        <v>102</v>
      </c>
      <c r="E409" s="172" t="s">
        <v>102</v>
      </c>
      <c r="F409" s="172" t="s">
        <v>102</v>
      </c>
      <c r="G409" s="172" t="s">
        <v>102</v>
      </c>
      <c r="H409" s="172" t="s">
        <v>102</v>
      </c>
    </row>
    <row r="410" spans="1:8">
      <c r="A410" s="184">
        <v>3732</v>
      </c>
      <c r="B410" s="110" t="s">
        <v>632</v>
      </c>
      <c r="C410" s="172" t="s">
        <v>102</v>
      </c>
      <c r="D410" s="172" t="s">
        <v>102</v>
      </c>
      <c r="E410" s="172" t="s">
        <v>102</v>
      </c>
      <c r="F410" s="172" t="s">
        <v>102</v>
      </c>
      <c r="G410" s="172" t="s">
        <v>102</v>
      </c>
      <c r="H410" s="172" t="s">
        <v>102</v>
      </c>
    </row>
    <row r="411" spans="1:8">
      <c r="A411" s="181">
        <v>37321</v>
      </c>
      <c r="B411" s="186" t="s">
        <v>153</v>
      </c>
      <c r="C411" s="172" t="s">
        <v>102</v>
      </c>
      <c r="D411" s="172" t="s">
        <v>102</v>
      </c>
      <c r="E411" s="172" t="s">
        <v>102</v>
      </c>
      <c r="F411" s="172" t="s">
        <v>102</v>
      </c>
      <c r="G411" s="172" t="s">
        <v>102</v>
      </c>
      <c r="H411" s="172" t="s">
        <v>102</v>
      </c>
    </row>
    <row r="412" spans="1:8">
      <c r="A412" s="185">
        <v>37323</v>
      </c>
      <c r="B412" s="110" t="s">
        <v>156</v>
      </c>
      <c r="C412" s="172" t="s">
        <v>102</v>
      </c>
      <c r="D412" s="172" t="s">
        <v>102</v>
      </c>
      <c r="E412" s="172" t="s">
        <v>102</v>
      </c>
      <c r="F412" s="172" t="s">
        <v>102</v>
      </c>
      <c r="G412" s="172" t="s">
        <v>102</v>
      </c>
      <c r="H412" s="172" t="s">
        <v>102</v>
      </c>
    </row>
    <row r="413" spans="1:8">
      <c r="A413" s="185">
        <v>37324</v>
      </c>
      <c r="B413" s="110" t="s">
        <v>157</v>
      </c>
      <c r="C413" s="172" t="s">
        <v>102</v>
      </c>
      <c r="D413" s="172" t="s">
        <v>102</v>
      </c>
      <c r="E413" s="172" t="s">
        <v>102</v>
      </c>
      <c r="F413" s="172" t="s">
        <v>102</v>
      </c>
      <c r="G413" s="172" t="s">
        <v>102</v>
      </c>
      <c r="H413" s="172" t="s">
        <v>102</v>
      </c>
    </row>
    <row r="414" spans="1:8">
      <c r="A414" s="185">
        <v>37330</v>
      </c>
      <c r="B414" s="110" t="s">
        <v>214</v>
      </c>
      <c r="C414" s="172" t="s">
        <v>102</v>
      </c>
      <c r="D414" s="172" t="s">
        <v>102</v>
      </c>
      <c r="E414" s="172" t="s">
        <v>102</v>
      </c>
      <c r="F414" s="172" t="s">
        <v>102</v>
      </c>
      <c r="G414" s="172" t="s">
        <v>102</v>
      </c>
      <c r="H414" s="172" t="s">
        <v>102</v>
      </c>
    </row>
    <row r="415" spans="1:8">
      <c r="A415" s="185">
        <v>39</v>
      </c>
      <c r="B415" s="110" t="s">
        <v>215</v>
      </c>
      <c r="C415" s="172" t="s">
        <v>102</v>
      </c>
      <c r="D415" s="172" t="s">
        <v>102</v>
      </c>
      <c r="E415" s="172" t="s">
        <v>102</v>
      </c>
      <c r="F415" s="172" t="s">
        <v>102</v>
      </c>
      <c r="G415" s="172" t="s">
        <v>102</v>
      </c>
      <c r="H415" s="172" t="s">
        <v>102</v>
      </c>
    </row>
    <row r="416" spans="1:8">
      <c r="A416" s="183">
        <v>391</v>
      </c>
      <c r="B416" s="182" t="s">
        <v>216</v>
      </c>
      <c r="C416" s="172" t="s">
        <v>102</v>
      </c>
      <c r="D416" s="172" t="s">
        <v>102</v>
      </c>
      <c r="E416" s="172" t="s">
        <v>102</v>
      </c>
      <c r="F416" s="172" t="s">
        <v>102</v>
      </c>
      <c r="G416" s="172" t="s">
        <v>102</v>
      </c>
      <c r="H416" s="172" t="s">
        <v>102</v>
      </c>
    </row>
    <row r="417" spans="1:8">
      <c r="A417" s="184">
        <v>392</v>
      </c>
      <c r="B417" s="187" t="s">
        <v>217</v>
      </c>
      <c r="C417" s="172" t="s">
        <v>102</v>
      </c>
      <c r="D417" s="172" t="s">
        <v>102</v>
      </c>
      <c r="E417" s="172" t="s">
        <v>102</v>
      </c>
      <c r="F417" s="172" t="s">
        <v>102</v>
      </c>
      <c r="G417" s="172" t="s">
        <v>102</v>
      </c>
      <c r="H417" s="172" t="s">
        <v>102</v>
      </c>
    </row>
    <row r="418" spans="1:8">
      <c r="A418" s="181">
        <v>39201</v>
      </c>
      <c r="B418" s="182" t="s">
        <v>219</v>
      </c>
      <c r="C418" s="172" t="s">
        <v>102</v>
      </c>
      <c r="D418" s="172" t="s">
        <v>102</v>
      </c>
      <c r="E418" s="172" t="s">
        <v>102</v>
      </c>
      <c r="F418" s="172" t="s">
        <v>102</v>
      </c>
      <c r="G418" s="172" t="s">
        <v>102</v>
      </c>
      <c r="H418" s="172" t="s">
        <v>102</v>
      </c>
    </row>
    <row r="419" spans="1:8">
      <c r="A419" s="184">
        <v>39202</v>
      </c>
      <c r="B419" s="110" t="s">
        <v>220</v>
      </c>
      <c r="C419" s="172" t="s">
        <v>102</v>
      </c>
      <c r="D419" s="172" t="s">
        <v>102</v>
      </c>
      <c r="E419" s="172" t="s">
        <v>102</v>
      </c>
      <c r="F419" s="172" t="s">
        <v>102</v>
      </c>
      <c r="G419" s="172" t="s">
        <v>102</v>
      </c>
      <c r="H419" s="172" t="s">
        <v>102</v>
      </c>
    </row>
    <row r="420" spans="1:8">
      <c r="A420" s="184">
        <v>39203</v>
      </c>
      <c r="B420" s="110" t="s">
        <v>222</v>
      </c>
      <c r="C420" s="172" t="s">
        <v>102</v>
      </c>
      <c r="D420" s="172" t="s">
        <v>102</v>
      </c>
      <c r="E420" s="172" t="s">
        <v>102</v>
      </c>
      <c r="F420" s="172" t="s">
        <v>102</v>
      </c>
      <c r="G420" s="172" t="s">
        <v>102</v>
      </c>
      <c r="H420" s="172" t="s">
        <v>102</v>
      </c>
    </row>
    <row r="421" spans="1:8">
      <c r="A421" s="184">
        <v>39204</v>
      </c>
      <c r="B421" s="110" t="s">
        <v>220</v>
      </c>
      <c r="C421" s="172" t="s">
        <v>102</v>
      </c>
      <c r="D421" s="172" t="s">
        <v>102</v>
      </c>
      <c r="E421" s="172" t="s">
        <v>102</v>
      </c>
      <c r="F421" s="172" t="s">
        <v>102</v>
      </c>
      <c r="G421" s="172" t="s">
        <v>102</v>
      </c>
      <c r="H421" s="172" t="s">
        <v>102</v>
      </c>
    </row>
    <row r="422" spans="1:8">
      <c r="A422" s="184">
        <v>39205</v>
      </c>
      <c r="B422" s="110" t="s">
        <v>678</v>
      </c>
      <c r="C422" s="172" t="s">
        <v>102</v>
      </c>
      <c r="D422" s="172" t="s">
        <v>102</v>
      </c>
      <c r="E422" s="172" t="s">
        <v>102</v>
      </c>
      <c r="F422" s="172" t="s">
        <v>102</v>
      </c>
      <c r="G422" s="172" t="s">
        <v>102</v>
      </c>
      <c r="H422" s="172" t="s">
        <v>102</v>
      </c>
    </row>
    <row r="423" spans="1:8">
      <c r="A423" s="184">
        <v>39206</v>
      </c>
      <c r="B423" s="110" t="s">
        <v>220</v>
      </c>
      <c r="C423" s="172" t="s">
        <v>102</v>
      </c>
      <c r="D423" s="172" t="s">
        <v>102</v>
      </c>
      <c r="E423" s="172" t="s">
        <v>102</v>
      </c>
      <c r="F423" s="172" t="s">
        <v>102</v>
      </c>
      <c r="G423" s="172" t="s">
        <v>102</v>
      </c>
      <c r="H423" s="172" t="s">
        <v>102</v>
      </c>
    </row>
    <row r="424" spans="1:8">
      <c r="A424" s="184">
        <v>39207</v>
      </c>
      <c r="B424" s="110" t="s">
        <v>225</v>
      </c>
      <c r="C424" s="172" t="s">
        <v>102</v>
      </c>
      <c r="D424" s="172" t="s">
        <v>102</v>
      </c>
      <c r="E424" s="172" t="s">
        <v>102</v>
      </c>
      <c r="F424" s="172" t="s">
        <v>102</v>
      </c>
      <c r="G424" s="172" t="s">
        <v>102</v>
      </c>
      <c r="H424" s="172" t="s">
        <v>102</v>
      </c>
    </row>
    <row r="425" spans="1:8">
      <c r="A425" s="184">
        <v>39208</v>
      </c>
      <c r="B425" s="110" t="s">
        <v>220</v>
      </c>
      <c r="C425" s="172" t="s">
        <v>102</v>
      </c>
      <c r="D425" s="172" t="s">
        <v>102</v>
      </c>
      <c r="E425" s="172" t="s">
        <v>102</v>
      </c>
      <c r="F425" s="172" t="s">
        <v>102</v>
      </c>
      <c r="G425" s="172" t="s">
        <v>102</v>
      </c>
      <c r="H425" s="172" t="s">
        <v>102</v>
      </c>
    </row>
    <row r="426" spans="1:8">
      <c r="A426" s="184">
        <v>39209</v>
      </c>
      <c r="B426" s="110" t="s">
        <v>227</v>
      </c>
      <c r="C426" s="172" t="s">
        <v>102</v>
      </c>
      <c r="D426" s="172" t="s">
        <v>102</v>
      </c>
      <c r="E426" s="172" t="s">
        <v>102</v>
      </c>
      <c r="F426" s="172" t="s">
        <v>102</v>
      </c>
      <c r="G426" s="172" t="s">
        <v>102</v>
      </c>
      <c r="H426" s="172" t="s">
        <v>102</v>
      </c>
    </row>
    <row r="427" spans="1:8">
      <c r="A427" s="184">
        <v>39210</v>
      </c>
      <c r="B427" s="110" t="s">
        <v>220</v>
      </c>
      <c r="C427" s="172" t="s">
        <v>102</v>
      </c>
      <c r="D427" s="172" t="s">
        <v>102</v>
      </c>
      <c r="E427" s="172" t="s">
        <v>102</v>
      </c>
      <c r="F427" s="172" t="s">
        <v>102</v>
      </c>
      <c r="G427" s="172" t="s">
        <v>102</v>
      </c>
      <c r="H427" s="172" t="s">
        <v>102</v>
      </c>
    </row>
    <row r="428" spans="1:8">
      <c r="A428" s="184">
        <v>39211</v>
      </c>
      <c r="B428" s="110" t="s">
        <v>229</v>
      </c>
      <c r="C428" s="172" t="s">
        <v>102</v>
      </c>
      <c r="D428" s="172" t="s">
        <v>102</v>
      </c>
      <c r="E428" s="172" t="s">
        <v>102</v>
      </c>
      <c r="F428" s="172" t="s">
        <v>102</v>
      </c>
      <c r="G428" s="172" t="s">
        <v>102</v>
      </c>
      <c r="H428" s="172" t="s">
        <v>102</v>
      </c>
    </row>
    <row r="429" spans="1:8">
      <c r="A429" s="184">
        <v>39212</v>
      </c>
      <c r="B429" s="110" t="s">
        <v>220</v>
      </c>
      <c r="C429" s="172" t="s">
        <v>102</v>
      </c>
      <c r="D429" s="172" t="s">
        <v>102</v>
      </c>
      <c r="E429" s="172" t="s">
        <v>102</v>
      </c>
      <c r="F429" s="172" t="s">
        <v>102</v>
      </c>
      <c r="G429" s="172" t="s">
        <v>102</v>
      </c>
      <c r="H429" s="172" t="s">
        <v>102</v>
      </c>
    </row>
    <row r="430" spans="1:8">
      <c r="A430" s="184">
        <v>39213</v>
      </c>
      <c r="B430" s="110" t="s">
        <v>231</v>
      </c>
      <c r="C430" s="172" t="s">
        <v>102</v>
      </c>
      <c r="D430" s="172" t="s">
        <v>102</v>
      </c>
      <c r="E430" s="172" t="s">
        <v>102</v>
      </c>
      <c r="F430" s="172" t="s">
        <v>102</v>
      </c>
      <c r="G430" s="172" t="s">
        <v>102</v>
      </c>
      <c r="H430" s="172" t="s">
        <v>102</v>
      </c>
    </row>
    <row r="431" spans="1:8">
      <c r="A431" s="184">
        <v>39214</v>
      </c>
      <c r="B431" s="110" t="s">
        <v>233</v>
      </c>
      <c r="C431" s="172" t="s">
        <v>102</v>
      </c>
      <c r="D431" s="172" t="s">
        <v>102</v>
      </c>
      <c r="E431" s="172" t="s">
        <v>102</v>
      </c>
      <c r="F431" s="172" t="s">
        <v>102</v>
      </c>
      <c r="G431" s="172" t="s">
        <v>102</v>
      </c>
      <c r="H431" s="172" t="s">
        <v>102</v>
      </c>
    </row>
    <row r="432" spans="1:8">
      <c r="A432" s="184">
        <v>39215</v>
      </c>
      <c r="B432" s="110" t="s">
        <v>220</v>
      </c>
      <c r="C432" s="172" t="s">
        <v>102</v>
      </c>
      <c r="D432" s="172" t="s">
        <v>102</v>
      </c>
      <c r="E432" s="172" t="s">
        <v>102</v>
      </c>
      <c r="F432" s="172" t="s">
        <v>102</v>
      </c>
      <c r="G432" s="172" t="s">
        <v>102</v>
      </c>
      <c r="H432" s="172" t="s">
        <v>102</v>
      </c>
    </row>
    <row r="433" spans="1:8">
      <c r="A433" s="184">
        <v>39216</v>
      </c>
      <c r="B433" s="110" t="s">
        <v>235</v>
      </c>
      <c r="C433" s="172" t="s">
        <v>102</v>
      </c>
      <c r="D433" s="172" t="s">
        <v>102</v>
      </c>
      <c r="E433" s="172" t="s">
        <v>102</v>
      </c>
      <c r="F433" s="172" t="s">
        <v>102</v>
      </c>
      <c r="G433" s="172" t="s">
        <v>102</v>
      </c>
      <c r="H433" s="172" t="s">
        <v>102</v>
      </c>
    </row>
    <row r="434" spans="1:8">
      <c r="A434" s="184">
        <v>39217</v>
      </c>
      <c r="B434" s="110" t="s">
        <v>237</v>
      </c>
      <c r="C434" s="172" t="s">
        <v>102</v>
      </c>
      <c r="D434" s="172" t="s">
        <v>102</v>
      </c>
      <c r="E434" s="172" t="s">
        <v>102</v>
      </c>
      <c r="F434" s="172" t="s">
        <v>102</v>
      </c>
      <c r="G434" s="172" t="s">
        <v>102</v>
      </c>
      <c r="H434" s="172" t="s">
        <v>102</v>
      </c>
    </row>
    <row r="435" spans="1:8">
      <c r="A435" s="184">
        <v>393</v>
      </c>
      <c r="B435" s="110" t="s">
        <v>238</v>
      </c>
      <c r="C435" s="172" t="s">
        <v>102</v>
      </c>
      <c r="D435" s="172" t="s">
        <v>102</v>
      </c>
      <c r="E435" s="172" t="s">
        <v>102</v>
      </c>
      <c r="F435" s="172" t="s">
        <v>102</v>
      </c>
      <c r="G435" s="172" t="s">
        <v>102</v>
      </c>
      <c r="H435" s="172" t="s">
        <v>102</v>
      </c>
    </row>
    <row r="436" spans="1:8">
      <c r="A436" s="181">
        <v>39301</v>
      </c>
      <c r="B436" s="182" t="s">
        <v>240</v>
      </c>
      <c r="C436" s="172" t="s">
        <v>102</v>
      </c>
      <c r="D436" s="172" t="s">
        <v>102</v>
      </c>
      <c r="E436" s="172" t="s">
        <v>102</v>
      </c>
      <c r="F436" s="172" t="s">
        <v>102</v>
      </c>
      <c r="G436" s="172" t="s">
        <v>102</v>
      </c>
      <c r="H436" s="172" t="s">
        <v>102</v>
      </c>
    </row>
    <row r="437" spans="1:8">
      <c r="A437" s="184">
        <v>39302</v>
      </c>
      <c r="B437" s="110" t="s">
        <v>220</v>
      </c>
      <c r="C437" s="172" t="s">
        <v>102</v>
      </c>
      <c r="D437" s="172" t="s">
        <v>102</v>
      </c>
      <c r="E437" s="172" t="s">
        <v>102</v>
      </c>
      <c r="F437" s="172" t="s">
        <v>102</v>
      </c>
      <c r="G437" s="172" t="s">
        <v>102</v>
      </c>
      <c r="H437" s="172" t="s">
        <v>102</v>
      </c>
    </row>
    <row r="438" spans="1:8">
      <c r="A438" s="184">
        <v>39303</v>
      </c>
      <c r="B438" s="110" t="s">
        <v>242</v>
      </c>
      <c r="C438" s="172" t="s">
        <v>102</v>
      </c>
      <c r="D438" s="172" t="s">
        <v>102</v>
      </c>
      <c r="E438" s="172" t="s">
        <v>102</v>
      </c>
      <c r="F438" s="172" t="s">
        <v>102</v>
      </c>
      <c r="G438" s="172" t="s">
        <v>102</v>
      </c>
      <c r="H438" s="172" t="s">
        <v>102</v>
      </c>
    </row>
    <row r="439" spans="1:8">
      <c r="A439" s="184">
        <v>39304</v>
      </c>
      <c r="B439" s="110" t="s">
        <v>220</v>
      </c>
      <c r="C439" s="172" t="s">
        <v>102</v>
      </c>
      <c r="D439" s="172" t="s">
        <v>102</v>
      </c>
      <c r="E439" s="172" t="s">
        <v>102</v>
      </c>
      <c r="F439" s="172" t="s">
        <v>102</v>
      </c>
      <c r="G439" s="172" t="s">
        <v>102</v>
      </c>
      <c r="H439" s="172" t="s">
        <v>102</v>
      </c>
    </row>
    <row r="440" spans="1:8">
      <c r="A440" s="184">
        <v>394</v>
      </c>
      <c r="B440" s="110" t="s">
        <v>692</v>
      </c>
      <c r="C440" s="172" t="s">
        <v>102</v>
      </c>
      <c r="D440" s="172" t="s">
        <v>102</v>
      </c>
      <c r="E440" s="172" t="s">
        <v>102</v>
      </c>
      <c r="F440" s="172" t="s">
        <v>102</v>
      </c>
      <c r="G440" s="172" t="s">
        <v>102</v>
      </c>
      <c r="H440" s="172" t="s">
        <v>102</v>
      </c>
    </row>
    <row r="441" spans="1:8">
      <c r="A441" s="183">
        <v>39401</v>
      </c>
      <c r="B441" s="188" t="s">
        <v>693</v>
      </c>
      <c r="C441" s="172" t="s">
        <v>102</v>
      </c>
      <c r="D441" s="172" t="s">
        <v>102</v>
      </c>
      <c r="E441" s="172" t="s">
        <v>102</v>
      </c>
      <c r="F441" s="172" t="s">
        <v>102</v>
      </c>
      <c r="G441" s="172" t="s">
        <v>102</v>
      </c>
      <c r="H441" s="172" t="s">
        <v>102</v>
      </c>
    </row>
    <row r="442" spans="1:8">
      <c r="A442" s="185">
        <v>39402</v>
      </c>
      <c r="B442" s="102" t="s">
        <v>694</v>
      </c>
      <c r="C442" s="172" t="s">
        <v>102</v>
      </c>
      <c r="D442" s="172" t="s">
        <v>102</v>
      </c>
      <c r="E442" s="172" t="s">
        <v>102</v>
      </c>
      <c r="F442" s="172" t="s">
        <v>102</v>
      </c>
      <c r="G442" s="172" t="s">
        <v>102</v>
      </c>
      <c r="H442" s="172" t="s">
        <v>102</v>
      </c>
    </row>
    <row r="443" spans="1:8">
      <c r="A443" s="185">
        <v>39403</v>
      </c>
      <c r="B443" s="102" t="s">
        <v>695</v>
      </c>
      <c r="C443" s="172" t="s">
        <v>102</v>
      </c>
      <c r="D443" s="172" t="s">
        <v>102</v>
      </c>
      <c r="E443" s="172" t="s">
        <v>102</v>
      </c>
      <c r="F443" s="172" t="s">
        <v>102</v>
      </c>
      <c r="G443" s="172" t="s">
        <v>102</v>
      </c>
      <c r="H443" s="172" t="s">
        <v>102</v>
      </c>
    </row>
    <row r="444" spans="1:8">
      <c r="A444" s="185">
        <v>39404</v>
      </c>
      <c r="B444" s="102" t="s">
        <v>696</v>
      </c>
      <c r="C444" s="172" t="s">
        <v>102</v>
      </c>
      <c r="D444" s="172" t="s">
        <v>102</v>
      </c>
      <c r="E444" s="172" t="s">
        <v>102</v>
      </c>
      <c r="F444" s="172" t="s">
        <v>102</v>
      </c>
      <c r="G444" s="172" t="s">
        <v>102</v>
      </c>
      <c r="H444" s="172" t="s">
        <v>102</v>
      </c>
    </row>
    <row r="445" spans="1:8">
      <c r="A445" s="185">
        <v>39405</v>
      </c>
      <c r="B445" s="102" t="s">
        <v>697</v>
      </c>
      <c r="C445" s="172" t="s">
        <v>102</v>
      </c>
      <c r="D445" s="172" t="s">
        <v>102</v>
      </c>
      <c r="E445" s="172" t="s">
        <v>102</v>
      </c>
      <c r="F445" s="172" t="s">
        <v>102</v>
      </c>
      <c r="G445" s="172" t="s">
        <v>102</v>
      </c>
      <c r="H445" s="172" t="s">
        <v>102</v>
      </c>
    </row>
    <row r="446" spans="1:8">
      <c r="A446" s="185">
        <v>3</v>
      </c>
      <c r="B446" s="102" t="s">
        <v>1184</v>
      </c>
      <c r="C446" s="172" t="s">
        <v>102</v>
      </c>
      <c r="D446" s="172" t="s">
        <v>102</v>
      </c>
      <c r="E446" s="172" t="s">
        <v>102</v>
      </c>
      <c r="F446" s="172" t="s">
        <v>102</v>
      </c>
      <c r="G446" s="172" t="s">
        <v>102</v>
      </c>
      <c r="H446" s="172" t="s">
        <v>102</v>
      </c>
    </row>
    <row r="447" spans="1:8">
      <c r="A447" s="181">
        <v>4</v>
      </c>
      <c r="B447" s="182" t="s">
        <v>243</v>
      </c>
      <c r="C447" s="172" t="s">
        <v>102</v>
      </c>
      <c r="D447" s="172" t="s">
        <v>102</v>
      </c>
      <c r="E447" s="172" t="s">
        <v>102</v>
      </c>
      <c r="F447" s="172" t="s">
        <v>102</v>
      </c>
      <c r="G447" s="172" t="s">
        <v>102</v>
      </c>
      <c r="H447" s="172" t="s">
        <v>102</v>
      </c>
    </row>
    <row r="448" spans="1:8">
      <c r="A448" s="181">
        <v>41</v>
      </c>
      <c r="B448" s="182" t="s">
        <v>244</v>
      </c>
      <c r="C448" s="172" t="s">
        <v>102</v>
      </c>
      <c r="D448" s="172" t="s">
        <v>102</v>
      </c>
      <c r="E448" s="172" t="s">
        <v>102</v>
      </c>
      <c r="F448" s="172" t="s">
        <v>102</v>
      </c>
      <c r="G448" s="172" t="s">
        <v>102</v>
      </c>
      <c r="H448" s="172" t="s">
        <v>102</v>
      </c>
    </row>
    <row r="449" spans="1:8">
      <c r="A449" s="183">
        <v>411</v>
      </c>
      <c r="B449" s="182" t="s">
        <v>245</v>
      </c>
      <c r="C449" s="172" t="s">
        <v>102</v>
      </c>
      <c r="D449" s="172" t="s">
        <v>102</v>
      </c>
      <c r="E449" s="172" t="s">
        <v>102</v>
      </c>
      <c r="F449" s="172" t="s">
        <v>102</v>
      </c>
      <c r="G449" s="172" t="s">
        <v>102</v>
      </c>
      <c r="H449" s="172" t="s">
        <v>102</v>
      </c>
    </row>
    <row r="450" spans="1:8">
      <c r="A450" s="181">
        <v>4111</v>
      </c>
      <c r="B450" s="182" t="s">
        <v>129</v>
      </c>
      <c r="C450" s="172" t="s">
        <v>102</v>
      </c>
      <c r="D450" s="172" t="s">
        <v>102</v>
      </c>
      <c r="E450" s="172" t="s">
        <v>102</v>
      </c>
      <c r="F450" s="172" t="s">
        <v>102</v>
      </c>
      <c r="G450" s="172" t="s">
        <v>102</v>
      </c>
      <c r="H450" s="172" t="s">
        <v>102</v>
      </c>
    </row>
    <row r="451" spans="1:8">
      <c r="A451" s="181">
        <v>41111</v>
      </c>
      <c r="B451" s="182" t="s">
        <v>246</v>
      </c>
      <c r="C451" s="172" t="s">
        <v>102</v>
      </c>
      <c r="D451" s="172" t="s">
        <v>102</v>
      </c>
      <c r="E451" s="172" t="s">
        <v>102</v>
      </c>
      <c r="F451" s="172" t="s">
        <v>102</v>
      </c>
      <c r="G451" s="172" t="s">
        <v>102</v>
      </c>
      <c r="H451" s="172" t="s">
        <v>102</v>
      </c>
    </row>
    <row r="452" spans="1:8">
      <c r="A452" s="184">
        <v>41112</v>
      </c>
      <c r="B452" s="110" t="s">
        <v>247</v>
      </c>
      <c r="C452" s="172" t="s">
        <v>102</v>
      </c>
      <c r="D452" s="172" t="s">
        <v>102</v>
      </c>
      <c r="E452" s="172" t="s">
        <v>102</v>
      </c>
      <c r="F452" s="172" t="s">
        <v>102</v>
      </c>
      <c r="G452" s="172" t="s">
        <v>102</v>
      </c>
      <c r="H452" s="172" t="s">
        <v>102</v>
      </c>
    </row>
    <row r="453" spans="1:8">
      <c r="A453" s="184">
        <v>41113</v>
      </c>
      <c r="B453" s="110" t="s">
        <v>248</v>
      </c>
      <c r="C453" s="172" t="s">
        <v>102</v>
      </c>
      <c r="D453" s="172" t="s">
        <v>102</v>
      </c>
      <c r="E453" s="172" t="s">
        <v>102</v>
      </c>
      <c r="F453" s="172" t="s">
        <v>102</v>
      </c>
      <c r="G453" s="172" t="s">
        <v>102</v>
      </c>
      <c r="H453" s="172" t="s">
        <v>102</v>
      </c>
    </row>
    <row r="454" spans="1:8">
      <c r="A454" s="184">
        <v>4112</v>
      </c>
      <c r="B454" s="110" t="s">
        <v>135</v>
      </c>
      <c r="C454" s="172" t="s">
        <v>102</v>
      </c>
      <c r="D454" s="172" t="s">
        <v>102</v>
      </c>
      <c r="E454" s="172" t="s">
        <v>102</v>
      </c>
      <c r="F454" s="172" t="s">
        <v>102</v>
      </c>
      <c r="G454" s="172" t="s">
        <v>102</v>
      </c>
      <c r="H454" s="172" t="s">
        <v>102</v>
      </c>
    </row>
    <row r="455" spans="1:8">
      <c r="A455" s="181">
        <v>41121</v>
      </c>
      <c r="B455" s="182" t="s">
        <v>246</v>
      </c>
      <c r="C455" s="172" t="s">
        <v>102</v>
      </c>
      <c r="D455" s="172" t="s">
        <v>102</v>
      </c>
      <c r="E455" s="172" t="s">
        <v>102</v>
      </c>
      <c r="F455" s="172" t="s">
        <v>102</v>
      </c>
      <c r="G455" s="172" t="s">
        <v>102</v>
      </c>
      <c r="H455" s="172" t="s">
        <v>102</v>
      </c>
    </row>
    <row r="456" spans="1:8">
      <c r="A456" s="184">
        <v>41122</v>
      </c>
      <c r="B456" s="110" t="s">
        <v>247</v>
      </c>
      <c r="C456" s="172" t="s">
        <v>102</v>
      </c>
      <c r="D456" s="172" t="s">
        <v>102</v>
      </c>
      <c r="E456" s="172" t="s">
        <v>102</v>
      </c>
      <c r="F456" s="172" t="s">
        <v>102</v>
      </c>
      <c r="G456" s="172" t="s">
        <v>102</v>
      </c>
      <c r="H456" s="172" t="s">
        <v>102</v>
      </c>
    </row>
    <row r="457" spans="1:8">
      <c r="A457" s="184">
        <v>41123</v>
      </c>
      <c r="B457" s="110" t="s">
        <v>248</v>
      </c>
      <c r="C457" s="172" t="s">
        <v>102</v>
      </c>
      <c r="D457" s="172" t="s">
        <v>102</v>
      </c>
      <c r="E457" s="172" t="s">
        <v>102</v>
      </c>
      <c r="F457" s="172" t="s">
        <v>102</v>
      </c>
      <c r="G457" s="172" t="s">
        <v>102</v>
      </c>
      <c r="H457" s="172" t="s">
        <v>102</v>
      </c>
    </row>
    <row r="458" spans="1:8">
      <c r="A458" s="184">
        <v>412</v>
      </c>
      <c r="B458" s="110" t="s">
        <v>249</v>
      </c>
      <c r="C458" s="172" t="s">
        <v>102</v>
      </c>
      <c r="D458" s="172" t="s">
        <v>102</v>
      </c>
      <c r="E458" s="172" t="s">
        <v>102</v>
      </c>
      <c r="F458" s="172" t="s">
        <v>102</v>
      </c>
      <c r="G458" s="172" t="s">
        <v>102</v>
      </c>
      <c r="H458" s="172" t="s">
        <v>102</v>
      </c>
    </row>
    <row r="459" spans="1:8">
      <c r="A459" s="181">
        <v>4121</v>
      </c>
      <c r="B459" s="182" t="s">
        <v>129</v>
      </c>
      <c r="C459" s="172" t="s">
        <v>102</v>
      </c>
      <c r="D459" s="172" t="s">
        <v>102</v>
      </c>
      <c r="E459" s="172" t="s">
        <v>102</v>
      </c>
      <c r="F459" s="172" t="s">
        <v>102</v>
      </c>
      <c r="G459" s="172" t="s">
        <v>102</v>
      </c>
      <c r="H459" s="172" t="s">
        <v>102</v>
      </c>
    </row>
    <row r="460" spans="1:8">
      <c r="A460" s="181">
        <v>41211</v>
      </c>
      <c r="B460" s="182" t="s">
        <v>250</v>
      </c>
      <c r="C460" s="172" t="s">
        <v>102</v>
      </c>
      <c r="D460" s="172" t="s">
        <v>102</v>
      </c>
      <c r="E460" s="172" t="s">
        <v>102</v>
      </c>
      <c r="F460" s="172" t="s">
        <v>102</v>
      </c>
      <c r="G460" s="172" t="s">
        <v>102</v>
      </c>
      <c r="H460" s="172" t="s">
        <v>102</v>
      </c>
    </row>
    <row r="461" spans="1:8">
      <c r="A461" s="184">
        <v>41212</v>
      </c>
      <c r="B461" s="110" t="s">
        <v>154</v>
      </c>
      <c r="C461" s="172" t="s">
        <v>102</v>
      </c>
      <c r="D461" s="172" t="s">
        <v>102</v>
      </c>
      <c r="E461" s="172" t="s">
        <v>102</v>
      </c>
      <c r="F461" s="172" t="s">
        <v>102</v>
      </c>
      <c r="G461" s="172" t="s">
        <v>102</v>
      </c>
      <c r="H461" s="172" t="s">
        <v>102</v>
      </c>
    </row>
    <row r="462" spans="1:8">
      <c r="A462" s="184">
        <v>41213</v>
      </c>
      <c r="B462" s="110" t="s">
        <v>251</v>
      </c>
      <c r="C462" s="172" t="s">
        <v>102</v>
      </c>
      <c r="D462" s="172" t="s">
        <v>102</v>
      </c>
      <c r="E462" s="172" t="s">
        <v>102</v>
      </c>
      <c r="F462" s="172" t="s">
        <v>102</v>
      </c>
      <c r="G462" s="172" t="s">
        <v>102</v>
      </c>
      <c r="H462" s="172" t="s">
        <v>102</v>
      </c>
    </row>
    <row r="463" spans="1:8">
      <c r="A463" s="184">
        <v>41214</v>
      </c>
      <c r="B463" s="110" t="s">
        <v>252</v>
      </c>
      <c r="C463" s="172" t="s">
        <v>102</v>
      </c>
      <c r="D463" s="172" t="s">
        <v>102</v>
      </c>
      <c r="E463" s="172" t="s">
        <v>102</v>
      </c>
      <c r="F463" s="172" t="s">
        <v>102</v>
      </c>
      <c r="G463" s="172" t="s">
        <v>102</v>
      </c>
      <c r="H463" s="172" t="s">
        <v>102</v>
      </c>
    </row>
    <row r="464" spans="1:8">
      <c r="A464" s="184">
        <v>41215</v>
      </c>
      <c r="B464" s="110" t="s">
        <v>253</v>
      </c>
      <c r="C464" s="172" t="s">
        <v>102</v>
      </c>
      <c r="D464" s="172" t="s">
        <v>102</v>
      </c>
      <c r="E464" s="172" t="s">
        <v>102</v>
      </c>
      <c r="F464" s="172" t="s">
        <v>102</v>
      </c>
      <c r="G464" s="172" t="s">
        <v>102</v>
      </c>
      <c r="H464" s="172" t="s">
        <v>102</v>
      </c>
    </row>
    <row r="465" spans="1:8">
      <c r="A465" s="184">
        <v>41216</v>
      </c>
      <c r="B465" s="110" t="s">
        <v>254</v>
      </c>
      <c r="C465" s="172" t="s">
        <v>102</v>
      </c>
      <c r="D465" s="172" t="s">
        <v>102</v>
      </c>
      <c r="E465" s="172" t="s">
        <v>102</v>
      </c>
      <c r="F465" s="172" t="s">
        <v>102</v>
      </c>
      <c r="G465" s="172" t="s">
        <v>102</v>
      </c>
      <c r="H465" s="172" t="s">
        <v>102</v>
      </c>
    </row>
    <row r="466" spans="1:8">
      <c r="A466" s="184">
        <v>41217</v>
      </c>
      <c r="B466" s="110" t="s">
        <v>255</v>
      </c>
      <c r="C466" s="172" t="s">
        <v>102</v>
      </c>
      <c r="D466" s="172" t="s">
        <v>102</v>
      </c>
      <c r="E466" s="172" t="s">
        <v>102</v>
      </c>
      <c r="F466" s="172" t="s">
        <v>102</v>
      </c>
      <c r="G466" s="172" t="s">
        <v>102</v>
      </c>
      <c r="H466" s="172" t="s">
        <v>102</v>
      </c>
    </row>
    <row r="467" spans="1:8">
      <c r="A467" s="184">
        <v>4122</v>
      </c>
      <c r="B467" s="110" t="s">
        <v>135</v>
      </c>
      <c r="C467" s="172" t="s">
        <v>102</v>
      </c>
      <c r="D467" s="172" t="s">
        <v>102</v>
      </c>
      <c r="E467" s="172" t="s">
        <v>102</v>
      </c>
      <c r="F467" s="172" t="s">
        <v>102</v>
      </c>
      <c r="G467" s="172" t="s">
        <v>102</v>
      </c>
      <c r="H467" s="172" t="s">
        <v>102</v>
      </c>
    </row>
    <row r="468" spans="1:8">
      <c r="A468" s="181">
        <v>41221</v>
      </c>
      <c r="B468" s="182" t="s">
        <v>256</v>
      </c>
      <c r="C468" s="172" t="s">
        <v>102</v>
      </c>
      <c r="D468" s="172" t="s">
        <v>102</v>
      </c>
      <c r="E468" s="172" t="s">
        <v>102</v>
      </c>
      <c r="F468" s="172" t="s">
        <v>102</v>
      </c>
      <c r="G468" s="172" t="s">
        <v>102</v>
      </c>
      <c r="H468" s="172" t="s">
        <v>102</v>
      </c>
    </row>
    <row r="469" spans="1:8">
      <c r="A469" s="184">
        <v>41222</v>
      </c>
      <c r="B469" s="110" t="s">
        <v>257</v>
      </c>
      <c r="C469" s="172" t="s">
        <v>102</v>
      </c>
      <c r="D469" s="172" t="s">
        <v>102</v>
      </c>
      <c r="E469" s="172" t="s">
        <v>102</v>
      </c>
      <c r="F469" s="172" t="s">
        <v>102</v>
      </c>
      <c r="G469" s="172" t="s">
        <v>102</v>
      </c>
      <c r="H469" s="172" t="s">
        <v>102</v>
      </c>
    </row>
    <row r="470" spans="1:8">
      <c r="A470" s="184">
        <v>41223</v>
      </c>
      <c r="B470" s="110" t="s">
        <v>258</v>
      </c>
      <c r="C470" s="172" t="s">
        <v>102</v>
      </c>
      <c r="D470" s="172" t="s">
        <v>102</v>
      </c>
      <c r="E470" s="172" t="s">
        <v>102</v>
      </c>
      <c r="F470" s="172" t="s">
        <v>102</v>
      </c>
      <c r="G470" s="172" t="s">
        <v>102</v>
      </c>
      <c r="H470" s="172" t="s">
        <v>102</v>
      </c>
    </row>
    <row r="471" spans="1:8">
      <c r="A471" s="184">
        <v>41224</v>
      </c>
      <c r="B471" s="110" t="s">
        <v>259</v>
      </c>
      <c r="C471" s="172" t="s">
        <v>102</v>
      </c>
      <c r="D471" s="172" t="s">
        <v>102</v>
      </c>
      <c r="E471" s="172" t="s">
        <v>102</v>
      </c>
      <c r="F471" s="172" t="s">
        <v>102</v>
      </c>
      <c r="G471" s="172" t="s">
        <v>102</v>
      </c>
      <c r="H471" s="172" t="s">
        <v>102</v>
      </c>
    </row>
    <row r="472" spans="1:8">
      <c r="A472" s="184">
        <v>41225</v>
      </c>
      <c r="B472" s="110" t="s">
        <v>691</v>
      </c>
      <c r="C472" s="172" t="s">
        <v>102</v>
      </c>
      <c r="D472" s="172" t="s">
        <v>102</v>
      </c>
      <c r="E472" s="172" t="s">
        <v>102</v>
      </c>
      <c r="F472" s="172" t="s">
        <v>102</v>
      </c>
      <c r="G472" s="172" t="s">
        <v>102</v>
      </c>
      <c r="H472" s="172" t="s">
        <v>102</v>
      </c>
    </row>
    <row r="473" spans="1:8">
      <c r="A473" s="184">
        <v>413</v>
      </c>
      <c r="B473" s="102" t="s">
        <v>262</v>
      </c>
      <c r="C473" s="172" t="s">
        <v>102</v>
      </c>
      <c r="D473" s="172" t="s">
        <v>102</v>
      </c>
      <c r="E473" s="172" t="s">
        <v>102</v>
      </c>
      <c r="F473" s="172" t="s">
        <v>102</v>
      </c>
      <c r="G473" s="172" t="s">
        <v>102</v>
      </c>
      <c r="H473" s="172" t="s">
        <v>102</v>
      </c>
    </row>
    <row r="474" spans="1:8">
      <c r="A474" s="181">
        <v>41310</v>
      </c>
      <c r="B474" s="182" t="s">
        <v>263</v>
      </c>
      <c r="C474" s="172" t="s">
        <v>102</v>
      </c>
      <c r="D474" s="172" t="s">
        <v>102</v>
      </c>
      <c r="E474" s="172" t="s">
        <v>102</v>
      </c>
      <c r="F474" s="172" t="s">
        <v>102</v>
      </c>
      <c r="G474" s="172" t="s">
        <v>102</v>
      </c>
      <c r="H474" s="172" t="s">
        <v>102</v>
      </c>
    </row>
    <row r="475" spans="1:8">
      <c r="A475" s="185">
        <v>413101</v>
      </c>
      <c r="B475" s="110" t="s">
        <v>573</v>
      </c>
      <c r="C475" s="172" t="s">
        <v>102</v>
      </c>
      <c r="D475" s="172" t="s">
        <v>102</v>
      </c>
      <c r="E475" s="172" t="s">
        <v>102</v>
      </c>
      <c r="F475" s="172" t="s">
        <v>102</v>
      </c>
      <c r="G475" s="172" t="s">
        <v>102</v>
      </c>
      <c r="H475" s="172" t="s">
        <v>102</v>
      </c>
    </row>
    <row r="476" spans="1:8">
      <c r="A476" s="189">
        <v>413102</v>
      </c>
      <c r="B476" s="190" t="s">
        <v>574</v>
      </c>
      <c r="C476" s="172" t="s">
        <v>102</v>
      </c>
      <c r="D476" s="172" t="s">
        <v>102</v>
      </c>
      <c r="E476" s="172" t="s">
        <v>102</v>
      </c>
      <c r="F476" s="172" t="s">
        <v>102</v>
      </c>
      <c r="G476" s="172" t="s">
        <v>102</v>
      </c>
      <c r="H476" s="172" t="s">
        <v>102</v>
      </c>
    </row>
    <row r="477" spans="1:8">
      <c r="A477" s="189">
        <v>413103</v>
      </c>
      <c r="B477" s="190" t="s">
        <v>575</v>
      </c>
      <c r="C477" s="172" t="s">
        <v>102</v>
      </c>
      <c r="D477" s="172" t="s">
        <v>102</v>
      </c>
      <c r="E477" s="172" t="s">
        <v>102</v>
      </c>
      <c r="F477" s="172" t="s">
        <v>102</v>
      </c>
      <c r="G477" s="172" t="s">
        <v>102</v>
      </c>
      <c r="H477" s="172" t="s">
        <v>102</v>
      </c>
    </row>
    <row r="478" spans="1:8">
      <c r="A478" s="189">
        <v>413104</v>
      </c>
      <c r="B478" s="190" t="s">
        <v>576</v>
      </c>
      <c r="C478" s="172" t="s">
        <v>102</v>
      </c>
      <c r="D478" s="172" t="s">
        <v>102</v>
      </c>
      <c r="E478" s="172" t="s">
        <v>102</v>
      </c>
      <c r="F478" s="172" t="s">
        <v>102</v>
      </c>
      <c r="G478" s="172" t="s">
        <v>102</v>
      </c>
      <c r="H478" s="172" t="s">
        <v>102</v>
      </c>
    </row>
    <row r="479" spans="1:8">
      <c r="A479" s="189">
        <v>41320</v>
      </c>
      <c r="B479" s="190" t="s">
        <v>264</v>
      </c>
      <c r="C479" s="172" t="s">
        <v>102</v>
      </c>
      <c r="D479" s="172" t="s">
        <v>102</v>
      </c>
      <c r="E479" s="172" t="s">
        <v>102</v>
      </c>
      <c r="F479" s="172" t="s">
        <v>102</v>
      </c>
      <c r="G479" s="172" t="s">
        <v>102</v>
      </c>
      <c r="H479" s="172" t="s">
        <v>102</v>
      </c>
    </row>
    <row r="480" spans="1:8">
      <c r="A480" s="184">
        <v>413201</v>
      </c>
      <c r="B480" s="110" t="s">
        <v>577</v>
      </c>
      <c r="C480" s="172" t="s">
        <v>102</v>
      </c>
      <c r="D480" s="172" t="s">
        <v>102</v>
      </c>
      <c r="E480" s="172" t="s">
        <v>102</v>
      </c>
      <c r="F480" s="172" t="s">
        <v>102</v>
      </c>
      <c r="G480" s="172" t="s">
        <v>102</v>
      </c>
      <c r="H480" s="172" t="s">
        <v>102</v>
      </c>
    </row>
    <row r="481" spans="1:8">
      <c r="A481" s="173">
        <v>413202</v>
      </c>
      <c r="B481" s="102" t="s">
        <v>578</v>
      </c>
      <c r="C481" s="172" t="s">
        <v>102</v>
      </c>
      <c r="D481" s="172" t="s">
        <v>102</v>
      </c>
      <c r="E481" s="172" t="s">
        <v>102</v>
      </c>
      <c r="F481" s="172" t="s">
        <v>102</v>
      </c>
      <c r="G481" s="172" t="s">
        <v>102</v>
      </c>
      <c r="H481" s="172" t="s">
        <v>102</v>
      </c>
    </row>
    <row r="482" spans="1:8">
      <c r="A482" s="173">
        <v>413203</v>
      </c>
      <c r="B482" s="102" t="s">
        <v>579</v>
      </c>
      <c r="C482" s="172" t="s">
        <v>102</v>
      </c>
      <c r="D482" s="172" t="s">
        <v>102</v>
      </c>
      <c r="E482" s="172" t="s">
        <v>102</v>
      </c>
      <c r="F482" s="172" t="s">
        <v>102</v>
      </c>
      <c r="G482" s="172" t="s">
        <v>102</v>
      </c>
      <c r="H482" s="172" t="s">
        <v>102</v>
      </c>
    </row>
    <row r="483" spans="1:8">
      <c r="A483" s="173">
        <v>413204</v>
      </c>
      <c r="B483" s="102" t="s">
        <v>580</v>
      </c>
      <c r="C483" s="172" t="s">
        <v>102</v>
      </c>
      <c r="D483" s="172" t="s">
        <v>102</v>
      </c>
      <c r="E483" s="172" t="s">
        <v>102</v>
      </c>
      <c r="F483" s="172" t="s">
        <v>102</v>
      </c>
      <c r="G483" s="172" t="s">
        <v>102</v>
      </c>
      <c r="H483" s="172" t="s">
        <v>102</v>
      </c>
    </row>
    <row r="484" spans="1:8">
      <c r="A484" s="173">
        <v>413205</v>
      </c>
      <c r="B484" s="102" t="s">
        <v>581</v>
      </c>
      <c r="C484" s="172" t="s">
        <v>102</v>
      </c>
      <c r="D484" s="172" t="s">
        <v>102</v>
      </c>
      <c r="E484" s="172" t="s">
        <v>102</v>
      </c>
      <c r="F484" s="172" t="s">
        <v>102</v>
      </c>
      <c r="G484" s="172" t="s">
        <v>102</v>
      </c>
      <c r="H484" s="172" t="s">
        <v>102</v>
      </c>
    </row>
    <row r="485" spans="1:8">
      <c r="A485" s="173">
        <v>413206</v>
      </c>
      <c r="B485" s="102" t="s">
        <v>582</v>
      </c>
      <c r="C485" s="172" t="s">
        <v>102</v>
      </c>
      <c r="D485" s="172" t="s">
        <v>102</v>
      </c>
      <c r="E485" s="172" t="s">
        <v>102</v>
      </c>
      <c r="F485" s="172" t="s">
        <v>102</v>
      </c>
      <c r="G485" s="172" t="s">
        <v>102</v>
      </c>
      <c r="H485" s="172" t="s">
        <v>102</v>
      </c>
    </row>
    <row r="486" spans="1:8">
      <c r="A486" s="173">
        <v>413207</v>
      </c>
      <c r="B486" s="102" t="s">
        <v>583</v>
      </c>
      <c r="C486" s="172" t="s">
        <v>102</v>
      </c>
      <c r="D486" s="172" t="s">
        <v>102</v>
      </c>
      <c r="E486" s="172" t="s">
        <v>102</v>
      </c>
      <c r="F486" s="172" t="s">
        <v>102</v>
      </c>
      <c r="G486" s="172" t="s">
        <v>102</v>
      </c>
      <c r="H486" s="172" t="s">
        <v>102</v>
      </c>
    </row>
    <row r="487" spans="1:8">
      <c r="A487" s="173">
        <v>413208</v>
      </c>
      <c r="B487" s="102" t="s">
        <v>584</v>
      </c>
      <c r="C487" s="172" t="s">
        <v>102</v>
      </c>
      <c r="D487" s="172" t="s">
        <v>102</v>
      </c>
      <c r="E487" s="172" t="s">
        <v>102</v>
      </c>
      <c r="F487" s="172" t="s">
        <v>102</v>
      </c>
      <c r="G487" s="172" t="s">
        <v>102</v>
      </c>
      <c r="H487" s="172" t="s">
        <v>102</v>
      </c>
    </row>
    <row r="488" spans="1:8">
      <c r="A488" s="173">
        <v>413209</v>
      </c>
      <c r="B488" s="102" t="s">
        <v>585</v>
      </c>
      <c r="C488" s="172" t="s">
        <v>102</v>
      </c>
      <c r="D488" s="172" t="s">
        <v>102</v>
      </c>
      <c r="E488" s="172" t="s">
        <v>102</v>
      </c>
      <c r="F488" s="172" t="s">
        <v>102</v>
      </c>
      <c r="G488" s="172" t="s">
        <v>102</v>
      </c>
      <c r="H488" s="172" t="s">
        <v>102</v>
      </c>
    </row>
    <row r="489" spans="1:8">
      <c r="A489" s="173">
        <v>413210</v>
      </c>
      <c r="B489" s="102" t="s">
        <v>586</v>
      </c>
      <c r="C489" s="172" t="s">
        <v>102</v>
      </c>
      <c r="D489" s="172" t="s">
        <v>102</v>
      </c>
      <c r="E489" s="172" t="s">
        <v>102</v>
      </c>
      <c r="F489" s="172" t="s">
        <v>102</v>
      </c>
      <c r="G489" s="172" t="s">
        <v>102</v>
      </c>
      <c r="H489" s="172" t="s">
        <v>102</v>
      </c>
    </row>
    <row r="490" spans="1:8">
      <c r="A490" s="173">
        <v>413211</v>
      </c>
      <c r="B490" s="102" t="s">
        <v>587</v>
      </c>
      <c r="C490" s="172" t="s">
        <v>102</v>
      </c>
      <c r="D490" s="172" t="s">
        <v>102</v>
      </c>
      <c r="E490" s="172" t="s">
        <v>102</v>
      </c>
      <c r="F490" s="172" t="s">
        <v>102</v>
      </c>
      <c r="G490" s="172" t="s">
        <v>102</v>
      </c>
      <c r="H490" s="172" t="s">
        <v>102</v>
      </c>
    </row>
    <row r="491" spans="1:8">
      <c r="A491" s="173">
        <v>413212</v>
      </c>
      <c r="B491" s="102" t="s">
        <v>588</v>
      </c>
      <c r="C491" s="172" t="s">
        <v>102</v>
      </c>
      <c r="D491" s="172" t="s">
        <v>102</v>
      </c>
      <c r="E491" s="172" t="s">
        <v>102</v>
      </c>
      <c r="F491" s="172" t="s">
        <v>102</v>
      </c>
      <c r="G491" s="172" t="s">
        <v>102</v>
      </c>
      <c r="H491" s="172" t="s">
        <v>102</v>
      </c>
    </row>
    <row r="492" spans="1:8">
      <c r="A492" s="173">
        <v>413213</v>
      </c>
      <c r="B492" s="102" t="s">
        <v>589</v>
      </c>
      <c r="C492" s="172" t="s">
        <v>102</v>
      </c>
      <c r="D492" s="172" t="s">
        <v>102</v>
      </c>
      <c r="E492" s="172" t="s">
        <v>102</v>
      </c>
      <c r="F492" s="172" t="s">
        <v>102</v>
      </c>
      <c r="G492" s="172" t="s">
        <v>102</v>
      </c>
      <c r="H492" s="172" t="s">
        <v>102</v>
      </c>
    </row>
    <row r="493" spans="1:8">
      <c r="A493" s="173">
        <v>41330</v>
      </c>
      <c r="B493" s="102" t="s">
        <v>265</v>
      </c>
      <c r="C493" s="172" t="s">
        <v>102</v>
      </c>
      <c r="D493" s="172" t="s">
        <v>102</v>
      </c>
      <c r="E493" s="172" t="s">
        <v>102</v>
      </c>
      <c r="F493" s="172" t="s">
        <v>102</v>
      </c>
      <c r="G493" s="172" t="s">
        <v>102</v>
      </c>
      <c r="H493" s="172" t="s">
        <v>102</v>
      </c>
    </row>
    <row r="494" spans="1:8">
      <c r="A494" s="184">
        <v>41340</v>
      </c>
      <c r="B494" s="110" t="s">
        <v>266</v>
      </c>
      <c r="C494" s="172" t="s">
        <v>102</v>
      </c>
      <c r="D494" s="172" t="s">
        <v>102</v>
      </c>
      <c r="E494" s="172" t="s">
        <v>102</v>
      </c>
      <c r="F494" s="172" t="s">
        <v>102</v>
      </c>
      <c r="G494" s="172" t="s">
        <v>102</v>
      </c>
      <c r="H494" s="172" t="s">
        <v>102</v>
      </c>
    </row>
    <row r="495" spans="1:8">
      <c r="A495" s="184">
        <v>41350</v>
      </c>
      <c r="B495" s="110" t="s">
        <v>267</v>
      </c>
      <c r="C495" s="172" t="s">
        <v>102</v>
      </c>
      <c r="D495" s="172" t="s">
        <v>102</v>
      </c>
      <c r="E495" s="172" t="s">
        <v>102</v>
      </c>
      <c r="F495" s="172" t="s">
        <v>102</v>
      </c>
      <c r="G495" s="172" t="s">
        <v>102</v>
      </c>
      <c r="H495" s="172" t="s">
        <v>102</v>
      </c>
    </row>
    <row r="496" spans="1:8">
      <c r="A496" s="184">
        <v>4136</v>
      </c>
      <c r="B496" s="110" t="s">
        <v>639</v>
      </c>
      <c r="C496" s="172" t="s">
        <v>102</v>
      </c>
      <c r="D496" s="172" t="s">
        <v>102</v>
      </c>
      <c r="E496" s="172" t="s">
        <v>102</v>
      </c>
      <c r="F496" s="172" t="s">
        <v>102</v>
      </c>
      <c r="G496" s="172" t="s">
        <v>102</v>
      </c>
      <c r="H496" s="172" t="s">
        <v>102</v>
      </c>
    </row>
    <row r="497" spans="1:8">
      <c r="A497" s="181">
        <v>41361</v>
      </c>
      <c r="B497" s="182" t="s">
        <v>268</v>
      </c>
      <c r="C497" s="172" t="s">
        <v>102</v>
      </c>
      <c r="D497" s="172" t="s">
        <v>102</v>
      </c>
      <c r="E497" s="172" t="s">
        <v>102</v>
      </c>
      <c r="F497" s="172" t="s">
        <v>102</v>
      </c>
      <c r="G497" s="172" t="s">
        <v>102</v>
      </c>
      <c r="H497" s="172" t="s">
        <v>102</v>
      </c>
    </row>
    <row r="498" spans="1:8">
      <c r="A498" s="184">
        <v>41362</v>
      </c>
      <c r="B498" s="110" t="s">
        <v>269</v>
      </c>
      <c r="C498" s="172" t="s">
        <v>102</v>
      </c>
      <c r="D498" s="172" t="s">
        <v>102</v>
      </c>
      <c r="E498" s="172" t="s">
        <v>102</v>
      </c>
      <c r="F498" s="172" t="s">
        <v>102</v>
      </c>
      <c r="G498" s="172" t="s">
        <v>102</v>
      </c>
      <c r="H498" s="172" t="s">
        <v>102</v>
      </c>
    </row>
    <row r="499" spans="1:8">
      <c r="A499" s="184">
        <v>41363</v>
      </c>
      <c r="B499" s="110" t="s">
        <v>653</v>
      </c>
      <c r="C499" s="172" t="s">
        <v>102</v>
      </c>
      <c r="D499" s="172" t="s">
        <v>102</v>
      </c>
      <c r="E499" s="172" t="s">
        <v>102</v>
      </c>
      <c r="F499" s="172" t="s">
        <v>102</v>
      </c>
      <c r="G499" s="172" t="s">
        <v>102</v>
      </c>
      <c r="H499" s="172" t="s">
        <v>102</v>
      </c>
    </row>
    <row r="500" spans="1:8">
      <c r="A500" s="184">
        <v>41364</v>
      </c>
      <c r="B500" s="101" t="s">
        <v>679</v>
      </c>
      <c r="C500" s="172" t="s">
        <v>102</v>
      </c>
      <c r="D500" s="172" t="s">
        <v>102</v>
      </c>
      <c r="E500" s="172" t="s">
        <v>102</v>
      </c>
      <c r="F500" s="172" t="s">
        <v>102</v>
      </c>
      <c r="G500" s="172" t="s">
        <v>102</v>
      </c>
      <c r="H500" s="172" t="s">
        <v>102</v>
      </c>
    </row>
    <row r="501" spans="1:8">
      <c r="A501" s="184">
        <v>41365</v>
      </c>
      <c r="B501" s="102" t="s">
        <v>680</v>
      </c>
      <c r="C501" s="172" t="s">
        <v>102</v>
      </c>
      <c r="D501" s="172" t="s">
        <v>102</v>
      </c>
      <c r="E501" s="172" t="s">
        <v>102</v>
      </c>
      <c r="F501" s="172" t="s">
        <v>102</v>
      </c>
      <c r="G501" s="172" t="s">
        <v>102</v>
      </c>
      <c r="H501" s="172" t="s">
        <v>102</v>
      </c>
    </row>
    <row r="502" spans="1:8">
      <c r="A502" s="184">
        <v>41366</v>
      </c>
      <c r="B502" s="102" t="s">
        <v>681</v>
      </c>
      <c r="C502" s="172" t="s">
        <v>102</v>
      </c>
      <c r="D502" s="172" t="s">
        <v>102</v>
      </c>
      <c r="E502" s="172" t="s">
        <v>102</v>
      </c>
      <c r="F502" s="172" t="s">
        <v>102</v>
      </c>
      <c r="G502" s="172" t="s">
        <v>102</v>
      </c>
      <c r="H502" s="172" t="s">
        <v>102</v>
      </c>
    </row>
    <row r="503" spans="1:8">
      <c r="A503" s="184">
        <v>414</v>
      </c>
      <c r="B503" s="102" t="s">
        <v>270</v>
      </c>
      <c r="C503" s="172" t="s">
        <v>102</v>
      </c>
      <c r="D503" s="172" t="s">
        <v>102</v>
      </c>
      <c r="E503" s="172" t="s">
        <v>102</v>
      </c>
      <c r="F503" s="172" t="s">
        <v>102</v>
      </c>
      <c r="G503" s="172" t="s">
        <v>102</v>
      </c>
      <c r="H503" s="172" t="s">
        <v>102</v>
      </c>
    </row>
    <row r="504" spans="1:8">
      <c r="A504" s="181">
        <v>41410</v>
      </c>
      <c r="B504" s="182" t="s">
        <v>271</v>
      </c>
      <c r="C504" s="172" t="s">
        <v>102</v>
      </c>
      <c r="D504" s="172" t="s">
        <v>102</v>
      </c>
      <c r="E504" s="172" t="s">
        <v>102</v>
      </c>
      <c r="F504" s="172" t="s">
        <v>102</v>
      </c>
      <c r="G504" s="172" t="s">
        <v>102</v>
      </c>
      <c r="H504" s="172" t="s">
        <v>102</v>
      </c>
    </row>
    <row r="505" spans="1:8">
      <c r="A505" s="184">
        <v>41420</v>
      </c>
      <c r="B505" s="110" t="s">
        <v>272</v>
      </c>
      <c r="C505" s="172" t="s">
        <v>102</v>
      </c>
      <c r="D505" s="172" t="s">
        <v>102</v>
      </c>
      <c r="E505" s="172" t="s">
        <v>102</v>
      </c>
      <c r="F505" s="172" t="s">
        <v>102</v>
      </c>
      <c r="G505" s="172" t="s">
        <v>102</v>
      </c>
      <c r="H505" s="172" t="s">
        <v>102</v>
      </c>
    </row>
    <row r="506" spans="1:8">
      <c r="A506" s="184">
        <v>41430</v>
      </c>
      <c r="B506" s="110" t="s">
        <v>273</v>
      </c>
      <c r="C506" s="172" t="s">
        <v>102</v>
      </c>
      <c r="D506" s="172" t="s">
        <v>102</v>
      </c>
      <c r="E506" s="172" t="s">
        <v>102</v>
      </c>
      <c r="F506" s="172" t="s">
        <v>102</v>
      </c>
      <c r="G506" s="172" t="s">
        <v>102</v>
      </c>
      <c r="H506" s="172" t="s">
        <v>102</v>
      </c>
    </row>
    <row r="507" spans="1:8">
      <c r="A507" s="184">
        <v>41440</v>
      </c>
      <c r="B507" s="110" t="s">
        <v>274</v>
      </c>
      <c r="C507" s="172" t="s">
        <v>102</v>
      </c>
      <c r="D507" s="172" t="s">
        <v>102</v>
      </c>
      <c r="E507" s="172" t="s">
        <v>102</v>
      </c>
      <c r="F507" s="172" t="s">
        <v>102</v>
      </c>
      <c r="G507" s="172" t="s">
        <v>102</v>
      </c>
      <c r="H507" s="172" t="s">
        <v>102</v>
      </c>
    </row>
    <row r="508" spans="1:8">
      <c r="A508" s="184">
        <v>41450</v>
      </c>
      <c r="B508" s="110" t="s">
        <v>275</v>
      </c>
      <c r="C508" s="172" t="s">
        <v>102</v>
      </c>
      <c r="D508" s="172" t="s">
        <v>102</v>
      </c>
      <c r="E508" s="172" t="s">
        <v>102</v>
      </c>
      <c r="F508" s="172" t="s">
        <v>102</v>
      </c>
      <c r="G508" s="172" t="s">
        <v>102</v>
      </c>
      <c r="H508" s="172" t="s">
        <v>102</v>
      </c>
    </row>
    <row r="509" spans="1:8">
      <c r="A509" s="184">
        <v>42</v>
      </c>
      <c r="B509" s="110" t="s">
        <v>276</v>
      </c>
      <c r="C509" s="172" t="s">
        <v>102</v>
      </c>
      <c r="D509" s="172" t="s">
        <v>102</v>
      </c>
      <c r="E509" s="172" t="s">
        <v>102</v>
      </c>
      <c r="F509" s="172" t="s">
        <v>102</v>
      </c>
      <c r="G509" s="172" t="s">
        <v>102</v>
      </c>
      <c r="H509" s="172" t="s">
        <v>102</v>
      </c>
    </row>
    <row r="510" spans="1:8">
      <c r="A510" s="183">
        <v>421</v>
      </c>
      <c r="B510" s="182" t="s">
        <v>277</v>
      </c>
      <c r="C510" s="172" t="s">
        <v>102</v>
      </c>
      <c r="D510" s="172" t="s">
        <v>102</v>
      </c>
      <c r="E510" s="172" t="s">
        <v>102</v>
      </c>
      <c r="F510" s="172" t="s">
        <v>102</v>
      </c>
      <c r="G510" s="172" t="s">
        <v>102</v>
      </c>
      <c r="H510" s="172" t="s">
        <v>102</v>
      </c>
    </row>
    <row r="511" spans="1:8">
      <c r="A511" s="181">
        <v>4211</v>
      </c>
      <c r="B511" s="182" t="s">
        <v>129</v>
      </c>
      <c r="C511" s="172" t="s">
        <v>102</v>
      </c>
      <c r="D511" s="172" t="s">
        <v>102</v>
      </c>
      <c r="E511" s="172" t="s">
        <v>102</v>
      </c>
      <c r="F511" s="172" t="s">
        <v>102</v>
      </c>
      <c r="G511" s="172" t="s">
        <v>102</v>
      </c>
      <c r="H511" s="172" t="s">
        <v>102</v>
      </c>
    </row>
    <row r="512" spans="1:8">
      <c r="A512" s="181">
        <v>42111</v>
      </c>
      <c r="B512" s="182" t="s">
        <v>246</v>
      </c>
      <c r="C512" s="172" t="s">
        <v>102</v>
      </c>
      <c r="D512" s="172" t="s">
        <v>102</v>
      </c>
      <c r="E512" s="172" t="s">
        <v>102</v>
      </c>
      <c r="F512" s="172" t="s">
        <v>102</v>
      </c>
      <c r="G512" s="172" t="s">
        <v>102</v>
      </c>
      <c r="H512" s="172" t="s">
        <v>102</v>
      </c>
    </row>
    <row r="513" spans="1:8">
      <c r="A513" s="185">
        <v>42112</v>
      </c>
      <c r="B513" s="110" t="s">
        <v>247</v>
      </c>
      <c r="C513" s="172" t="s">
        <v>102</v>
      </c>
      <c r="D513" s="172" t="s">
        <v>102</v>
      </c>
      <c r="E513" s="172" t="s">
        <v>102</v>
      </c>
      <c r="F513" s="172" t="s">
        <v>102</v>
      </c>
      <c r="G513" s="172" t="s">
        <v>102</v>
      </c>
      <c r="H513" s="172" t="s">
        <v>102</v>
      </c>
    </row>
    <row r="514" spans="1:8">
      <c r="A514" s="185">
        <v>42113</v>
      </c>
      <c r="B514" s="110" t="s">
        <v>248</v>
      </c>
      <c r="C514" s="172" t="s">
        <v>102</v>
      </c>
      <c r="D514" s="172" t="s">
        <v>102</v>
      </c>
      <c r="E514" s="172" t="s">
        <v>102</v>
      </c>
      <c r="F514" s="172" t="s">
        <v>102</v>
      </c>
      <c r="G514" s="172" t="s">
        <v>102</v>
      </c>
      <c r="H514" s="172" t="s">
        <v>102</v>
      </c>
    </row>
    <row r="515" spans="1:8">
      <c r="A515" s="185">
        <v>4212</v>
      </c>
      <c r="B515" s="110" t="s">
        <v>135</v>
      </c>
      <c r="C515" s="172" t="s">
        <v>102</v>
      </c>
      <c r="D515" s="172" t="s">
        <v>102</v>
      </c>
      <c r="E515" s="172" t="s">
        <v>102</v>
      </c>
      <c r="F515" s="172" t="s">
        <v>102</v>
      </c>
      <c r="G515" s="172" t="s">
        <v>102</v>
      </c>
      <c r="H515" s="172" t="s">
        <v>102</v>
      </c>
    </row>
    <row r="516" spans="1:8">
      <c r="A516" s="181">
        <v>42121</v>
      </c>
      <c r="B516" s="188" t="s">
        <v>246</v>
      </c>
      <c r="C516" s="172" t="s">
        <v>102</v>
      </c>
      <c r="D516" s="172" t="s">
        <v>102</v>
      </c>
      <c r="E516" s="172" t="s">
        <v>102</v>
      </c>
      <c r="F516" s="172" t="s">
        <v>102</v>
      </c>
      <c r="G516" s="172" t="s">
        <v>102</v>
      </c>
      <c r="H516" s="172" t="s">
        <v>102</v>
      </c>
    </row>
    <row r="517" spans="1:8">
      <c r="A517" s="185">
        <v>42122</v>
      </c>
      <c r="B517" s="110" t="s">
        <v>247</v>
      </c>
      <c r="C517" s="172" t="s">
        <v>102</v>
      </c>
      <c r="D517" s="172" t="s">
        <v>102</v>
      </c>
      <c r="E517" s="172" t="s">
        <v>102</v>
      </c>
      <c r="F517" s="172" t="s">
        <v>102</v>
      </c>
      <c r="G517" s="172" t="s">
        <v>102</v>
      </c>
      <c r="H517" s="172" t="s">
        <v>102</v>
      </c>
    </row>
    <row r="518" spans="1:8">
      <c r="A518" s="185">
        <v>42123</v>
      </c>
      <c r="B518" s="110" t="s">
        <v>248</v>
      </c>
      <c r="C518" s="172" t="s">
        <v>102</v>
      </c>
      <c r="D518" s="172" t="s">
        <v>102</v>
      </c>
      <c r="E518" s="172" t="s">
        <v>102</v>
      </c>
      <c r="F518" s="172" t="s">
        <v>102</v>
      </c>
      <c r="G518" s="172" t="s">
        <v>102</v>
      </c>
      <c r="H518" s="172" t="s">
        <v>102</v>
      </c>
    </row>
    <row r="519" spans="1:8">
      <c r="A519" s="185">
        <v>422</v>
      </c>
      <c r="B519" s="110" t="s">
        <v>213</v>
      </c>
      <c r="C519" s="172" t="s">
        <v>102</v>
      </c>
      <c r="D519" s="172" t="s">
        <v>102</v>
      </c>
      <c r="E519" s="172" t="s">
        <v>102</v>
      </c>
      <c r="F519" s="172" t="s">
        <v>102</v>
      </c>
      <c r="G519" s="172" t="s">
        <v>102</v>
      </c>
      <c r="H519" s="172" t="s">
        <v>102</v>
      </c>
    </row>
    <row r="520" spans="1:8">
      <c r="A520" s="181">
        <v>4221</v>
      </c>
      <c r="B520" s="182" t="s">
        <v>129</v>
      </c>
      <c r="C520" s="172" t="s">
        <v>102</v>
      </c>
      <c r="D520" s="172" t="s">
        <v>102</v>
      </c>
      <c r="E520" s="172" t="s">
        <v>102</v>
      </c>
      <c r="F520" s="172" t="s">
        <v>102</v>
      </c>
      <c r="G520" s="172" t="s">
        <v>102</v>
      </c>
      <c r="H520" s="172" t="s">
        <v>102</v>
      </c>
    </row>
    <row r="521" spans="1:8">
      <c r="A521" s="181">
        <v>42211</v>
      </c>
      <c r="B521" s="182" t="s">
        <v>250</v>
      </c>
      <c r="C521" s="172" t="s">
        <v>102</v>
      </c>
      <c r="D521" s="172" t="s">
        <v>102</v>
      </c>
      <c r="E521" s="172" t="s">
        <v>102</v>
      </c>
      <c r="F521" s="172" t="s">
        <v>102</v>
      </c>
      <c r="G521" s="172" t="s">
        <v>102</v>
      </c>
      <c r="H521" s="172" t="s">
        <v>102</v>
      </c>
    </row>
    <row r="522" spans="1:8">
      <c r="A522" s="184">
        <v>42212</v>
      </c>
      <c r="B522" s="110" t="s">
        <v>278</v>
      </c>
      <c r="C522" s="172" t="s">
        <v>102</v>
      </c>
      <c r="D522" s="172" t="s">
        <v>102</v>
      </c>
      <c r="E522" s="172" t="s">
        <v>102</v>
      </c>
      <c r="F522" s="172" t="s">
        <v>102</v>
      </c>
      <c r="G522" s="172" t="s">
        <v>102</v>
      </c>
      <c r="H522" s="172" t="s">
        <v>102</v>
      </c>
    </row>
    <row r="523" spans="1:8">
      <c r="A523" s="184">
        <v>42213</v>
      </c>
      <c r="B523" s="110" t="s">
        <v>251</v>
      </c>
      <c r="C523" s="172" t="s">
        <v>102</v>
      </c>
      <c r="D523" s="172" t="s">
        <v>102</v>
      </c>
      <c r="E523" s="172" t="s">
        <v>102</v>
      </c>
      <c r="F523" s="172" t="s">
        <v>102</v>
      </c>
      <c r="G523" s="172" t="s">
        <v>102</v>
      </c>
      <c r="H523" s="172" t="s">
        <v>102</v>
      </c>
    </row>
    <row r="524" spans="1:8">
      <c r="A524" s="184">
        <v>42214</v>
      </c>
      <c r="B524" s="110" t="s">
        <v>252</v>
      </c>
      <c r="C524" s="172" t="s">
        <v>102</v>
      </c>
      <c r="D524" s="172" t="s">
        <v>102</v>
      </c>
      <c r="E524" s="172" t="s">
        <v>102</v>
      </c>
      <c r="F524" s="172" t="s">
        <v>102</v>
      </c>
      <c r="G524" s="172" t="s">
        <v>102</v>
      </c>
      <c r="H524" s="172" t="s">
        <v>102</v>
      </c>
    </row>
    <row r="525" spans="1:8">
      <c r="A525" s="184">
        <v>42215</v>
      </c>
      <c r="B525" s="110" t="s">
        <v>253</v>
      </c>
      <c r="C525" s="172" t="s">
        <v>102</v>
      </c>
      <c r="D525" s="172" t="s">
        <v>102</v>
      </c>
      <c r="E525" s="172" t="s">
        <v>102</v>
      </c>
      <c r="F525" s="172" t="s">
        <v>102</v>
      </c>
      <c r="G525" s="172" t="s">
        <v>102</v>
      </c>
      <c r="H525" s="172" t="s">
        <v>102</v>
      </c>
    </row>
    <row r="526" spans="1:8">
      <c r="A526" s="184">
        <v>42216</v>
      </c>
      <c r="B526" s="110" t="s">
        <v>254</v>
      </c>
      <c r="C526" s="172" t="s">
        <v>102</v>
      </c>
      <c r="D526" s="172" t="s">
        <v>102</v>
      </c>
      <c r="E526" s="172" t="s">
        <v>102</v>
      </c>
      <c r="F526" s="172" t="s">
        <v>102</v>
      </c>
      <c r="G526" s="172" t="s">
        <v>102</v>
      </c>
      <c r="H526" s="172" t="s">
        <v>102</v>
      </c>
    </row>
    <row r="527" spans="1:8">
      <c r="A527" s="184">
        <v>42217</v>
      </c>
      <c r="B527" s="110" t="s">
        <v>255</v>
      </c>
      <c r="C527" s="172" t="s">
        <v>102</v>
      </c>
      <c r="D527" s="172" t="s">
        <v>102</v>
      </c>
      <c r="E527" s="172" t="s">
        <v>102</v>
      </c>
      <c r="F527" s="172" t="s">
        <v>102</v>
      </c>
      <c r="G527" s="172" t="s">
        <v>102</v>
      </c>
      <c r="H527" s="172" t="s">
        <v>102</v>
      </c>
    </row>
    <row r="528" spans="1:8">
      <c r="A528" s="184">
        <v>4222</v>
      </c>
      <c r="B528" s="110" t="s">
        <v>135</v>
      </c>
      <c r="C528" s="172" t="s">
        <v>102</v>
      </c>
      <c r="D528" s="172" t="s">
        <v>102</v>
      </c>
      <c r="E528" s="172" t="s">
        <v>102</v>
      </c>
      <c r="F528" s="172" t="s">
        <v>102</v>
      </c>
      <c r="G528" s="172" t="s">
        <v>102</v>
      </c>
      <c r="H528" s="172" t="s">
        <v>102</v>
      </c>
    </row>
    <row r="529" spans="1:8">
      <c r="A529" s="181">
        <v>42221</v>
      </c>
      <c r="B529" s="182" t="s">
        <v>279</v>
      </c>
      <c r="C529" s="172" t="s">
        <v>102</v>
      </c>
      <c r="D529" s="172" t="s">
        <v>102</v>
      </c>
      <c r="E529" s="172" t="s">
        <v>102</v>
      </c>
      <c r="F529" s="172" t="s">
        <v>102</v>
      </c>
      <c r="G529" s="172" t="s">
        <v>102</v>
      </c>
      <c r="H529" s="172" t="s">
        <v>102</v>
      </c>
    </row>
    <row r="530" spans="1:8">
      <c r="A530" s="184">
        <v>42222</v>
      </c>
      <c r="B530" s="110" t="s">
        <v>280</v>
      </c>
      <c r="C530" s="172" t="s">
        <v>102</v>
      </c>
      <c r="D530" s="172" t="s">
        <v>102</v>
      </c>
      <c r="E530" s="172" t="s">
        <v>102</v>
      </c>
      <c r="F530" s="172" t="s">
        <v>102</v>
      </c>
      <c r="G530" s="172" t="s">
        <v>102</v>
      </c>
      <c r="H530" s="172" t="s">
        <v>102</v>
      </c>
    </row>
    <row r="531" spans="1:8">
      <c r="A531" s="184">
        <v>42223</v>
      </c>
      <c r="B531" s="110" t="s">
        <v>258</v>
      </c>
      <c r="C531" s="172" t="s">
        <v>102</v>
      </c>
      <c r="D531" s="172" t="s">
        <v>102</v>
      </c>
      <c r="E531" s="172" t="s">
        <v>102</v>
      </c>
      <c r="F531" s="172" t="s">
        <v>102</v>
      </c>
      <c r="G531" s="172" t="s">
        <v>102</v>
      </c>
      <c r="H531" s="172" t="s">
        <v>102</v>
      </c>
    </row>
    <row r="532" spans="1:8">
      <c r="A532" s="184">
        <v>42224</v>
      </c>
      <c r="B532" s="110" t="s">
        <v>259</v>
      </c>
      <c r="C532" s="172" t="s">
        <v>102</v>
      </c>
      <c r="D532" s="172" t="s">
        <v>102</v>
      </c>
      <c r="E532" s="172" t="s">
        <v>102</v>
      </c>
      <c r="F532" s="172" t="s">
        <v>102</v>
      </c>
      <c r="G532" s="172" t="s">
        <v>102</v>
      </c>
      <c r="H532" s="172" t="s">
        <v>102</v>
      </c>
    </row>
    <row r="533" spans="1:8">
      <c r="A533" s="184">
        <v>42225</v>
      </c>
      <c r="B533" s="110" t="s">
        <v>260</v>
      </c>
      <c r="C533" s="172" t="s">
        <v>102</v>
      </c>
      <c r="D533" s="172" t="s">
        <v>102</v>
      </c>
      <c r="E533" s="172" t="s">
        <v>102</v>
      </c>
      <c r="F533" s="172" t="s">
        <v>102</v>
      </c>
      <c r="G533" s="172" t="s">
        <v>102</v>
      </c>
      <c r="H533" s="172" t="s">
        <v>102</v>
      </c>
    </row>
    <row r="534" spans="1:8">
      <c r="A534" s="184">
        <v>42226</v>
      </c>
      <c r="B534" s="110" t="s">
        <v>261</v>
      </c>
      <c r="C534" s="172" t="s">
        <v>102</v>
      </c>
      <c r="D534" s="172" t="s">
        <v>102</v>
      </c>
      <c r="E534" s="172" t="s">
        <v>102</v>
      </c>
      <c r="F534" s="172" t="s">
        <v>102</v>
      </c>
      <c r="G534" s="172" t="s">
        <v>102</v>
      </c>
      <c r="H534" s="172" t="s">
        <v>102</v>
      </c>
    </row>
    <row r="535" spans="1:8">
      <c r="A535" s="184">
        <v>42227</v>
      </c>
      <c r="B535" s="110" t="s">
        <v>627</v>
      </c>
      <c r="C535" s="172" t="s">
        <v>102</v>
      </c>
      <c r="D535" s="172" t="s">
        <v>102</v>
      </c>
      <c r="E535" s="172" t="s">
        <v>102</v>
      </c>
      <c r="F535" s="172" t="s">
        <v>102</v>
      </c>
      <c r="G535" s="172" t="s">
        <v>102</v>
      </c>
      <c r="H535" s="172" t="s">
        <v>102</v>
      </c>
    </row>
    <row r="536" spans="1:8">
      <c r="A536" s="179">
        <v>42228</v>
      </c>
      <c r="B536" s="191" t="s">
        <v>682</v>
      </c>
      <c r="C536" s="172" t="s">
        <v>102</v>
      </c>
      <c r="D536" s="172" t="s">
        <v>102</v>
      </c>
      <c r="E536" s="172" t="s">
        <v>102</v>
      </c>
      <c r="F536" s="172" t="s">
        <v>102</v>
      </c>
      <c r="G536" s="172" t="s">
        <v>102</v>
      </c>
      <c r="H536" s="172" t="s">
        <v>102</v>
      </c>
    </row>
    <row r="537" spans="1:8">
      <c r="A537" s="192">
        <v>42229</v>
      </c>
      <c r="B537" s="193" t="s">
        <v>683</v>
      </c>
      <c r="C537" s="172" t="s">
        <v>102</v>
      </c>
      <c r="D537" s="172" t="s">
        <v>102</v>
      </c>
      <c r="E537" s="172" t="s">
        <v>102</v>
      </c>
      <c r="F537" s="172" t="s">
        <v>102</v>
      </c>
      <c r="G537" s="172" t="s">
        <v>102</v>
      </c>
      <c r="H537" s="172" t="s">
        <v>102</v>
      </c>
    </row>
    <row r="538" spans="1:8">
      <c r="A538" s="179">
        <v>42230</v>
      </c>
      <c r="B538" s="193" t="s">
        <v>684</v>
      </c>
      <c r="C538" s="172" t="s">
        <v>102</v>
      </c>
      <c r="D538" s="172" t="s">
        <v>102</v>
      </c>
      <c r="E538" s="172" t="s">
        <v>102</v>
      </c>
      <c r="F538" s="172" t="s">
        <v>102</v>
      </c>
      <c r="G538" s="172" t="s">
        <v>102</v>
      </c>
      <c r="H538" s="172" t="s">
        <v>102</v>
      </c>
    </row>
    <row r="539" spans="1:8">
      <c r="A539" s="179">
        <v>42231</v>
      </c>
      <c r="B539" s="193" t="s">
        <v>654</v>
      </c>
      <c r="C539" s="172" t="s">
        <v>102</v>
      </c>
      <c r="D539" s="172" t="s">
        <v>102</v>
      </c>
      <c r="E539" s="172" t="s">
        <v>102</v>
      </c>
      <c r="F539" s="172" t="s">
        <v>102</v>
      </c>
      <c r="G539" s="172" t="s">
        <v>102</v>
      </c>
      <c r="H539" s="172" t="s">
        <v>102</v>
      </c>
    </row>
    <row r="540" spans="1:8">
      <c r="A540" s="194">
        <v>5</v>
      </c>
      <c r="B540" s="193" t="s">
        <v>281</v>
      </c>
      <c r="C540" s="172" t="s">
        <v>102</v>
      </c>
      <c r="D540" s="172" t="s">
        <v>102</v>
      </c>
      <c r="E540" s="172" t="s">
        <v>102</v>
      </c>
      <c r="F540" s="172" t="s">
        <v>102</v>
      </c>
      <c r="G540" s="172" t="s">
        <v>102</v>
      </c>
      <c r="H540" s="172" t="s">
        <v>102</v>
      </c>
    </row>
    <row r="541" spans="1:8">
      <c r="A541" s="181">
        <v>51</v>
      </c>
      <c r="B541" s="182" t="s">
        <v>282</v>
      </c>
      <c r="C541" s="172" t="s">
        <v>102</v>
      </c>
      <c r="D541" s="172" t="s">
        <v>102</v>
      </c>
      <c r="E541" s="172" t="s">
        <v>102</v>
      </c>
      <c r="F541" s="172" t="s">
        <v>102</v>
      </c>
      <c r="G541" s="172" t="s">
        <v>102</v>
      </c>
      <c r="H541" s="172" t="s">
        <v>102</v>
      </c>
    </row>
    <row r="542" spans="1:8">
      <c r="A542" s="183">
        <v>511</v>
      </c>
      <c r="B542" s="182" t="s">
        <v>638</v>
      </c>
      <c r="C542" s="172" t="s">
        <v>102</v>
      </c>
      <c r="D542" s="172" t="s">
        <v>102</v>
      </c>
      <c r="E542" s="172" t="s">
        <v>102</v>
      </c>
      <c r="F542" s="172" t="s">
        <v>102</v>
      </c>
      <c r="G542" s="172" t="s">
        <v>102</v>
      </c>
      <c r="H542" s="172" t="s">
        <v>102</v>
      </c>
    </row>
    <row r="543" spans="1:8">
      <c r="A543" s="184">
        <v>51101</v>
      </c>
      <c r="B543" s="195" t="s">
        <v>685</v>
      </c>
      <c r="C543" s="172" t="s">
        <v>102</v>
      </c>
      <c r="D543" s="172" t="s">
        <v>102</v>
      </c>
      <c r="E543" s="172" t="s">
        <v>102</v>
      </c>
      <c r="F543" s="172" t="s">
        <v>102</v>
      </c>
      <c r="G543" s="172" t="s">
        <v>102</v>
      </c>
      <c r="H543" s="172" t="s">
        <v>102</v>
      </c>
    </row>
    <row r="544" spans="1:8">
      <c r="A544" s="185">
        <v>51102</v>
      </c>
      <c r="B544" s="102" t="s">
        <v>686</v>
      </c>
      <c r="C544" s="172" t="s">
        <v>102</v>
      </c>
      <c r="D544" s="172" t="s">
        <v>102</v>
      </c>
      <c r="E544" s="172" t="s">
        <v>102</v>
      </c>
      <c r="F544" s="172" t="s">
        <v>102</v>
      </c>
      <c r="G544" s="172" t="s">
        <v>102</v>
      </c>
      <c r="H544" s="172" t="s">
        <v>102</v>
      </c>
    </row>
    <row r="545" spans="1:8">
      <c r="A545" s="185">
        <v>51103</v>
      </c>
      <c r="B545" s="102" t="s">
        <v>687</v>
      </c>
      <c r="C545" s="172" t="s">
        <v>102</v>
      </c>
      <c r="D545" s="172" t="s">
        <v>102</v>
      </c>
      <c r="E545" s="172" t="s">
        <v>102</v>
      </c>
      <c r="F545" s="172" t="s">
        <v>102</v>
      </c>
      <c r="G545" s="172" t="s">
        <v>102</v>
      </c>
      <c r="H545" s="172" t="s">
        <v>102</v>
      </c>
    </row>
    <row r="546" spans="1:8">
      <c r="A546" s="185">
        <v>51104</v>
      </c>
      <c r="B546" s="102" t="s">
        <v>688</v>
      </c>
      <c r="C546" s="172" t="s">
        <v>102</v>
      </c>
      <c r="D546" s="172" t="s">
        <v>102</v>
      </c>
      <c r="E546" s="172" t="s">
        <v>102</v>
      </c>
      <c r="F546" s="172" t="s">
        <v>102</v>
      </c>
      <c r="G546" s="172" t="s">
        <v>102</v>
      </c>
      <c r="H546" s="172" t="s">
        <v>102</v>
      </c>
    </row>
    <row r="547" spans="1:8">
      <c r="A547" s="185">
        <v>51105</v>
      </c>
      <c r="B547" s="102" t="s">
        <v>689</v>
      </c>
      <c r="C547" s="172" t="s">
        <v>102</v>
      </c>
      <c r="D547" s="172" t="s">
        <v>102</v>
      </c>
      <c r="E547" s="172" t="s">
        <v>102</v>
      </c>
      <c r="F547" s="172" t="s">
        <v>102</v>
      </c>
      <c r="G547" s="172" t="s">
        <v>102</v>
      </c>
      <c r="H547" s="172" t="s">
        <v>102</v>
      </c>
    </row>
    <row r="548" spans="1:8">
      <c r="A548" s="185">
        <v>51106</v>
      </c>
      <c r="B548" s="102" t="s">
        <v>690</v>
      </c>
      <c r="C548" s="172" t="s">
        <v>102</v>
      </c>
      <c r="D548" s="172" t="s">
        <v>102</v>
      </c>
      <c r="E548" s="172" t="s">
        <v>102</v>
      </c>
      <c r="F548" s="172" t="s">
        <v>102</v>
      </c>
      <c r="G548" s="172" t="s">
        <v>102</v>
      </c>
      <c r="H548" s="172" t="s">
        <v>102</v>
      </c>
    </row>
    <row r="549" spans="1:8">
      <c r="A549" s="185">
        <v>512</v>
      </c>
      <c r="B549" s="102" t="s">
        <v>283</v>
      </c>
      <c r="C549" s="172" t="s">
        <v>102</v>
      </c>
      <c r="D549" s="172" t="s">
        <v>102</v>
      </c>
      <c r="E549" s="172" t="s">
        <v>102</v>
      </c>
      <c r="F549" s="172" t="s">
        <v>102</v>
      </c>
      <c r="G549" s="172" t="s">
        <v>102</v>
      </c>
      <c r="H549" s="172" t="s">
        <v>102</v>
      </c>
    </row>
    <row r="550" spans="1:8">
      <c r="A550" s="181">
        <v>51210</v>
      </c>
      <c r="B550" s="182" t="s">
        <v>284</v>
      </c>
      <c r="C550" s="172" t="s">
        <v>102</v>
      </c>
      <c r="D550" s="172" t="s">
        <v>102</v>
      </c>
      <c r="E550" s="172" t="s">
        <v>102</v>
      </c>
      <c r="F550" s="172" t="s">
        <v>102</v>
      </c>
      <c r="G550" s="172" t="s">
        <v>102</v>
      </c>
      <c r="H550" s="172" t="s">
        <v>102</v>
      </c>
    </row>
    <row r="551" spans="1:8">
      <c r="A551" s="184">
        <v>51220</v>
      </c>
      <c r="B551" s="110" t="s">
        <v>285</v>
      </c>
      <c r="C551" s="172" t="s">
        <v>102</v>
      </c>
      <c r="D551" s="172" t="s">
        <v>102</v>
      </c>
      <c r="E551" s="172" t="s">
        <v>102</v>
      </c>
      <c r="F551" s="172" t="s">
        <v>102</v>
      </c>
      <c r="G551" s="172" t="s">
        <v>102</v>
      </c>
      <c r="H551" s="172" t="s">
        <v>102</v>
      </c>
    </row>
    <row r="552" spans="1:8">
      <c r="A552" s="184">
        <v>51230</v>
      </c>
      <c r="B552" s="110" t="s">
        <v>286</v>
      </c>
      <c r="C552" s="172" t="s">
        <v>102</v>
      </c>
      <c r="D552" s="172" t="s">
        <v>102</v>
      </c>
      <c r="E552" s="172" t="s">
        <v>102</v>
      </c>
      <c r="F552" s="172" t="s">
        <v>102</v>
      </c>
      <c r="G552" s="172" t="s">
        <v>102</v>
      </c>
      <c r="H552" s="172" t="s">
        <v>102</v>
      </c>
    </row>
    <row r="553" spans="1:8">
      <c r="A553" s="184">
        <v>51300</v>
      </c>
      <c r="B553" s="110" t="s">
        <v>287</v>
      </c>
      <c r="C553" s="172" t="s">
        <v>102</v>
      </c>
      <c r="D553" s="172" t="s">
        <v>102</v>
      </c>
      <c r="E553" s="172" t="s">
        <v>102</v>
      </c>
      <c r="F553" s="172" t="s">
        <v>102</v>
      </c>
      <c r="G553" s="172" t="s">
        <v>102</v>
      </c>
      <c r="H553" s="172" t="s">
        <v>102</v>
      </c>
    </row>
    <row r="554" spans="1:8">
      <c r="A554" s="184">
        <v>51400</v>
      </c>
      <c r="B554" s="110" t="s">
        <v>290</v>
      </c>
      <c r="C554" s="172" t="s">
        <v>102</v>
      </c>
      <c r="D554" s="172" t="s">
        <v>102</v>
      </c>
      <c r="E554" s="172" t="s">
        <v>102</v>
      </c>
      <c r="F554" s="172" t="s">
        <v>102</v>
      </c>
      <c r="G554" s="172" t="s">
        <v>102</v>
      </c>
      <c r="H554" s="172" t="s">
        <v>102</v>
      </c>
    </row>
    <row r="555" spans="1:8">
      <c r="A555" s="177">
        <v>51500</v>
      </c>
      <c r="B555" s="102" t="s">
        <v>288</v>
      </c>
      <c r="C555" s="172" t="s">
        <v>102</v>
      </c>
      <c r="D555" s="172" t="s">
        <v>102</v>
      </c>
      <c r="E555" s="172" t="s">
        <v>102</v>
      </c>
      <c r="F555" s="172" t="s">
        <v>102</v>
      </c>
      <c r="G555" s="172" t="s">
        <v>102</v>
      </c>
      <c r="H555" s="172" t="s">
        <v>102</v>
      </c>
    </row>
    <row r="556" spans="1:8">
      <c r="A556" s="184">
        <v>51500</v>
      </c>
      <c r="B556" s="110" t="s">
        <v>288</v>
      </c>
      <c r="C556" s="172" t="s">
        <v>102</v>
      </c>
      <c r="D556" s="172" t="s">
        <v>102</v>
      </c>
      <c r="E556" s="172" t="s">
        <v>102</v>
      </c>
      <c r="F556" s="172" t="s">
        <v>102</v>
      </c>
      <c r="G556" s="172" t="s">
        <v>102</v>
      </c>
      <c r="H556" s="172" t="s">
        <v>102</v>
      </c>
    </row>
    <row r="557" spans="1:8">
      <c r="A557" s="184">
        <v>51600</v>
      </c>
      <c r="B557" s="110" t="s">
        <v>289</v>
      </c>
      <c r="C557" s="172"/>
      <c r="D557" s="172"/>
      <c r="E557" s="172"/>
      <c r="F557" s="172"/>
      <c r="G557" s="172"/>
      <c r="H557" s="172"/>
    </row>
  </sheetData>
  <sortState ref="A7:B201">
    <sortCondition ref="A7:A201"/>
  </sortState>
  <mergeCells count="7">
    <mergeCell ref="G5:H5"/>
    <mergeCell ref="A3:H3"/>
    <mergeCell ref="D5:D6"/>
    <mergeCell ref="C5:C6"/>
    <mergeCell ref="A5:A6"/>
    <mergeCell ref="B5:B6"/>
    <mergeCell ref="E5:F5"/>
  </mergeCells>
  <pageMargins bottom="0.24" footer="0.16" header="0.3" left="0.25" right="0.25" top="0.38"/>
  <pageSetup fitToHeight="0" orientation="portrait" paperSize="9" r:id="rId1" scale="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132</vt:i4>
      </vt:variant>
      <vt:variant>
        <vt:lpstr>Named Ranges</vt:lpstr>
      </vt:variant>
      <vt:variant>
        <vt:i4>7</vt:i4>
      </vt:variant>
    </vt:vector>
  </HeadingPairs>
  <TitlesOfParts>
    <vt:vector baseType="lpstr" size="139">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2014-11-25T02:06:10Z</dcterms:created>
  <dc:creator>AUDITBS</dc:creator>
  <cp:lastModifiedBy>user</cp:lastModifiedBy>
  <cp:lastPrinted>2017-12-05T09:05:46Z</cp:lastPrinted>
  <dcterms:modified xsi:type="dcterms:W3CDTF">2018-02-15T06:54:51Z</dcterms:modified>
</cp:coreProperties>
</file>